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ink/ink1.xml" ContentType="application/inkml+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dmin\Desktop\Excel\Business_Analytics_with_Excel_Elementary_to_Advanced\"/>
    </mc:Choice>
  </mc:AlternateContent>
  <xr:revisionPtr revIDLastSave="0" documentId="13_ncr:1_{D1E6C969-D47C-4220-9030-A5126C7B62CF}" xr6:coauthVersionLast="47" xr6:coauthVersionMax="47" xr10:uidLastSave="{00000000-0000-0000-0000-000000000000}"/>
  <bookViews>
    <workbookView xWindow="-120" yWindow="-120" windowWidth="29040" windowHeight="15840" firstSheet="31" activeTab="37" xr2:uid="{00000000-000D-0000-FFFF-FFFF00000000}"/>
  </bookViews>
  <sheets>
    <sheet name="NCAA T-Shirt Vendor" sheetId="1" r:id="rId1"/>
    <sheet name="Woodworks Bookshelf Co." sheetId="2" r:id="rId2"/>
    <sheet name="Quality Sweater Company" sheetId="4" r:id="rId3"/>
    <sheet name="B&amp;N Bookstore" sheetId="8" r:id="rId4"/>
    <sheet name="Copy Shop" sheetId="9" r:id="rId5"/>
    <sheet name="Tour of band" sheetId="10" r:id="rId6"/>
    <sheet name="The 19th Hole" sheetId="11" r:id="rId7"/>
    <sheet name="Peloton " sheetId="12" r:id="rId8"/>
    <sheet name="Gopher Drugs" sheetId="13" r:id="rId9"/>
    <sheet name="Microsoft_Sales" sheetId="14" r:id="rId10"/>
    <sheet name="Toy Company" sheetId="15" r:id="rId11"/>
    <sheet name="Bluejay Natural Gas " sheetId="16" r:id="rId12"/>
    <sheet name="Campaign Marketing" sheetId="17" r:id="rId13"/>
    <sheet name="Company sells" sheetId="18" r:id="rId14"/>
    <sheet name="PC Tech Company" sheetId="19" r:id="rId15"/>
    <sheet name="Furniture Company" sheetId="20" r:id="rId16"/>
    <sheet name="Investment Allocation" sheetId="21" r:id="rId17"/>
    <sheet name="Feed Mix" sheetId="22" r:id="rId18"/>
    <sheet name="Busing Problem" sheetId="23" r:id="rId19"/>
    <sheet name="Bus Company" sheetId="24" r:id="rId20"/>
    <sheet name="Nike factory" sheetId="26" r:id="rId21"/>
    <sheet name="Transportation Example" sheetId="27" r:id="rId22"/>
    <sheet name="Construction Projects" sheetId="28" r:id="rId23"/>
    <sheet name="New Hire Assignments" sheetId="29" r:id="rId24"/>
    <sheet name="MLB Umpire Assignment" sheetId="30" r:id="rId25"/>
    <sheet name="College Professors" sheetId="31" r:id="rId26"/>
    <sheet name="Transportation and Assignment P" sheetId="32" r:id="rId27"/>
    <sheet name="Princess Brides" sheetId="33" r:id="rId28"/>
    <sheet name="Bolsa de Café" sheetId="34" r:id="rId29"/>
    <sheet name="Art Posters" sheetId="35" r:id="rId30"/>
    <sheet name="Binary Investment Decision" sheetId="36" r:id="rId31"/>
    <sheet name="Horizon Wireless" sheetId="37" r:id="rId32"/>
    <sheet name="Portfolio Variance" sheetId="38" r:id="rId33"/>
    <sheet name="Motorcross Snowmobiles" sheetId="39" r:id="rId34"/>
    <sheet name="Baseball Stadium" sheetId="40" r:id="rId35"/>
    <sheet name="Textbook Company" sheetId="41" r:id="rId36"/>
    <sheet name="M&amp;T Stadium" sheetId="42" r:id="rId37"/>
    <sheet name="Final_Project" sheetId="45" r:id="rId38"/>
  </sheets>
  <externalReferences>
    <externalReference r:id="rId39"/>
    <externalReference r:id="rId40"/>
  </externalReferences>
  <definedNames>
    <definedName name="solver_adj" localSheetId="29" hidden="1">'Art Posters'!$D$17:$E$17</definedName>
    <definedName name="solver_adj" localSheetId="34" hidden="1">'Baseball Stadium'!$E$16</definedName>
    <definedName name="solver_adj" localSheetId="30" hidden="1">'Binary Investment Decision'!$O$5:$U$5</definedName>
    <definedName name="solver_adj" localSheetId="28" hidden="1">'Bolsa de Café'!$C$20:$D$20</definedName>
    <definedName name="solver_adj" localSheetId="19" hidden="1">'Bus Company'!$E$18:$N$18</definedName>
    <definedName name="solver_adj" localSheetId="18" hidden="1">'Busing Problem'!$D$22:$R$22</definedName>
    <definedName name="solver_adj" localSheetId="12" hidden="1">'Campaign Marketing'!$D$14:$E$14</definedName>
    <definedName name="solver_adj" localSheetId="25" hidden="1">'College Professors'!$D$21:$G$24</definedName>
    <definedName name="solver_adj" localSheetId="13" hidden="1">'Company sells'!$C$3:$D$3</definedName>
    <definedName name="solver_adj" localSheetId="22" hidden="1">'Construction Projects'!$F$15:$F$23</definedName>
    <definedName name="solver_adj" localSheetId="17" hidden="1">'Feed Mix'!$H$15:$J$15</definedName>
    <definedName name="solver_adj" localSheetId="15" hidden="1">'Furniture Company'!$D$16:$E$16</definedName>
    <definedName name="solver_adj" localSheetId="31" hidden="1">'Horizon Wireless'!$D$7:$I$7</definedName>
    <definedName name="solver_adj" localSheetId="16" hidden="1">'Investment Allocation'!$C$4:$G$4</definedName>
    <definedName name="solver_adj" localSheetId="36" hidden="1">'M&amp;T Stadium'!$D$14</definedName>
    <definedName name="solver_adj" localSheetId="24" hidden="1">'MLB Umpire Assignment'!$D$22:$G$25</definedName>
    <definedName name="solver_adj" localSheetId="33" hidden="1">'Motorcross Snowmobiles'!$F$16:$G$16</definedName>
    <definedName name="solver_adj" localSheetId="23" hidden="1">'New Hire Assignments'!$D$18:$G$20</definedName>
    <definedName name="solver_adj" localSheetId="20" hidden="1">'Nike factory'!$E$14:$F$14</definedName>
    <definedName name="solver_adj" localSheetId="14" hidden="1">'PC Tech Company'!$D$14:$E$14</definedName>
    <definedName name="solver_adj" localSheetId="32" hidden="1">'Portfolio Variance'!$D$16:$E$16</definedName>
    <definedName name="solver_adj" localSheetId="27" hidden="1">'Princess Brides'!$E$17:$F$17</definedName>
    <definedName name="solver_adj" localSheetId="35" hidden="1">'Textbook Company'!$C$16:$D$16</definedName>
    <definedName name="solver_adj" localSheetId="26" hidden="1">'Transportation and Assignment P'!$O$32:$Q$34</definedName>
    <definedName name="solver_adj" localSheetId="21" hidden="1">'Transportation Example'!$Q$5:$Q$13</definedName>
    <definedName name="solver_cvg" localSheetId="34" hidden="1">0.0001</definedName>
    <definedName name="solver_cvg" localSheetId="30" hidden="1">0.0001</definedName>
    <definedName name="solver_cvg" localSheetId="28" hidden="1">0.0001</definedName>
    <definedName name="solver_cvg" localSheetId="19" hidden="1">0.0001</definedName>
    <definedName name="solver_cvg" localSheetId="18" hidden="1">0.0001</definedName>
    <definedName name="solver_cvg" localSheetId="12" hidden="1">0.0001</definedName>
    <definedName name="solver_cvg" localSheetId="25" hidden="1">0.0001</definedName>
    <definedName name="solver_cvg" localSheetId="13" hidden="1">0.0001</definedName>
    <definedName name="solver_cvg" localSheetId="22" hidden="1">0.0001</definedName>
    <definedName name="solver_cvg" localSheetId="17" hidden="1">0.0001</definedName>
    <definedName name="solver_cvg" localSheetId="15" hidden="1">0.0001</definedName>
    <definedName name="solver_cvg" localSheetId="31" hidden="1">0.0001</definedName>
    <definedName name="solver_cvg" localSheetId="16" hidden="1">0.0001</definedName>
    <definedName name="solver_cvg" localSheetId="36" hidden="1">0.0001</definedName>
    <definedName name="solver_cvg" localSheetId="24" hidden="1">0.0001</definedName>
    <definedName name="solver_cvg" localSheetId="33" hidden="1">0.0001</definedName>
    <definedName name="solver_cvg" localSheetId="23" hidden="1">0.0001</definedName>
    <definedName name="solver_cvg" localSheetId="20" hidden="1">0.0001</definedName>
    <definedName name="solver_cvg" localSheetId="14" hidden="1">0.0001</definedName>
    <definedName name="solver_cvg" localSheetId="32" hidden="1">0.0001</definedName>
    <definedName name="solver_cvg" localSheetId="27" hidden="1">0.0001</definedName>
    <definedName name="solver_cvg" localSheetId="35" hidden="1">0.0001</definedName>
    <definedName name="solver_cvg" localSheetId="26" hidden="1">0.0001</definedName>
    <definedName name="solver_cvg" localSheetId="21" hidden="1">0.0001</definedName>
    <definedName name="solver_drv" localSheetId="29" hidden="1">1</definedName>
    <definedName name="solver_drv" localSheetId="34" hidden="1">1</definedName>
    <definedName name="solver_drv" localSheetId="30" hidden="1">1</definedName>
    <definedName name="solver_drv" localSheetId="28" hidden="1">1</definedName>
    <definedName name="solver_drv" localSheetId="19" hidden="1">1</definedName>
    <definedName name="solver_drv" localSheetId="18" hidden="1">1</definedName>
    <definedName name="solver_drv" localSheetId="12" hidden="1">1</definedName>
    <definedName name="solver_drv" localSheetId="25" hidden="1">2</definedName>
    <definedName name="solver_drv" localSheetId="13" hidden="1">2</definedName>
    <definedName name="solver_drv" localSheetId="22" hidden="1">1</definedName>
    <definedName name="solver_drv" localSheetId="17" hidden="1">1</definedName>
    <definedName name="solver_drv" localSheetId="15" hidden="1">1</definedName>
    <definedName name="solver_drv" localSheetId="31" hidden="1">1</definedName>
    <definedName name="solver_drv" localSheetId="16" hidden="1">1</definedName>
    <definedName name="solver_drv" localSheetId="36" hidden="1">1</definedName>
    <definedName name="solver_drv" localSheetId="24" hidden="1">1</definedName>
    <definedName name="solver_drv" localSheetId="33" hidden="1">1</definedName>
    <definedName name="solver_drv" localSheetId="23" hidden="1">1</definedName>
    <definedName name="solver_drv" localSheetId="20" hidden="1">1</definedName>
    <definedName name="solver_drv" localSheetId="14" hidden="1">1</definedName>
    <definedName name="solver_drv" localSheetId="32" hidden="1">1</definedName>
    <definedName name="solver_drv" localSheetId="27" hidden="1">1</definedName>
    <definedName name="solver_drv" localSheetId="35" hidden="1">1</definedName>
    <definedName name="solver_drv" localSheetId="26" hidden="1">1</definedName>
    <definedName name="solver_drv" localSheetId="21" hidden="1">1</definedName>
    <definedName name="solver_eng" localSheetId="29" hidden="1">2</definedName>
    <definedName name="solver_eng" localSheetId="34" hidden="1">1</definedName>
    <definedName name="solver_eng" localSheetId="30" hidden="1">2</definedName>
    <definedName name="solver_eng" localSheetId="28" hidden="1">2</definedName>
    <definedName name="solver_eng" localSheetId="19" hidden="1">2</definedName>
    <definedName name="solver_eng" localSheetId="18" hidden="1">2</definedName>
    <definedName name="solver_eng" localSheetId="12" hidden="1">2</definedName>
    <definedName name="solver_eng" localSheetId="25" hidden="1">2</definedName>
    <definedName name="solver_eng" localSheetId="13" hidden="1">2</definedName>
    <definedName name="solver_eng" localSheetId="22" hidden="1">2</definedName>
    <definedName name="solver_eng" localSheetId="17" hidden="1">2</definedName>
    <definedName name="solver_eng" localSheetId="15" hidden="1">1</definedName>
    <definedName name="solver_eng" localSheetId="31" hidden="1">2</definedName>
    <definedName name="solver_eng" localSheetId="16" hidden="1">2</definedName>
    <definedName name="solver_eng" localSheetId="36" hidden="1">1</definedName>
    <definedName name="solver_eng" localSheetId="24" hidden="1">2</definedName>
    <definedName name="solver_eng" localSheetId="33" hidden="1">1</definedName>
    <definedName name="solver_eng" localSheetId="23" hidden="1">2</definedName>
    <definedName name="solver_eng" localSheetId="20" hidden="1">2</definedName>
    <definedName name="solver_eng" localSheetId="14" hidden="1">2</definedName>
    <definedName name="solver_eng" localSheetId="32" hidden="1">1</definedName>
    <definedName name="solver_eng" localSheetId="27" hidden="1">2</definedName>
    <definedName name="solver_eng" localSheetId="35" hidden="1">2</definedName>
    <definedName name="solver_eng" localSheetId="26" hidden="1">2</definedName>
    <definedName name="solver_eng" localSheetId="21" hidden="1">2</definedName>
    <definedName name="solver_est" localSheetId="29" hidden="1">1</definedName>
    <definedName name="solver_est" localSheetId="34" hidden="1">1</definedName>
    <definedName name="solver_est" localSheetId="30" hidden="1">1</definedName>
    <definedName name="solver_est" localSheetId="28" hidden="1">1</definedName>
    <definedName name="solver_est" localSheetId="19" hidden="1">1</definedName>
    <definedName name="solver_est" localSheetId="18" hidden="1">1</definedName>
    <definedName name="solver_est" localSheetId="12" hidden="1">1</definedName>
    <definedName name="solver_est" localSheetId="25" hidden="1">1</definedName>
    <definedName name="solver_est" localSheetId="13" hidden="1">1</definedName>
    <definedName name="solver_est" localSheetId="22" hidden="1">1</definedName>
    <definedName name="solver_est" localSheetId="17" hidden="1">1</definedName>
    <definedName name="solver_est" localSheetId="15" hidden="1">1</definedName>
    <definedName name="solver_est" localSheetId="31" hidden="1">1</definedName>
    <definedName name="solver_est" localSheetId="16" hidden="1">1</definedName>
    <definedName name="solver_est" localSheetId="36" hidden="1">1</definedName>
    <definedName name="solver_est" localSheetId="24" hidden="1">1</definedName>
    <definedName name="solver_est" localSheetId="33" hidden="1">1</definedName>
    <definedName name="solver_est" localSheetId="23" hidden="1">1</definedName>
    <definedName name="solver_est" localSheetId="20" hidden="1">1</definedName>
    <definedName name="solver_est" localSheetId="14" hidden="1">1</definedName>
    <definedName name="solver_est" localSheetId="32" hidden="1">1</definedName>
    <definedName name="solver_est" localSheetId="27" hidden="1">1</definedName>
    <definedName name="solver_est" localSheetId="35" hidden="1">1</definedName>
    <definedName name="solver_est" localSheetId="26" hidden="1">1</definedName>
    <definedName name="solver_est" localSheetId="21" hidden="1">1</definedName>
    <definedName name="solver_itr" localSheetId="29" hidden="1">2147483647</definedName>
    <definedName name="solver_itr" localSheetId="34" hidden="1">2147483647</definedName>
    <definedName name="solver_itr" localSheetId="30" hidden="1">2147483647</definedName>
    <definedName name="solver_itr" localSheetId="28" hidden="1">2147483647</definedName>
    <definedName name="solver_itr" localSheetId="19" hidden="1">2147483647</definedName>
    <definedName name="solver_itr" localSheetId="18" hidden="1">2147483647</definedName>
    <definedName name="solver_itr" localSheetId="12" hidden="1">2147483647</definedName>
    <definedName name="solver_itr" localSheetId="25" hidden="1">2147483647</definedName>
    <definedName name="solver_itr" localSheetId="13" hidden="1">2147483647</definedName>
    <definedName name="solver_itr" localSheetId="22" hidden="1">2147483647</definedName>
    <definedName name="solver_itr" localSheetId="17" hidden="1">2147483647</definedName>
    <definedName name="solver_itr" localSheetId="15" hidden="1">2147483647</definedName>
    <definedName name="solver_itr" localSheetId="31" hidden="1">2147483647</definedName>
    <definedName name="solver_itr" localSheetId="16" hidden="1">2147483647</definedName>
    <definedName name="solver_itr" localSheetId="36" hidden="1">2147483647</definedName>
    <definedName name="solver_itr" localSheetId="24" hidden="1">2147483647</definedName>
    <definedName name="solver_itr" localSheetId="33" hidden="1">2147483647</definedName>
    <definedName name="solver_itr" localSheetId="23" hidden="1">2147483647</definedName>
    <definedName name="solver_itr" localSheetId="20" hidden="1">2147483647</definedName>
    <definedName name="solver_itr" localSheetId="14" hidden="1">2147483647</definedName>
    <definedName name="solver_itr" localSheetId="32" hidden="1">2147483647</definedName>
    <definedName name="solver_itr" localSheetId="27" hidden="1">2147483647</definedName>
    <definedName name="solver_itr" localSheetId="35" hidden="1">2147483647</definedName>
    <definedName name="solver_itr" localSheetId="26" hidden="1">2147483647</definedName>
    <definedName name="solver_itr" localSheetId="21" hidden="1">2147483647</definedName>
    <definedName name="solver_lhs1" localSheetId="29" hidden="1">'Art Posters'!$D$17:$E$17</definedName>
    <definedName name="solver_lhs1" localSheetId="34" hidden="1">'Baseball Stadium'!$E$16</definedName>
    <definedName name="solver_lhs1" localSheetId="30" hidden="1">'Binary Investment Decision'!$O$5:$U$5</definedName>
    <definedName name="solver_lhs1" localSheetId="28" hidden="1">'Bolsa de Café'!$C$20</definedName>
    <definedName name="solver_lhs1" localSheetId="19" hidden="1">'Bus Company'!$F$25:$F$29</definedName>
    <definedName name="solver_lhs1" localSheetId="18" hidden="1">'Busing Problem'!$S$29:$S$31</definedName>
    <definedName name="solver_lhs1" localSheetId="12" hidden="1">'Campaign Marketing'!$F$21</definedName>
    <definedName name="solver_lhs1" localSheetId="25" hidden="1">'College Professors'!$D$25:$G$25</definedName>
    <definedName name="solver_lhs1" localSheetId="13" hidden="1">'Company sells'!$E$12</definedName>
    <definedName name="solver_lhs1" localSheetId="22" hidden="1">'Construction Projects'!$K$20:$K$22</definedName>
    <definedName name="solver_lhs1" localSheetId="17" hidden="1">'Feed Mix'!$F$24</definedName>
    <definedName name="solver_lhs1" localSheetId="15" hidden="1">'Furniture Company'!$F$22:$F$23</definedName>
    <definedName name="solver_lhs1" localSheetId="31" hidden="1">'Horizon Wireless'!$D$7:$I$7</definedName>
    <definedName name="solver_lhs1" localSheetId="16" hidden="1">'Investment Allocation'!$H$15</definedName>
    <definedName name="solver_lhs1" localSheetId="24" hidden="1">'MLB Umpire Assignment'!$D$26:$G$26</definedName>
    <definedName name="solver_lhs1" localSheetId="33" hidden="1">'Motorcross Snowmobiles'!$F$16:$G$16</definedName>
    <definedName name="solver_lhs1" localSheetId="23" hidden="1">'New Hire Assignments'!$D$21:$G$21</definedName>
    <definedName name="solver_lhs1" localSheetId="20" hidden="1">'Nike factory'!$G$18:$G$19</definedName>
    <definedName name="solver_lhs1" localSheetId="14" hidden="1">'PC Tech Company'!$F$25:$F$28</definedName>
    <definedName name="solver_lhs1" localSheetId="32" hidden="1">'Portfolio Variance'!$F$29</definedName>
    <definedName name="solver_lhs1" localSheetId="27" hidden="1">'Princess Brides'!$E$17:$F$17</definedName>
    <definedName name="solver_lhs1" localSheetId="35" hidden="1">'Textbook Company'!$C$16:$D$16</definedName>
    <definedName name="solver_lhs1" localSheetId="26" hidden="1">'Transportation and Assignment P'!$O$35:$Q$35</definedName>
    <definedName name="solver_lhs1" localSheetId="21" hidden="1">'Transportation Example'!$O$18:$O$20</definedName>
    <definedName name="solver_lhs2" localSheetId="29" hidden="1">'Art Posters'!$F$22:$F$24</definedName>
    <definedName name="solver_lhs2" localSheetId="34" hidden="1">'Baseball Stadium'!#REF!</definedName>
    <definedName name="solver_lhs2" localSheetId="30" hidden="1">'Binary Investment Decision'!$V$11</definedName>
    <definedName name="solver_lhs2" localSheetId="28" hidden="1">'Bolsa de Café'!$E$25:$E$27</definedName>
    <definedName name="solver_lhs2" localSheetId="18" hidden="1">'Busing Problem'!$S$32:$S$36</definedName>
    <definedName name="solver_lhs2" localSheetId="12" hidden="1">'Campaign Marketing'!$F$22</definedName>
    <definedName name="solver_lhs2" localSheetId="25" hidden="1">'College Professors'!$H$21:$H$24</definedName>
    <definedName name="solver_lhs2" localSheetId="13" hidden="1">'Company sells'!$E$13</definedName>
    <definedName name="solver_lhs2" localSheetId="22" hidden="1">'Construction Projects'!$K$15:$K$17</definedName>
    <definedName name="solver_lhs2" localSheetId="17" hidden="1">'Feed Mix'!$F$25:$F$29</definedName>
    <definedName name="solver_lhs2" localSheetId="31" hidden="1">'Horizon Wireless'!$J$13:$J$20</definedName>
    <definedName name="solver_lhs2" localSheetId="16" hidden="1">'Investment Allocation'!$H$16:$H$17</definedName>
    <definedName name="solver_lhs2" localSheetId="24" hidden="1">'MLB Umpire Assignment'!$G$24</definedName>
    <definedName name="solver_lhs2" localSheetId="33" hidden="1">'Motorcross Snowmobiles'!$H$22</definedName>
    <definedName name="solver_lhs2" localSheetId="23" hidden="1">'New Hire Assignments'!$H$18:$H$20</definedName>
    <definedName name="solver_lhs2" localSheetId="14" hidden="1">'PC Tech Company'!$F$26</definedName>
    <definedName name="solver_lhs2" localSheetId="32" hidden="1">'Portfolio Variance'!$F$30</definedName>
    <definedName name="solver_lhs2" localSheetId="27" hidden="1">'Princess Brides'!$E$18</definedName>
    <definedName name="solver_lhs2" localSheetId="35" hidden="1">'Textbook Company'!$E$20:$E$21</definedName>
    <definedName name="solver_lhs2" localSheetId="26" hidden="1">'Transportation and Assignment P'!$R$32:$R$34</definedName>
    <definedName name="solver_lhs2" localSheetId="21" hidden="1">'Transportation Example'!$O$24:$O$26</definedName>
    <definedName name="solver_lhs3" localSheetId="30" hidden="1">'Binary Investment Decision'!$V$12</definedName>
    <definedName name="solver_lhs3" localSheetId="12" hidden="1">'Campaign Marketing'!$F$23</definedName>
    <definedName name="solver_lhs3" localSheetId="13" hidden="1">'Company sells'!$E$14</definedName>
    <definedName name="solver_lhs3" localSheetId="16" hidden="1">'Investment Allocation'!$H$18</definedName>
    <definedName name="solver_lhs3" localSheetId="24" hidden="1">'MLB Umpire Assignment'!$H$22:$H$25</definedName>
    <definedName name="solver_lhs3" localSheetId="14" hidden="1">'PC Tech Company'!$F$27</definedName>
    <definedName name="solver_lhs3" localSheetId="27" hidden="1">'Princess Brides'!$F$18</definedName>
    <definedName name="solver_lhs4" localSheetId="30" hidden="1">'Binary Investment Decision'!$V$13</definedName>
    <definedName name="solver_lhs4" localSheetId="12" hidden="1">'Campaign Marketing'!$F$24</definedName>
    <definedName name="solver_lhs4" localSheetId="13" hidden="1">'Company sells'!$E$15</definedName>
    <definedName name="solver_lhs4" localSheetId="24" hidden="1">'MLB Umpire Assignment'!$H$25</definedName>
    <definedName name="solver_lhs4" localSheetId="14" hidden="1">'PC Tech Company'!$F$29</definedName>
    <definedName name="solver_lhs4" localSheetId="27" hidden="1">'Princess Brides'!$G$17</definedName>
    <definedName name="solver_lhs5" localSheetId="30" hidden="1">'Binary Investment Decision'!$V$14</definedName>
    <definedName name="solver_lhs5" localSheetId="24" hidden="1">'MLB Umpire Assignment'!$H$25</definedName>
    <definedName name="solver_mip" localSheetId="29" hidden="1">2147483647</definedName>
    <definedName name="solver_mip" localSheetId="34" hidden="1">2147483647</definedName>
    <definedName name="solver_mip" localSheetId="30" hidden="1">2147483647</definedName>
    <definedName name="solver_mip" localSheetId="28" hidden="1">2147483647</definedName>
    <definedName name="solver_mip" localSheetId="19" hidden="1">2147483647</definedName>
    <definedName name="solver_mip" localSheetId="18" hidden="1">2147483647</definedName>
    <definedName name="solver_mip" localSheetId="12" hidden="1">2147483647</definedName>
    <definedName name="solver_mip" localSheetId="25" hidden="1">2147483647</definedName>
    <definedName name="solver_mip" localSheetId="13" hidden="1">2147483647</definedName>
    <definedName name="solver_mip" localSheetId="22" hidden="1">2147483647</definedName>
    <definedName name="solver_mip" localSheetId="17" hidden="1">2147483647</definedName>
    <definedName name="solver_mip" localSheetId="15" hidden="1">2147483647</definedName>
    <definedName name="solver_mip" localSheetId="31" hidden="1">2147483647</definedName>
    <definedName name="solver_mip" localSheetId="16" hidden="1">2147483647</definedName>
    <definedName name="solver_mip" localSheetId="36" hidden="1">2147483647</definedName>
    <definedName name="solver_mip" localSheetId="24" hidden="1">2147483647</definedName>
    <definedName name="solver_mip" localSheetId="33" hidden="1">2147483647</definedName>
    <definedName name="solver_mip" localSheetId="23" hidden="1">2147483647</definedName>
    <definedName name="solver_mip" localSheetId="20" hidden="1">2147483647</definedName>
    <definedName name="solver_mip" localSheetId="14" hidden="1">2147483647</definedName>
    <definedName name="solver_mip" localSheetId="32" hidden="1">2147483647</definedName>
    <definedName name="solver_mip" localSheetId="27" hidden="1">2147483647</definedName>
    <definedName name="solver_mip" localSheetId="35" hidden="1">2147483647</definedName>
    <definedName name="solver_mip" localSheetId="26" hidden="1">2147483647</definedName>
    <definedName name="solver_mip" localSheetId="21" hidden="1">2147483647</definedName>
    <definedName name="solver_mni" localSheetId="34" hidden="1">30</definedName>
    <definedName name="solver_mni" localSheetId="30" hidden="1">30</definedName>
    <definedName name="solver_mni" localSheetId="28" hidden="1">30</definedName>
    <definedName name="solver_mni" localSheetId="19" hidden="1">30</definedName>
    <definedName name="solver_mni" localSheetId="18" hidden="1">30</definedName>
    <definedName name="solver_mni" localSheetId="12" hidden="1">30</definedName>
    <definedName name="solver_mni" localSheetId="25" hidden="1">30</definedName>
    <definedName name="solver_mni" localSheetId="13" hidden="1">30</definedName>
    <definedName name="solver_mni" localSheetId="22" hidden="1">30</definedName>
    <definedName name="solver_mni" localSheetId="17" hidden="1">30</definedName>
    <definedName name="solver_mni" localSheetId="15" hidden="1">30</definedName>
    <definedName name="solver_mni" localSheetId="31" hidden="1">30</definedName>
    <definedName name="solver_mni" localSheetId="16" hidden="1">30</definedName>
    <definedName name="solver_mni" localSheetId="36" hidden="1">30</definedName>
    <definedName name="solver_mni" localSheetId="24" hidden="1">30</definedName>
    <definedName name="solver_mni" localSheetId="33" hidden="1">30</definedName>
    <definedName name="solver_mni" localSheetId="23" hidden="1">30</definedName>
    <definedName name="solver_mni" localSheetId="20" hidden="1">30</definedName>
    <definedName name="solver_mni" localSheetId="14" hidden="1">30</definedName>
    <definedName name="solver_mni" localSheetId="32" hidden="1">30</definedName>
    <definedName name="solver_mni" localSheetId="27" hidden="1">30</definedName>
    <definedName name="solver_mni" localSheetId="35" hidden="1">30</definedName>
    <definedName name="solver_mni" localSheetId="26" hidden="1">30</definedName>
    <definedName name="solver_mni" localSheetId="21" hidden="1">30</definedName>
    <definedName name="solver_mrt" localSheetId="34" hidden="1">0.075</definedName>
    <definedName name="solver_mrt" localSheetId="30" hidden="1">0.075</definedName>
    <definedName name="solver_mrt" localSheetId="28" hidden="1">0.075</definedName>
    <definedName name="solver_mrt" localSheetId="19" hidden="1">0.075</definedName>
    <definedName name="solver_mrt" localSheetId="18" hidden="1">0.075</definedName>
    <definedName name="solver_mrt" localSheetId="12" hidden="1">0.075</definedName>
    <definedName name="solver_mrt" localSheetId="25" hidden="1">0.075</definedName>
    <definedName name="solver_mrt" localSheetId="13" hidden="1">0.075</definedName>
    <definedName name="solver_mrt" localSheetId="22" hidden="1">0.075</definedName>
    <definedName name="solver_mrt" localSheetId="17" hidden="1">0.075</definedName>
    <definedName name="solver_mrt" localSheetId="15" hidden="1">0.075</definedName>
    <definedName name="solver_mrt" localSheetId="31" hidden="1">0.075</definedName>
    <definedName name="solver_mrt" localSheetId="16" hidden="1">0.075</definedName>
    <definedName name="solver_mrt" localSheetId="36" hidden="1">0.075</definedName>
    <definedName name="solver_mrt" localSheetId="24" hidden="1">0.075</definedName>
    <definedName name="solver_mrt" localSheetId="33" hidden="1">0.075</definedName>
    <definedName name="solver_mrt" localSheetId="23" hidden="1">0.075</definedName>
    <definedName name="solver_mrt" localSheetId="20" hidden="1">0.075</definedName>
    <definedName name="solver_mrt" localSheetId="14" hidden="1">0.075</definedName>
    <definedName name="solver_mrt" localSheetId="32" hidden="1">0.075</definedName>
    <definedName name="solver_mrt" localSheetId="27" hidden="1">0.075</definedName>
    <definedName name="solver_mrt" localSheetId="35" hidden="1">0.075</definedName>
    <definedName name="solver_mrt" localSheetId="26" hidden="1">0.075</definedName>
    <definedName name="solver_mrt" localSheetId="21" hidden="1">0.075</definedName>
    <definedName name="solver_msl" localSheetId="29" hidden="1">2</definedName>
    <definedName name="solver_msl" localSheetId="34" hidden="1">2</definedName>
    <definedName name="solver_msl" localSheetId="30" hidden="1">2</definedName>
    <definedName name="solver_msl" localSheetId="28" hidden="1">2</definedName>
    <definedName name="solver_msl" localSheetId="19" hidden="1">2</definedName>
    <definedName name="solver_msl" localSheetId="18" hidden="1">2</definedName>
    <definedName name="solver_msl" localSheetId="12" hidden="1">2</definedName>
    <definedName name="solver_msl" localSheetId="25" hidden="1">2</definedName>
    <definedName name="solver_msl" localSheetId="13" hidden="1">2</definedName>
    <definedName name="solver_msl" localSheetId="22" hidden="1">2</definedName>
    <definedName name="solver_msl" localSheetId="17" hidden="1">2</definedName>
    <definedName name="solver_msl" localSheetId="15" hidden="1">2</definedName>
    <definedName name="solver_msl" localSheetId="31" hidden="1">2</definedName>
    <definedName name="solver_msl" localSheetId="16" hidden="1">2</definedName>
    <definedName name="solver_msl" localSheetId="36" hidden="1">2</definedName>
    <definedName name="solver_msl" localSheetId="24" hidden="1">2</definedName>
    <definedName name="solver_msl" localSheetId="33" hidden="1">2</definedName>
    <definedName name="solver_msl" localSheetId="23" hidden="1">2</definedName>
    <definedName name="solver_msl" localSheetId="20" hidden="1">2</definedName>
    <definedName name="solver_msl" localSheetId="14" hidden="1">2</definedName>
    <definedName name="solver_msl" localSheetId="32" hidden="1">2</definedName>
    <definedName name="solver_msl" localSheetId="27" hidden="1">2</definedName>
    <definedName name="solver_msl" localSheetId="35" hidden="1">2</definedName>
    <definedName name="solver_msl" localSheetId="26" hidden="1">2</definedName>
    <definedName name="solver_msl" localSheetId="21" hidden="1">2</definedName>
    <definedName name="solver_neg" localSheetId="29" hidden="1">1</definedName>
    <definedName name="solver_neg" localSheetId="34" hidden="1">1</definedName>
    <definedName name="solver_neg" localSheetId="30" hidden="1">1</definedName>
    <definedName name="solver_neg" localSheetId="28" hidden="1">1</definedName>
    <definedName name="solver_neg" localSheetId="19" hidden="1">1</definedName>
    <definedName name="solver_neg" localSheetId="18" hidden="1">1</definedName>
    <definedName name="solver_neg" localSheetId="12" hidden="1">1</definedName>
    <definedName name="solver_neg" localSheetId="25" hidden="1">1</definedName>
    <definedName name="solver_neg" localSheetId="13" hidden="1">1</definedName>
    <definedName name="solver_neg" localSheetId="22" hidden="1">1</definedName>
    <definedName name="solver_neg" localSheetId="17" hidden="1">1</definedName>
    <definedName name="solver_neg" localSheetId="15" hidden="1">1</definedName>
    <definedName name="solver_neg" localSheetId="31" hidden="1">1</definedName>
    <definedName name="solver_neg" localSheetId="16" hidden="1">1</definedName>
    <definedName name="solver_neg" localSheetId="36" hidden="1">1</definedName>
    <definedName name="solver_neg" localSheetId="24" hidden="1">1</definedName>
    <definedName name="solver_neg" localSheetId="33" hidden="1">1</definedName>
    <definedName name="solver_neg" localSheetId="23" hidden="1">1</definedName>
    <definedName name="solver_neg" localSheetId="20" hidden="1">1</definedName>
    <definedName name="solver_neg" localSheetId="14" hidden="1">1</definedName>
    <definedName name="solver_neg" localSheetId="32" hidden="1">1</definedName>
    <definedName name="solver_neg" localSheetId="27" hidden="1">1</definedName>
    <definedName name="solver_neg" localSheetId="35" hidden="1">1</definedName>
    <definedName name="solver_neg" localSheetId="26" hidden="1">1</definedName>
    <definedName name="solver_neg" localSheetId="21" hidden="1">1</definedName>
    <definedName name="solver_nod" localSheetId="29" hidden="1">2147483647</definedName>
    <definedName name="solver_nod" localSheetId="34" hidden="1">2147483647</definedName>
    <definedName name="solver_nod" localSheetId="30" hidden="1">2147483647</definedName>
    <definedName name="solver_nod" localSheetId="28" hidden="1">2147483647</definedName>
    <definedName name="solver_nod" localSheetId="19" hidden="1">2147483647</definedName>
    <definedName name="solver_nod" localSheetId="18" hidden="1">2147483647</definedName>
    <definedName name="solver_nod" localSheetId="12" hidden="1">2147483647</definedName>
    <definedName name="solver_nod" localSheetId="25" hidden="1">2147483647</definedName>
    <definedName name="solver_nod" localSheetId="13" hidden="1">2147483647</definedName>
    <definedName name="solver_nod" localSheetId="22" hidden="1">2147483647</definedName>
    <definedName name="solver_nod" localSheetId="17" hidden="1">2147483647</definedName>
    <definedName name="solver_nod" localSheetId="15" hidden="1">2147483647</definedName>
    <definedName name="solver_nod" localSheetId="31" hidden="1">2147483647</definedName>
    <definedName name="solver_nod" localSheetId="16" hidden="1">2147483647</definedName>
    <definedName name="solver_nod" localSheetId="36" hidden="1">2147483647</definedName>
    <definedName name="solver_nod" localSheetId="24" hidden="1">2147483647</definedName>
    <definedName name="solver_nod" localSheetId="33" hidden="1">2147483647</definedName>
    <definedName name="solver_nod" localSheetId="23" hidden="1">2147483647</definedName>
    <definedName name="solver_nod" localSheetId="20" hidden="1">2147483647</definedName>
    <definedName name="solver_nod" localSheetId="14" hidden="1">2147483647</definedName>
    <definedName name="solver_nod" localSheetId="32" hidden="1">2147483647</definedName>
    <definedName name="solver_nod" localSheetId="27" hidden="1">2147483647</definedName>
    <definedName name="solver_nod" localSheetId="35" hidden="1">2147483647</definedName>
    <definedName name="solver_nod" localSheetId="26" hidden="1">2147483647</definedName>
    <definedName name="solver_nod" localSheetId="21" hidden="1">2147483647</definedName>
    <definedName name="solver_num" localSheetId="29" hidden="1">2</definedName>
    <definedName name="solver_num" localSheetId="34" hidden="1">0</definedName>
    <definedName name="solver_num" localSheetId="30" hidden="1">5</definedName>
    <definedName name="solver_num" localSheetId="28" hidden="1">2</definedName>
    <definedName name="solver_num" localSheetId="19" hidden="1">1</definedName>
    <definedName name="solver_num" localSheetId="18" hidden="1">2</definedName>
    <definedName name="solver_num" localSheetId="12" hidden="1">4</definedName>
    <definedName name="solver_num" localSheetId="25" hidden="1">2</definedName>
    <definedName name="solver_num" localSheetId="13" hidden="1">4</definedName>
    <definedName name="solver_num" localSheetId="22" hidden="1">2</definedName>
    <definedName name="solver_num" localSheetId="17" hidden="1">2</definedName>
    <definedName name="solver_num" localSheetId="15" hidden="1">1</definedName>
    <definedName name="solver_num" localSheetId="31" hidden="1">2</definedName>
    <definedName name="solver_num" localSheetId="16" hidden="1">3</definedName>
    <definedName name="solver_num" localSheetId="36" hidden="1">0</definedName>
    <definedName name="solver_num" localSheetId="24" hidden="1">3</definedName>
    <definedName name="solver_num" localSheetId="33" hidden="1">2</definedName>
    <definedName name="solver_num" localSheetId="23" hidden="1">2</definedName>
    <definedName name="solver_num" localSheetId="20" hidden="1">1</definedName>
    <definedName name="solver_num" localSheetId="14" hidden="1">1</definedName>
    <definedName name="solver_num" localSheetId="32" hidden="1">2</definedName>
    <definedName name="solver_num" localSheetId="27" hidden="1">4</definedName>
    <definedName name="solver_num" localSheetId="35" hidden="1">2</definedName>
    <definedName name="solver_num" localSheetId="26" hidden="1">2</definedName>
    <definedName name="solver_num" localSheetId="21" hidden="1">2</definedName>
    <definedName name="solver_nwt" localSheetId="29" hidden="1">1</definedName>
    <definedName name="solver_nwt" localSheetId="34" hidden="1">1</definedName>
    <definedName name="solver_nwt" localSheetId="30" hidden="1">1</definedName>
    <definedName name="solver_nwt" localSheetId="28" hidden="1">1</definedName>
    <definedName name="solver_nwt" localSheetId="19" hidden="1">1</definedName>
    <definedName name="solver_nwt" localSheetId="18" hidden="1">1</definedName>
    <definedName name="solver_nwt" localSheetId="12" hidden="1">1</definedName>
    <definedName name="solver_nwt" localSheetId="25" hidden="1">1</definedName>
    <definedName name="solver_nwt" localSheetId="13" hidden="1">1</definedName>
    <definedName name="solver_nwt" localSheetId="22" hidden="1">1</definedName>
    <definedName name="solver_nwt" localSheetId="17" hidden="1">1</definedName>
    <definedName name="solver_nwt" localSheetId="15" hidden="1">1</definedName>
    <definedName name="solver_nwt" localSheetId="31" hidden="1">1</definedName>
    <definedName name="solver_nwt" localSheetId="16" hidden="1">1</definedName>
    <definedName name="solver_nwt" localSheetId="36" hidden="1">1</definedName>
    <definedName name="solver_nwt" localSheetId="24" hidden="1">1</definedName>
    <definedName name="solver_nwt" localSheetId="33" hidden="1">1</definedName>
    <definedName name="solver_nwt" localSheetId="23" hidden="1">1</definedName>
    <definedName name="solver_nwt" localSheetId="20" hidden="1">1</definedName>
    <definedName name="solver_nwt" localSheetId="14" hidden="1">1</definedName>
    <definedName name="solver_nwt" localSheetId="32" hidden="1">1</definedName>
    <definedName name="solver_nwt" localSheetId="27" hidden="1">1</definedName>
    <definedName name="solver_nwt" localSheetId="35" hidden="1">1</definedName>
    <definedName name="solver_nwt" localSheetId="26" hidden="1">1</definedName>
    <definedName name="solver_nwt" localSheetId="21" hidden="1">1</definedName>
    <definedName name="solver_opt" localSheetId="29" hidden="1">'Art Posters'!$D$29</definedName>
    <definedName name="solver_opt" localSheetId="34" hidden="1">'Baseball Stadium'!$E$28</definedName>
    <definedName name="solver_opt" localSheetId="30" hidden="1">'Binary Investment Decision'!$O$18</definedName>
    <definedName name="solver_opt" localSheetId="28" hidden="1">'Bolsa de Café'!$C$32</definedName>
    <definedName name="solver_opt" localSheetId="19" hidden="1">'Bus Company'!$E$32</definedName>
    <definedName name="solver_opt" localSheetId="18" hidden="1">'Busing Problem'!$D$26</definedName>
    <definedName name="solver_opt" localSheetId="12" hidden="1">'Campaign Marketing'!$D$18</definedName>
    <definedName name="solver_opt" localSheetId="25" hidden="1">'College Professors'!$H$30</definedName>
    <definedName name="solver_opt" localSheetId="13" hidden="1">'Company sells'!$C$7</definedName>
    <definedName name="solver_opt" localSheetId="22" hidden="1">'Construction Projects'!$F$30</definedName>
    <definedName name="solver_opt" localSheetId="17" hidden="1">'Feed Mix'!$J$22</definedName>
    <definedName name="solver_opt" localSheetId="15" hidden="1">'Furniture Company'!$I$17</definedName>
    <definedName name="solver_opt" localSheetId="31" hidden="1">'Horizon Wireless'!$E$10</definedName>
    <definedName name="solver_opt" localSheetId="16" hidden="1">'Investment Allocation'!$C$9</definedName>
    <definedName name="solver_opt" localSheetId="36" hidden="1">'M&amp;T Stadium'!$D$25</definedName>
    <definedName name="solver_opt" localSheetId="24" hidden="1">'MLB Umpire Assignment'!$F$33</definedName>
    <definedName name="solver_opt" localSheetId="33" hidden="1">'Motorcross Snowmobiles'!$G$26</definedName>
    <definedName name="solver_opt" localSheetId="23" hidden="1">'New Hire Assignments'!$F$29</definedName>
    <definedName name="solver_opt" localSheetId="20" hidden="1">'Nike factory'!$F$25</definedName>
    <definedName name="solver_opt" localSheetId="14" hidden="1">'PC Tech Company'!$J$20</definedName>
    <definedName name="solver_opt" localSheetId="32" hidden="1">'Portfolio Variance'!$I$23</definedName>
    <definedName name="solver_opt" localSheetId="27" hidden="1">'Princess Brides'!$F$26</definedName>
    <definedName name="solver_opt" localSheetId="35" hidden="1">'Textbook Company'!$C$26</definedName>
    <definedName name="solver_opt" localSheetId="26" hidden="1">'Transportation and Assignment P'!$Q$41</definedName>
    <definedName name="solver_opt" localSheetId="21" hidden="1">'Transportation Example'!$O$29</definedName>
    <definedName name="solver_pre" localSheetId="34" hidden="1">0.000001</definedName>
    <definedName name="solver_pre" localSheetId="30" hidden="1">0.000001</definedName>
    <definedName name="solver_pre" localSheetId="28" hidden="1">0.000001</definedName>
    <definedName name="solver_pre" localSheetId="19" hidden="1">0.000001</definedName>
    <definedName name="solver_pre" localSheetId="18" hidden="1">0.000001</definedName>
    <definedName name="solver_pre" localSheetId="12" hidden="1">0.000001</definedName>
    <definedName name="solver_pre" localSheetId="25" hidden="1">0.000001</definedName>
    <definedName name="solver_pre" localSheetId="13" hidden="1">0.000001</definedName>
    <definedName name="solver_pre" localSheetId="22" hidden="1">0.000001</definedName>
    <definedName name="solver_pre" localSheetId="17" hidden="1">0.000001</definedName>
    <definedName name="solver_pre" localSheetId="15" hidden="1">0.000001</definedName>
    <definedName name="solver_pre" localSheetId="31" hidden="1">0.000001</definedName>
    <definedName name="solver_pre" localSheetId="16" hidden="1">0.000001</definedName>
    <definedName name="solver_pre" localSheetId="36" hidden="1">0.000001</definedName>
    <definedName name="solver_pre" localSheetId="24" hidden="1">0.000001</definedName>
    <definedName name="solver_pre" localSheetId="33" hidden="1">0.000001</definedName>
    <definedName name="solver_pre" localSheetId="23" hidden="1">0.000001</definedName>
    <definedName name="solver_pre" localSheetId="20" hidden="1">0.000001</definedName>
    <definedName name="solver_pre" localSheetId="14" hidden="1">0.000001</definedName>
    <definedName name="solver_pre" localSheetId="32" hidden="1">0.000001</definedName>
    <definedName name="solver_pre" localSheetId="27" hidden="1">0.000001</definedName>
    <definedName name="solver_pre" localSheetId="35" hidden="1">0.000001</definedName>
    <definedName name="solver_pre" localSheetId="26" hidden="1">0.000001</definedName>
    <definedName name="solver_pre" localSheetId="21" hidden="1">0.000001</definedName>
    <definedName name="solver_rbv" localSheetId="29" hidden="1">2</definedName>
    <definedName name="solver_rbv" localSheetId="34" hidden="1">1</definedName>
    <definedName name="solver_rbv" localSheetId="30" hidden="1">1</definedName>
    <definedName name="solver_rbv" localSheetId="28" hidden="1">1</definedName>
    <definedName name="solver_rbv" localSheetId="19" hidden="1">1</definedName>
    <definedName name="solver_rbv" localSheetId="18" hidden="1">1</definedName>
    <definedName name="solver_rbv" localSheetId="12" hidden="1">1</definedName>
    <definedName name="solver_rbv" localSheetId="25" hidden="1">2</definedName>
    <definedName name="solver_rbv" localSheetId="13" hidden="1">2</definedName>
    <definedName name="solver_rbv" localSheetId="22" hidden="1">1</definedName>
    <definedName name="solver_rbv" localSheetId="17" hidden="1">1</definedName>
    <definedName name="solver_rbv" localSheetId="15" hidden="1">1</definedName>
    <definedName name="solver_rbv" localSheetId="31" hidden="1">1</definedName>
    <definedName name="solver_rbv" localSheetId="16" hidden="1">1</definedName>
    <definedName name="solver_rbv" localSheetId="36" hidden="1">1</definedName>
    <definedName name="solver_rbv" localSheetId="24" hidden="1">1</definedName>
    <definedName name="solver_rbv" localSheetId="33" hidden="1">1</definedName>
    <definedName name="solver_rbv" localSheetId="23" hidden="1">1</definedName>
    <definedName name="solver_rbv" localSheetId="20" hidden="1">1</definedName>
    <definedName name="solver_rbv" localSheetId="14" hidden="1">1</definedName>
    <definedName name="solver_rbv" localSheetId="32" hidden="1">1</definedName>
    <definedName name="solver_rbv" localSheetId="27" hidden="1">1</definedName>
    <definedName name="solver_rbv" localSheetId="35" hidden="1">2</definedName>
    <definedName name="solver_rbv" localSheetId="26" hidden="1">1</definedName>
    <definedName name="solver_rbv" localSheetId="21" hidden="1">1</definedName>
    <definedName name="solver_rel1" localSheetId="29" hidden="1">4</definedName>
    <definedName name="solver_rel1" localSheetId="34" hidden="1">4</definedName>
    <definedName name="solver_rel1" localSheetId="30" hidden="1">5</definedName>
    <definedName name="solver_rel1" localSheetId="28" hidden="1">4</definedName>
    <definedName name="solver_rel1" localSheetId="19" hidden="1">2</definedName>
    <definedName name="solver_rel1" localSheetId="18" hidden="1">1</definedName>
    <definedName name="solver_rel1" localSheetId="12" hidden="1">1</definedName>
    <definedName name="solver_rel1" localSheetId="25" hidden="1">2</definedName>
    <definedName name="solver_rel1" localSheetId="13" hidden="1">1</definedName>
    <definedName name="solver_rel1" localSheetId="22" hidden="1">3</definedName>
    <definedName name="solver_rel1" localSheetId="17" hidden="1">1</definedName>
    <definedName name="solver_rel1" localSheetId="15" hidden="1">1</definedName>
    <definedName name="solver_rel1" localSheetId="31" hidden="1">5</definedName>
    <definedName name="solver_rel1" localSheetId="16" hidden="1">1</definedName>
    <definedName name="solver_rel1" localSheetId="24" hidden="1">1</definedName>
    <definedName name="solver_rel1" localSheetId="33" hidden="1">4</definedName>
    <definedName name="solver_rel1" localSheetId="23" hidden="1">1</definedName>
    <definedName name="solver_rel1" localSheetId="20" hidden="1">1</definedName>
    <definedName name="solver_rel1" localSheetId="14" hidden="1">1</definedName>
    <definedName name="solver_rel1" localSheetId="32" hidden="1">2</definedName>
    <definedName name="solver_rel1" localSheetId="27" hidden="1">4</definedName>
    <definedName name="solver_rel1" localSheetId="35" hidden="1">4</definedName>
    <definedName name="solver_rel1" localSheetId="26" hidden="1">2</definedName>
    <definedName name="solver_rel1" localSheetId="21" hidden="1">1</definedName>
    <definedName name="solver_rel2" localSheetId="29" hidden="1">1</definedName>
    <definedName name="solver_rel2" localSheetId="34" hidden="1">3</definedName>
    <definedName name="solver_rel2" localSheetId="30" hidden="1">3</definedName>
    <definedName name="solver_rel2" localSheetId="28" hidden="1">1</definedName>
    <definedName name="solver_rel2" localSheetId="18" hidden="1">2</definedName>
    <definedName name="solver_rel2" localSheetId="12" hidden="1">3</definedName>
    <definedName name="solver_rel2" localSheetId="25" hidden="1">2</definedName>
    <definedName name="solver_rel2" localSheetId="13" hidden="1">1</definedName>
    <definedName name="solver_rel2" localSheetId="22" hidden="1">1</definedName>
    <definedName name="solver_rel2" localSheetId="17" hidden="1">3</definedName>
    <definedName name="solver_rel2" localSheetId="31" hidden="1">3</definedName>
    <definedName name="solver_rel2" localSheetId="16" hidden="1">3</definedName>
    <definedName name="solver_rel2" localSheetId="24" hidden="1">2</definedName>
    <definedName name="solver_rel2" localSheetId="33" hidden="1">1</definedName>
    <definedName name="solver_rel2" localSheetId="23" hidden="1">2</definedName>
    <definedName name="solver_rel2" localSheetId="14" hidden="1">1</definedName>
    <definedName name="solver_rel2" localSheetId="32" hidden="1">3</definedName>
    <definedName name="solver_rel2" localSheetId="27" hidden="1">3</definedName>
    <definedName name="solver_rel2" localSheetId="35" hidden="1">1</definedName>
    <definedName name="solver_rel2" localSheetId="26" hidden="1">1</definedName>
    <definedName name="solver_rel2" localSheetId="21" hidden="1">3</definedName>
    <definedName name="solver_rel3" localSheetId="30" hidden="1">1</definedName>
    <definedName name="solver_rel3" localSheetId="12" hidden="1">3</definedName>
    <definedName name="solver_rel3" localSheetId="13" hidden="1">3</definedName>
    <definedName name="solver_rel3" localSheetId="16" hidden="1">1</definedName>
    <definedName name="solver_rel3" localSheetId="24" hidden="1">2</definedName>
    <definedName name="solver_rel3" localSheetId="14" hidden="1">1</definedName>
    <definedName name="solver_rel3" localSheetId="27" hidden="1">1</definedName>
    <definedName name="solver_rel4" localSheetId="30" hidden="1">2</definedName>
    <definedName name="solver_rel4" localSheetId="12" hidden="1">3</definedName>
    <definedName name="solver_rel4" localSheetId="13" hidden="1">3</definedName>
    <definedName name="solver_rel4" localSheetId="24" hidden="1">2</definedName>
    <definedName name="solver_rel4" localSheetId="14" hidden="1">1</definedName>
    <definedName name="solver_rel4" localSheetId="27" hidden="1">1</definedName>
    <definedName name="solver_rel5" localSheetId="30" hidden="1">1</definedName>
    <definedName name="solver_rel5" localSheetId="24" hidden="1">2</definedName>
    <definedName name="solver_rhs1" localSheetId="29" hidden="1">"integer"</definedName>
    <definedName name="solver_rhs1" localSheetId="34" hidden="1">"integer"</definedName>
    <definedName name="solver_rhs1" localSheetId="30" hidden="1">"binary"</definedName>
    <definedName name="solver_rhs1" localSheetId="28" hidden="1">"integer"</definedName>
    <definedName name="solver_rhs1" localSheetId="19" hidden="1">'Bus Company'!$H$25:$H$29</definedName>
    <definedName name="solver_rhs1" localSheetId="18" hidden="1">'Busing Problem'!$U$29:$U$31</definedName>
    <definedName name="solver_rhs1" localSheetId="12" hidden="1">'Campaign Marketing'!$H$21</definedName>
    <definedName name="solver_rhs1" localSheetId="25" hidden="1">1</definedName>
    <definedName name="solver_rhs1" localSheetId="13" hidden="1">'Company sells'!$G$12</definedName>
    <definedName name="solver_rhs1" localSheetId="22" hidden="1">'Construction Projects'!$M$20:$M$22</definedName>
    <definedName name="solver_rhs1" localSheetId="17" hidden="1">'Feed Mix'!$H$24</definedName>
    <definedName name="solver_rhs1" localSheetId="15" hidden="1">'Furniture Company'!$H$22:$H$23</definedName>
    <definedName name="solver_rhs1" localSheetId="31" hidden="1">"binary"</definedName>
    <definedName name="solver_rhs1" localSheetId="16" hidden="1">'Investment Allocation'!$J$15</definedName>
    <definedName name="solver_rhs1" localSheetId="24" hidden="1">1</definedName>
    <definedName name="solver_rhs1" localSheetId="33" hidden="1">"integer"</definedName>
    <definedName name="solver_rhs1" localSheetId="23" hidden="1">1</definedName>
    <definedName name="solver_rhs1" localSheetId="20" hidden="1">'Nike factory'!$I$18:$I$19</definedName>
    <definedName name="solver_rhs1" localSheetId="14" hidden="1">'PC Tech Company'!$H$25:$H$28</definedName>
    <definedName name="solver_rhs1" localSheetId="32" hidden="1">'Portfolio Variance'!$H$29</definedName>
    <definedName name="solver_rhs1" localSheetId="27" hidden="1">"integer"</definedName>
    <definedName name="solver_rhs1" localSheetId="35" hidden="1">"integer"</definedName>
    <definedName name="solver_rhs1" localSheetId="26" hidden="1">'Transportation and Assignment P'!$O$37:$Q$37</definedName>
    <definedName name="solver_rhs1" localSheetId="21" hidden="1">'Transportation Example'!$Q$18:$Q$20</definedName>
    <definedName name="solver_rhs2" localSheetId="29" hidden="1">'Art Posters'!$H$22:$H$24</definedName>
    <definedName name="solver_rhs2" localSheetId="34" hidden="1">'Baseball Stadium'!#REF!</definedName>
    <definedName name="solver_rhs2" localSheetId="30" hidden="1">'Binary Investment Decision'!$X$11</definedName>
    <definedName name="solver_rhs2" localSheetId="28" hidden="1">'Bolsa de Café'!$G$25:$G$27</definedName>
    <definedName name="solver_rhs2" localSheetId="18" hidden="1">'Busing Problem'!$U$32:$U$36</definedName>
    <definedName name="solver_rhs2" localSheetId="12" hidden="1">'Campaign Marketing'!$H$22</definedName>
    <definedName name="solver_rhs2" localSheetId="25" hidden="1">1</definedName>
    <definedName name="solver_rhs2" localSheetId="13" hidden="1">'Company sells'!$G$13</definedName>
    <definedName name="solver_rhs2" localSheetId="22" hidden="1">'Construction Projects'!$M$15:$M$17</definedName>
    <definedName name="solver_rhs2" localSheetId="17" hidden="1">'Feed Mix'!$H$25:$H$29</definedName>
    <definedName name="solver_rhs2" localSheetId="31" hidden="1">'Horizon Wireless'!$L$13:$L$20</definedName>
    <definedName name="solver_rhs2" localSheetId="16" hidden="1">'Investment Allocation'!$J$16:$J$17</definedName>
    <definedName name="solver_rhs2" localSheetId="24" hidden="1">0</definedName>
    <definedName name="solver_rhs2" localSheetId="33" hidden="1">'Motorcross Snowmobiles'!$J$22</definedName>
    <definedName name="solver_rhs2" localSheetId="23" hidden="1">1</definedName>
    <definedName name="solver_rhs2" localSheetId="14" hidden="1">'PC Tech Company'!$H$26</definedName>
    <definedName name="solver_rhs2" localSheetId="32" hidden="1">'Portfolio Variance'!$H$30</definedName>
    <definedName name="solver_rhs2" localSheetId="27" hidden="1">2</definedName>
    <definedName name="solver_rhs2" localSheetId="35" hidden="1">'Textbook Company'!$G$20:$G$21</definedName>
    <definedName name="solver_rhs2" localSheetId="26" hidden="1">'Transportation and Assignment P'!$T$32:$T$34</definedName>
    <definedName name="solver_rhs2" localSheetId="21" hidden="1">'Transportation Example'!$Q$24:$Q$26</definedName>
    <definedName name="solver_rhs3" localSheetId="30" hidden="1">'Binary Investment Decision'!$X$12</definedName>
    <definedName name="solver_rhs3" localSheetId="12" hidden="1">'Campaign Marketing'!$H$23</definedName>
    <definedName name="solver_rhs3" localSheetId="13" hidden="1">'Company sells'!$G$14</definedName>
    <definedName name="solver_rhs3" localSheetId="16" hidden="1">'Investment Allocation'!$J$18</definedName>
    <definedName name="solver_rhs3" localSheetId="24" hidden="1">1</definedName>
    <definedName name="solver_rhs3" localSheetId="14" hidden="1">'PC Tech Company'!$H$27</definedName>
    <definedName name="solver_rhs3" localSheetId="27" hidden="1">6</definedName>
    <definedName name="solver_rhs4" localSheetId="30" hidden="1">'Binary Investment Decision'!$X$13</definedName>
    <definedName name="solver_rhs4" localSheetId="12" hidden="1">'Campaign Marketing'!$H$24</definedName>
    <definedName name="solver_rhs4" localSheetId="13" hidden="1">'Company sells'!$G$15</definedName>
    <definedName name="solver_rhs4" localSheetId="24" hidden="1">1</definedName>
    <definedName name="solver_rhs4" localSheetId="14" hidden="1">'PC Tech Company'!$H$29</definedName>
    <definedName name="solver_rhs4" localSheetId="27" hidden="1">1800</definedName>
    <definedName name="solver_rhs5" localSheetId="30" hidden="1">'Binary Investment Decision'!$X$14</definedName>
    <definedName name="solver_rhs5" localSheetId="24" hidden="1">1</definedName>
    <definedName name="solver_rlx" localSheetId="29" hidden="1">2</definedName>
    <definedName name="solver_rlx" localSheetId="34" hidden="1">2</definedName>
    <definedName name="solver_rlx" localSheetId="30" hidden="1">2</definedName>
    <definedName name="solver_rlx" localSheetId="28" hidden="1">2</definedName>
    <definedName name="solver_rlx" localSheetId="19" hidden="1">2</definedName>
    <definedName name="solver_rlx" localSheetId="18" hidden="1">2</definedName>
    <definedName name="solver_rlx" localSheetId="12" hidden="1">2</definedName>
    <definedName name="solver_rlx" localSheetId="25" hidden="1">2</definedName>
    <definedName name="solver_rlx" localSheetId="13" hidden="1">2</definedName>
    <definedName name="solver_rlx" localSheetId="22" hidden="1">2</definedName>
    <definedName name="solver_rlx" localSheetId="17" hidden="1">2</definedName>
    <definedName name="solver_rlx" localSheetId="15" hidden="1">2</definedName>
    <definedName name="solver_rlx" localSheetId="31" hidden="1">2</definedName>
    <definedName name="solver_rlx" localSheetId="16" hidden="1">2</definedName>
    <definedName name="solver_rlx" localSheetId="36" hidden="1">2</definedName>
    <definedName name="solver_rlx" localSheetId="24" hidden="1">2</definedName>
    <definedName name="solver_rlx" localSheetId="33" hidden="1">2</definedName>
    <definedName name="solver_rlx" localSheetId="23" hidden="1">2</definedName>
    <definedName name="solver_rlx" localSheetId="20" hidden="1">2</definedName>
    <definedName name="solver_rlx" localSheetId="14" hidden="1">2</definedName>
    <definedName name="solver_rlx" localSheetId="32" hidden="1">2</definedName>
    <definedName name="solver_rlx" localSheetId="27" hidden="1">2</definedName>
    <definedName name="solver_rlx" localSheetId="35" hidden="1">2</definedName>
    <definedName name="solver_rlx" localSheetId="26" hidden="1">2</definedName>
    <definedName name="solver_rlx" localSheetId="21" hidden="1">2</definedName>
    <definedName name="solver_rsd" localSheetId="34" hidden="1">0</definedName>
    <definedName name="solver_rsd" localSheetId="30" hidden="1">0</definedName>
    <definedName name="solver_rsd" localSheetId="28" hidden="1">0</definedName>
    <definedName name="solver_rsd" localSheetId="19" hidden="1">0</definedName>
    <definedName name="solver_rsd" localSheetId="18" hidden="1">0</definedName>
    <definedName name="solver_rsd" localSheetId="12" hidden="1">0</definedName>
    <definedName name="solver_rsd" localSheetId="25" hidden="1">0</definedName>
    <definedName name="solver_rsd" localSheetId="13" hidden="1">0</definedName>
    <definedName name="solver_rsd" localSheetId="22" hidden="1">0</definedName>
    <definedName name="solver_rsd" localSheetId="17" hidden="1">0</definedName>
    <definedName name="solver_rsd" localSheetId="15" hidden="1">0</definedName>
    <definedName name="solver_rsd" localSheetId="31" hidden="1">0</definedName>
    <definedName name="solver_rsd" localSheetId="16" hidden="1">0</definedName>
    <definedName name="solver_rsd" localSheetId="36" hidden="1">0</definedName>
    <definedName name="solver_rsd" localSheetId="24" hidden="1">0</definedName>
    <definedName name="solver_rsd" localSheetId="33" hidden="1">0</definedName>
    <definedName name="solver_rsd" localSheetId="23" hidden="1">0</definedName>
    <definedName name="solver_rsd" localSheetId="20" hidden="1">0</definedName>
    <definedName name="solver_rsd" localSheetId="14" hidden="1">0</definedName>
    <definedName name="solver_rsd" localSheetId="32" hidden="1">0</definedName>
    <definedName name="solver_rsd" localSheetId="27" hidden="1">0</definedName>
    <definedName name="solver_rsd" localSheetId="35" hidden="1">0</definedName>
    <definedName name="solver_rsd" localSheetId="26" hidden="1">0</definedName>
    <definedName name="solver_rsd" localSheetId="21" hidden="1">0</definedName>
    <definedName name="solver_scl" localSheetId="29" hidden="1">2</definedName>
    <definedName name="solver_scl" localSheetId="34" hidden="1">1</definedName>
    <definedName name="solver_scl" localSheetId="30" hidden="1">1</definedName>
    <definedName name="solver_scl" localSheetId="28" hidden="1">1</definedName>
    <definedName name="solver_scl" localSheetId="19" hidden="1">1</definedName>
    <definedName name="solver_scl" localSheetId="18" hidden="1">1</definedName>
    <definedName name="solver_scl" localSheetId="12" hidden="1">1</definedName>
    <definedName name="solver_scl" localSheetId="25" hidden="1">2</definedName>
    <definedName name="solver_scl" localSheetId="13" hidden="1">2</definedName>
    <definedName name="solver_scl" localSheetId="22" hidden="1">1</definedName>
    <definedName name="solver_scl" localSheetId="17" hidden="1">1</definedName>
    <definedName name="solver_scl" localSheetId="15" hidden="1">1</definedName>
    <definedName name="solver_scl" localSheetId="31" hidden="1">1</definedName>
    <definedName name="solver_scl" localSheetId="16" hidden="1">1</definedName>
    <definedName name="solver_scl" localSheetId="36" hidden="1">1</definedName>
    <definedName name="solver_scl" localSheetId="24" hidden="1">1</definedName>
    <definedName name="solver_scl" localSheetId="33" hidden="1">1</definedName>
    <definedName name="solver_scl" localSheetId="23" hidden="1">1</definedName>
    <definedName name="solver_scl" localSheetId="20" hidden="1">1</definedName>
    <definedName name="solver_scl" localSheetId="14" hidden="1">1</definedName>
    <definedName name="solver_scl" localSheetId="32" hidden="1">1</definedName>
    <definedName name="solver_scl" localSheetId="27" hidden="1">1</definedName>
    <definedName name="solver_scl" localSheetId="35" hidden="1">2</definedName>
    <definedName name="solver_scl" localSheetId="26" hidden="1">1</definedName>
    <definedName name="solver_scl" localSheetId="21" hidden="1">1</definedName>
    <definedName name="solver_sho" localSheetId="29" hidden="1">2</definedName>
    <definedName name="solver_sho" localSheetId="34" hidden="1">2</definedName>
    <definedName name="solver_sho" localSheetId="30" hidden="1">2</definedName>
    <definedName name="solver_sho" localSheetId="28" hidden="1">2</definedName>
    <definedName name="solver_sho" localSheetId="19" hidden="1">2</definedName>
    <definedName name="solver_sho" localSheetId="18" hidden="1">2</definedName>
    <definedName name="solver_sho" localSheetId="12" hidden="1">2</definedName>
    <definedName name="solver_sho" localSheetId="25" hidden="1">2</definedName>
    <definedName name="solver_sho" localSheetId="13" hidden="1">2</definedName>
    <definedName name="solver_sho" localSheetId="22" hidden="1">2</definedName>
    <definedName name="solver_sho" localSheetId="17" hidden="1">2</definedName>
    <definedName name="solver_sho" localSheetId="15" hidden="1">2</definedName>
    <definedName name="solver_sho" localSheetId="31" hidden="1">2</definedName>
    <definedName name="solver_sho" localSheetId="16" hidden="1">2</definedName>
    <definedName name="solver_sho" localSheetId="36" hidden="1">2</definedName>
    <definedName name="solver_sho" localSheetId="24" hidden="1">2</definedName>
    <definedName name="solver_sho" localSheetId="33" hidden="1">2</definedName>
    <definedName name="solver_sho" localSheetId="23" hidden="1">2</definedName>
    <definedName name="solver_sho" localSheetId="20" hidden="1">2</definedName>
    <definedName name="solver_sho" localSheetId="14" hidden="1">2</definedName>
    <definedName name="solver_sho" localSheetId="32" hidden="1">2</definedName>
    <definedName name="solver_sho" localSheetId="27" hidden="1">2</definedName>
    <definedName name="solver_sho" localSheetId="35" hidden="1">2</definedName>
    <definedName name="solver_sho" localSheetId="26" hidden="1">2</definedName>
    <definedName name="solver_sho" localSheetId="21" hidden="1">2</definedName>
    <definedName name="solver_ssz" localSheetId="29" hidden="1">0</definedName>
    <definedName name="solver_ssz" localSheetId="34" hidden="1">100</definedName>
    <definedName name="solver_ssz" localSheetId="30" hidden="1">100</definedName>
    <definedName name="solver_ssz" localSheetId="28" hidden="1">100</definedName>
    <definedName name="solver_ssz" localSheetId="19" hidden="1">100</definedName>
    <definedName name="solver_ssz" localSheetId="18" hidden="1">100</definedName>
    <definedName name="solver_ssz" localSheetId="12" hidden="1">100</definedName>
    <definedName name="solver_ssz" localSheetId="25" hidden="1">100</definedName>
    <definedName name="solver_ssz" localSheetId="13" hidden="1">100</definedName>
    <definedName name="solver_ssz" localSheetId="22" hidden="1">100</definedName>
    <definedName name="solver_ssz" localSheetId="17" hidden="1">100</definedName>
    <definedName name="solver_ssz" localSheetId="15" hidden="1">100</definedName>
    <definedName name="solver_ssz" localSheetId="31" hidden="1">100</definedName>
    <definedName name="solver_ssz" localSheetId="16" hidden="1">100</definedName>
    <definedName name="solver_ssz" localSheetId="36" hidden="1">100</definedName>
    <definedName name="solver_ssz" localSheetId="24" hidden="1">100</definedName>
    <definedName name="solver_ssz" localSheetId="33" hidden="1">100</definedName>
    <definedName name="solver_ssz" localSheetId="23" hidden="1">100</definedName>
    <definedName name="solver_ssz" localSheetId="20" hidden="1">100</definedName>
    <definedName name="solver_ssz" localSheetId="14" hidden="1">100</definedName>
    <definedName name="solver_ssz" localSheetId="32" hidden="1">100</definedName>
    <definedName name="solver_ssz" localSheetId="27" hidden="1">100</definedName>
    <definedName name="solver_ssz" localSheetId="35" hidden="1">0</definedName>
    <definedName name="solver_ssz" localSheetId="26" hidden="1">100</definedName>
    <definedName name="solver_ssz" localSheetId="21" hidden="1">100</definedName>
    <definedName name="solver_tim" localSheetId="29" hidden="1">2147483647</definedName>
    <definedName name="solver_tim" localSheetId="34" hidden="1">2147483647</definedName>
    <definedName name="solver_tim" localSheetId="30" hidden="1">2147483647</definedName>
    <definedName name="solver_tim" localSheetId="28" hidden="1">2147483647</definedName>
    <definedName name="solver_tim" localSheetId="19" hidden="1">2147483647</definedName>
    <definedName name="solver_tim" localSheetId="18" hidden="1">2147483647</definedName>
    <definedName name="solver_tim" localSheetId="12" hidden="1">2147483647</definedName>
    <definedName name="solver_tim" localSheetId="25" hidden="1">2147483647</definedName>
    <definedName name="solver_tim" localSheetId="13" hidden="1">2147483647</definedName>
    <definedName name="solver_tim" localSheetId="22" hidden="1">2147483647</definedName>
    <definedName name="solver_tim" localSheetId="17" hidden="1">2147483647</definedName>
    <definedName name="solver_tim" localSheetId="15" hidden="1">2147483647</definedName>
    <definedName name="solver_tim" localSheetId="31" hidden="1">2147483647</definedName>
    <definedName name="solver_tim" localSheetId="16" hidden="1">2147483647</definedName>
    <definedName name="solver_tim" localSheetId="36" hidden="1">2147483647</definedName>
    <definedName name="solver_tim" localSheetId="24" hidden="1">2147483647</definedName>
    <definedName name="solver_tim" localSheetId="33" hidden="1">2147483647</definedName>
    <definedName name="solver_tim" localSheetId="23" hidden="1">2147483647</definedName>
    <definedName name="solver_tim" localSheetId="20" hidden="1">2147483647</definedName>
    <definedName name="solver_tim" localSheetId="14" hidden="1">2147483647</definedName>
    <definedName name="solver_tim" localSheetId="32" hidden="1">2147483647</definedName>
    <definedName name="solver_tim" localSheetId="27" hidden="1">2147483647</definedName>
    <definedName name="solver_tim" localSheetId="35" hidden="1">2147483647</definedName>
    <definedName name="solver_tim" localSheetId="26" hidden="1">2147483647</definedName>
    <definedName name="solver_tim" localSheetId="21" hidden="1">2147483647</definedName>
    <definedName name="solver_tol" localSheetId="29" hidden="1">0.01</definedName>
    <definedName name="solver_tol" localSheetId="34" hidden="1">0.01</definedName>
    <definedName name="solver_tol" localSheetId="30" hidden="1">0.01</definedName>
    <definedName name="solver_tol" localSheetId="28" hidden="1">0.01</definedName>
    <definedName name="solver_tol" localSheetId="19" hidden="1">0.01</definedName>
    <definedName name="solver_tol" localSheetId="18" hidden="1">0.01</definedName>
    <definedName name="solver_tol" localSheetId="12" hidden="1">0.01</definedName>
    <definedName name="solver_tol" localSheetId="25" hidden="1">0.01</definedName>
    <definedName name="solver_tol" localSheetId="13" hidden="1">0.01</definedName>
    <definedName name="solver_tol" localSheetId="22" hidden="1">0.01</definedName>
    <definedName name="solver_tol" localSheetId="17" hidden="1">0.01</definedName>
    <definedName name="solver_tol" localSheetId="15" hidden="1">0.01</definedName>
    <definedName name="solver_tol" localSheetId="31" hidden="1">0.01</definedName>
    <definedName name="solver_tol" localSheetId="16" hidden="1">0.01</definedName>
    <definedName name="solver_tol" localSheetId="36" hidden="1">0.01</definedName>
    <definedName name="solver_tol" localSheetId="24" hidden="1">0.01</definedName>
    <definedName name="solver_tol" localSheetId="33" hidden="1">0.01</definedName>
    <definedName name="solver_tol" localSheetId="23" hidden="1">0.01</definedName>
    <definedName name="solver_tol" localSheetId="20" hidden="1">0.01</definedName>
    <definedName name="solver_tol" localSheetId="14" hidden="1">0.01</definedName>
    <definedName name="solver_tol" localSheetId="32" hidden="1">0.01</definedName>
    <definedName name="solver_tol" localSheetId="27" hidden="1">0.01</definedName>
    <definedName name="solver_tol" localSheetId="35" hidden="1">0.01</definedName>
    <definedName name="solver_tol" localSheetId="26" hidden="1">0.01</definedName>
    <definedName name="solver_tol" localSheetId="21" hidden="1">0.01</definedName>
    <definedName name="solver_typ" localSheetId="29" hidden="1">1</definedName>
    <definedName name="solver_typ" localSheetId="34" hidden="1">1</definedName>
    <definedName name="solver_typ" localSheetId="30" hidden="1">1</definedName>
    <definedName name="solver_typ" localSheetId="28" hidden="1">1</definedName>
    <definedName name="solver_typ" localSheetId="19" hidden="1">2</definedName>
    <definedName name="solver_typ" localSheetId="18" hidden="1">2</definedName>
    <definedName name="solver_typ" localSheetId="12" hidden="1">1</definedName>
    <definedName name="solver_typ" localSheetId="25" hidden="1">1</definedName>
    <definedName name="solver_typ" localSheetId="13" hidden="1">1</definedName>
    <definedName name="solver_typ" localSheetId="22" hidden="1">2</definedName>
    <definedName name="solver_typ" localSheetId="17" hidden="1">2</definedName>
    <definedName name="solver_typ" localSheetId="15" hidden="1">1</definedName>
    <definedName name="solver_typ" localSheetId="31" hidden="1">2</definedName>
    <definedName name="solver_typ" localSheetId="16" hidden="1">1</definedName>
    <definedName name="solver_typ" localSheetId="36" hidden="1">1</definedName>
    <definedName name="solver_typ" localSheetId="24" hidden="1">2</definedName>
    <definedName name="solver_typ" localSheetId="33" hidden="1">1</definedName>
    <definedName name="solver_typ" localSheetId="23" hidden="1">2</definedName>
    <definedName name="solver_typ" localSheetId="20" hidden="1">1</definedName>
    <definedName name="solver_typ" localSheetId="14" hidden="1">1</definedName>
    <definedName name="solver_typ" localSheetId="32" hidden="1">2</definedName>
    <definedName name="solver_typ" localSheetId="27" hidden="1">1</definedName>
    <definedName name="solver_typ" localSheetId="35" hidden="1">1</definedName>
    <definedName name="solver_typ" localSheetId="26" hidden="1">1</definedName>
    <definedName name="solver_typ" localSheetId="21" hidden="1">2</definedName>
    <definedName name="solver_val" localSheetId="29" hidden="1">0</definedName>
    <definedName name="solver_val" localSheetId="34" hidden="1">0</definedName>
    <definedName name="solver_val" localSheetId="30" hidden="1">0</definedName>
    <definedName name="solver_val" localSheetId="28" hidden="1">0</definedName>
    <definedName name="solver_val" localSheetId="19" hidden="1">0</definedName>
    <definedName name="solver_val" localSheetId="18" hidden="1">0</definedName>
    <definedName name="solver_val" localSheetId="12" hidden="1">0</definedName>
    <definedName name="solver_val" localSheetId="25" hidden="1">0</definedName>
    <definedName name="solver_val" localSheetId="13" hidden="1">0</definedName>
    <definedName name="solver_val" localSheetId="22" hidden="1">0</definedName>
    <definedName name="solver_val" localSheetId="17" hidden="1">0</definedName>
    <definedName name="solver_val" localSheetId="15" hidden="1">0</definedName>
    <definedName name="solver_val" localSheetId="31" hidden="1">0</definedName>
    <definedName name="solver_val" localSheetId="16" hidden="1">0</definedName>
    <definedName name="solver_val" localSheetId="36" hidden="1">0</definedName>
    <definedName name="solver_val" localSheetId="24" hidden="1">0</definedName>
    <definedName name="solver_val" localSheetId="33" hidden="1">0</definedName>
    <definedName name="solver_val" localSheetId="23" hidden="1">0</definedName>
    <definedName name="solver_val" localSheetId="20" hidden="1">0</definedName>
    <definedName name="solver_val" localSheetId="14" hidden="1">0</definedName>
    <definedName name="solver_val" localSheetId="32" hidden="1">0</definedName>
    <definedName name="solver_val" localSheetId="27" hidden="1">0</definedName>
    <definedName name="solver_val" localSheetId="35" hidden="1">0</definedName>
    <definedName name="solver_val" localSheetId="26" hidden="1">0</definedName>
    <definedName name="solver_val" localSheetId="21" hidden="1">0</definedName>
    <definedName name="solver_ver" localSheetId="29" hidden="1">3</definedName>
    <definedName name="solver_ver" localSheetId="34" hidden="1">3</definedName>
    <definedName name="solver_ver" localSheetId="30" hidden="1">3</definedName>
    <definedName name="solver_ver" localSheetId="28" hidden="1">3</definedName>
    <definedName name="solver_ver" localSheetId="19" hidden="1">3</definedName>
    <definedName name="solver_ver" localSheetId="18" hidden="1">3</definedName>
    <definedName name="solver_ver" localSheetId="12" hidden="1">3</definedName>
    <definedName name="solver_ver" localSheetId="25" hidden="1">3</definedName>
    <definedName name="solver_ver" localSheetId="13" hidden="1">3</definedName>
    <definedName name="solver_ver" localSheetId="22" hidden="1">3</definedName>
    <definedName name="solver_ver" localSheetId="17" hidden="1">3</definedName>
    <definedName name="solver_ver" localSheetId="15" hidden="1">3</definedName>
    <definedName name="solver_ver" localSheetId="31" hidden="1">3</definedName>
    <definedName name="solver_ver" localSheetId="16" hidden="1">3</definedName>
    <definedName name="solver_ver" localSheetId="36" hidden="1">3</definedName>
    <definedName name="solver_ver" localSheetId="24" hidden="1">3</definedName>
    <definedName name="solver_ver" localSheetId="33" hidden="1">3</definedName>
    <definedName name="solver_ver" localSheetId="23" hidden="1">3</definedName>
    <definedName name="solver_ver" localSheetId="20" hidden="1">3</definedName>
    <definedName name="solver_ver" localSheetId="14" hidden="1">3</definedName>
    <definedName name="solver_ver" localSheetId="32" hidden="1">3</definedName>
    <definedName name="solver_ver" localSheetId="27" hidden="1">3</definedName>
    <definedName name="solver_ver" localSheetId="35" hidden="1">3</definedName>
    <definedName name="solver_ver" localSheetId="26" hidden="1">3</definedName>
    <definedName name="solver_ver" localSheetId="21"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82" i="45" l="1"/>
  <c r="N81" i="45"/>
  <c r="N80" i="45"/>
  <c r="N79" i="45"/>
  <c r="N78" i="45"/>
  <c r="N77" i="45"/>
  <c r="N76" i="45"/>
  <c r="N75" i="45"/>
  <c r="N74" i="45"/>
  <c r="N73" i="45"/>
  <c r="N72" i="45"/>
  <c r="N71" i="45"/>
  <c r="J83" i="45"/>
  <c r="I83" i="45"/>
  <c r="H83" i="45"/>
  <c r="G83" i="45"/>
  <c r="F83" i="45"/>
  <c r="E83" i="45"/>
  <c r="D83" i="45"/>
  <c r="C83" i="45"/>
  <c r="M82" i="45"/>
  <c r="K82" i="45"/>
  <c r="M81" i="45"/>
  <c r="K81" i="45"/>
  <c r="M80" i="45"/>
  <c r="K80" i="45"/>
  <c r="M79" i="45"/>
  <c r="K79" i="45"/>
  <c r="M78" i="45"/>
  <c r="K78" i="45"/>
  <c r="M77" i="45"/>
  <c r="K77" i="45"/>
  <c r="M76" i="45"/>
  <c r="K76" i="45"/>
  <c r="M75" i="45"/>
  <c r="K75" i="45"/>
  <c r="M74" i="45"/>
  <c r="K74" i="45"/>
  <c r="M73" i="45"/>
  <c r="K73" i="45"/>
  <c r="M72" i="45"/>
  <c r="K72" i="45"/>
  <c r="M71" i="45"/>
  <c r="K71" i="45"/>
  <c r="L34" i="45"/>
  <c r="J34" i="45"/>
  <c r="H34" i="45"/>
  <c r="I34" i="45" s="1"/>
  <c r="G34" i="45"/>
  <c r="F34" i="45"/>
  <c r="E34" i="45"/>
  <c r="D34" i="45"/>
  <c r="L33" i="45"/>
  <c r="H33" i="45"/>
  <c r="I33" i="45" s="1"/>
  <c r="J33" i="45" s="1"/>
  <c r="G33" i="45"/>
  <c r="F33" i="45"/>
  <c r="E33" i="45"/>
  <c r="D33" i="45"/>
  <c r="L32" i="45"/>
  <c r="J32" i="45"/>
  <c r="H32" i="45"/>
  <c r="I32" i="45" s="1"/>
  <c r="G32" i="45"/>
  <c r="F32" i="45"/>
  <c r="F35" i="45" s="1"/>
  <c r="Q28" i="45" s="1"/>
  <c r="E32" i="45"/>
  <c r="E35" i="45" s="1"/>
  <c r="P28" i="45" s="1"/>
  <c r="D32" i="45"/>
  <c r="D35" i="45" s="1"/>
  <c r="L29" i="45"/>
  <c r="H29" i="45"/>
  <c r="I29" i="45" s="1"/>
  <c r="J29" i="45" s="1"/>
  <c r="G29" i="45"/>
  <c r="F29" i="45"/>
  <c r="E29" i="45"/>
  <c r="D29" i="45"/>
  <c r="L28" i="45"/>
  <c r="J28" i="45"/>
  <c r="I28" i="45"/>
  <c r="H28" i="45"/>
  <c r="F28" i="45"/>
  <c r="E28" i="45"/>
  <c r="G28" i="45" s="1"/>
  <c r="D28" i="45"/>
  <c r="L27" i="45"/>
  <c r="I27" i="45"/>
  <c r="J27" i="45" s="1"/>
  <c r="H27" i="45"/>
  <c r="F27" i="45"/>
  <c r="E27" i="45"/>
  <c r="D27" i="45"/>
  <c r="G27" i="45" s="1"/>
  <c r="L26" i="45"/>
  <c r="H26" i="45"/>
  <c r="I26" i="45" s="1"/>
  <c r="J26" i="45" s="1"/>
  <c r="F26" i="45"/>
  <c r="F30" i="45" s="1"/>
  <c r="Q27" i="45" s="1"/>
  <c r="E26" i="45"/>
  <c r="E30" i="45" s="1"/>
  <c r="P27" i="45" s="1"/>
  <c r="D26" i="45"/>
  <c r="D30" i="45" s="1"/>
  <c r="L23" i="45"/>
  <c r="H23" i="45"/>
  <c r="I23" i="45" s="1"/>
  <c r="J23" i="45" s="1"/>
  <c r="F23" i="45"/>
  <c r="E23" i="45"/>
  <c r="D23" i="45"/>
  <c r="G23" i="45" s="1"/>
  <c r="L22" i="45"/>
  <c r="H22" i="45"/>
  <c r="I22" i="45" s="1"/>
  <c r="J22" i="45" s="1"/>
  <c r="F22" i="45"/>
  <c r="E22" i="45"/>
  <c r="D22" i="45"/>
  <c r="G22" i="45" s="1"/>
  <c r="L21" i="45"/>
  <c r="J21" i="45"/>
  <c r="H21" i="45"/>
  <c r="I21" i="45" s="1"/>
  <c r="F21" i="45"/>
  <c r="E21" i="45"/>
  <c r="D21" i="45"/>
  <c r="G21" i="45" s="1"/>
  <c r="L20" i="45"/>
  <c r="H20" i="45"/>
  <c r="I20" i="45" s="1"/>
  <c r="J20" i="45" s="1"/>
  <c r="F20" i="45"/>
  <c r="E20" i="45"/>
  <c r="D20" i="45"/>
  <c r="G20" i="45" s="1"/>
  <c r="L19" i="45"/>
  <c r="J19" i="45"/>
  <c r="E44" i="45" s="1"/>
  <c r="H19" i="45"/>
  <c r="I19" i="45" s="1"/>
  <c r="I38" i="45" s="1"/>
  <c r="F19" i="45"/>
  <c r="F38" i="45" s="1"/>
  <c r="N12" i="45" s="1"/>
  <c r="E19" i="45"/>
  <c r="E38" i="45" s="1"/>
  <c r="N11" i="45" s="1"/>
  <c r="D19" i="45"/>
  <c r="D38" i="45" s="1"/>
  <c r="N18" i="45"/>
  <c r="N17" i="45"/>
  <c r="N16" i="45"/>
  <c r="N15" i="45"/>
  <c r="N14" i="45" s="1"/>
  <c r="E14" i="42"/>
  <c r="D20" i="42" s="1"/>
  <c r="E21" i="41"/>
  <c r="E20" i="41"/>
  <c r="C26" i="41"/>
  <c r="E25" i="40"/>
  <c r="E22" i="40"/>
  <c r="E23" i="40" s="1"/>
  <c r="G26" i="39"/>
  <c r="H22" i="39"/>
  <c r="F30" i="38"/>
  <c r="F29" i="38"/>
  <c r="F23" i="38"/>
  <c r="E23" i="38"/>
  <c r="D23" i="38"/>
  <c r="E10" i="37"/>
  <c r="J14" i="37"/>
  <c r="J15" i="37"/>
  <c r="J16" i="37"/>
  <c r="J17" i="37"/>
  <c r="J18" i="37"/>
  <c r="J19" i="37"/>
  <c r="J20" i="37"/>
  <c r="J13" i="37"/>
  <c r="V12" i="36"/>
  <c r="V13" i="36"/>
  <c r="V14" i="36"/>
  <c r="V11" i="36"/>
  <c r="O18" i="36"/>
  <c r="D29" i="35"/>
  <c r="F24" i="35"/>
  <c r="F23" i="35"/>
  <c r="F22" i="35"/>
  <c r="C32" i="34"/>
  <c r="E26" i="34"/>
  <c r="E27" i="34"/>
  <c r="E25" i="34"/>
  <c r="F26" i="33"/>
  <c r="G17" i="33"/>
  <c r="F18" i="33"/>
  <c r="E18" i="33"/>
  <c r="Q41" i="32"/>
  <c r="P35" i="32"/>
  <c r="Q35" i="32"/>
  <c r="O35" i="32"/>
  <c r="R33" i="32"/>
  <c r="R34" i="32"/>
  <c r="R32" i="32"/>
  <c r="D33" i="32"/>
  <c r="D32" i="32"/>
  <c r="E24" i="32"/>
  <c r="F24" i="32"/>
  <c r="D24" i="32"/>
  <c r="G23" i="32"/>
  <c r="G22" i="32"/>
  <c r="H30" i="31"/>
  <c r="E25" i="31"/>
  <c r="F25" i="31"/>
  <c r="G25" i="31"/>
  <c r="D25" i="31"/>
  <c r="H22" i="31"/>
  <c r="H23" i="31"/>
  <c r="H24" i="31"/>
  <c r="H21" i="31"/>
  <c r="H24" i="30"/>
  <c r="F33" i="30"/>
  <c r="E26" i="30"/>
  <c r="F26" i="30"/>
  <c r="G26" i="30"/>
  <c r="D26" i="30"/>
  <c r="H23" i="30"/>
  <c r="H25" i="30"/>
  <c r="H22" i="30"/>
  <c r="H19" i="29"/>
  <c r="H20" i="29"/>
  <c r="H18" i="29"/>
  <c r="E21" i="29"/>
  <c r="F21" i="29"/>
  <c r="G21" i="29"/>
  <c r="D21" i="29"/>
  <c r="F29" i="29"/>
  <c r="F30" i="28"/>
  <c r="K21" i="28"/>
  <c r="K22" i="28"/>
  <c r="K20" i="28"/>
  <c r="K16" i="28"/>
  <c r="K17" i="28"/>
  <c r="K15" i="28"/>
  <c r="O29" i="27"/>
  <c r="O25" i="27"/>
  <c r="O26" i="27"/>
  <c r="O24" i="27"/>
  <c r="O19" i="27"/>
  <c r="O20" i="27"/>
  <c r="O18" i="27"/>
  <c r="F25" i="27"/>
  <c r="H23" i="27"/>
  <c r="H24" i="27"/>
  <c r="H22" i="27"/>
  <c r="G25" i="27"/>
  <c r="E25" i="27"/>
  <c r="D29" i="27"/>
  <c r="G19" i="26"/>
  <c r="G18" i="26"/>
  <c r="F25" i="26"/>
  <c r="C24" i="24"/>
  <c r="C25" i="24" s="1"/>
  <c r="F26" i="24" s="1"/>
  <c r="C22" i="24"/>
  <c r="C21" i="24"/>
  <c r="S33" i="23"/>
  <c r="S34" i="23"/>
  <c r="S35" i="23"/>
  <c r="S36" i="23"/>
  <c r="S32" i="23"/>
  <c r="S30" i="23"/>
  <c r="S31" i="23"/>
  <c r="S29" i="23"/>
  <c r="D26" i="23"/>
  <c r="J22" i="22"/>
  <c r="F26" i="22"/>
  <c r="F27" i="22"/>
  <c r="F28" i="22"/>
  <c r="F29" i="22"/>
  <c r="F25" i="22"/>
  <c r="F24" i="22"/>
  <c r="H29" i="22"/>
  <c r="H28" i="22"/>
  <c r="H27" i="22"/>
  <c r="H26" i="22"/>
  <c r="H25" i="22"/>
  <c r="J18" i="21"/>
  <c r="H18" i="21"/>
  <c r="H17" i="21"/>
  <c r="J17" i="21"/>
  <c r="H16" i="21"/>
  <c r="H15" i="21"/>
  <c r="J16" i="21"/>
  <c r="C9" i="21"/>
  <c r="I17" i="20"/>
  <c r="F23" i="20"/>
  <c r="F22" i="20"/>
  <c r="F32" i="19"/>
  <c r="G32" i="19" s="1"/>
  <c r="F31" i="19"/>
  <c r="G31" i="19" s="1"/>
  <c r="F28" i="19"/>
  <c r="F27" i="19"/>
  <c r="F26" i="19"/>
  <c r="F25" i="19"/>
  <c r="J17" i="19"/>
  <c r="J15" i="19"/>
  <c r="E14" i="18"/>
  <c r="E15" i="18"/>
  <c r="E13" i="18"/>
  <c r="E12" i="18"/>
  <c r="C7" i="18"/>
  <c r="D18" i="17"/>
  <c r="F22" i="17"/>
  <c r="F23" i="17"/>
  <c r="F24" i="17"/>
  <c r="F21" i="17"/>
  <c r="O20" i="16"/>
  <c r="O21" i="16"/>
  <c r="O22" i="16"/>
  <c r="Y15" i="16"/>
  <c r="Z15" i="16"/>
  <c r="X15" i="16"/>
  <c r="Y14" i="16"/>
  <c r="Z14" i="16"/>
  <c r="X14" i="16"/>
  <c r="Y13" i="16"/>
  <c r="Y20" i="16" s="1"/>
  <c r="Z13" i="16"/>
  <c r="Z20" i="16" s="1"/>
  <c r="X13" i="16"/>
  <c r="X20" i="16" s="1"/>
  <c r="AA20" i="16" s="1"/>
  <c r="Y12" i="16"/>
  <c r="Z12" i="16"/>
  <c r="X12" i="16"/>
  <c r="Y11" i="16"/>
  <c r="Z11" i="16"/>
  <c r="X11" i="16"/>
  <c r="Y10" i="16"/>
  <c r="Z10" i="16"/>
  <c r="X10" i="16"/>
  <c r="Y9" i="16"/>
  <c r="Z9" i="16"/>
  <c r="Z19" i="16" s="1"/>
  <c r="X9" i="16"/>
  <c r="Y8" i="16"/>
  <c r="Z8" i="16"/>
  <c r="X8" i="16"/>
  <c r="Y7" i="16"/>
  <c r="Z7" i="16"/>
  <c r="X7" i="16"/>
  <c r="Y6" i="16"/>
  <c r="Z6" i="16"/>
  <c r="X6" i="16"/>
  <c r="Y5" i="16"/>
  <c r="Z5" i="16"/>
  <c r="X5" i="16"/>
  <c r="Y4" i="16"/>
  <c r="Z4" i="16"/>
  <c r="X4" i="16"/>
  <c r="U4" i="16"/>
  <c r="V4" i="16" s="1"/>
  <c r="U5" i="16"/>
  <c r="V5" i="16" s="1"/>
  <c r="U6" i="16"/>
  <c r="V6" i="16" s="1"/>
  <c r="U7" i="16"/>
  <c r="V7" i="16" s="1"/>
  <c r="U8" i="16"/>
  <c r="V8" i="16" s="1"/>
  <c r="U9" i="16"/>
  <c r="V9" i="16" s="1"/>
  <c r="U10" i="16"/>
  <c r="V10" i="16" s="1"/>
  <c r="U11" i="16"/>
  <c r="V11" i="16" s="1"/>
  <c r="U12" i="16"/>
  <c r="V12" i="16" s="1"/>
  <c r="U13" i="16"/>
  <c r="V13" i="16" s="1"/>
  <c r="U14" i="16"/>
  <c r="V14" i="16" s="1"/>
  <c r="U15" i="16"/>
  <c r="V15" i="16" s="1"/>
  <c r="G30" i="28"/>
  <c r="K22" i="37"/>
  <c r="F32" i="24"/>
  <c r="F10" i="37"/>
  <c r="F24" i="20"/>
  <c r="J23" i="22"/>
  <c r="R18" i="27"/>
  <c r="F23" i="40"/>
  <c r="H26" i="30"/>
  <c r="G20" i="35"/>
  <c r="G26" i="33"/>
  <c r="I22" i="27"/>
  <c r="H26" i="39"/>
  <c r="R26" i="27"/>
  <c r="N20" i="28"/>
  <c r="E32" i="32"/>
  <c r="F25" i="40"/>
  <c r="S37" i="23"/>
  <c r="H24" i="32"/>
  <c r="I22" i="17"/>
  <c r="G27" i="38"/>
  <c r="L25" i="24"/>
  <c r="E26" i="23"/>
  <c r="I23" i="39"/>
  <c r="D32" i="34"/>
  <c r="E29" i="35"/>
  <c r="D24" i="38"/>
  <c r="D7" i="18"/>
  <c r="I21" i="17"/>
  <c r="H15" i="33"/>
  <c r="H25" i="26"/>
  <c r="D21" i="24"/>
  <c r="H25" i="31"/>
  <c r="H19" i="33"/>
  <c r="W15" i="36"/>
  <c r="Q18" i="36"/>
  <c r="G33" i="30"/>
  <c r="D22" i="24"/>
  <c r="AA4" i="16"/>
  <c r="R20" i="27"/>
  <c r="I24" i="17"/>
  <c r="E34" i="32"/>
  <c r="R19" i="27"/>
  <c r="K20" i="19"/>
  <c r="I23" i="17"/>
  <c r="N21" i="28"/>
  <c r="I21" i="30"/>
  <c r="E29" i="27"/>
  <c r="F24" i="38"/>
  <c r="L24" i="24"/>
  <c r="L28" i="24"/>
  <c r="N15" i="28"/>
  <c r="I23" i="27"/>
  <c r="J23" i="38"/>
  <c r="F22" i="40"/>
  <c r="E26" i="27"/>
  <c r="K17" i="19"/>
  <c r="J17" i="20"/>
  <c r="R24" i="27"/>
  <c r="N22" i="28"/>
  <c r="L27" i="24"/>
  <c r="D9" i="21"/>
  <c r="R41" i="32"/>
  <c r="F28" i="40"/>
  <c r="S27" i="23"/>
  <c r="R25" i="27"/>
  <c r="E24" i="38"/>
  <c r="K18" i="19"/>
  <c r="I24" i="27"/>
  <c r="S35" i="32"/>
  <c r="S31" i="32"/>
  <c r="H20" i="31"/>
  <c r="L26" i="24"/>
  <c r="E33" i="32"/>
  <c r="N16" i="28"/>
  <c r="N17" i="28"/>
  <c r="H20" i="26"/>
  <c r="H19" i="32"/>
  <c r="P29" i="27"/>
  <c r="F23" i="34"/>
  <c r="I30" i="31"/>
  <c r="G30" i="45" l="1"/>
  <c r="O27" i="45"/>
  <c r="G35" i="45"/>
  <c r="O28" i="45"/>
  <c r="G38" i="45"/>
  <c r="N13" i="45" s="1"/>
  <c r="N10" i="45"/>
  <c r="G44" i="45"/>
  <c r="F44" i="45"/>
  <c r="E24" i="45"/>
  <c r="P26" i="45" s="1"/>
  <c r="G19" i="45"/>
  <c r="F24" i="45"/>
  <c r="Q26" i="45" s="1"/>
  <c r="D24" i="45"/>
  <c r="G26" i="45"/>
  <c r="D25" i="42"/>
  <c r="E28" i="40"/>
  <c r="I23" i="38"/>
  <c r="D34" i="32"/>
  <c r="F25" i="24"/>
  <c r="D25" i="24"/>
  <c r="C26" i="24"/>
  <c r="D24" i="24"/>
  <c r="J18" i="19"/>
  <c r="J20" i="19" s="1"/>
  <c r="Z21" i="16"/>
  <c r="Y21" i="16"/>
  <c r="X19" i="16"/>
  <c r="AA19" i="16" s="1"/>
  <c r="Y19" i="16"/>
  <c r="X21" i="16"/>
  <c r="Z16" i="16"/>
  <c r="Y16" i="16"/>
  <c r="X18" i="16"/>
  <c r="Z18" i="16"/>
  <c r="Y18" i="16"/>
  <c r="R20" i="16"/>
  <c r="S20" i="16"/>
  <c r="T20" i="16"/>
  <c r="O26" i="45" l="1"/>
  <c r="G24" i="45"/>
  <c r="N20" i="45"/>
  <c r="D26" i="24"/>
  <c r="C27" i="24"/>
  <c r="AA18" i="16"/>
  <c r="F28" i="24" l="1"/>
  <c r="F27" i="24"/>
  <c r="D27" i="24"/>
  <c r="C28" i="24"/>
  <c r="P5" i="15"/>
  <c r="R5" i="15" s="1"/>
  <c r="T5" i="15"/>
  <c r="R4" i="15"/>
  <c r="V4" i="15" s="1"/>
  <c r="D25" i="14"/>
  <c r="D26" i="14"/>
  <c r="D27" i="14"/>
  <c r="D28" i="14"/>
  <c r="D29" i="14"/>
  <c r="D30" i="14"/>
  <c r="D31" i="14"/>
  <c r="D32" i="14"/>
  <c r="D33" i="14"/>
  <c r="D34" i="14"/>
  <c r="D35" i="14"/>
  <c r="D36" i="14"/>
  <c r="D37" i="14"/>
  <c r="D38" i="14"/>
  <c r="D39" i="14"/>
  <c r="D40" i="14"/>
  <c r="D41" i="14"/>
  <c r="D42" i="14"/>
  <c r="D24" i="14"/>
  <c r="D43" i="14" s="1"/>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40" i="14"/>
  <c r="F40" i="14" s="1"/>
  <c r="E41" i="14"/>
  <c r="F41" i="14" s="1"/>
  <c r="E42" i="14"/>
  <c r="F42" i="14" s="1"/>
  <c r="E43" i="14"/>
  <c r="E44" i="14"/>
  <c r="E45" i="14"/>
  <c r="E46" i="14"/>
  <c r="E47" i="14"/>
  <c r="E48" i="14"/>
  <c r="E49" i="14"/>
  <c r="E50" i="14"/>
  <c r="E51" i="14"/>
  <c r="E52" i="14"/>
  <c r="E53" i="14"/>
  <c r="E24" i="14"/>
  <c r="F24" i="14" s="1"/>
  <c r="E25" i="14"/>
  <c r="F25" i="14" s="1"/>
  <c r="E26" i="14"/>
  <c r="F26" i="14" s="1"/>
  <c r="E27" i="14"/>
  <c r="F27" i="14" s="1"/>
  <c r="E28" i="14"/>
  <c r="F28" i="14" s="1"/>
  <c r="E29" i="14"/>
  <c r="F29" i="14" s="1"/>
  <c r="E30" i="14"/>
  <c r="F30" i="14" s="1"/>
  <c r="E31" i="14"/>
  <c r="F31" i="14" s="1"/>
  <c r="E32" i="14"/>
  <c r="F32" i="14" s="1"/>
  <c r="E33" i="14"/>
  <c r="F33" i="14" s="1"/>
  <c r="E34" i="14"/>
  <c r="F34" i="14" s="1"/>
  <c r="E35" i="14"/>
  <c r="F35" i="14" s="1"/>
  <c r="E36" i="14"/>
  <c r="F36" i="14" s="1"/>
  <c r="E37" i="14"/>
  <c r="F37" i="14" s="1"/>
  <c r="E38" i="14"/>
  <c r="F38" i="14" s="1"/>
  <c r="E39" i="14"/>
  <c r="F39" i="14" s="1"/>
  <c r="E23" i="14"/>
  <c r="F23" i="14" s="1"/>
  <c r="T5" i="13"/>
  <c r="T6" i="13" s="1"/>
  <c r="T7" i="13" s="1"/>
  <c r="T8" i="13" s="1"/>
  <c r="T9" i="13" s="1"/>
  <c r="T10" i="13" s="1"/>
  <c r="T11" i="13" s="1"/>
  <c r="T12" i="13" s="1"/>
  <c r="T13" i="13" s="1"/>
  <c r="T14" i="13" s="1"/>
  <c r="T15" i="13" s="1"/>
  <c r="T16" i="13" s="1"/>
  <c r="T17" i="13" s="1"/>
  <c r="T18" i="13" s="1"/>
  <c r="T19" i="13" s="1"/>
  <c r="T20" i="13" s="1"/>
  <c r="T21" i="13" s="1"/>
  <c r="T22" i="13" s="1"/>
  <c r="T23" i="13" s="1"/>
  <c r="T4" i="13"/>
  <c r="F23" i="12"/>
  <c r="H23" i="12" s="1"/>
  <c r="E23" i="12"/>
  <c r="G23" i="12" s="1"/>
  <c r="G24" i="12" s="1"/>
  <c r="F19" i="12"/>
  <c r="H19" i="12" s="1"/>
  <c r="F20" i="12"/>
  <c r="H20" i="12" s="1"/>
  <c r="F21" i="12"/>
  <c r="H21" i="12" s="1"/>
  <c r="F22" i="12"/>
  <c r="H22" i="12" s="1"/>
  <c r="F18" i="12"/>
  <c r="H18" i="12" s="1"/>
  <c r="H24" i="12" s="1"/>
  <c r="E19" i="12"/>
  <c r="G19" i="12" s="1"/>
  <c r="E20" i="12"/>
  <c r="G20" i="12" s="1"/>
  <c r="E21" i="12"/>
  <c r="G21" i="12" s="1"/>
  <c r="E22" i="12"/>
  <c r="G22" i="12" s="1"/>
  <c r="E18" i="12"/>
  <c r="G18" i="12" s="1"/>
  <c r="I23" i="11"/>
  <c r="M23" i="11" s="1"/>
  <c r="M35" i="11" s="1"/>
  <c r="E42" i="11"/>
  <c r="E43" i="11" s="1"/>
  <c r="M29" i="11"/>
  <c r="M32" i="11"/>
  <c r="M33" i="11"/>
  <c r="L24" i="11"/>
  <c r="L28" i="11"/>
  <c r="L32" i="11"/>
  <c r="K30" i="11"/>
  <c r="K31" i="11"/>
  <c r="I24" i="11"/>
  <c r="M24" i="11" s="1"/>
  <c r="I25" i="11"/>
  <c r="M25" i="11" s="1"/>
  <c r="I26" i="11"/>
  <c r="M26" i="11" s="1"/>
  <c r="I27" i="11"/>
  <c r="M27" i="11" s="1"/>
  <c r="I28" i="11"/>
  <c r="M28" i="11" s="1"/>
  <c r="I29" i="11"/>
  <c r="I30" i="11"/>
  <c r="M30" i="11" s="1"/>
  <c r="I31" i="11"/>
  <c r="M31" i="11" s="1"/>
  <c r="I32" i="11"/>
  <c r="I33" i="11"/>
  <c r="I34" i="11"/>
  <c r="M34" i="11" s="1"/>
  <c r="H24" i="11"/>
  <c r="H25" i="11"/>
  <c r="L25" i="11" s="1"/>
  <c r="H26" i="11"/>
  <c r="L26" i="11" s="1"/>
  <c r="H27" i="11"/>
  <c r="L27" i="11" s="1"/>
  <c r="H28" i="11"/>
  <c r="H29" i="11"/>
  <c r="L29" i="11" s="1"/>
  <c r="H30" i="11"/>
  <c r="L30" i="11" s="1"/>
  <c r="H31" i="11"/>
  <c r="L31" i="11" s="1"/>
  <c r="H32" i="11"/>
  <c r="H33" i="11"/>
  <c r="L33" i="11" s="1"/>
  <c r="H34" i="11"/>
  <c r="L34" i="11" s="1"/>
  <c r="H23" i="11"/>
  <c r="L23" i="11" s="1"/>
  <c r="L35" i="11" s="1"/>
  <c r="G24" i="11"/>
  <c r="K24" i="11" s="1"/>
  <c r="G25" i="11"/>
  <c r="K25" i="11" s="1"/>
  <c r="G26" i="11"/>
  <c r="K26" i="11" s="1"/>
  <c r="G27" i="11"/>
  <c r="K27" i="11" s="1"/>
  <c r="G28" i="11"/>
  <c r="K28" i="11" s="1"/>
  <c r="G29" i="11"/>
  <c r="K29" i="11" s="1"/>
  <c r="G30" i="11"/>
  <c r="G31" i="11"/>
  <c r="G32" i="11"/>
  <c r="K32" i="11" s="1"/>
  <c r="G33" i="11"/>
  <c r="K33" i="11" s="1"/>
  <c r="G34" i="11"/>
  <c r="K34" i="11" s="1"/>
  <c r="G23" i="11"/>
  <c r="K23" i="11" s="1"/>
  <c r="K35" i="11" s="1"/>
  <c r="G16" i="10"/>
  <c r="C14" i="10" s="1"/>
  <c r="G13" i="10"/>
  <c r="C22" i="9"/>
  <c r="C25" i="9" s="1"/>
  <c r="P10" i="8" a="1"/>
  <c r="P10" i="8" s="1"/>
  <c r="P9" i="8"/>
  <c r="P6" i="8"/>
  <c r="P12" i="8" s="1"/>
  <c r="P5" i="8"/>
  <c r="P11" i="8" s="1"/>
  <c r="M19" i="4"/>
  <c r="M20" i="4" s="1"/>
  <c r="M21" i="4" s="1"/>
  <c r="M13" i="4"/>
  <c r="I7" i="2"/>
  <c r="J7" i="2"/>
  <c r="J8" i="2" s="1"/>
  <c r="J9" i="2" s="1"/>
  <c r="J10" i="2" s="1"/>
  <c r="J11" i="2" s="1"/>
  <c r="J12" i="2" s="1"/>
  <c r="K7" i="2"/>
  <c r="K8" i="2" s="1"/>
  <c r="K9" i="2" s="1"/>
  <c r="K10" i="2" s="1"/>
  <c r="K11" i="2" s="1"/>
  <c r="K12" i="2" s="1"/>
  <c r="M18" i="1"/>
  <c r="M16" i="1"/>
  <c r="M15" i="1"/>
  <c r="M19" i="1" s="1"/>
  <c r="M20" i="1" s="1"/>
  <c r="Q14" i="8"/>
  <c r="F43" i="11"/>
  <c r="N18" i="1"/>
  <c r="Q6" i="8"/>
  <c r="U7" i="13"/>
  <c r="U19" i="13"/>
  <c r="U13" i="13"/>
  <c r="F45" i="11"/>
  <c r="F47" i="11"/>
  <c r="N12" i="15"/>
  <c r="U16" i="13"/>
  <c r="Q9" i="8"/>
  <c r="F42" i="11"/>
  <c r="N15" i="1"/>
  <c r="N25" i="8"/>
  <c r="U21" i="13"/>
  <c r="O6" i="10"/>
  <c r="P12" i="13"/>
  <c r="F46" i="11"/>
  <c r="S6" i="10"/>
  <c r="Q13" i="8"/>
  <c r="Q5" i="8"/>
  <c r="U8" i="13"/>
  <c r="N19" i="1"/>
  <c r="U15" i="13"/>
  <c r="Q10" i="8"/>
  <c r="Q12" i="8"/>
  <c r="U14" i="13"/>
  <c r="P14" i="13"/>
  <c r="K42" i="11"/>
  <c r="N16" i="1"/>
  <c r="U6" i="13"/>
  <c r="O16" i="9"/>
  <c r="U11" i="13"/>
  <c r="D25" i="9"/>
  <c r="U22" i="13"/>
  <c r="Q11" i="8"/>
  <c r="U5" i="13"/>
  <c r="U17" i="13"/>
  <c r="M15" i="15"/>
  <c r="N8" i="2"/>
  <c r="D22" i="9"/>
  <c r="D12" i="9"/>
  <c r="U12" i="13"/>
  <c r="U20" i="13"/>
  <c r="U23" i="13"/>
  <c r="U18" i="13"/>
  <c r="U10" i="13"/>
  <c r="U9" i="13"/>
  <c r="D20" i="10"/>
  <c r="D28" i="24" l="1"/>
  <c r="D29" i="24" s="1"/>
  <c r="E32" i="24" s="1"/>
  <c r="F29" i="24"/>
  <c r="X16" i="16"/>
  <c r="AA16" i="16"/>
  <c r="U4" i="15"/>
  <c r="W4" i="15" s="1"/>
  <c r="X4" i="15" s="1"/>
  <c r="P6" i="15"/>
  <c r="P7" i="15" s="1"/>
  <c r="R7" i="15" s="1"/>
  <c r="V5" i="15"/>
  <c r="U5" i="15"/>
  <c r="F43" i="14"/>
  <c r="E46" i="11"/>
  <c r="E45" i="11"/>
  <c r="C20" i="10"/>
  <c r="C23" i="10" s="1"/>
  <c r="C12" i="9"/>
  <c r="C26" i="9" s="1"/>
  <c r="J15" i="9" s="1"/>
  <c r="P13" i="8"/>
  <c r="P14" i="8" s="1"/>
  <c r="D24" i="8" s="1"/>
  <c r="L7" i="2"/>
  <c r="I8" i="2"/>
  <c r="I9" i="2" s="1"/>
  <c r="I10" i="2" s="1"/>
  <c r="I11" i="2" s="1"/>
  <c r="I12" i="2" s="1"/>
  <c r="M22" i="4"/>
  <c r="M23" i="4" s="1"/>
  <c r="P8" i="4" s="1"/>
  <c r="M11" i="2"/>
  <c r="M12" i="2"/>
  <c r="M7" i="2"/>
  <c r="M10" i="2"/>
  <c r="M9" i="2"/>
  <c r="M8" i="2"/>
  <c r="W5" i="15" l="1"/>
  <c r="X5" i="15" s="1"/>
  <c r="P8" i="15"/>
  <c r="R8" i="15" s="1"/>
  <c r="V8" i="15" s="1"/>
  <c r="R6" i="15"/>
  <c r="U6" i="15" s="1"/>
  <c r="V7" i="15"/>
  <c r="U7" i="15"/>
  <c r="O12" i="13"/>
  <c r="O14" i="13" s="1"/>
  <c r="E47" i="11"/>
  <c r="L19" i="10"/>
  <c r="R5" i="10"/>
  <c r="N5" i="10"/>
  <c r="L8" i="2"/>
  <c r="L9" i="2"/>
  <c r="M12" i="15" l="1"/>
  <c r="V6" i="15"/>
  <c r="W6" i="15" s="1"/>
  <c r="X6" i="15" s="1"/>
  <c r="U8" i="15"/>
  <c r="W8" i="15" s="1"/>
  <c r="X8" i="15" s="1"/>
  <c r="W7" i="15"/>
  <c r="X7" i="15" s="1"/>
  <c r="J40" i="11"/>
  <c r="N38" i="11"/>
  <c r="L10" i="2"/>
  <c r="M14" i="15" l="1"/>
  <c r="X9" i="15"/>
  <c r="M4" i="15" s="1"/>
  <c r="M5" i="15" s="1"/>
  <c r="L11" i="2"/>
  <c r="L1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8" authorId="0" shapeId="0" xr:uid="{5B6562B2-B1C5-4088-B9F0-79F11A29F90F}">
      <text>
        <r>
          <rPr>
            <b/>
            <sz val="9"/>
            <color indexed="81"/>
            <rFont val="Tahoma"/>
            <family val="2"/>
          </rPr>
          <t xml:space="preserve">Based on Adjusted ROI; not based on % partnership
</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<sst xmlns="http://schemas.openxmlformats.org/spreadsheetml/2006/main" count="1039" uniqueCount="551">
  <si>
    <t xml:space="preserve">
Randy is a t-shirt vendor who plans to order t-shirts with the names of the NCAA final four teams from a manufacturer and then sell them to fans. 
The fixed cost of any order is $750 (no matter how many shirts he orders). The variable cost per T-shirt to Randy is $8, and Randy’s selling price is $18. 
However, this price will be charged only until a week after the tournament. After that time, Randy figures that the interest in the t-shirts will be low, so he plans to sell all remaining t-shirts, if any, at $6 each.  
His best guess is that the demand for the t-shirts during the full price period will be 1500.  He is thinking about ordering 1450 t-shirts, but he wants to build a spreadsheet model that will let him experiment with the uncertain demand and his order quantity.  How should he proceed?
Build a spreadsheet to model the scenario.</t>
  </si>
  <si>
    <t>прибуток</t>
  </si>
  <si>
    <t>кампанія прямої поштової розсилки</t>
  </si>
  <si>
    <t>% відповідей</t>
  </si>
  <si>
    <t>Randy’s full selling price</t>
  </si>
  <si>
    <t xml:space="preserve"> Fixed cost of any order</t>
  </si>
  <si>
    <t>Cost per T-shirt to Randy</t>
  </si>
  <si>
    <t>Ordered  t-shirts</t>
  </si>
  <si>
    <t>Demand</t>
  </si>
  <si>
    <t>Number sold at full price</t>
  </si>
  <si>
    <t>Number sold at a reduced price</t>
  </si>
  <si>
    <t>Randy’s selling reduced price</t>
  </si>
  <si>
    <t>Total cost</t>
  </si>
  <si>
    <t>Total revenue</t>
  </si>
  <si>
    <t>Profit</t>
  </si>
  <si>
    <r>
      <rPr>
        <b/>
        <sz val="11"/>
        <color theme="1"/>
        <rFont val="Calibri"/>
        <family val="2"/>
        <charset val="204"/>
        <scheme val="minor"/>
      </rPr>
      <t>Woodworks Bookshelf Co.</t>
    </r>
    <r>
      <rPr>
        <sz val="11"/>
        <color theme="1"/>
        <rFont val="Calibri"/>
        <family val="2"/>
        <scheme val="minor"/>
      </rPr>
      <t xml:space="preserve">
The Woodworks Company produces a variety of custom-designed wood furniture, made from either cherry or oak. The company knows that wood prices and labor costs are likely to increase in the future. The table below shows the number of board-feet and labor hours required for a bookshelf, the current costs per board-foot and labor hour, and the anticipated annual increases in these costs.
Build a spreadsheet model that enables the company to experiment with the growth rates in wood and labor costs so that a manager can see, both numerically and graphically, how the costs of bookshelves vary in the next few years.</t>
    </r>
  </si>
  <si>
    <t>Resource</t>
  </si>
  <si>
    <t>Cherry</t>
  </si>
  <si>
    <t>Oak</t>
  </si>
  <si>
    <t>Labor</t>
  </si>
  <si>
    <t>Required per Bookshelf</t>
  </si>
  <si>
    <t>Current Unit Cost</t>
  </si>
  <si>
    <t>Anticipated Annual Cost Increase</t>
  </si>
  <si>
    <t>year</t>
  </si>
  <si>
    <t>total cost, cherry</t>
  </si>
  <si>
    <t>total cost, oak</t>
  </si>
  <si>
    <t>For what response rate does the company break even?</t>
  </si>
  <si>
    <r>
      <rPr>
        <b/>
        <sz val="11"/>
        <color theme="1"/>
        <rFont val="Calibri"/>
        <family val="2"/>
        <charset val="204"/>
        <scheme val="minor"/>
      </rPr>
      <t>B&amp;N Bookstore</t>
    </r>
    <r>
      <rPr>
        <sz val="11"/>
        <color theme="1"/>
        <rFont val="Calibri"/>
        <family val="2"/>
        <scheme val="minor"/>
      </rPr>
      <t xml:space="preserve">
Scenario
B&amp;N Bookstore, with many locations across the United States, places orders for all the latest books and then distributes them to its individual bookstores.  B&amp;N needs a model to help it order the appropriate number of any title.  For example, B&amp;N plans to order a popular new hardback novel, which it will sell for $30.  It can purchase any number of this book from the publisher, but due to quantity discounts, the unit cost for all books it orders depends on the number ordered.  Specifically, if the number ordered is less than 1000, the unit cost is $24.  After each 1000, the unit costs drops: to $23 for at least 1000 copies; to $22.25 for at least 2000; to $21.75 for at least 3000; and to $21.30 (the lowest possible unit cost) for at least 4000.  B&amp;N is very uncertain about the demand for this book – it estimates that demand could be anywhere from 500 to 4500.  Also, as with most hardback novels, this one will eventually come out in paperback.  Therefore, if B&amp;N has any hardbacks left when the paperback comes out, it will put them on sale for $10, at which price it believes all the leftovers will be sold. 
How many copies of this hardback novel should B&amp;N order from the publisher?</t>
    </r>
  </si>
  <si>
    <t>4000+</t>
  </si>
  <si>
    <t>at least</t>
  </si>
  <si>
    <t>ordered</t>
  </si>
  <si>
    <t>unit cost</t>
  </si>
  <si>
    <t>demand</t>
  </si>
  <si>
    <r>
      <rPr>
        <b/>
        <sz val="11"/>
        <color theme="1"/>
        <rFont val="Calibri"/>
        <family val="2"/>
        <charset val="204"/>
        <scheme val="minor"/>
      </rPr>
      <t>Quality Sweater Company</t>
    </r>
    <r>
      <rPr>
        <sz val="11"/>
        <color theme="1"/>
        <rFont val="Calibri"/>
        <family val="2"/>
        <scheme val="minor"/>
      </rPr>
      <t xml:space="preserve">
The Quality Sweater Company sells hand-knitted sweaters.  The company is planning to print a catalog of its products and undertake a direct mail campaign.  The cost of printing the catalog is $20,000 plus $.10 per catalog.  The cost of mailing each catalog (including postage, order forms, and buying names from a mail-order database) is $0.15. In addition, the company plans to include direct reply envelopes in its mailing and incurs a $.20 in extra costs for each direct mail envelope used by a respondent.  The average size of a customer order is $40, and the company’s variable cost per order (primarily due to labor and material costs) averages about 80% of the order’s value – that is $32.  The company plans to mail 100,000 catalogs.  It wants to develop a spreadsheet model to answer the following questions:
How does a change in the response rate affect profit?
For what response rate does the company break even?
If the company estimates a response rate of 3%, should it proceed with the mailing?
How does the presence of uncertainty affect the usefulness of the model?  </t>
    </r>
  </si>
  <si>
    <t>full sale price</t>
  </si>
  <si>
    <t>discounted sale price</t>
  </si>
  <si>
    <t>sold at full price</t>
  </si>
  <si>
    <t>sold at a reduced price</t>
  </si>
  <si>
    <t>0-999</t>
  </si>
  <si>
    <t>1000-1999</t>
  </si>
  <si>
    <t>2000-2999</t>
  </si>
  <si>
    <t>3000-3999</t>
  </si>
  <si>
    <t xml:space="preserve">total cost </t>
  </si>
  <si>
    <t>total sum sold</t>
  </si>
  <si>
    <t>profit</t>
  </si>
  <si>
    <t>or</t>
  </si>
  <si>
    <t>(500-2000)</t>
  </si>
  <si>
    <r>
      <rPr>
        <b/>
        <sz val="11"/>
        <color theme="1"/>
        <rFont val="Calibri"/>
        <family val="2"/>
        <charset val="204"/>
        <scheme val="minor"/>
      </rPr>
      <t>Copy Shop</t>
    </r>
    <r>
      <rPr>
        <sz val="11"/>
        <color theme="1"/>
        <rFont val="Calibri"/>
        <family val="2"/>
        <scheme val="minor"/>
      </rPr>
      <t xml:space="preserve">
You are thinking of opening a small copy shop. It costs $5000 to rent a copier for a year, and it costs $0.03 per copy to operate the copier. Other fixed costs of running the store will amount to $400 per month. You plan to charge an average of $.10 per copy and the store will be open 365 days per year. Each copier can make up to 100,000 copies per year. You expect that the demand could be anywhere from 500 to 2000 copies per day.</t>
    </r>
  </si>
  <si>
    <t>Copier rental</t>
  </si>
  <si>
    <t>per year</t>
  </si>
  <si>
    <t xml:space="preserve">To operate </t>
  </si>
  <si>
    <t>per copy</t>
  </si>
  <si>
    <t>Fixed costs</t>
  </si>
  <si>
    <t>per month</t>
  </si>
  <si>
    <t>cost of copy</t>
  </si>
  <si>
    <t>working days</t>
  </si>
  <si>
    <t>max copies 1 copier</t>
  </si>
  <si>
    <t>number of copiers</t>
  </si>
  <si>
    <t>Copies made per year</t>
  </si>
  <si>
    <t>Total annual revenue:</t>
  </si>
  <si>
    <t>Total costs:</t>
  </si>
  <si>
    <t>Profit:</t>
  </si>
  <si>
    <t>Break-even point:</t>
  </si>
  <si>
    <t xml:space="preserve"> Cost of printing the catalog</t>
  </si>
  <si>
    <t>Cost of mailing each catalog</t>
  </si>
  <si>
    <t>Envelope cost</t>
  </si>
  <si>
    <t>Cost of printing per catalog</t>
  </si>
  <si>
    <t>Numbers of catalogs</t>
  </si>
  <si>
    <t>Total cost of the mailing campaign</t>
  </si>
  <si>
    <t>Customer order size</t>
  </si>
  <si>
    <t>Variable costs per order</t>
  </si>
  <si>
    <t>Response rate</t>
  </si>
  <si>
    <t>Number of answers</t>
  </si>
  <si>
    <t>Total cost of orders</t>
  </si>
  <si>
    <t>Variable costs for ordered products</t>
  </si>
  <si>
    <t>Total expenses</t>
  </si>
  <si>
    <t>Costs:</t>
  </si>
  <si>
    <t>tour costs</t>
  </si>
  <si>
    <t>rent</t>
  </si>
  <si>
    <t>per show</t>
  </si>
  <si>
    <t>Income:</t>
  </si>
  <si>
    <t>tickets</t>
  </si>
  <si>
    <t>concession</t>
  </si>
  <si>
    <t>full seats</t>
  </si>
  <si>
    <t>seats</t>
  </si>
  <si>
    <t>concerts</t>
  </si>
  <si>
    <t>per week</t>
  </si>
  <si>
    <t>weeks</t>
  </si>
  <si>
    <t>total costs:</t>
  </si>
  <si>
    <t>total income:</t>
  </si>
  <si>
    <t>profit:</t>
  </si>
  <si>
    <r>
      <rPr>
        <b/>
        <sz val="11"/>
        <color theme="1"/>
        <rFont val="Calibri"/>
        <family val="2"/>
        <charset val="204"/>
        <scheme val="minor"/>
      </rPr>
      <t>Manage a band The Screamin' Blue Jays</t>
    </r>
    <r>
      <rPr>
        <sz val="11"/>
        <color theme="1"/>
        <rFont val="Calibri"/>
        <family val="2"/>
        <scheme val="minor"/>
      </rPr>
      <t xml:space="preserve">
You are going to manage a band, The Screamin' Blue Jays, which will go on tour across the United States. The tour costs $5.5 million to fund and develop. There will be 5 concerts per week and you project the band to be on the road for 30 weeks. The average cost to rent different venues on tour is $1000 per show. Tickets will sell at $50 each. You also earn an average of $1.50 profit per ticket from concession sales. Each venue has a maximum capacity of 800 seats and you expect 80% of the seats to be full.</t>
    </r>
  </si>
  <si>
    <t>prediction</t>
  </si>
  <si>
    <t>seats sold (%)</t>
  </si>
  <si>
    <t xml:space="preserve"> seats sold</t>
  </si>
  <si>
    <t>Months</t>
  </si>
  <si>
    <t>Price</t>
  </si>
  <si>
    <t>Demand (00s)</t>
  </si>
  <si>
    <t>Intercept (b):</t>
  </si>
  <si>
    <t>Slope (m):</t>
  </si>
  <si>
    <t>Constant a:</t>
  </si>
  <si>
    <t>Exponent b:</t>
  </si>
  <si>
    <t>Power: y=ax^b</t>
  </si>
  <si>
    <t>Exponential: y=ae^(bx)</t>
  </si>
  <si>
    <t>Predictions Based on Models</t>
  </si>
  <si>
    <t>Price (x)</t>
  </si>
  <si>
    <t>Linear</t>
  </si>
  <si>
    <t>Power</t>
  </si>
  <si>
    <t>Exponential</t>
  </si>
  <si>
    <t>Linear: y=mx+b</t>
  </si>
  <si>
    <t>Absolute percent error</t>
  </si>
  <si>
    <t>&lt;-- use the model with the smallest error</t>
  </si>
  <si>
    <t>Unit cost:</t>
  </si>
  <si>
    <t>Model the bussiness:</t>
  </si>
  <si>
    <t>Sales price:</t>
  </si>
  <si>
    <t>&lt;-- multiple of 10</t>
  </si>
  <si>
    <t>Demand (00s):</t>
  </si>
  <si>
    <t>Actual demand:</t>
  </si>
  <si>
    <t>Cost:</t>
  </si>
  <si>
    <t>Revenue:</t>
  </si>
  <si>
    <t>&lt;--max profit</t>
  </si>
  <si>
    <t>optimal price --&gt;</t>
  </si>
  <si>
    <t>price</t>
  </si>
  <si>
    <t>Unit cost</t>
  </si>
  <si>
    <t>&lt;-- per set of clubs</t>
  </si>
  <si>
    <r>
      <rPr>
        <b/>
        <sz val="11"/>
        <color theme="1"/>
        <rFont val="Calibri"/>
        <family val="2"/>
        <charset val="204"/>
        <scheme val="minor"/>
      </rPr>
      <t xml:space="preserve">The 19th Hole
</t>
    </r>
    <r>
      <rPr>
        <sz val="11"/>
        <color theme="1"/>
        <rFont val="Calibri"/>
        <family val="2"/>
        <charset val="204"/>
        <scheme val="minor"/>
      </rPr>
      <t>The 19th Hole sells golf clubs at its golf outlet stores throughout the US.  The company knows that the demand for its club varies considerably with price.  In the last year, the demand at each price level was recorded in the table below.
The company wants to estimate the relationship between demand and price and then use this estimated relationship to answer the following questions: 
1. Assuming the unit cost of producing a set of clubs is $250, and the price must be a multiple of $10, what price should the company charge to maximize its profit?
2. How does the optimal price depend on the unit cost of producing a set of clubs?
3. Is the model an accurate representation of reality?</t>
    </r>
  </si>
  <si>
    <t>Year</t>
  </si>
  <si>
    <t>Revenue (millions of USD)</t>
  </si>
  <si>
    <t>№</t>
  </si>
  <si>
    <t>Error</t>
  </si>
  <si>
    <t>Forecast</t>
  </si>
  <si>
    <t>Exp.model y=ae^(bx)</t>
  </si>
  <si>
    <t>a:</t>
  </si>
  <si>
    <t>b:</t>
  </si>
  <si>
    <t>Power model y=ax^b</t>
  </si>
  <si>
    <r>
      <rPr>
        <b/>
        <sz val="11"/>
        <color theme="1"/>
        <rFont val="Calibri"/>
        <family val="2"/>
        <charset val="204"/>
        <scheme val="minor"/>
      </rPr>
      <t>Peloton</t>
    </r>
    <r>
      <rPr>
        <sz val="11"/>
        <color theme="1"/>
        <rFont val="Calibri"/>
        <family val="2"/>
        <scheme val="minor"/>
      </rPr>
      <t xml:space="preserve">
The table below lists the annual revenue (in millions of US dollars) for the exercise bicycle manufacturer Peloton for the years 2017 through 2021. 
Create a new column called Year Number. 2017 should go with Year Number 1, 2018 should go with Year Number 2, and so on. Create a scatter plot of the annual revenue. The Year Number data should go with the xxx-axis and the Revenue data should go with the yyy-axis. Make sure that your chart has an accurate title and axis labels.
Fit a power function and an exponential function to these data. Display the equations for the two trendlines on the chart.
Find the revenue predicted by the exponential model.
Find the revenue predicted by the power function model.
Find the absolute percent error for the exponential model prediction.
Find the mean absolute percent error for the exponential model.
Based on the mean absolute percentage error (MAPE), which trendline fits the data better?
</t>
    </r>
  </si>
  <si>
    <r>
      <rPr>
        <b/>
        <sz val="11"/>
        <color theme="1"/>
        <rFont val="Calibri"/>
        <family val="2"/>
        <charset val="204"/>
        <scheme val="minor"/>
      </rPr>
      <t>Gopher Drugs</t>
    </r>
    <r>
      <rPr>
        <sz val="11"/>
        <color theme="1"/>
        <rFont val="Calibri"/>
        <family val="2"/>
        <scheme val="minor"/>
      </rPr>
      <t xml:space="preserve">
A large drug company, Gopher Drugs, is deciding whether one of its new drugs, Iguazu, is worth pursuing.  Iguazu is in the final stages of development and will be ready to enter the market one year from now.  The final cost of development, to be incurred at the beginning of year 1, is $9.3M.  The company estimates that the demand for Iguazu will gradually grow and then decline over its useful lifetime of 20 years.  Specifically the company expects its gross margins (revenue minus cost) to be $1.2M in year 1, then to increase at an annual rate of 10% through year 8, and finally to decrease at an annual rate of 5% through year 20.  Gopher Drugs wants to develop a spreadsheet model of its 20-year cash flows, assuming its cash flows, other than the initial development cost, are incurred at the end of the respective years.  Using an annual discount rate of 12% for purposes of calculating net present value (NPV), the drug company wants to answer the following questions: 
Is the drug worth pursuing, or should Gopher Drugs abandon it now and not incur the $9.3M development cost?
How do changes in the model change the answer to the prior question?</t>
    </r>
  </si>
  <si>
    <t>millions</t>
  </si>
  <si>
    <t>Development cost:</t>
  </si>
  <si>
    <t>years</t>
  </si>
  <si>
    <t>Lifetime:</t>
  </si>
  <si>
    <t>Margin (1 year):</t>
  </si>
  <si>
    <t>Annual increase:</t>
  </si>
  <si>
    <t>Years of increase:</t>
  </si>
  <si>
    <t>Annual decrease:</t>
  </si>
  <si>
    <t>Discount rate:</t>
  </si>
  <si>
    <t>Cash Flows:</t>
  </si>
  <si>
    <t>Margin</t>
  </si>
  <si>
    <t>NPV (net present value):</t>
  </si>
  <si>
    <t>Net present Value:</t>
  </si>
  <si>
    <t>Average of Seasonally Adjusted Sales</t>
  </si>
  <si>
    <t>%</t>
  </si>
  <si>
    <t>variable</t>
  </si>
  <si>
    <t>&lt;--Using your exponential model, predict Total Adjusted Sales for 2022.</t>
  </si>
  <si>
    <t>&lt;--Using your exponential model, predict Total Adjusted Sales for 2047.</t>
  </si>
  <si>
    <r>
      <t xml:space="preserve">Microsoft
</t>
    </r>
    <r>
      <rPr>
        <sz val="11"/>
        <color theme="1"/>
        <rFont val="Calibri"/>
        <family val="2"/>
        <charset val="204"/>
        <scheme val="minor"/>
      </rPr>
      <t xml:space="preserve">The attached file Microsoft_Sales.xlsx gives the annual sales for Microsoft (in millions of dollars) for the years 1992 through 2011. The data is also given in the table below.
Model Set-Up
The years in the table are high numbers, which means if we try to graph and create a model for this data as is, it will be complicated. To make things easier, we will work with year numbers instead, calling 1992 "year 1," 1993 "year 2," and so on. Add a third column to the table for Year Number. 1992 should go with 1 in the Year Number column, 1993 should go with 2, and so on. 
Create a scatter plot of the Total Adjusted Sales. The Year Number data should go with the xxx-axis and the Total Adjusted Sales data should go with the yyy-axis. Make sure that your chart has an accurate title and axis labels.
Fit an exponential curve to these data. Display the equation for the trendline on the chart.
Create a new column that shows the percent growth starting from 1993. As a reminder, percent growth is determined by (new sales - prior sales)/ prior sales.  Format your answer as a percentage with one decimal. 
</t>
    </r>
    <r>
      <rPr>
        <b/>
        <sz val="11"/>
        <color theme="1"/>
        <rFont val="Calibri"/>
        <family val="2"/>
        <charset val="204"/>
        <scheme val="minor"/>
      </rPr>
      <t xml:space="preserve">
</t>
    </r>
    <r>
      <rPr>
        <sz val="11"/>
        <color theme="9" tint="-0.249977111117893"/>
        <rFont val="Calibri"/>
        <family val="2"/>
        <charset val="204"/>
        <scheme val="minor"/>
      </rPr>
      <t>What is the average percent growth of the company since 1992?</t>
    </r>
    <r>
      <rPr>
        <b/>
        <sz val="11"/>
        <color theme="1"/>
        <rFont val="Calibri"/>
        <family val="2"/>
        <charset val="204"/>
        <scheme val="minor"/>
      </rPr>
      <t xml:space="preserve">
</t>
    </r>
    <r>
      <rPr>
        <sz val="11"/>
        <color theme="4" tint="-0.249977111117893"/>
        <rFont val="Calibri"/>
        <family val="2"/>
        <charset val="204"/>
        <scheme val="minor"/>
      </rPr>
      <t>Compute the mean absolute percentage error (MAPE) for the exponential curve.</t>
    </r>
    <r>
      <rPr>
        <sz val="11"/>
        <color theme="1"/>
        <rFont val="Calibri"/>
        <family val="2"/>
        <charset val="204"/>
        <scheme val="minor"/>
      </rPr>
      <t xml:space="preserve">
</t>
    </r>
    <r>
      <rPr>
        <sz val="11"/>
        <color theme="5" tint="-0.249977111117893"/>
        <rFont val="Calibri"/>
        <family val="2"/>
        <charset val="204"/>
        <scheme val="minor"/>
      </rPr>
      <t>Using your exponential model, predict Total Adjusted Sales for 2022.</t>
    </r>
    <r>
      <rPr>
        <sz val="11"/>
        <color theme="1"/>
        <rFont val="Calibri"/>
        <family val="2"/>
        <charset val="204"/>
        <scheme val="minor"/>
      </rPr>
      <t xml:space="preserve">
Round your answer to the nearest million dollars. (Recall that the numbers in the spreadsheet are in millions of dollars.)</t>
    </r>
    <r>
      <rPr>
        <b/>
        <sz val="11"/>
        <color theme="1"/>
        <rFont val="Calibri"/>
        <family val="2"/>
        <charset val="204"/>
        <scheme val="minor"/>
      </rPr>
      <t xml:space="preserve">
</t>
    </r>
    <r>
      <rPr>
        <sz val="11"/>
        <color rgb="FF7030A0"/>
        <rFont val="Calibri"/>
        <family val="2"/>
        <charset val="204"/>
        <scheme val="minor"/>
      </rPr>
      <t>Using your exponential model, predict Total Adjusted Sales for 2047.</t>
    </r>
    <r>
      <rPr>
        <sz val="11"/>
        <color theme="1"/>
        <rFont val="Calibri"/>
        <family val="2"/>
        <charset val="204"/>
        <scheme val="minor"/>
      </rPr>
      <t xml:space="preserve">
</t>
    </r>
  </si>
  <si>
    <t>Developnet costs:</t>
  </si>
  <si>
    <t>Years:</t>
  </si>
  <si>
    <t>Sell(kits):</t>
  </si>
  <si>
    <t>Unit price:</t>
  </si>
  <si>
    <t>g, %</t>
  </si>
  <si>
    <t>total:</t>
  </si>
  <si>
    <t>Revenue</t>
  </si>
  <si>
    <t>fix, %</t>
  </si>
  <si>
    <t>fix, $</t>
  </si>
  <si>
    <t>total profit:</t>
  </si>
  <si>
    <t>NPV:</t>
  </si>
  <si>
    <t>&lt;--annual percentage growth rate g is needed to pay back the plant cost by the end of year 5</t>
  </si>
  <si>
    <t>Financial Estimates for Potential Projects (in $millions)</t>
  </si>
  <si>
    <t>Project Index</t>
  </si>
  <si>
    <t>Functional Area (FA)</t>
  </si>
  <si>
    <t>Partnership Percentage</t>
  </si>
  <si>
    <t>Capex Year 1</t>
  </si>
  <si>
    <t>Capex Year 2</t>
  </si>
  <si>
    <t>Capex Year 3</t>
  </si>
  <si>
    <t>NPV</t>
  </si>
  <si>
    <t>FA1</t>
  </si>
  <si>
    <t>FA2</t>
  </si>
  <si>
    <t>FA3</t>
  </si>
  <si>
    <t>Rate discount:</t>
  </si>
  <si>
    <t>year 1</t>
  </si>
  <si>
    <t>year 2</t>
  </si>
  <si>
    <t>year 3</t>
  </si>
  <si>
    <t>ROI</t>
  </si>
  <si>
    <t>average</t>
  </si>
  <si>
    <t>min</t>
  </si>
  <si>
    <t>max</t>
  </si>
  <si>
    <r>
      <rPr>
        <b/>
        <sz val="11"/>
        <color theme="1"/>
        <rFont val="Calibri"/>
        <family val="2"/>
        <charset val="204"/>
        <scheme val="minor"/>
      </rPr>
      <t>Bluejay Natural Gas</t>
    </r>
    <r>
      <rPr>
        <sz val="11"/>
        <color theme="1"/>
        <rFont val="Calibri"/>
        <family val="2"/>
        <scheme val="minor"/>
      </rPr>
      <t xml:space="preserve"> is a large energy company based out of Baltimore, MD. The company offers a wide range of energy products and has annual revenues of approximately $50 billion. Because of the diverse nature of the company, its Manager for Project Development, Julie Kavoli, is under continual pressure to manage project proposals from the functional areas of the company. At any point in time, there might be dozens of projects at various stages requiring a wide variety of capital expenditures, promising widely varying future revenue streams, and containing varying degrees of risk. Julie has a difficult balancing act. The company's CEO, Cordelia Kareeni, is very concerned about keeping capital expenditures within a fixed budget and managing risk. The heads of the company's functional areas are less worried about budgets and risks; they are most concerned that their pet projects are approved. Julie also knows that many of the proposed projects, especially those requiring large capital expenditures, must be led by senior project managers with the appropriate experience and skills, and she is keenly aware that the company has only a limited supply of such managers. 
Julie is currently preparing to meet with all parties involved to discuss project proposals for the next three years. She has proposals from the various functional areas for projects they would like to undertake. Each of these is accompanied by a schedule of capital expenditures over the next three years and a financial analysis of the expected revenue streams. These lead to a net present value (NPV) for each proposal, using the company's discount rate of 12%.
Several of the projects, if approved, must be undertaken in joint partnership with another company. For example, if project 3 is approved, Bluejay Natural Gas will take a 50% share in the project, and the other 50% will be shared by a partner.  In this case, Bluejay Natural Gas will only incur 50% of the expenditures and receive only 50% of the revenues.  
The table of financial estimates for potential projects (in millions of dollars) is contained in the attached Excel file.
Cordelia has stated in no uncertain terms that the total of capital expenditures for the approved projects can be no more than $10 billion and that no more than $4 billion should be spent in any single year. Unfortunately, the capital expenditures for the potential list of projects is well over $10 billion, so Julie knows that not all of these promising projects will be approved.
Note to user: This project is cumulative and uses all of the skills of the course so far! Read the questions multiple time to understand what is being asked. Do your best to model the project. Upon completion, the a solution spreadsheet will be provided. If you are stuck on a particular part, that is ok. Review the solution and any prior modules if needed to understand the solution. 
 - The model should list the given financial information for all potential parties.
 - The model should associate with each proposed project a cell that is 1 if the project is approved, 0 if not approved. 
   For now, you can insert 0 or 1s randomly. Try to manually find a solution of projects to assign where all conditions are satisfied. Later    in the final project we will optimize this. 
 - Each functional area wants as many of its projects to be approved as possible, but it certainly does not want to be shut out altogether. The model should indicate each of the following: the number of approved projects for each function area and whether each function area gets at least one approved project.  The latter should be indicated by a 0/1 value: 0 if the function area is shut out, 1 if it gets at least one project approved. 
 - The model should find the sum of capital expenditures for all approved projects, both by year and by the total over all three years.  It should address Cordelia's concerns by indicating whether the total for all three years exceeds $10 billion and, for each year, whether that year's total expenditures exceed $4 billion.  As in the previous direction, these should be indicated by 0/1 values.  
 - The model should find the sum of capital expenditures for all approved projects, by year, for each functional area.
 - Recognizing that the NPVs in the attached spreadsheet are probably optimistic estimates, the model should include another input, the possible percentage decrease in each original NPV.  Then there should be a new NPV column that reflects this percentage decrease. 
 - The model should list the ROI (Return on investment) for each project, defined as the NPV as a percentage of the total capital expenditure for the project. Each ROI should be based on the adjusted NPV from the previous direction.  The ROI for any project is the same, regardless of whether Bluejay undertakes it at the 100% level or in a partnership.
- The model should include a one-way data table in which the column input is the common percentage decrease in each NPV mentioned previously, varied from 0% to 30% in increments of 5%.  The outputs in the data table should be the ROIs of undertaken projects: the average; the minimum; and the maximum.  Of course, the results in this data table should update automatically if the 0/1 values in the second bullet are changed.  
 - The model should be accompanied by a line chart of total capital expenditures for all approved projects by year and a separate such line chart for each functional area.</t>
    </r>
  </si>
  <si>
    <t>NPV decrease</t>
  </si>
  <si>
    <t>AgreeOfProject</t>
  </si>
  <si>
    <t>Sum Capex:</t>
  </si>
  <si>
    <t>&lt;--total of capital expenditures for the approved projects can be no more than $10 billion</t>
  </si>
  <si>
    <t xml:space="preserve"> no more than $4 billion should be spent in any single year  &lt;--</t>
  </si>
  <si>
    <r>
      <rPr>
        <b/>
        <sz val="11"/>
        <color theme="1"/>
        <rFont val="Calibri"/>
        <family val="2"/>
        <charset val="204"/>
        <scheme val="minor"/>
      </rPr>
      <t>Toy Company</t>
    </r>
    <r>
      <rPr>
        <sz val="11"/>
        <color theme="1"/>
        <rFont val="Calibri"/>
        <family val="2"/>
        <scheme val="minor"/>
      </rPr>
      <t xml:space="preserve">
In the second part of the quiz, you will create a model for a possible new business.
Scenario
You are the product manager of a toy company thinking of launching a new product, the indoor fort building kit. Your critics say these are just overpriced cardboard boxes, but you know this product will be successful and you seek out initial investors.
At the start of year 1 (right now), you will incur a cost of $4 million to build and staff a production factory. In year 1, you expect to sell 80,000 kits at a unit price of $25 each. The price of $25 will remain unchanged through years 1 to 5. Unit sales are expected to grow by the same percentage (g) each year. During years 1 to 5, you incur two types of costs: variable costs and fixed SG&amp;A (selling, general, and administrative) costs. Each year, variable costs equal half of revenue. During year 1, SG&amp;A costs equal 40% of revenue. This percentage is assumed to drop 2% per year, so during year 2, SG&amp;A costs will equal 38% of revenue, and so on.
Your goal is to pay back the $4M investment by the end of year 5.
Model Set-Up
Build a spreadsheet with a table to model the revenue, costs, and profit for years 1 through 5.
Be sure to include a cell for the unknown yearly growth rate g. Color code this cell and set it to any number you’d like for now.
Consider the sum of the profits for years 1 through 5, ignoring the time value of money. 
What annual percentage growth rate g is needed to pay back the plant cost by the end of year 5?
Now, use a discount rate of 5% to compute the net present value (NPV) of the cash flows for years 1 through 5, assuming the cash inflows will occur at the end of each year.
Taking the time value of money into consideration, what annual percentage growth rate g is needed to pay back the plant cost by the end of year 5?</t>
    </r>
  </si>
  <si>
    <t>radio ads</t>
  </si>
  <si>
    <t>TV ads</t>
  </si>
  <si>
    <t>People reached:</t>
  </si>
  <si>
    <t>reaches an estimated:</t>
  </si>
  <si>
    <t>budget</t>
  </si>
  <si>
    <t>&lt;=</t>
  </si>
  <si>
    <t>at least 10 radio ads</t>
  </si>
  <si>
    <t>at least 10 TV ads</t>
  </si>
  <si>
    <t>R&gt;=T</t>
  </si>
  <si>
    <t>&gt;=</t>
  </si>
  <si>
    <t>condition</t>
  </si>
  <si>
    <t>Variables:</t>
  </si>
  <si>
    <t>x</t>
  </si>
  <si>
    <t xml:space="preserve">y </t>
  </si>
  <si>
    <t>Profir per unit:</t>
  </si>
  <si>
    <t>LHS</t>
  </si>
  <si>
    <t>Sign</t>
  </si>
  <si>
    <t>RHS</t>
  </si>
  <si>
    <t>2X + Y</t>
  </si>
  <si>
    <t>2X + 3Y</t>
  </si>
  <si>
    <t>X</t>
  </si>
  <si>
    <t>Y</t>
  </si>
  <si>
    <t>Basic</t>
  </si>
  <si>
    <t>XP</t>
  </si>
  <si>
    <t>basic</t>
  </si>
  <si>
    <t>xp</t>
  </si>
  <si>
    <t>sign</t>
  </si>
  <si>
    <t>revenue:</t>
  </si>
  <si>
    <t>costs:</t>
  </si>
  <si>
    <t xml:space="preserve">Сost of component parts </t>
  </si>
  <si>
    <t>assembling</t>
  </si>
  <si>
    <t>testing</t>
  </si>
  <si>
    <t>hour</t>
  </si>
  <si>
    <t>Summary sentence:</t>
  </si>
  <si>
    <t>Total cost of component :</t>
  </si>
  <si>
    <t>Total cost of label:</t>
  </si>
  <si>
    <t>assembly hours:</t>
  </si>
  <si>
    <t>testing hours:</t>
  </si>
  <si>
    <t>Produce 560 Basic computers, 1200 XP computers for max net profit of 199 600$</t>
  </si>
  <si>
    <t>Labor_assem (hours):</t>
  </si>
  <si>
    <t>Labor_testing (hours):</t>
  </si>
  <si>
    <t xml:space="preserve">&lt;= </t>
  </si>
  <si>
    <t>Benches</t>
  </si>
  <si>
    <t>Tables</t>
  </si>
  <si>
    <t>Number of:</t>
  </si>
  <si>
    <t>Profit of 1 item:</t>
  </si>
  <si>
    <t>Total max profit:</t>
  </si>
  <si>
    <t>labor hours for 1 item:</t>
  </si>
  <si>
    <t>Board feet of teak:</t>
  </si>
  <si>
    <t xml:space="preserve">L.A. Municipal Bond                   </t>
  </si>
  <si>
    <t xml:space="preserve">Thompson Electronics, Inc.       </t>
  </si>
  <si>
    <t xml:space="preserve">United Aerospace Corp.            </t>
  </si>
  <si>
    <t xml:space="preserve">Palmer Technologies                 </t>
  </si>
  <si>
    <t xml:space="preserve">HDN Stock (high risk)                 </t>
  </si>
  <si>
    <t>X1</t>
  </si>
  <si>
    <t>X2</t>
  </si>
  <si>
    <t>X3</t>
  </si>
  <si>
    <t>X4</t>
  </si>
  <si>
    <t>X5</t>
  </si>
  <si>
    <t>tech</t>
  </si>
  <si>
    <t>Return:</t>
  </si>
  <si>
    <t>Constraints:</t>
  </si>
  <si>
    <t>Constraints</t>
  </si>
  <si>
    <t>tech 40%</t>
  </si>
  <si>
    <t>high risk 50% of munic</t>
  </si>
  <si>
    <t>municipal 20%</t>
  </si>
  <si>
    <t>Diet Requirement (Ingredients)</t>
  </si>
  <si>
    <t>Oat Product (units/lb)</t>
  </si>
  <si>
    <t>Enriched Grain (units/lb)</t>
  </si>
  <si>
    <t>Mineral Product (units/lb)</t>
  </si>
  <si>
    <t>Minimum Daily Requirement (units)</t>
  </si>
  <si>
    <t>A</t>
  </si>
  <si>
    <t>B</t>
  </si>
  <si>
    <t>C</t>
  </si>
  <si>
    <t>D</t>
  </si>
  <si>
    <t>E</t>
  </si>
  <si>
    <t>Cost/lb</t>
  </si>
  <si>
    <t>Total of Feed</t>
  </si>
  <si>
    <t>O</t>
  </si>
  <si>
    <t>M</t>
  </si>
  <si>
    <t>&lt;--What mix of food should the stable owner give each horse daily?</t>
  </si>
  <si>
    <t>Oat Product</t>
  </si>
  <si>
    <t>Enriched Grain</t>
  </si>
  <si>
    <t>Mineral Product</t>
  </si>
  <si>
    <t>&lt;--Minimum daily feed costs</t>
  </si>
  <si>
    <t>Summary:</t>
  </si>
  <si>
    <t>Summary:   The maximum profit during the next production cycle is</t>
  </si>
  <si>
    <t>Every day, the stable owner must give each horse at least the amount of feed 0,5625 $ (0,25 Oat product, 4,5 Enriched grain)</t>
  </si>
  <si>
    <t>Sector</t>
  </si>
  <si>
    <t>Distance to Kyoko HS (in Sector B)</t>
  </si>
  <si>
    <t>Distance to Devon HS (in Sector C)</t>
  </si>
  <si>
    <t>Distance to Manny HS (in Sector E)</t>
  </si>
  <si>
    <t>Number of Students</t>
  </si>
  <si>
    <t>AB</t>
  </si>
  <si>
    <t>AC</t>
  </si>
  <si>
    <t>AE</t>
  </si>
  <si>
    <t>BB</t>
  </si>
  <si>
    <t>BC</t>
  </si>
  <si>
    <t>BE</t>
  </si>
  <si>
    <t>CB</t>
  </si>
  <si>
    <t>CC</t>
  </si>
  <si>
    <t>CE</t>
  </si>
  <si>
    <t>DB</t>
  </si>
  <si>
    <t>DC</t>
  </si>
  <si>
    <t>DE</t>
  </si>
  <si>
    <t>EB</t>
  </si>
  <si>
    <t>EC</t>
  </si>
  <si>
    <t>EE</t>
  </si>
  <si>
    <t>Student bus miles:</t>
  </si>
  <si>
    <t>&lt;--miles traveled</t>
  </si>
  <si>
    <t>900 in B</t>
  </si>
  <si>
    <t>900 in C</t>
  </si>
  <si>
    <t>900 in E</t>
  </si>
  <si>
    <t>700 in A</t>
  </si>
  <si>
    <t>500 in B</t>
  </si>
  <si>
    <t>100 in C</t>
  </si>
  <si>
    <t>800 in D</t>
  </si>
  <si>
    <t>400 in E</t>
  </si>
  <si>
    <t>=</t>
  </si>
  <si>
    <t>Y1H</t>
  </si>
  <si>
    <t>Y1F</t>
  </si>
  <si>
    <t>Y2H</t>
  </si>
  <si>
    <t>Y2F</t>
  </si>
  <si>
    <t>Y3H</t>
  </si>
  <si>
    <t>Y3F</t>
  </si>
  <si>
    <t>Y4H</t>
  </si>
  <si>
    <t>Y4F</t>
  </si>
  <si>
    <t>Y5H</t>
  </si>
  <si>
    <t>Y5F</t>
  </si>
  <si>
    <t>costs of hired:</t>
  </si>
  <si>
    <t>costs of fired:</t>
  </si>
  <si>
    <t>salary:</t>
  </si>
  <si>
    <t>&lt;--Y - hiring; F - fired; 1,2,3,4,5 - years</t>
  </si>
  <si>
    <t>machine time</t>
  </si>
  <si>
    <t>The maximum possible weekly profit under these conditions is $200.</t>
  </si>
  <si>
    <t>Soccer ball</t>
  </si>
  <si>
    <t>Basketball</t>
  </si>
  <si>
    <t>worker`s time</t>
  </si>
  <si>
    <t>Total profit:</t>
  </si>
  <si>
    <t>&lt;--decision variables</t>
  </si>
  <si>
    <t>Des Moines</t>
  </si>
  <si>
    <t>Eyanston</t>
  </si>
  <si>
    <t>Ft Lauderdale</t>
  </si>
  <si>
    <t>Albany</t>
  </si>
  <si>
    <t>Boston</t>
  </si>
  <si>
    <t>Cleveland</t>
  </si>
  <si>
    <t>Sources</t>
  </si>
  <si>
    <t>Data table:</t>
  </si>
  <si>
    <t>Destinations</t>
  </si>
  <si>
    <t>Output:</t>
  </si>
  <si>
    <t>Demand:</t>
  </si>
  <si>
    <t>Shipment table:</t>
  </si>
  <si>
    <t>Origin/Factories</t>
  </si>
  <si>
    <t>Destinations/Stores</t>
  </si>
  <si>
    <t>Unit costs</t>
  </si>
  <si>
    <t>Shipments</t>
  </si>
  <si>
    <t>Supply constraints:</t>
  </si>
  <si>
    <t>Factories:</t>
  </si>
  <si>
    <t>Outflow</t>
  </si>
  <si>
    <t>Capacity</t>
  </si>
  <si>
    <t>Demand constraints:</t>
  </si>
  <si>
    <t>Stores:</t>
  </si>
  <si>
    <t>Inflow</t>
  </si>
  <si>
    <t>example 1</t>
  </si>
  <si>
    <t>example 2</t>
  </si>
  <si>
    <t>Plant 1</t>
  </si>
  <si>
    <t>Plant 2</t>
  </si>
  <si>
    <t>Plant 3</t>
  </si>
  <si>
    <t>OUT</t>
  </si>
  <si>
    <t>SHIP</t>
  </si>
  <si>
    <t>Project A</t>
  </si>
  <si>
    <t>Project B</t>
  </si>
  <si>
    <t>Project C</t>
  </si>
  <si>
    <t>$10</t>
  </si>
  <si>
    <t>$4</t>
  </si>
  <si>
    <t>$9</t>
  </si>
  <si>
    <t>$12</t>
  </si>
  <si>
    <t>$6</t>
  </si>
  <si>
    <t>$8</t>
  </si>
  <si>
    <t>$5</t>
  </si>
  <si>
    <t>Requirements</t>
  </si>
  <si>
    <t>Omaha</t>
  </si>
  <si>
    <t>Miami</t>
  </si>
  <si>
    <t>Dallas</t>
  </si>
  <si>
    <t>New York</t>
  </si>
  <si>
    <t>Jones</t>
  </si>
  <si>
    <t>Smith</t>
  </si>
  <si>
    <t>Wilson</t>
  </si>
  <si>
    <t>Minimuml total cost:</t>
  </si>
  <si>
    <t>Minimum total cost:</t>
  </si>
  <si>
    <t>total</t>
  </si>
  <si>
    <t>Each candidate gets assigned an office</t>
  </si>
  <si>
    <t>Relocation costs:</t>
  </si>
  <si>
    <t>Kansas City</t>
  </si>
  <si>
    <t>Chicago</t>
  </si>
  <si>
    <t>Detroit</t>
  </si>
  <si>
    <t>Toronto</t>
  </si>
  <si>
    <t>Seattle</t>
  </si>
  <si>
    <t>Arlington</t>
  </si>
  <si>
    <t>Oakland</t>
  </si>
  <si>
    <t>Baltimore</t>
  </si>
  <si>
    <t>Total cost of travel</t>
  </si>
  <si>
    <t>Statistics</t>
  </si>
  <si>
    <t>Management</t>
  </si>
  <si>
    <t>Finance</t>
  </si>
  <si>
    <t>Economics</t>
  </si>
  <si>
    <t>Bain</t>
  </si>
  <si>
    <t>Carey</t>
  </si>
  <si>
    <t>Dio</t>
  </si>
  <si>
    <t>Powell</t>
  </si>
  <si>
    <t>Maximum the overall teaching rating</t>
  </si>
  <si>
    <t>factory 1</t>
  </si>
  <si>
    <t>factory 2</t>
  </si>
  <si>
    <t>Store A</t>
  </si>
  <si>
    <t>Store B</t>
  </si>
  <si>
    <t>Store C</t>
  </si>
  <si>
    <t xml:space="preserve"> costs 1:</t>
  </si>
  <si>
    <t>costs 2:</t>
  </si>
  <si>
    <t>The manufacturing costs factory 1</t>
  </si>
  <si>
    <t>The manufacturing costs factory 2</t>
  </si>
  <si>
    <t>Minimum total costs:</t>
  </si>
  <si>
    <t>Closing Plant</t>
  </si>
  <si>
    <t>No. of Workers to Transfer</t>
  </si>
  <si>
    <t>Total</t>
  </si>
  <si>
    <t>Open Plant</t>
  </si>
  <si>
    <t>No. of Open Positions</t>
  </si>
  <si>
    <t>To:</t>
  </si>
  <si>
    <t>From:</t>
  </si>
  <si>
    <t>MAXIMUM PRODUCTION OUTPUT:</t>
  </si>
  <si>
    <t>other</t>
  </si>
  <si>
    <t>prime</t>
  </si>
  <si>
    <t xml:space="preserve">people </t>
  </si>
  <si>
    <t>The most people are reached</t>
  </si>
  <si>
    <t>Bean</t>
  </si>
  <si>
    <t>Units per 20 lb bag</t>
  </si>
  <si>
    <t>Units per lb</t>
  </si>
  <si>
    <t>Amount available (lbs)</t>
  </si>
  <si>
    <t>0.5</t>
  </si>
  <si>
    <t>0.4</t>
  </si>
  <si>
    <t>0.1</t>
  </si>
  <si>
    <t>N of 20 lb bags</t>
  </si>
  <si>
    <t>lbs</t>
  </si>
  <si>
    <t>big</t>
  </si>
  <si>
    <t>small</t>
  </si>
  <si>
    <t>N of big</t>
  </si>
  <si>
    <t>N of small</t>
  </si>
  <si>
    <t>hours of work</t>
  </si>
  <si>
    <t>Name</t>
  </si>
  <si>
    <t>Expected Annual Return ($1000)</t>
  </si>
  <si>
    <t>Cost for Block of Shares ($1000)</t>
  </si>
  <si>
    <t>Trans-Texas Oil</t>
  </si>
  <si>
    <t>British Petroleum (BP)</t>
  </si>
  <si>
    <t>Dutch Shell</t>
  </si>
  <si>
    <t>Houston Drilling</t>
  </si>
  <si>
    <t>Texas Petroleum</t>
  </si>
  <si>
    <t>San Diego Oil</t>
  </si>
  <si>
    <t>California Petro.</t>
  </si>
  <si>
    <t>X6</t>
  </si>
  <si>
    <t>X7</t>
  </si>
  <si>
    <t>Texas --&gt;</t>
  </si>
  <si>
    <t>CA</t>
  </si>
  <si>
    <t>No more than one companies outside of the US</t>
  </si>
  <si>
    <t>One of two California</t>
  </si>
  <si>
    <t xml:space="preserve">At least 2 Texas </t>
  </si>
  <si>
    <t>Max profit:</t>
  </si>
  <si>
    <t>(000 s)</t>
  </si>
  <si>
    <t>Tower Location</t>
  </si>
  <si>
    <t>Areas Served</t>
  </si>
  <si>
    <t>L1</t>
  </si>
  <si>
    <t>A, C, D</t>
  </si>
  <si>
    <t>L2</t>
  </si>
  <si>
    <t>B, D, G</t>
  </si>
  <si>
    <t>L3</t>
  </si>
  <si>
    <t>B, C, E, F</t>
  </si>
  <si>
    <t>L4</t>
  </si>
  <si>
    <t>E, F, H</t>
  </si>
  <si>
    <t>L5</t>
  </si>
  <si>
    <t>D, G, H</t>
  </si>
  <si>
    <t>L6</t>
  </si>
  <si>
    <t>A, D, F</t>
  </si>
  <si>
    <t>F</t>
  </si>
  <si>
    <t>G</t>
  </si>
  <si>
    <t>H</t>
  </si>
  <si>
    <t>Min towers:</t>
  </si>
  <si>
    <t>x^2</t>
  </si>
  <si>
    <t>xy</t>
  </si>
  <si>
    <t>y^2</t>
  </si>
  <si>
    <t>formulas:</t>
  </si>
  <si>
    <t>vars:</t>
  </si>
  <si>
    <t>answer:</t>
  </si>
  <si>
    <t>all invest</t>
  </si>
  <si>
    <t>return 9%</t>
  </si>
  <si>
    <t>XJ6</t>
  </si>
  <si>
    <t>XJ8</t>
  </si>
  <si>
    <t>PROFIT:</t>
  </si>
  <si>
    <t>fix:</t>
  </si>
  <si>
    <t>variable:</t>
  </si>
  <si>
    <t>price:</t>
  </si>
  <si>
    <t>geometry</t>
  </si>
  <si>
    <t>calculus</t>
  </si>
  <si>
    <t>Coinstrains:</t>
  </si>
  <si>
    <t xml:space="preserve">assembly time </t>
  </si>
  <si>
    <t>proofing time</t>
  </si>
  <si>
    <t>fixed:</t>
  </si>
  <si>
    <t>Bluejay Natural Gas Financials (in millions)</t>
  </si>
  <si>
    <t>Given:</t>
  </si>
  <si>
    <t>Functional Area</t>
  </si>
  <si>
    <t>Partnership %</t>
  </si>
  <si>
    <t>Inputs</t>
  </si>
  <si>
    <t>FA 1</t>
  </si>
  <si>
    <t>Annual Revenue (millions)</t>
  </si>
  <si>
    <t>Expenditure (millions)</t>
  </si>
  <si>
    <t>Yearly Cap (millions)</t>
  </si>
  <si>
    <t>NPV Discount Rate % decrease:</t>
  </si>
  <si>
    <t>FA 2</t>
  </si>
  <si>
    <t xml:space="preserve">Requirement Checks </t>
  </si>
  <si>
    <t>Capital Ex. Under 4000 (Y1)</t>
  </si>
  <si>
    <t>Capital Ex. under 4000 (Y2)</t>
  </si>
  <si>
    <t>Capital Ex. under 4000 (Y3)</t>
  </si>
  <si>
    <t>FA 3</t>
  </si>
  <si>
    <t>Under $10,000 (year 1-3)</t>
  </si>
  <si>
    <t xml:space="preserve">Each FA has at least 1 project approved </t>
  </si>
  <si>
    <t>Number of Approved Project for FA 1</t>
  </si>
  <si>
    <t>Number of Approved Project for FA 2</t>
  </si>
  <si>
    <t>Adjusted based on % Partnership:</t>
  </si>
  <si>
    <t>Number of Approved Project for FA 3</t>
  </si>
  <si>
    <t>Cap Ex. Yr1</t>
  </si>
  <si>
    <t>Cap Ex. Yr2</t>
  </si>
  <si>
    <t>Cap Ex. Yr3</t>
  </si>
  <si>
    <t xml:space="preserve">Total Cost </t>
  </si>
  <si>
    <t>New NPV</t>
  </si>
  <si>
    <t xml:space="preserve">Approval Rating </t>
  </si>
  <si>
    <t>Manager:</t>
  </si>
  <si>
    <t xml:space="preserve">Total Number of Approved Projects </t>
  </si>
  <si>
    <t>Are the Conditions Met?</t>
  </si>
  <si>
    <t>FA 1 Approved Totals:</t>
  </si>
  <si>
    <t xml:space="preserve">Approved Cap Ex. Year Totals </t>
  </si>
  <si>
    <t>Year 1</t>
  </si>
  <si>
    <t xml:space="preserve">Year 2 </t>
  </si>
  <si>
    <t xml:space="preserve">Year 3 </t>
  </si>
  <si>
    <t>Functional Area:</t>
  </si>
  <si>
    <t xml:space="preserve">FA 1 </t>
  </si>
  <si>
    <t>FA 2  Approved Totals:</t>
  </si>
  <si>
    <t>FA 3 Approved Totals:</t>
  </si>
  <si>
    <t>Total Approved NPV:</t>
  </si>
  <si>
    <t>Overall Totals for Approved Projects:</t>
  </si>
  <si>
    <t>&lt;---use as objective for first question</t>
  </si>
  <si>
    <t xml:space="preserve">ROI </t>
  </si>
  <si>
    <t xml:space="preserve">% Change </t>
  </si>
  <si>
    <t>Average</t>
  </si>
  <si>
    <t>Minimum</t>
  </si>
  <si>
    <t>Maximum</t>
  </si>
  <si>
    <t>Qualified Managers:</t>
  </si>
  <si>
    <t>Manager</t>
  </si>
  <si>
    <t>Project</t>
  </si>
  <si>
    <t>Totals:</t>
  </si>
  <si>
    <t xml:space="preserve">Approved?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</si>
</sst>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 #,##0.00\ &quot;₴&quot;_-;\-* #,##0.00\ &quot;₴&quot;_-;_-* &quot;-&quot;??\ &quot;₴&quot;_-;_-@_-"/>
    <numFmt numFmtId="43" formatCode="_-* #,##0.00_-;\-* #,##0.00_-;_-* &quot;-&quot;??_-;_-@_-"/>
    <numFmt numFmtId="164" formatCode="_-[$$-409]* #,##0.00_ ;_-[$$-409]* \-#,##0.00\ ;_-[$$-409]* &quot;-&quot;??_ ;_-@_ "/>
    <numFmt numFmtId="165" formatCode="_-[$$-409]* #,##0_ ;_-[$$-409]* \-#,##0\ ;_-[$$-409]* &quot;-&quot;??_ ;_-@_ "/>
    <numFmt numFmtId="166" formatCode="0.0%"/>
    <numFmt numFmtId="167" formatCode="0.00000000%"/>
    <numFmt numFmtId="168" formatCode="0.0"/>
    <numFmt numFmtId="169" formatCode="_-[$$-409]* #,##0_ ;_-[$$-409]* \-#,##0\ ;_-[$$-409]* &quot;-&quot;_ ;_-@_ "/>
    <numFmt numFmtId="170" formatCode="0.0000"/>
    <numFmt numFmtId="171" formatCode="_-[$$-409]* #,##0.0_ ;_-[$$-409]* \-#,##0.0\ ;_-[$$-409]* &quot;-&quot;??_ ;_-@_ "/>
    <numFmt numFmtId="172" formatCode="&quot;$&quot;#,##0.00"/>
    <numFmt numFmtId="174" formatCode="_(&quot;$&quot;* #,##0_);_(&quot;$&quot;* \(#,##0\);_(&quot;$&quot;* &quot;-&quot;??_);_(@_)"/>
  </numFmts>
  <fonts count="73">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scheme val="minor"/>
    </font>
    <font>
      <b/>
      <sz val="11"/>
      <color theme="1"/>
      <name val="Calibri"/>
      <family val="2"/>
      <scheme val="minor"/>
    </font>
    <font>
      <b/>
      <sz val="12"/>
      <color rgb="FF1F1F1F"/>
      <name val="Times New Roman"/>
      <family val="1"/>
    </font>
    <font>
      <sz val="12"/>
      <color rgb="FF1F1F1F"/>
      <name val="Times New Roman"/>
      <family val="1"/>
    </font>
    <font>
      <sz val="12"/>
      <color theme="1"/>
      <name val="Times New Roman"/>
      <family val="1"/>
    </font>
    <font>
      <b/>
      <sz val="12"/>
      <color theme="1"/>
      <name val="Times New Roman"/>
      <family val="1"/>
    </font>
    <font>
      <b/>
      <sz val="11"/>
      <color theme="1"/>
      <name val="Calibri"/>
      <family val="2"/>
      <charset val="204"/>
      <scheme val="minor"/>
    </font>
    <font>
      <sz val="11"/>
      <color theme="2"/>
      <name val="Calibri"/>
      <family val="2"/>
      <scheme val="minor"/>
    </font>
    <font>
      <b/>
      <sz val="12"/>
      <color rgb="FF1F1F1F"/>
      <name val="Times New Roman"/>
      <family val="1"/>
      <charset val="204"/>
    </font>
    <font>
      <sz val="11"/>
      <color theme="0" tint="-0.14999847407452621"/>
      <name val="Calibri"/>
      <family val="2"/>
      <scheme val="minor"/>
    </font>
    <font>
      <b/>
      <i/>
      <sz val="11"/>
      <color theme="1"/>
      <name val="Calibri"/>
      <family val="2"/>
      <charset val="204"/>
      <scheme val="minor"/>
    </font>
    <font>
      <i/>
      <sz val="11"/>
      <color theme="1"/>
      <name val="Calibri"/>
      <family val="2"/>
      <charset val="204"/>
      <scheme val="minor"/>
    </font>
    <font>
      <b/>
      <sz val="12"/>
      <color rgb="FF0F1114"/>
      <name val="Source Sans Pro"/>
      <family val="2"/>
    </font>
    <font>
      <sz val="11"/>
      <color theme="0" tint="-4.9989318521683403E-2"/>
      <name val="Calibri"/>
      <family val="2"/>
      <scheme val="minor"/>
    </font>
    <font>
      <sz val="11"/>
      <color rgb="FF1F1F1F"/>
      <name val="Calibri"/>
      <family val="2"/>
      <charset val="204"/>
      <scheme val="minor"/>
    </font>
    <font>
      <b/>
      <sz val="11"/>
      <color rgb="FF1F1F1F"/>
      <name val="Calibri"/>
      <family val="2"/>
      <charset val="204"/>
      <scheme val="minor"/>
    </font>
    <font>
      <sz val="11"/>
      <color theme="9" tint="0.59999389629810485"/>
      <name val="Calibri"/>
      <family val="2"/>
      <scheme val="minor"/>
    </font>
    <font>
      <sz val="11"/>
      <color rgb="FFFF5050"/>
      <name val="Calibri"/>
      <family val="2"/>
      <scheme val="minor"/>
    </font>
    <font>
      <sz val="11"/>
      <color theme="4" tint="-0.249977111117893"/>
      <name val="Calibri"/>
      <family val="2"/>
      <charset val="204"/>
      <scheme val="minor"/>
    </font>
    <font>
      <sz val="11"/>
      <color theme="5" tint="-0.249977111117893"/>
      <name val="Calibri"/>
      <family val="2"/>
      <charset val="204"/>
      <scheme val="minor"/>
    </font>
    <font>
      <sz val="11"/>
      <color theme="9" tint="-0.249977111117893"/>
      <name val="Calibri"/>
      <family val="2"/>
      <charset val="204"/>
      <scheme val="minor"/>
    </font>
    <font>
      <sz val="11"/>
      <name val="Calibri"/>
      <family val="2"/>
      <scheme val="minor"/>
    </font>
    <font>
      <sz val="11"/>
      <color rgb="FF7030A0"/>
      <name val="Calibri"/>
      <family val="2"/>
      <charset val="204"/>
      <scheme val="minor"/>
    </font>
    <font>
      <sz val="8"/>
      <name val="Calibri"/>
      <family val="2"/>
      <scheme val="minor"/>
    </font>
    <font>
      <sz val="11"/>
      <color rgb="FF000000"/>
      <name val="Calibri"/>
      <family val="2"/>
      <charset val="204"/>
      <scheme val="minor"/>
    </font>
    <font>
      <b/>
      <i/>
      <sz val="11"/>
      <color rgb="FF000000"/>
      <name val="Calibri"/>
      <family val="2"/>
      <charset val="204"/>
      <scheme val="minor"/>
    </font>
    <font>
      <sz val="10"/>
      <color rgb="FF0F1114"/>
      <name val="Source Sans Pro"/>
      <family val="2"/>
      <charset val="204"/>
    </font>
    <font>
      <sz val="10"/>
      <color theme="1"/>
      <name val="Calibri"/>
      <family val="2"/>
      <charset val="204"/>
      <scheme val="minor"/>
    </font>
    <font>
      <sz val="12"/>
      <color rgb="FF1F1F1F"/>
      <name val="Source Sans Pro"/>
      <family val="2"/>
    </font>
    <font>
      <sz val="9"/>
      <color rgb="FF1F1F1F"/>
      <name val="Source Sans Pro"/>
      <family val="2"/>
    </font>
    <font>
      <sz val="11"/>
      <color rgb="FF0F1114"/>
      <name val="Source Sans Pro"/>
      <family val="2"/>
    </font>
    <font>
      <sz val="12"/>
      <color rgb="FF0F1114"/>
      <name val="Source Sans Pro"/>
      <family val="2"/>
    </font>
    <font>
      <b/>
      <sz val="12"/>
      <color rgb="FF0F1114"/>
      <name val="Unset"/>
    </font>
    <font>
      <b/>
      <sz val="8"/>
      <color rgb="FF0F1114"/>
      <name val="Unset"/>
    </font>
    <font>
      <sz val="8"/>
      <color rgb="FF0F1114"/>
      <name val="Source Sans Pro"/>
      <family val="2"/>
    </font>
    <font>
      <sz val="9"/>
      <color theme="1"/>
      <name val="Arial"/>
      <family val="2"/>
      <charset val="204"/>
    </font>
    <font>
      <sz val="9"/>
      <color rgb="FF1F1F1F"/>
      <name val="Arial"/>
      <family val="2"/>
      <charset val="204"/>
    </font>
    <font>
      <sz val="9"/>
      <color theme="1"/>
      <name val="Calibri"/>
      <family val="2"/>
      <scheme val="minor"/>
    </font>
    <font>
      <sz val="8"/>
      <color theme="1"/>
      <name val="Calibri"/>
      <family val="2"/>
      <charset val="204"/>
      <scheme val="minor"/>
    </font>
    <font>
      <sz val="8"/>
      <color rgb="FF0F1114"/>
      <name val="Unset"/>
      <charset val="204"/>
    </font>
    <font>
      <sz val="8"/>
      <color rgb="FF0F1114"/>
      <name val="Source Sans Pro"/>
      <family val="2"/>
      <charset val="204"/>
    </font>
    <font>
      <sz val="9"/>
      <color rgb="FF0F1114"/>
      <name val="Source Sans Pro"/>
      <family val="2"/>
      <charset val="204"/>
    </font>
    <font>
      <sz val="9"/>
      <color rgb="FF0F1114"/>
      <name val="Unset"/>
      <charset val="204"/>
    </font>
    <font>
      <sz val="9"/>
      <color theme="1"/>
      <name val="Calibri"/>
      <family val="2"/>
      <charset val="204"/>
      <scheme val="minor"/>
    </font>
    <font>
      <b/>
      <sz val="9"/>
      <color rgb="FF1F1F1F"/>
      <name val="Source Sans Pro"/>
      <family val="2"/>
    </font>
    <font>
      <b/>
      <sz val="15"/>
      <color theme="3"/>
      <name val="Calibri"/>
      <family val="2"/>
      <charset val="204"/>
      <scheme val="minor"/>
    </font>
    <font>
      <b/>
      <sz val="16"/>
      <color theme="1"/>
      <name val="Calibri"/>
      <family val="2"/>
      <scheme val="minor"/>
    </font>
    <font>
      <b/>
      <sz val="12"/>
      <color theme="1"/>
      <name val="Calibri"/>
      <family val="2"/>
      <scheme val="minor"/>
    </font>
    <font>
      <b/>
      <sz val="11"/>
      <color rgb="FF000000"/>
      <name val="Calibri"/>
      <family val="2"/>
      <scheme val="minor"/>
    </font>
    <font>
      <b/>
      <sz val="12"/>
      <color rgb="FF000000"/>
      <name val="Calibri"/>
      <family val="2"/>
      <scheme val="minor"/>
    </font>
    <font>
      <sz val="11"/>
      <color rgb="FF000000"/>
      <name val="Calibri"/>
      <family val="2"/>
      <scheme val="minor"/>
    </font>
    <font>
      <sz val="12"/>
      <color rgb="FF000000"/>
      <name val="Calibri"/>
      <family val="2"/>
      <scheme val="minor"/>
    </font>
    <font>
      <sz val="16"/>
      <color rgb="FF24588D"/>
      <name val="Helvetica Neue"/>
      <family val="2"/>
    </font>
    <font>
      <sz val="12"/>
      <name val="Calibri"/>
      <family val="2"/>
      <scheme val="minor"/>
    </font>
    <font>
      <sz val="12"/>
      <color theme="0" tint="-0.499984740745262"/>
      <name val="Calibri"/>
      <family val="2"/>
      <scheme val="minor"/>
    </font>
    <font>
      <b/>
      <sz val="9"/>
      <color indexed="81"/>
      <name val="Tahoma"/>
      <family val="2"/>
    </font>
    <font>
      <sz val="9"/>
      <color indexed="81"/>
      <name val="Tahoma"/>
      <family val="2"/>
    </font>
  </fonts>
  <fills count="25">
    <fill>
      <patternFill patternType="none"/>
    </fill>
    <fill>
      <patternFill patternType="gray125"/>
    </fill>
    <fill>
      <patternFill patternType="solid">
        <fgColor rgb="FFFFFFFF"/>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
      <patternFill patternType="solid">
        <fgColor theme="5"/>
        <bgColor indexed="64"/>
      </patternFill>
    </fill>
    <fill>
      <patternFill patternType="solid">
        <fgColor theme="4" tint="0.39997558519241921"/>
        <bgColor indexed="64"/>
      </patternFill>
    </fill>
    <fill>
      <patternFill patternType="solid">
        <fgColor theme="0"/>
        <bgColor indexed="64"/>
      </patternFill>
    </fill>
    <fill>
      <patternFill patternType="solid">
        <fgColor theme="0" tint="-4.9989318521683403E-2"/>
        <bgColor indexed="64"/>
      </patternFill>
    </fill>
    <fill>
      <patternFill patternType="solid">
        <fgColor rgb="FF7030A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B4C6E7"/>
        <bgColor indexed="64"/>
      </patternFill>
    </fill>
    <fill>
      <patternFill patternType="solid">
        <fgColor rgb="FFF8CBAD"/>
        <bgColor indexed="64"/>
      </patternFill>
    </fill>
    <fill>
      <patternFill patternType="solid">
        <fgColor rgb="FFFFE699"/>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bottom style="thick">
        <color theme="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rgb="FF000000"/>
      </right>
      <top style="thin">
        <color indexed="64"/>
      </top>
      <bottom style="thin">
        <color indexed="64"/>
      </bottom>
      <diagonal/>
    </border>
    <border>
      <left style="thin">
        <color indexed="64"/>
      </left>
      <right style="thin">
        <color indexed="64"/>
      </right>
      <top style="thin">
        <color indexed="64"/>
      </top>
      <bottom style="double">
        <color indexed="64"/>
      </bottom>
      <diagonal/>
    </border>
  </borders>
  <cellStyleXfs count="5">
    <xf numFmtId="0" fontId="0" fillId="0" borderId="0"/>
    <xf numFmtId="9" fontId="16" fillId="0" borderId="0" applyFont="0" applyFill="0" applyBorder="0" applyAlignment="0" applyProtection="0"/>
    <xf numFmtId="43" fontId="16" fillId="0" borderId="0" applyFont="0" applyFill="0" applyBorder="0" applyAlignment="0" applyProtection="0"/>
    <xf numFmtId="44" fontId="16" fillId="0" borderId="0" applyFont="0" applyFill="0" applyBorder="0" applyAlignment="0" applyProtection="0"/>
    <xf numFmtId="0" fontId="61" fillId="0" borderId="25" applyNumberFormat="0" applyFill="0" applyAlignment="0" applyProtection="0"/>
  </cellStyleXfs>
  <cellXfs count="594">
    <xf numFmtId="0" fontId="0" fillId="0" borderId="0" xfId="0"/>
    <xf numFmtId="0" fontId="0" fillId="0" borderId="0" xfId="0" applyAlignment="1">
      <alignment horizontal="center"/>
    </xf>
    <xf numFmtId="2" fontId="0" fillId="0" borderId="0" xfId="0" applyNumberFormat="1" applyAlignment="1">
      <alignment horizontal="center"/>
    </xf>
    <xf numFmtId="1" fontId="0" fillId="0" borderId="0" xfId="0" applyNumberFormat="1" applyAlignment="1">
      <alignment horizontal="center"/>
    </xf>
    <xf numFmtId="2" fontId="0" fillId="0" borderId="0" xfId="0" applyNumberFormat="1"/>
    <xf numFmtId="9" fontId="0" fillId="0" borderId="0" xfId="1" applyFont="1"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0" fontId="0" fillId="0" borderId="0" xfId="0" applyFill="1" applyAlignment="1">
      <alignment horizontal="center"/>
    </xf>
    <xf numFmtId="0" fontId="18"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xf>
    <xf numFmtId="1" fontId="19" fillId="2" borderId="1" xfId="0" applyNumberFormat="1" applyFont="1" applyFill="1" applyBorder="1" applyAlignment="1">
      <alignment horizontal="center" vertical="center" wrapText="1"/>
    </xf>
    <xf numFmtId="10" fontId="19" fillId="2" borderId="1" xfId="0" applyNumberFormat="1" applyFont="1" applyFill="1" applyBorder="1" applyAlignment="1">
      <alignment horizontal="center" vertical="center" wrapText="1"/>
    </xf>
    <xf numFmtId="0" fontId="20" fillId="0" borderId="1" xfId="0" applyFont="1" applyBorder="1" applyAlignment="1">
      <alignment horizontal="center"/>
    </xf>
    <xf numFmtId="0" fontId="20" fillId="0" borderId="1" xfId="0" applyNumberFormat="1" applyFont="1" applyBorder="1" applyAlignment="1">
      <alignment horizontal="center"/>
    </xf>
    <xf numFmtId="2" fontId="20" fillId="0" borderId="1" xfId="0" applyNumberFormat="1" applyFont="1" applyBorder="1" applyAlignment="1">
      <alignment horizontal="center"/>
    </xf>
    <xf numFmtId="0" fontId="21" fillId="0" borderId="1" xfId="0" applyFont="1" applyBorder="1" applyAlignment="1">
      <alignment horizontal="center"/>
    </xf>
    <xf numFmtId="0" fontId="18" fillId="2" borderId="0" xfId="0" applyFont="1" applyFill="1" applyBorder="1" applyAlignment="1">
      <alignment horizontal="center" vertical="center" wrapText="1"/>
    </xf>
    <xf numFmtId="0" fontId="21" fillId="0" borderId="0" xfId="0" applyFont="1" applyBorder="1" applyAlignment="1">
      <alignment horizontal="center"/>
    </xf>
    <xf numFmtId="0" fontId="20" fillId="0" borderId="0" xfId="0" applyFont="1" applyBorder="1" applyAlignment="1">
      <alignment horizontal="center"/>
    </xf>
    <xf numFmtId="164" fontId="0" fillId="0" borderId="0" xfId="0" applyNumberFormat="1"/>
    <xf numFmtId="0" fontId="0" fillId="0" borderId="0" xfId="0" applyAlignment="1"/>
    <xf numFmtId="0" fontId="0" fillId="0" borderId="0" xfId="0" applyAlignment="1">
      <alignment horizontal="center" wrapText="1"/>
    </xf>
    <xf numFmtId="0" fontId="22" fillId="0" borderId="0" xfId="0" applyFont="1" applyAlignment="1"/>
    <xf numFmtId="10" fontId="0" fillId="0" borderId="0" xfId="1" applyNumberFormat="1" applyFont="1" applyAlignment="1"/>
    <xf numFmtId="0" fontId="22" fillId="0" borderId="0" xfId="0" applyFont="1" applyAlignment="1">
      <alignment wrapText="1"/>
    </xf>
    <xf numFmtId="0" fontId="0" fillId="0" borderId="0" xfId="0" applyAlignment="1">
      <alignment wrapText="1"/>
    </xf>
    <xf numFmtId="164" fontId="19" fillId="2" borderId="1" xfId="0" applyNumberFormat="1" applyFont="1" applyFill="1" applyBorder="1" applyAlignment="1">
      <alignment horizontal="center" vertical="center" wrapText="1"/>
    </xf>
    <xf numFmtId="0" fontId="24" fillId="2" borderId="1" xfId="0" applyFont="1" applyFill="1" applyBorder="1" applyAlignment="1">
      <alignment horizontal="center" vertical="center" wrapText="1"/>
    </xf>
    <xf numFmtId="0" fontId="22" fillId="0" borderId="1" xfId="0" applyFont="1" applyBorder="1" applyAlignment="1">
      <alignment horizontal="right"/>
    </xf>
    <xf numFmtId="164" fontId="0" fillId="0" borderId="1" xfId="0" applyNumberFormat="1" applyBorder="1" applyAlignment="1">
      <alignment horizontal="center"/>
    </xf>
    <xf numFmtId="0" fontId="0" fillId="0" borderId="1" xfId="0" applyBorder="1" applyAlignment="1">
      <alignment horizontal="center"/>
    </xf>
    <xf numFmtId="2" fontId="22" fillId="0" borderId="1" xfId="0" applyNumberFormat="1" applyFont="1" applyBorder="1" applyAlignment="1">
      <alignment horizontal="right"/>
    </xf>
    <xf numFmtId="1" fontId="0" fillId="0" borderId="1" xfId="0" applyNumberFormat="1" applyBorder="1" applyAlignment="1">
      <alignment horizontal="center"/>
    </xf>
    <xf numFmtId="2" fontId="0" fillId="0" borderId="1" xfId="0" applyNumberFormat="1" applyBorder="1" applyAlignment="1">
      <alignment horizontal="right"/>
    </xf>
    <xf numFmtId="2" fontId="0" fillId="0" borderId="1" xfId="0" applyNumberFormat="1" applyBorder="1" applyAlignment="1">
      <alignment horizontal="center"/>
    </xf>
    <xf numFmtId="164" fontId="0" fillId="0" borderId="1" xfId="0" applyNumberFormat="1" applyFill="1" applyBorder="1" applyAlignment="1">
      <alignment horizontal="center"/>
    </xf>
    <xf numFmtId="2" fontId="0" fillId="0" borderId="1" xfId="0" applyNumberFormat="1" applyFill="1" applyBorder="1" applyAlignment="1">
      <alignment horizontal="center"/>
    </xf>
    <xf numFmtId="165" fontId="0" fillId="0" borderId="1" xfId="0" applyNumberFormat="1" applyFill="1" applyBorder="1" applyAlignment="1">
      <alignment horizontal="center"/>
    </xf>
    <xf numFmtId="1" fontId="0" fillId="0" borderId="1" xfId="0" applyNumberFormat="1" applyFill="1" applyBorder="1" applyAlignment="1">
      <alignment horizontal="center"/>
    </xf>
    <xf numFmtId="0" fontId="0" fillId="0" borderId="1" xfId="0" applyFill="1" applyBorder="1" applyAlignment="1">
      <alignment horizontal="center"/>
    </xf>
    <xf numFmtId="0" fontId="0" fillId="0" borderId="1" xfId="0" applyBorder="1" applyAlignment="1">
      <alignment horizontal="right"/>
    </xf>
    <xf numFmtId="9" fontId="0" fillId="0" borderId="1" xfId="1" applyFont="1" applyFill="1" applyBorder="1" applyAlignment="1">
      <alignment horizontal="center"/>
    </xf>
    <xf numFmtId="1" fontId="0" fillId="0" borderId="1" xfId="1" applyNumberFormat="1" applyFont="1" applyFill="1" applyBorder="1" applyAlignment="1">
      <alignment horizontal="center"/>
    </xf>
    <xf numFmtId="0" fontId="22" fillId="3" borderId="1" xfId="0" applyFont="1" applyFill="1" applyBorder="1" applyAlignment="1">
      <alignment horizontal="right"/>
    </xf>
    <xf numFmtId="165" fontId="17" fillId="3" borderId="1" xfId="0" applyNumberFormat="1" applyFont="1" applyFill="1" applyBorder="1" applyAlignment="1">
      <alignment horizontal="center"/>
    </xf>
    <xf numFmtId="0" fontId="0" fillId="0" borderId="1" xfId="0" applyBorder="1"/>
    <xf numFmtId="164" fontId="0" fillId="0" borderId="1" xfId="2" applyNumberFormat="1" applyFont="1" applyBorder="1"/>
    <xf numFmtId="164" fontId="0" fillId="0" borderId="1" xfId="0" applyNumberFormat="1" applyBorder="1"/>
    <xf numFmtId="1" fontId="0" fillId="0" borderId="1" xfId="0" applyNumberFormat="1" applyFill="1" applyBorder="1"/>
    <xf numFmtId="0" fontId="22" fillId="0" borderId="1" xfId="0" applyFont="1" applyBorder="1"/>
    <xf numFmtId="164" fontId="0" fillId="0" borderId="1" xfId="0" applyNumberFormat="1" applyBorder="1" applyAlignment="1">
      <alignment horizontal="left"/>
    </xf>
    <xf numFmtId="9" fontId="0" fillId="0" borderId="1" xfId="1" applyFont="1" applyBorder="1"/>
    <xf numFmtId="10" fontId="0" fillId="3" borderId="1" xfId="1" applyNumberFormat="1" applyFont="1" applyFill="1" applyBorder="1"/>
    <xf numFmtId="1" fontId="0" fillId="0" borderId="1" xfId="0" applyNumberFormat="1" applyBorder="1"/>
    <xf numFmtId="0" fontId="22" fillId="4" borderId="1" xfId="0" applyFont="1" applyFill="1" applyBorder="1"/>
    <xf numFmtId="164" fontId="22" fillId="4" borderId="1" xfId="0" applyNumberFormat="1" applyFont="1" applyFill="1" applyBorder="1"/>
    <xf numFmtId="164" fontId="23" fillId="0" borderId="1" xfId="0" applyNumberFormat="1" applyFont="1" applyBorder="1" applyAlignment="1">
      <alignment horizontal="center"/>
    </xf>
    <xf numFmtId="166" fontId="15" fillId="0" borderId="1" xfId="1" applyNumberFormat="1" applyFont="1" applyBorder="1" applyAlignment="1">
      <alignment horizontal="center"/>
    </xf>
    <xf numFmtId="164" fontId="15" fillId="0" borderId="1" xfId="3" applyNumberFormat="1" applyFont="1" applyBorder="1" applyAlignment="1">
      <alignment horizontal="center"/>
    </xf>
    <xf numFmtId="164" fontId="15" fillId="0" borderId="1" xfId="0" applyNumberFormat="1" applyFont="1" applyBorder="1" applyAlignment="1">
      <alignment horizontal="center"/>
    </xf>
    <xf numFmtId="164" fontId="15" fillId="0" borderId="1" xfId="1" applyNumberFormat="1" applyFont="1" applyBorder="1" applyAlignment="1">
      <alignment horizontal="center"/>
    </xf>
    <xf numFmtId="164" fontId="15" fillId="0" borderId="1" xfId="0" applyNumberFormat="1" applyFont="1" applyBorder="1" applyAlignment="1">
      <alignment horizontal="center" wrapText="1"/>
    </xf>
    <xf numFmtId="0" fontId="0" fillId="0" borderId="0" xfId="0" applyFill="1"/>
    <xf numFmtId="0" fontId="0" fillId="4" borderId="1" xfId="0" applyFill="1" applyBorder="1"/>
    <xf numFmtId="1" fontId="0" fillId="4" borderId="1" xfId="0" applyNumberFormat="1" applyFill="1" applyBorder="1"/>
    <xf numFmtId="0" fontId="13" fillId="0" borderId="1" xfId="0" applyFont="1" applyBorder="1" applyAlignment="1">
      <alignment horizontal="right"/>
    </xf>
    <xf numFmtId="0" fontId="0" fillId="0" borderId="1" xfId="0" applyFill="1" applyBorder="1"/>
    <xf numFmtId="0" fontId="13" fillId="0" borderId="1" xfId="0" applyFont="1" applyBorder="1"/>
    <xf numFmtId="164" fontId="0" fillId="7" borderId="1" xfId="0" applyNumberFormat="1" applyFill="1" applyBorder="1"/>
    <xf numFmtId="0" fontId="26" fillId="9" borderId="1" xfId="0" applyFont="1" applyFill="1" applyBorder="1" applyAlignment="1">
      <alignment horizontal="right"/>
    </xf>
    <xf numFmtId="164" fontId="26" fillId="9" borderId="1" xfId="0" applyNumberFormat="1" applyFont="1" applyFill="1" applyBorder="1"/>
    <xf numFmtId="0" fontId="0" fillId="0" borderId="0" xfId="0" applyBorder="1"/>
    <xf numFmtId="0" fontId="0" fillId="8" borderId="1" xfId="0" applyFill="1" applyBorder="1" applyAlignment="1">
      <alignment horizontal="center"/>
    </xf>
    <xf numFmtId="164" fontId="0" fillId="8" borderId="1" xfId="0" applyNumberFormat="1" applyFill="1" applyBorder="1" applyAlignment="1">
      <alignment horizontal="center"/>
    </xf>
    <xf numFmtId="0" fontId="0" fillId="7" borderId="1" xfId="0" applyFill="1" applyBorder="1"/>
    <xf numFmtId="0" fontId="0" fillId="0" borderId="0" xfId="0" applyFill="1" applyBorder="1"/>
    <xf numFmtId="164" fontId="0" fillId="0" borderId="0" xfId="0" applyNumberFormat="1" applyFill="1" applyBorder="1"/>
    <xf numFmtId="164" fontId="0" fillId="8" borderId="12" xfId="0" applyNumberFormat="1" applyFill="1" applyBorder="1"/>
    <xf numFmtId="164" fontId="0" fillId="0" borderId="11" xfId="0" applyNumberFormat="1" applyBorder="1"/>
    <xf numFmtId="0" fontId="0" fillId="0" borderId="0" xfId="0" applyFill="1" applyBorder="1" applyAlignment="1">
      <alignment horizontal="center"/>
    </xf>
    <xf numFmtId="164" fontId="0" fillId="0" borderId="0" xfId="0" applyNumberFormat="1" applyFill="1" applyBorder="1" applyAlignment="1">
      <alignment horizontal="center"/>
    </xf>
    <xf numFmtId="0" fontId="22" fillId="0" borderId="0" xfId="0" applyFont="1" applyBorder="1" applyAlignment="1"/>
    <xf numFmtId="164" fontId="25" fillId="0" borderId="1" xfId="0" applyNumberFormat="1" applyFont="1" applyBorder="1" applyAlignment="1">
      <alignment horizontal="center"/>
    </xf>
    <xf numFmtId="0" fontId="27" fillId="0" borderId="0" xfId="0" applyFont="1" applyAlignment="1">
      <alignment horizontal="center"/>
    </xf>
    <xf numFmtId="0" fontId="22" fillId="0" borderId="1" xfId="0" applyFont="1" applyBorder="1" applyAlignment="1">
      <alignment horizontal="center"/>
    </xf>
    <xf numFmtId="0" fontId="0" fillId="0" borderId="0" xfId="0" applyFont="1"/>
    <xf numFmtId="164" fontId="0" fillId="0" borderId="1" xfId="3" applyNumberFormat="1" applyFont="1" applyBorder="1"/>
    <xf numFmtId="0" fontId="0" fillId="10" borderId="1" xfId="0" applyFill="1" applyBorder="1" applyAlignment="1">
      <alignment horizontal="center"/>
    </xf>
    <xf numFmtId="164" fontId="0" fillId="10" borderId="1" xfId="0" applyNumberFormat="1" applyFill="1" applyBorder="1"/>
    <xf numFmtId="0" fontId="0" fillId="11" borderId="1" xfId="0" applyFill="1" applyBorder="1" applyAlignment="1">
      <alignment horizontal="center"/>
    </xf>
    <xf numFmtId="164" fontId="0" fillId="11" borderId="1" xfId="0" applyNumberFormat="1" applyFill="1" applyBorder="1"/>
    <xf numFmtId="0" fontId="0" fillId="5" borderId="1" xfId="0" applyFill="1" applyBorder="1" applyAlignment="1">
      <alignment horizontal="center"/>
    </xf>
    <xf numFmtId="164" fontId="0" fillId="5" borderId="1" xfId="0" applyNumberFormat="1" applyFill="1" applyBorder="1" applyAlignment="1">
      <alignment horizontal="center"/>
    </xf>
    <xf numFmtId="0" fontId="0" fillId="12" borderId="1" xfId="0" applyFill="1" applyBorder="1" applyAlignment="1">
      <alignment horizontal="center"/>
    </xf>
    <xf numFmtId="164" fontId="0" fillId="12" borderId="1" xfId="0" applyNumberFormat="1" applyFill="1" applyBorder="1" applyAlignment="1">
      <alignment horizontal="center"/>
    </xf>
    <xf numFmtId="0" fontId="0" fillId="13" borderId="1" xfId="0" applyFill="1" applyBorder="1" applyAlignment="1">
      <alignment horizontal="center"/>
    </xf>
    <xf numFmtId="164" fontId="0" fillId="13" borderId="1" xfId="0" applyNumberFormat="1" applyFill="1" applyBorder="1" applyAlignment="1">
      <alignment horizontal="center"/>
    </xf>
    <xf numFmtId="0" fontId="11" fillId="0" borderId="1" xfId="0" applyFont="1" applyBorder="1" applyAlignment="1">
      <alignment horizontal="left"/>
    </xf>
    <xf numFmtId="0" fontId="0" fillId="0" borderId="0" xfId="0" applyAlignment="1">
      <alignment vertical="top" wrapText="1"/>
    </xf>
    <xf numFmtId="0" fontId="22" fillId="0" borderId="1" xfId="0" applyFont="1" applyBorder="1" applyAlignment="1">
      <alignment horizontal="left"/>
    </xf>
    <xf numFmtId="0" fontId="22" fillId="0" borderId="1" xfId="0" applyFont="1" applyBorder="1" applyAlignment="1">
      <alignment vertical="top" wrapText="1"/>
    </xf>
    <xf numFmtId="0" fontId="0" fillId="0" borderId="1" xfId="0" applyBorder="1" applyAlignment="1">
      <alignment vertical="top" wrapText="1"/>
    </xf>
    <xf numFmtId="0" fontId="0" fillId="0" borderId="1" xfId="0" applyBorder="1" applyAlignment="1">
      <alignment horizontal="right" vertical="top" wrapText="1" indent="1"/>
    </xf>
    <xf numFmtId="165" fontId="0" fillId="0" borderId="1" xfId="0" applyNumberFormat="1" applyBorder="1" applyAlignment="1">
      <alignment vertical="top" wrapText="1"/>
    </xf>
    <xf numFmtId="0" fontId="0" fillId="0" borderId="1" xfId="0" applyBorder="1" applyAlignment="1">
      <alignment horizontal="right" vertical="top" wrapText="1"/>
    </xf>
    <xf numFmtId="165" fontId="0" fillId="0" borderId="1" xfId="0" applyNumberFormat="1" applyBorder="1"/>
    <xf numFmtId="1" fontId="0" fillId="0" borderId="0" xfId="1" applyNumberFormat="1" applyFont="1" applyAlignment="1">
      <alignment horizontal="center"/>
    </xf>
    <xf numFmtId="1" fontId="0" fillId="0" borderId="1" xfId="1" applyNumberFormat="1" applyFont="1" applyBorder="1" applyAlignment="1">
      <alignment horizontal="center"/>
    </xf>
    <xf numFmtId="164" fontId="29" fillId="0" borderId="1" xfId="0" applyNumberFormat="1" applyFont="1" applyBorder="1" applyAlignment="1">
      <alignment horizontal="center"/>
    </xf>
    <xf numFmtId="9" fontId="0" fillId="0" borderId="1" xfId="1" applyFont="1" applyBorder="1" applyAlignment="1">
      <alignment horizontal="center"/>
    </xf>
    <xf numFmtId="3" fontId="0" fillId="0" borderId="1" xfId="0" applyNumberFormat="1" applyBorder="1" applyAlignment="1">
      <alignment horizontal="center"/>
    </xf>
    <xf numFmtId="0" fontId="22" fillId="0" borderId="1" xfId="0" applyFont="1" applyBorder="1" applyAlignment="1">
      <alignment horizontal="center"/>
    </xf>
    <xf numFmtId="0" fontId="0" fillId="0" borderId="1" xfId="0" applyBorder="1" applyAlignment="1">
      <alignment horizontal="center"/>
    </xf>
    <xf numFmtId="0" fontId="0" fillId="0" borderId="0" xfId="0" applyAlignment="1">
      <alignment horizontal="left" vertical="top"/>
    </xf>
    <xf numFmtId="0" fontId="9" fillId="0" borderId="0" xfId="0" applyFont="1" applyAlignment="1">
      <alignment horizontal="center"/>
    </xf>
    <xf numFmtId="0" fontId="0" fillId="0" borderId="0" xfId="0" applyAlignment="1">
      <alignment horizontal="left" vertical="top" wrapText="1"/>
    </xf>
    <xf numFmtId="0" fontId="30" fillId="0" borderId="1" xfId="0" applyFont="1" applyFill="1" applyBorder="1" applyAlignment="1">
      <alignment horizontal="center" vertical="center" wrapText="1"/>
    </xf>
    <xf numFmtId="0" fontId="0" fillId="0" borderId="1" xfId="0" applyFill="1" applyBorder="1" applyAlignment="1">
      <alignment horizontal="center" vertical="center"/>
    </xf>
    <xf numFmtId="168" fontId="0" fillId="0" borderId="1" xfId="0" applyNumberFormat="1" applyBorder="1" applyAlignment="1">
      <alignment horizontal="center" vertical="center"/>
    </xf>
    <xf numFmtId="166" fontId="0" fillId="0" borderId="1" xfId="1" applyNumberFormat="1" applyFont="1" applyBorder="1" applyAlignment="1">
      <alignment horizontal="center"/>
    </xf>
    <xf numFmtId="166" fontId="0" fillId="0" borderId="1" xfId="0" applyNumberFormat="1" applyBorder="1" applyAlignment="1">
      <alignment horizontal="center"/>
    </xf>
    <xf numFmtId="166" fontId="0" fillId="3" borderId="1" xfId="0" applyNumberFormat="1" applyFill="1" applyBorder="1" applyAlignment="1">
      <alignment horizontal="center"/>
    </xf>
    <xf numFmtId="165" fontId="0" fillId="0" borderId="1" xfId="0" applyNumberFormat="1" applyBorder="1" applyAlignment="1">
      <alignment horizontal="center"/>
    </xf>
    <xf numFmtId="165" fontId="25" fillId="0" borderId="1" xfId="0" applyNumberFormat="1" applyFont="1" applyBorder="1" applyAlignment="1">
      <alignment horizontal="center"/>
    </xf>
    <xf numFmtId="169" fontId="0" fillId="0" borderId="1" xfId="0" applyNumberFormat="1" applyBorder="1" applyAlignment="1">
      <alignment horizontal="center"/>
    </xf>
    <xf numFmtId="169" fontId="0" fillId="0" borderId="10" xfId="0" applyNumberFormat="1" applyBorder="1" applyAlignment="1">
      <alignment horizontal="center"/>
    </xf>
    <xf numFmtId="169" fontId="0" fillId="0" borderId="1" xfId="0" applyNumberFormat="1" applyBorder="1"/>
    <xf numFmtId="0" fontId="22" fillId="0" borderId="9" xfId="0" applyFont="1" applyBorder="1" applyAlignment="1"/>
    <xf numFmtId="165" fontId="32" fillId="0" borderId="1" xfId="0" applyNumberFormat="1" applyFont="1" applyBorder="1" applyAlignment="1">
      <alignment horizontal="center"/>
    </xf>
    <xf numFmtId="169" fontId="25" fillId="0" borderId="0" xfId="0" applyNumberFormat="1" applyFont="1"/>
    <xf numFmtId="0" fontId="30" fillId="15" borderId="1" xfId="0" applyFont="1" applyFill="1" applyBorder="1" applyAlignment="1">
      <alignment horizontal="center" vertical="center" wrapText="1"/>
    </xf>
    <xf numFmtId="0" fontId="31" fillId="14" borderId="0" xfId="0" applyFont="1" applyFill="1" applyBorder="1" applyAlignment="1">
      <alignment horizontal="center" vertical="center" wrapText="1"/>
    </xf>
    <xf numFmtId="0" fontId="31" fillId="15" borderId="11" xfId="0" applyFont="1" applyFill="1" applyBorder="1" applyAlignment="1">
      <alignment horizontal="center" vertical="center" wrapText="1"/>
    </xf>
    <xf numFmtId="165" fontId="22" fillId="0" borderId="1" xfId="0" applyNumberFormat="1" applyFont="1" applyBorder="1"/>
    <xf numFmtId="169" fontId="22" fillId="0" borderId="1" xfId="0" applyNumberFormat="1" applyFont="1" applyBorder="1"/>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xf>
    <xf numFmtId="0" fontId="0" fillId="0" borderId="1" xfId="0" applyFill="1" applyBorder="1" applyAlignment="1">
      <alignment horizontal="center" vertical="center"/>
    </xf>
    <xf numFmtId="0" fontId="0" fillId="0" borderId="0" xfId="0" applyBorder="1" applyAlignment="1">
      <alignment horizontal="center" vertical="center"/>
    </xf>
    <xf numFmtId="170" fontId="0" fillId="0" borderId="1" xfId="0" applyNumberFormat="1" applyBorder="1" applyAlignment="1">
      <alignment horizontal="center"/>
    </xf>
    <xf numFmtId="1" fontId="0" fillId="0" borderId="1" xfId="0" applyNumberFormat="1" applyBorder="1" applyAlignment="1">
      <alignment horizontal="center" vertical="center"/>
    </xf>
    <xf numFmtId="2" fontId="0" fillId="0" borderId="1" xfId="0" applyNumberFormat="1" applyBorder="1" applyAlignment="1">
      <alignment horizontal="center" vertical="center" wrapText="1"/>
    </xf>
    <xf numFmtId="10" fontId="0" fillId="0" borderId="1" xfId="1" applyNumberFormat="1" applyFont="1" applyBorder="1" applyAlignment="1">
      <alignment horizontal="center" vertical="center"/>
    </xf>
    <xf numFmtId="10" fontId="0" fillId="0" borderId="1" xfId="0" applyNumberFormat="1" applyBorder="1" applyAlignment="1">
      <alignment horizontal="center"/>
    </xf>
    <xf numFmtId="1" fontId="0" fillId="0" borderId="1" xfId="0" applyNumberFormat="1" applyFill="1" applyBorder="1" applyAlignment="1">
      <alignment horizontal="center" vertical="center"/>
    </xf>
    <xf numFmtId="0" fontId="0" fillId="0" borderId="0" xfId="0" applyFill="1" applyBorder="1" applyAlignment="1">
      <alignment horizontal="center" vertical="center"/>
    </xf>
    <xf numFmtId="1" fontId="0" fillId="0" borderId="0" xfId="0" applyNumberFormat="1" applyFill="1" applyBorder="1" applyAlignment="1">
      <alignment horizontal="center" vertical="center"/>
    </xf>
    <xf numFmtId="0" fontId="0" fillId="0" borderId="0" xfId="0" applyBorder="1" applyAlignment="1">
      <alignment horizontal="center"/>
    </xf>
    <xf numFmtId="2" fontId="0" fillId="0" borderId="0" xfId="0" applyNumberFormat="1" applyFill="1" applyBorder="1" applyAlignment="1">
      <alignment horizontal="center" vertical="center" wrapText="1"/>
    </xf>
    <xf numFmtId="2" fontId="0" fillId="0" borderId="10" xfId="0" applyNumberFormat="1" applyBorder="1" applyAlignment="1">
      <alignment horizontal="center" vertical="center" wrapText="1"/>
    </xf>
    <xf numFmtId="170" fontId="0" fillId="0" borderId="0" xfId="0" applyNumberFormat="1" applyBorder="1" applyAlignment="1">
      <alignment horizontal="center"/>
    </xf>
    <xf numFmtId="10" fontId="0" fillId="0" borderId="1" xfId="0" applyNumberFormat="1" applyFill="1" applyBorder="1" applyAlignment="1">
      <alignment horizontal="center"/>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7" xfId="0" applyFill="1" applyBorder="1" applyAlignment="1">
      <alignment horizontal="left" vertical="top" wrapText="1"/>
    </xf>
    <xf numFmtId="0" fontId="0" fillId="0" borderId="1" xfId="0" applyBorder="1" applyAlignment="1">
      <alignment horizontal="center"/>
    </xf>
    <xf numFmtId="171" fontId="0" fillId="0" borderId="1" xfId="0" applyNumberFormat="1" applyBorder="1"/>
    <xf numFmtId="0" fontId="0" fillId="0" borderId="0" xfId="0" applyAlignment="1">
      <alignment vertical="top"/>
    </xf>
    <xf numFmtId="0" fontId="22" fillId="0" borderId="1" xfId="0" applyFont="1" applyFill="1" applyBorder="1"/>
    <xf numFmtId="164" fontId="22" fillId="0" borderId="1" xfId="0" applyNumberFormat="1" applyFont="1" applyBorder="1"/>
    <xf numFmtId="165" fontId="0" fillId="0" borderId="0" xfId="0" applyNumberFormat="1"/>
    <xf numFmtId="0" fontId="0" fillId="0" borderId="1" xfId="0" applyBorder="1" applyAlignment="1">
      <alignment horizontal="center"/>
    </xf>
    <xf numFmtId="0" fontId="0" fillId="0" borderId="0" xfId="0" applyAlignment="1">
      <alignment horizontal="right"/>
    </xf>
    <xf numFmtId="0" fontId="0" fillId="0" borderId="1" xfId="0" applyFill="1" applyBorder="1" applyAlignment="1">
      <alignment horizontal="center" vertical="center"/>
    </xf>
    <xf numFmtId="166" fontId="0" fillId="0" borderId="0" xfId="1" applyNumberFormat="1" applyFont="1" applyAlignment="1">
      <alignment horizontal="center"/>
    </xf>
    <xf numFmtId="172" fontId="0" fillId="0" borderId="0" xfId="3" applyNumberFormat="1" applyFont="1" applyAlignment="1">
      <alignment horizontal="center"/>
    </xf>
    <xf numFmtId="164" fontId="0" fillId="0" borderId="1" xfId="3" applyNumberFormat="1" applyFont="1" applyBorder="1" applyAlignment="1">
      <alignment horizontal="center"/>
    </xf>
    <xf numFmtId="0" fontId="33" fillId="0" borderId="0" xfId="0" applyFont="1" applyAlignment="1">
      <alignment horizontal="center"/>
    </xf>
    <xf numFmtId="164" fontId="33" fillId="0" borderId="0" xfId="0" applyNumberFormat="1" applyFont="1"/>
    <xf numFmtId="164" fontId="33" fillId="0" borderId="0" xfId="1" applyNumberFormat="1" applyFont="1"/>
    <xf numFmtId="10" fontId="0" fillId="0" borderId="0" xfId="1" applyNumberFormat="1" applyFont="1" applyAlignment="1">
      <alignment horizontal="center"/>
    </xf>
    <xf numFmtId="10" fontId="0" fillId="0" borderId="1" xfId="1" applyNumberFormat="1" applyFont="1" applyBorder="1"/>
    <xf numFmtId="10" fontId="22" fillId="0" borderId="0" xfId="0" applyNumberFormat="1" applyFont="1" applyFill="1"/>
    <xf numFmtId="0" fontId="22" fillId="0" borderId="0" xfId="0" applyFont="1" applyFill="1" applyBorder="1" applyAlignment="1">
      <alignment horizontal="left" vertical="top" wrapText="1"/>
    </xf>
    <xf numFmtId="166" fontId="37" fillId="4" borderId="1" xfId="1" applyNumberFormat="1" applyFont="1" applyFill="1" applyBorder="1" applyAlignment="1">
      <alignment horizontal="center"/>
    </xf>
    <xf numFmtId="10" fontId="0" fillId="4" borderId="1" xfId="0" applyNumberFormat="1" applyFill="1" applyBorder="1"/>
    <xf numFmtId="0" fontId="17" fillId="0" borderId="1" xfId="0" applyFont="1" applyFill="1" applyBorder="1" applyAlignment="1">
      <alignment horizontal="center"/>
    </xf>
    <xf numFmtId="172" fontId="17" fillId="0" borderId="1" xfId="3" applyNumberFormat="1" applyFont="1" applyFill="1" applyBorder="1" applyAlignment="1">
      <alignment horizontal="center"/>
    </xf>
    <xf numFmtId="164" fontId="0" fillId="12" borderId="1" xfId="0" applyNumberFormat="1" applyFill="1" applyBorder="1"/>
    <xf numFmtId="164" fontId="0" fillId="16" borderId="1" xfId="0" applyNumberFormat="1" applyFill="1" applyBorder="1"/>
    <xf numFmtId="9" fontId="33" fillId="0" borderId="0" xfId="1" applyFont="1" applyAlignment="1">
      <alignment horizontal="center"/>
    </xf>
    <xf numFmtId="0" fontId="37" fillId="0" borderId="1" xfId="0" applyFont="1" applyFill="1" applyBorder="1" applyAlignment="1">
      <alignment horizontal="center"/>
    </xf>
    <xf numFmtId="164" fontId="37" fillId="0" borderId="1" xfId="0" applyNumberFormat="1" applyFont="1" applyFill="1" applyBorder="1" applyAlignment="1">
      <alignment horizontal="center"/>
    </xf>
    <xf numFmtId="9" fontId="37" fillId="0" borderId="1" xfId="1" applyFont="1" applyFill="1" applyBorder="1" applyAlignment="1">
      <alignment horizontal="center"/>
    </xf>
    <xf numFmtId="166" fontId="0" fillId="9" borderId="1" xfId="1" applyNumberFormat="1" applyFont="1" applyFill="1" applyBorder="1" applyAlignment="1">
      <alignment horizontal="center"/>
    </xf>
    <xf numFmtId="0" fontId="37" fillId="0" borderId="0" xfId="0" applyFont="1" applyAlignment="1">
      <alignment horizontal="center"/>
    </xf>
    <xf numFmtId="9" fontId="37" fillId="0" borderId="0" xfId="1" applyFont="1"/>
    <xf numFmtId="0" fontId="0" fillId="7" borderId="1" xfId="0" applyFill="1" applyBorder="1" applyAlignment="1">
      <alignment horizontal="center"/>
    </xf>
    <xf numFmtId="0" fontId="0" fillId="0" borderId="1" xfId="0" applyBorder="1" applyAlignment="1">
      <alignment horizontal="center"/>
    </xf>
    <xf numFmtId="0" fontId="17" fillId="0" borderId="18" xfId="0" applyFont="1" applyBorder="1" applyAlignment="1">
      <alignment horizontal="center"/>
    </xf>
    <xf numFmtId="0" fontId="17" fillId="0" borderId="19" xfId="0" applyFont="1" applyBorder="1" applyAlignment="1">
      <alignment horizontal="center"/>
    </xf>
    <xf numFmtId="9" fontId="0" fillId="0" borderId="1" xfId="0" applyNumberFormat="1" applyBorder="1" applyAlignment="1">
      <alignment horizontal="center"/>
    </xf>
    <xf numFmtId="164" fontId="37" fillId="0" borderId="1" xfId="0" applyNumberFormat="1" applyFont="1" applyFill="1" applyBorder="1"/>
    <xf numFmtId="0" fontId="17" fillId="0" borderId="0" xfId="0" applyFont="1" applyBorder="1" applyAlignment="1">
      <alignment horizontal="center"/>
    </xf>
    <xf numFmtId="9" fontId="0" fillId="0" borderId="1" xfId="1" applyNumberFormat="1" applyFont="1" applyBorder="1" applyAlignment="1">
      <alignment horizontal="center"/>
    </xf>
    <xf numFmtId="166" fontId="25" fillId="0" borderId="1" xfId="0" applyNumberFormat="1" applyFont="1" applyBorder="1" applyAlignment="1">
      <alignment horizontal="center"/>
    </xf>
    <xf numFmtId="9" fontId="25" fillId="0" borderId="1" xfId="0" applyNumberFormat="1" applyFont="1" applyBorder="1" applyAlignment="1">
      <alignment horizontal="center"/>
    </xf>
    <xf numFmtId="0" fontId="17" fillId="0" borderId="10" xfId="0" applyFont="1" applyBorder="1" applyAlignment="1">
      <alignment horizontal="center"/>
    </xf>
    <xf numFmtId="0" fontId="17" fillId="0" borderId="13" xfId="0" applyFont="1" applyFill="1" applyBorder="1" applyAlignment="1">
      <alignment horizontal="center"/>
    </xf>
    <xf numFmtId="0" fontId="0" fillId="17" borderId="20" xfId="0" applyFill="1" applyBorder="1" applyAlignment="1">
      <alignment horizontal="center"/>
    </xf>
    <xf numFmtId="0" fontId="0" fillId="17" borderId="11" xfId="0" applyFill="1" applyBorder="1" applyAlignment="1">
      <alignment horizontal="center"/>
    </xf>
    <xf numFmtId="9" fontId="0" fillId="17" borderId="11" xfId="0" applyNumberFormat="1" applyFill="1" applyBorder="1" applyAlignment="1">
      <alignment horizontal="center"/>
    </xf>
    <xf numFmtId="0" fontId="0" fillId="17" borderId="6" xfId="0" applyFill="1" applyBorder="1" applyAlignment="1">
      <alignment horizontal="center"/>
    </xf>
    <xf numFmtId="1" fontId="0" fillId="17" borderId="1" xfId="1" applyNumberFormat="1" applyFont="1" applyFill="1" applyBorder="1" applyAlignment="1">
      <alignment horizontal="center"/>
    </xf>
    <xf numFmtId="9" fontId="0" fillId="17" borderId="1" xfId="1" applyNumberFormat="1" applyFont="1" applyFill="1" applyBorder="1" applyAlignment="1">
      <alignment horizontal="center"/>
    </xf>
    <xf numFmtId="0" fontId="0" fillId="17" borderId="21" xfId="0" applyFill="1" applyBorder="1" applyAlignment="1">
      <alignment horizontal="center"/>
    </xf>
    <xf numFmtId="0" fontId="0" fillId="17" borderId="1" xfId="0" applyFill="1" applyBorder="1" applyAlignment="1">
      <alignment horizontal="center"/>
    </xf>
    <xf numFmtId="9" fontId="0" fillId="17" borderId="1" xfId="0" applyNumberFormat="1" applyFill="1" applyBorder="1" applyAlignment="1">
      <alignment horizontal="center"/>
    </xf>
    <xf numFmtId="0" fontId="0" fillId="17" borderId="10" xfId="0" applyFill="1" applyBorder="1" applyAlignment="1">
      <alignment horizontal="center"/>
    </xf>
    <xf numFmtId="0" fontId="0" fillId="7" borderId="21" xfId="0" applyFill="1" applyBorder="1" applyAlignment="1">
      <alignment horizontal="center"/>
    </xf>
    <xf numFmtId="9" fontId="0" fillId="7" borderId="1" xfId="0" applyNumberFormat="1" applyFill="1" applyBorder="1" applyAlignment="1">
      <alignment horizontal="center"/>
    </xf>
    <xf numFmtId="0" fontId="0" fillId="7" borderId="10" xfId="0" applyFill="1" applyBorder="1" applyAlignment="1">
      <alignment horizontal="center"/>
    </xf>
    <xf numFmtId="1" fontId="0" fillId="7" borderId="1" xfId="1" applyNumberFormat="1" applyFont="1" applyFill="1" applyBorder="1" applyAlignment="1">
      <alignment horizontal="center"/>
    </xf>
    <xf numFmtId="9" fontId="0" fillId="7" borderId="1" xfId="1" applyNumberFormat="1" applyFont="1" applyFill="1" applyBorder="1" applyAlignment="1">
      <alignment horizontal="center"/>
    </xf>
    <xf numFmtId="0" fontId="0" fillId="5" borderId="21" xfId="0" applyFill="1" applyBorder="1" applyAlignment="1">
      <alignment horizontal="center"/>
    </xf>
    <xf numFmtId="9" fontId="0" fillId="5" borderId="1" xfId="0" applyNumberFormat="1" applyFill="1" applyBorder="1" applyAlignment="1">
      <alignment horizontal="center"/>
    </xf>
    <xf numFmtId="0" fontId="0" fillId="5" borderId="10" xfId="0" applyFill="1" applyBorder="1" applyAlignment="1">
      <alignment horizontal="center"/>
    </xf>
    <xf numFmtId="1" fontId="0" fillId="5" borderId="1" xfId="1" applyNumberFormat="1" applyFont="1" applyFill="1" applyBorder="1" applyAlignment="1">
      <alignment horizontal="center"/>
    </xf>
    <xf numFmtId="9" fontId="0" fillId="5" borderId="1" xfId="1" applyNumberFormat="1" applyFont="1" applyFill="1" applyBorder="1" applyAlignment="1">
      <alignment horizontal="center"/>
    </xf>
    <xf numFmtId="0" fontId="0" fillId="5" borderId="22" xfId="0" applyFill="1" applyBorder="1" applyAlignment="1">
      <alignment horizontal="center"/>
    </xf>
    <xf numFmtId="0" fontId="0" fillId="5" borderId="23" xfId="0" applyFill="1" applyBorder="1" applyAlignment="1">
      <alignment horizontal="center"/>
    </xf>
    <xf numFmtId="9" fontId="0" fillId="5" borderId="23" xfId="0" applyNumberFormat="1" applyFill="1" applyBorder="1" applyAlignment="1">
      <alignment horizontal="center"/>
    </xf>
    <xf numFmtId="0" fontId="0" fillId="5" borderId="24" xfId="0" applyFill="1" applyBorder="1" applyAlignment="1">
      <alignment horizontal="center"/>
    </xf>
    <xf numFmtId="0" fontId="0" fillId="5" borderId="12" xfId="0" applyFill="1" applyBorder="1" applyAlignment="1">
      <alignment horizontal="center"/>
    </xf>
    <xf numFmtId="0" fontId="0" fillId="0" borderId="0" xfId="0" applyBorder="1" applyAlignment="1">
      <alignment horizontal="right"/>
    </xf>
    <xf numFmtId="0" fontId="0" fillId="0" borderId="12" xfId="0" applyBorder="1" applyAlignment="1">
      <alignment horizontal="center"/>
    </xf>
    <xf numFmtId="0" fontId="0" fillId="18" borderId="1" xfId="0" applyFill="1" applyBorder="1" applyAlignment="1">
      <alignment horizontal="center"/>
    </xf>
    <xf numFmtId="0" fontId="17" fillId="0" borderId="14" xfId="0" applyFont="1" applyBorder="1" applyAlignment="1">
      <alignment horizontal="center"/>
    </xf>
    <xf numFmtId="0" fontId="0" fillId="9" borderId="1" xfId="0" applyFill="1" applyBorder="1" applyAlignment="1">
      <alignment horizontal="center"/>
    </xf>
    <xf numFmtId="9" fontId="0" fillId="9" borderId="1" xfId="1" applyFont="1" applyFill="1" applyBorder="1" applyAlignment="1">
      <alignment horizontal="center"/>
    </xf>
    <xf numFmtId="165" fontId="0" fillId="9" borderId="1" xfId="0" applyNumberFormat="1" applyFill="1" applyBorder="1"/>
    <xf numFmtId="9" fontId="0" fillId="9" borderId="1" xfId="1" applyFont="1" applyFill="1" applyBorder="1"/>
    <xf numFmtId="0" fontId="0" fillId="9" borderId="1" xfId="0" applyFill="1" applyBorder="1"/>
    <xf numFmtId="0" fontId="0" fillId="0" borderId="1" xfId="0" applyBorder="1" applyAlignment="1">
      <alignment horizontal="center"/>
    </xf>
    <xf numFmtId="0" fontId="0" fillId="3" borderId="1" xfId="0" applyFill="1" applyBorder="1" applyAlignment="1">
      <alignment horizontal="center"/>
    </xf>
    <xf numFmtId="1" fontId="0" fillId="19" borderId="0" xfId="0" applyNumberFormat="1" applyFill="1"/>
    <xf numFmtId="0" fontId="0" fillId="0" borderId="1" xfId="0" applyBorder="1" applyAlignment="1">
      <alignment horizontal="center"/>
    </xf>
    <xf numFmtId="0" fontId="0" fillId="0" borderId="1" xfId="0" applyBorder="1" applyAlignment="1">
      <alignment horizontal="center"/>
    </xf>
    <xf numFmtId="0" fontId="0" fillId="0" borderId="0" xfId="0" applyAlignment="1">
      <alignment horizontal="right"/>
    </xf>
    <xf numFmtId="0" fontId="0" fillId="4" borderId="1" xfId="0" applyFill="1" applyBorder="1" applyAlignment="1">
      <alignment horizontal="center"/>
    </xf>
    <xf numFmtId="0" fontId="0" fillId="19" borderId="1" xfId="0" applyFill="1" applyBorder="1" applyAlignment="1">
      <alignment horizontal="center"/>
    </xf>
    <xf numFmtId="0" fontId="0" fillId="0" borderId="4" xfId="0" applyBorder="1" applyAlignment="1"/>
    <xf numFmtId="0" fontId="22" fillId="0" borderId="1" xfId="0" applyFont="1" applyBorder="1" applyAlignment="1">
      <alignment horizontal="center"/>
    </xf>
    <xf numFmtId="0" fontId="0" fillId="0" borderId="1" xfId="0" applyBorder="1" applyAlignment="1">
      <alignment horizontal="center"/>
    </xf>
    <xf numFmtId="0" fontId="0" fillId="0" borderId="0" xfId="0" applyAlignment="1">
      <alignment horizontal="right"/>
    </xf>
    <xf numFmtId="0" fontId="0" fillId="0" borderId="1" xfId="0" applyFill="1" applyBorder="1" applyAlignment="1">
      <alignment horizontal="right"/>
    </xf>
    <xf numFmtId="165" fontId="0" fillId="0" borderId="0" xfId="0" applyNumberFormat="1" applyFill="1"/>
    <xf numFmtId="0" fontId="0" fillId="0" borderId="1" xfId="0" applyBorder="1" applyAlignment="1">
      <alignment horizontal="center"/>
    </xf>
    <xf numFmtId="165" fontId="0" fillId="0" borderId="0" xfId="0" applyNumberFormat="1" applyBorder="1"/>
    <xf numFmtId="165" fontId="0" fillId="19" borderId="1" xfId="0" applyNumberFormat="1" applyFill="1" applyBorder="1"/>
    <xf numFmtId="0" fontId="0" fillId="0" borderId="12" xfId="0" applyBorder="1" applyAlignment="1">
      <alignment horizontal="right"/>
    </xf>
    <xf numFmtId="1" fontId="0" fillId="0" borderId="0"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right"/>
    </xf>
    <xf numFmtId="0" fontId="0" fillId="0" borderId="1" xfId="0" applyBorder="1" applyAlignment="1">
      <alignment horizontal="center"/>
    </xf>
    <xf numFmtId="0" fontId="0" fillId="0" borderId="1" xfId="0" applyBorder="1" applyAlignment="1">
      <alignment horizontal="right"/>
    </xf>
    <xf numFmtId="0" fontId="40" fillId="0" borderId="0" xfId="0" applyFont="1" applyAlignment="1">
      <alignment vertical="top"/>
    </xf>
    <xf numFmtId="0" fontId="40" fillId="0" borderId="1" xfId="0" applyFont="1" applyBorder="1" applyAlignment="1">
      <alignment horizontal="center" vertical="top"/>
    </xf>
    <xf numFmtId="0" fontId="42" fillId="2" borderId="1" xfId="0" applyFont="1" applyFill="1" applyBorder="1" applyAlignment="1">
      <alignment horizontal="center" vertical="center" wrapText="1"/>
    </xf>
    <xf numFmtId="0" fontId="43" fillId="2" borderId="1" xfId="0" applyFont="1" applyFill="1" applyBorder="1" applyAlignment="1">
      <alignment horizontal="center"/>
    </xf>
    <xf numFmtId="168" fontId="42" fillId="2" borderId="1" xfId="0" applyNumberFormat="1" applyFont="1" applyFill="1" applyBorder="1" applyAlignment="1">
      <alignment horizontal="center" vertical="center" wrapText="1"/>
    </xf>
    <xf numFmtId="164" fontId="42" fillId="2" borderId="1" xfId="0" applyNumberFormat="1" applyFont="1" applyFill="1" applyBorder="1" applyAlignment="1">
      <alignment horizontal="center" vertical="center" wrapText="1"/>
    </xf>
    <xf numFmtId="168" fontId="0" fillId="0" borderId="0" xfId="0" applyNumberFormat="1"/>
    <xf numFmtId="0" fontId="42" fillId="2" borderId="0" xfId="0" applyFont="1" applyFill="1" applyBorder="1" applyAlignment="1">
      <alignment horizontal="center" vertical="center" wrapText="1"/>
    </xf>
    <xf numFmtId="168" fontId="0" fillId="0" borderId="1" xfId="0" applyNumberFormat="1" applyBorder="1" applyAlignment="1">
      <alignment horizontal="center"/>
    </xf>
    <xf numFmtId="0" fontId="42" fillId="2" borderId="15" xfId="0" applyFont="1" applyFill="1" applyBorder="1" applyAlignment="1">
      <alignment horizontal="center" vertical="center" wrapText="1"/>
    </xf>
    <xf numFmtId="165" fontId="26" fillId="0" borderId="1" xfId="0" applyNumberFormat="1" applyFont="1" applyBorder="1" applyAlignment="1">
      <alignment horizontal="center"/>
    </xf>
    <xf numFmtId="164" fontId="0" fillId="19" borderId="1" xfId="0" applyNumberFormat="1" applyFill="1" applyBorder="1"/>
    <xf numFmtId="165" fontId="0" fillId="4" borderId="1" xfId="0" applyNumberFormat="1" applyFill="1" applyBorder="1" applyAlignment="1">
      <alignment horizontal="center"/>
    </xf>
    <xf numFmtId="0" fontId="3" fillId="19" borderId="1" xfId="0" applyFont="1" applyFill="1" applyBorder="1"/>
    <xf numFmtId="0" fontId="27" fillId="0" borderId="1" xfId="0" applyFont="1" applyBorder="1"/>
    <xf numFmtId="0" fontId="44" fillId="2" borderId="1" xfId="0" applyFont="1" applyFill="1" applyBorder="1" applyAlignment="1">
      <alignment horizontal="center" vertical="center" wrapText="1"/>
    </xf>
    <xf numFmtId="0" fontId="45" fillId="2" borderId="1" xfId="0" applyFont="1" applyFill="1" applyBorder="1" applyAlignment="1">
      <alignment horizontal="center" vertical="center" wrapText="1"/>
    </xf>
    <xf numFmtId="0" fontId="3" fillId="0" borderId="0" xfId="0" applyFont="1" applyAlignment="1">
      <alignment horizontal="right"/>
    </xf>
    <xf numFmtId="0" fontId="0" fillId="0" borderId="15" xfId="0" applyFill="1" applyBorder="1" applyAlignment="1">
      <alignment horizontal="center"/>
    </xf>
    <xf numFmtId="0" fontId="0" fillId="0" borderId="1" xfId="0" applyBorder="1" applyAlignment="1">
      <alignment horizontal="center"/>
    </xf>
    <xf numFmtId="0" fontId="0" fillId="0" borderId="1" xfId="0" applyFill="1" applyBorder="1" applyAlignment="1">
      <alignment horizontal="center"/>
    </xf>
    <xf numFmtId="0" fontId="0" fillId="0" borderId="0" xfId="0" applyFill="1" applyBorder="1" applyAlignment="1"/>
    <xf numFmtId="0" fontId="0" fillId="0" borderId="12" xfId="0" applyFill="1" applyBorder="1" applyAlignment="1">
      <alignment horizontal="center"/>
    </xf>
    <xf numFmtId="0" fontId="0" fillId="0" borderId="11" xfId="0" applyFill="1" applyBorder="1" applyAlignment="1">
      <alignment horizontal="center"/>
    </xf>
    <xf numFmtId="0" fontId="0" fillId="0" borderId="12" xfId="0" applyFill="1" applyBorder="1" applyAlignment="1"/>
    <xf numFmtId="0" fontId="0" fillId="0" borderId="15" xfId="0" applyFill="1" applyBorder="1" applyAlignment="1"/>
    <xf numFmtId="0" fontId="0" fillId="0" borderId="11" xfId="0" applyFill="1" applyBorder="1" applyAlignment="1"/>
    <xf numFmtId="0" fontId="0" fillId="0" borderId="1" xfId="0" applyBorder="1" applyAlignment="1">
      <alignment horizontal="center"/>
    </xf>
    <xf numFmtId="0" fontId="0" fillId="0" borderId="1" xfId="0" applyFill="1" applyBorder="1" applyAlignment="1">
      <alignment horizontal="center"/>
    </xf>
    <xf numFmtId="0" fontId="0" fillId="0" borderId="1" xfId="0" applyBorder="1" applyAlignment="1">
      <alignment horizontal="center" vertical="center"/>
    </xf>
    <xf numFmtId="0" fontId="0" fillId="0" borderId="10" xfId="0" applyBorder="1" applyAlignment="1">
      <alignment horizontal="center" vertical="center"/>
    </xf>
    <xf numFmtId="0" fontId="0" fillId="0" borderId="1" xfId="0" applyBorder="1" applyAlignment="1">
      <alignment horizontal="center"/>
    </xf>
    <xf numFmtId="0" fontId="0" fillId="0" borderId="1" xfId="0" applyFill="1" applyBorder="1" applyAlignment="1">
      <alignment horizontal="center" vertical="center"/>
    </xf>
    <xf numFmtId="0" fontId="0" fillId="19" borderId="0" xfId="0" applyFill="1"/>
    <xf numFmtId="1" fontId="0" fillId="4" borderId="1" xfId="0" applyNumberFormat="1" applyFill="1" applyBorder="1" applyAlignment="1">
      <alignment horizontal="center"/>
    </xf>
    <xf numFmtId="0" fontId="22" fillId="6" borderId="1" xfId="0" applyFont="1" applyFill="1" applyBorder="1"/>
    <xf numFmtId="0" fontId="0" fillId="0" borderId="1" xfId="0" applyBorder="1" applyAlignment="1">
      <alignment horizontal="center"/>
    </xf>
    <xf numFmtId="0" fontId="40" fillId="0" borderId="1" xfId="0" applyFont="1" applyBorder="1" applyAlignment="1">
      <alignment horizontal="center" vertical="center"/>
    </xf>
    <xf numFmtId="0" fontId="0" fillId="0" borderId="12" xfId="0" applyBorder="1" applyAlignment="1">
      <alignment horizontal="center" vertical="center"/>
    </xf>
    <xf numFmtId="0" fontId="0" fillId="0" borderId="2" xfId="0" applyBorder="1" applyAlignment="1">
      <alignment horizontal="center" vertical="center"/>
    </xf>
    <xf numFmtId="0" fontId="0" fillId="4" borderId="1" xfId="0" applyFill="1" applyBorder="1" applyAlignment="1">
      <alignment horizontal="center" vertical="center"/>
    </xf>
    <xf numFmtId="0" fontId="0" fillId="4" borderId="10" xfId="0" applyFill="1" applyBorder="1" applyAlignment="1">
      <alignment horizontal="center" vertical="center"/>
    </xf>
    <xf numFmtId="0" fontId="0" fillId="4" borderId="12" xfId="0" applyFill="1" applyBorder="1" applyAlignment="1">
      <alignment horizontal="center" vertical="center"/>
    </xf>
    <xf numFmtId="0" fontId="0" fillId="4" borderId="2" xfId="0" applyFill="1" applyBorder="1" applyAlignment="1">
      <alignment horizontal="center" vertical="center"/>
    </xf>
    <xf numFmtId="0" fontId="22" fillId="0" borderId="0" xfId="0" applyFont="1"/>
    <xf numFmtId="0" fontId="22" fillId="19" borderId="0" xfId="0" applyFont="1" applyFill="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0" fontId="0" fillId="0" borderId="1" xfId="0" applyFill="1" applyBorder="1" applyAlignment="1">
      <alignment horizontal="center" vertical="center"/>
    </xf>
    <xf numFmtId="0" fontId="0" fillId="0" borderId="1" xfId="0" applyBorder="1" applyAlignment="1">
      <alignment horizontal="center"/>
    </xf>
    <xf numFmtId="0" fontId="0" fillId="0" borderId="10" xfId="0" applyBorder="1" applyAlignment="1">
      <alignment horizontal="center"/>
    </xf>
    <xf numFmtId="0" fontId="0" fillId="0" borderId="1" xfId="0" applyFill="1" applyBorder="1" applyAlignment="1">
      <alignment horizontal="center"/>
    </xf>
    <xf numFmtId="0" fontId="22" fillId="0" borderId="0" xfId="0" applyFont="1" applyAlignment="1">
      <alignment horizontal="center"/>
    </xf>
    <xf numFmtId="0" fontId="0" fillId="2" borderId="0" xfId="0" applyFill="1"/>
    <xf numFmtId="0" fontId="48" fillId="2" borderId="0" xfId="0" applyFont="1" applyFill="1" applyBorder="1" applyAlignment="1">
      <alignment horizontal="left" vertical="center" wrapText="1" indent="1"/>
    </xf>
    <xf numFmtId="0" fontId="47" fillId="2" borderId="0" xfId="0" applyFont="1" applyFill="1" applyBorder="1" applyAlignment="1">
      <alignment horizontal="left" vertical="center" wrapText="1" indent="1"/>
    </xf>
    <xf numFmtId="0" fontId="46" fillId="2" borderId="0" xfId="0" applyFont="1" applyFill="1" applyBorder="1" applyAlignment="1">
      <alignment horizontal="left" vertical="top" wrapText="1" indent="1"/>
    </xf>
    <xf numFmtId="0" fontId="49" fillId="2" borderId="1" xfId="0" applyFont="1" applyFill="1" applyBorder="1" applyAlignment="1">
      <alignment horizontal="center" vertical="center" wrapText="1"/>
    </xf>
    <xf numFmtId="0" fontId="50" fillId="2" borderId="1" xfId="0" applyFont="1" applyFill="1" applyBorder="1" applyAlignment="1">
      <alignment horizontal="center" vertical="center" wrapText="1"/>
    </xf>
    <xf numFmtId="0" fontId="50" fillId="2" borderId="1" xfId="0" applyFont="1" applyFill="1" applyBorder="1" applyAlignment="1">
      <alignment horizontal="center" vertical="top" wrapText="1"/>
    </xf>
    <xf numFmtId="0" fontId="0" fillId="0" borderId="1" xfId="0" applyBorder="1" applyAlignment="1">
      <alignment horizontal="center"/>
    </xf>
    <xf numFmtId="0" fontId="0" fillId="0" borderId="1" xfId="0" applyBorder="1" applyAlignment="1">
      <alignment horizontal="left"/>
    </xf>
    <xf numFmtId="0" fontId="52" fillId="2" borderId="1" xfId="0" applyFont="1" applyFill="1" applyBorder="1" applyAlignment="1">
      <alignment horizontal="left" vertical="center" wrapText="1" indent="1"/>
    </xf>
    <xf numFmtId="0" fontId="52" fillId="2" borderId="1" xfId="0" applyFont="1" applyFill="1" applyBorder="1" applyAlignment="1">
      <alignment horizontal="center" vertical="center" wrapText="1"/>
    </xf>
    <xf numFmtId="0" fontId="51" fillId="2" borderId="0" xfId="0" applyFont="1" applyFill="1" applyBorder="1" applyAlignment="1">
      <alignment horizontal="left" vertical="center" wrapText="1" indent="1"/>
    </xf>
    <xf numFmtId="0" fontId="0" fillId="0" borderId="1" xfId="0" applyBorder="1" applyAlignment="1">
      <alignment horizontal="center"/>
    </xf>
    <xf numFmtId="164" fontId="52" fillId="2" borderId="1" xfId="0" applyNumberFormat="1" applyFont="1" applyFill="1" applyBorder="1" applyAlignment="1">
      <alignment horizontal="center" vertical="center" wrapText="1"/>
    </xf>
    <xf numFmtId="4" fontId="52" fillId="2" borderId="1" xfId="0" applyNumberFormat="1" applyFont="1" applyFill="1" applyBorder="1" applyAlignment="1">
      <alignment horizontal="center" vertical="center" wrapText="1"/>
    </xf>
    <xf numFmtId="0" fontId="45" fillId="4" borderId="1" xfId="0" applyFont="1" applyFill="1" applyBorder="1" applyAlignment="1">
      <alignment horizontal="center" vertical="center" wrapText="1"/>
    </xf>
    <xf numFmtId="0" fontId="0" fillId="20" borderId="1" xfId="0" applyFill="1" applyBorder="1" applyAlignment="1">
      <alignment horizontal="center"/>
    </xf>
    <xf numFmtId="0" fontId="0" fillId="20" borderId="0" xfId="0" applyFill="1"/>
    <xf numFmtId="0" fontId="45" fillId="20" borderId="1" xfId="0" applyFont="1" applyFill="1" applyBorder="1" applyAlignment="1">
      <alignment horizontal="center" vertical="center" wrapText="1"/>
    </xf>
    <xf numFmtId="0" fontId="0" fillId="20" borderId="0" xfId="0" applyFill="1" applyBorder="1" applyAlignment="1">
      <alignment horizontal="center"/>
    </xf>
    <xf numFmtId="0" fontId="22" fillId="19" borderId="1" xfId="0" applyFont="1" applyFill="1" applyBorder="1"/>
    <xf numFmtId="0" fontId="55" fillId="2" borderId="1" xfId="0" applyFont="1" applyFill="1" applyBorder="1" applyAlignment="1">
      <alignment horizontal="center" vertical="center" wrapText="1"/>
    </xf>
    <xf numFmtId="0" fontId="56" fillId="2" borderId="1" xfId="0" applyFont="1" applyFill="1" applyBorder="1" applyAlignment="1">
      <alignment horizontal="center" vertical="center" wrapText="1"/>
    </xf>
    <xf numFmtId="0" fontId="56" fillId="4" borderId="1" xfId="0" applyFont="1" applyFill="1" applyBorder="1" applyAlignment="1">
      <alignment horizontal="center" vertical="center" wrapText="1"/>
    </xf>
    <xf numFmtId="0" fontId="0" fillId="20" borderId="0" xfId="0" applyFill="1" applyAlignment="1">
      <alignment horizontal="left"/>
    </xf>
    <xf numFmtId="0" fontId="0" fillId="20" borderId="4" xfId="0" applyFill="1" applyBorder="1" applyAlignment="1">
      <alignment horizontal="left"/>
    </xf>
    <xf numFmtId="0" fontId="0" fillId="0" borderId="1" xfId="0" applyBorder="1" applyAlignment="1">
      <alignment horizontal="center"/>
    </xf>
    <xf numFmtId="0" fontId="0" fillId="0" borderId="0" xfId="0" applyFill="1" applyBorder="1" applyAlignment="1">
      <alignment horizontal="center"/>
    </xf>
    <xf numFmtId="0" fontId="53" fillId="0" borderId="1" xfId="0" applyFont="1" applyBorder="1" applyAlignment="1">
      <alignment horizontal="center"/>
    </xf>
    <xf numFmtId="0" fontId="0" fillId="0" borderId="1" xfId="0" applyBorder="1" applyAlignment="1"/>
    <xf numFmtId="0" fontId="58" fillId="2" borderId="1" xfId="0" applyFont="1" applyFill="1" applyBorder="1" applyAlignment="1">
      <alignment horizontal="center" vertical="center" wrapText="1"/>
    </xf>
    <xf numFmtId="0" fontId="57" fillId="2" borderId="1" xfId="0" applyFont="1" applyFill="1" applyBorder="1" applyAlignment="1">
      <alignment horizontal="center" vertical="center" wrapText="1"/>
    </xf>
    <xf numFmtId="0" fontId="59" fillId="2" borderId="1" xfId="0" applyFont="1" applyFill="1" applyBorder="1" applyAlignment="1">
      <alignment horizontal="center"/>
    </xf>
    <xf numFmtId="0" fontId="57" fillId="4" borderId="1" xfId="0" applyFont="1" applyFill="1" applyBorder="1" applyAlignment="1">
      <alignment horizontal="center" vertical="center" wrapText="1"/>
    </xf>
    <xf numFmtId="164" fontId="22" fillId="19" borderId="1" xfId="0" applyNumberFormat="1" applyFont="1" applyFill="1" applyBorder="1"/>
    <xf numFmtId="0" fontId="0" fillId="0" borderId="12" xfId="0" applyBorder="1"/>
    <xf numFmtId="0" fontId="0" fillId="0" borderId="1" xfId="0" applyBorder="1" applyAlignment="1">
      <alignment horizontal="center"/>
    </xf>
    <xf numFmtId="0" fontId="0" fillId="0" borderId="1" xfId="0" applyBorder="1" applyAlignment="1">
      <alignment horizontal="center"/>
    </xf>
    <xf numFmtId="0" fontId="0" fillId="0" borderId="0" xfId="0" applyAlignment="1">
      <alignment horizontal="right"/>
    </xf>
    <xf numFmtId="0" fontId="45" fillId="2" borderId="1" xfId="0" applyFont="1" applyFill="1" applyBorder="1" applyAlignment="1">
      <alignment horizontal="left" vertical="center" wrapText="1" indent="1"/>
    </xf>
    <xf numFmtId="0" fontId="0" fillId="0" borderId="1" xfId="0" applyBorder="1" applyAlignment="1">
      <alignment horizontal="center" vertical="center" wrapText="1"/>
    </xf>
    <xf numFmtId="0" fontId="0" fillId="0" borderId="1" xfId="0" applyBorder="1" applyAlignment="1">
      <alignment horizontal="center" vertical="center"/>
    </xf>
    <xf numFmtId="0" fontId="22" fillId="0" borderId="1" xfId="0" applyFont="1" applyBorder="1" applyAlignment="1">
      <alignment horizontal="center"/>
    </xf>
    <xf numFmtId="0" fontId="0" fillId="0" borderId="1" xfId="0" applyBorder="1" applyAlignment="1">
      <alignment horizontal="center"/>
    </xf>
    <xf numFmtId="0" fontId="0" fillId="0" borderId="1" xfId="0" applyFill="1" applyBorder="1" applyAlignment="1">
      <alignment horizontal="center" vertical="center"/>
    </xf>
    <xf numFmtId="0" fontId="0" fillId="0" borderId="0" xfId="0" applyFill="1" applyBorder="1" applyAlignment="1">
      <alignment horizontal="center"/>
    </xf>
    <xf numFmtId="0" fontId="57" fillId="2" borderId="1" xfId="0" applyFont="1" applyFill="1" applyBorder="1" applyAlignment="1">
      <alignment horizontal="center" vertical="center" wrapText="1"/>
    </xf>
    <xf numFmtId="0" fontId="60" fillId="2" borderId="1" xfId="0" applyFont="1" applyFill="1" applyBorder="1" applyAlignment="1">
      <alignment horizontal="center" vertical="center" wrapText="1"/>
    </xf>
    <xf numFmtId="0" fontId="0" fillId="0" borderId="1" xfId="0" applyBorder="1" applyAlignment="1">
      <alignment horizontal="center"/>
    </xf>
    <xf numFmtId="0" fontId="0" fillId="0" borderId="0" xfId="0" applyAlignment="1">
      <alignment horizontal="center" vertical="center"/>
    </xf>
    <xf numFmtId="0" fontId="57" fillId="2" borderId="1" xfId="0" applyFont="1" applyFill="1" applyBorder="1" applyAlignment="1">
      <alignment horizontal="left" vertical="center" wrapText="1" indent="1"/>
    </xf>
    <xf numFmtId="0" fontId="58" fillId="2" borderId="1" xfId="0" applyFont="1" applyFill="1" applyBorder="1" applyAlignment="1">
      <alignment horizontal="left" vertical="center" wrapText="1" indent="1"/>
    </xf>
    <xf numFmtId="0" fontId="22" fillId="19" borderId="1" xfId="0" applyFont="1" applyFill="1" applyBorder="1" applyAlignment="1">
      <alignment horizontal="center"/>
    </xf>
    <xf numFmtId="0" fontId="22" fillId="0" borderId="1" xfId="0" applyFont="1" applyBorder="1" applyAlignment="1">
      <alignment horizontal="center"/>
    </xf>
    <xf numFmtId="0" fontId="0" fillId="0" borderId="1" xfId="0" applyBorder="1" applyAlignment="1">
      <alignment horizontal="center"/>
    </xf>
    <xf numFmtId="9" fontId="0" fillId="4" borderId="1" xfId="1" applyFont="1" applyFill="1" applyBorder="1" applyAlignment="1">
      <alignment horizontal="center"/>
    </xf>
    <xf numFmtId="0" fontId="0" fillId="0" borderId="1" xfId="0" applyBorder="1" applyAlignment="1">
      <alignment horizontal="center"/>
    </xf>
    <xf numFmtId="0" fontId="0" fillId="0" borderId="1" xfId="0" applyBorder="1" applyAlignment="1">
      <alignment horizontal="right"/>
    </xf>
    <xf numFmtId="0" fontId="22" fillId="0" borderId="1" xfId="0" applyFont="1" applyBorder="1" applyAlignment="1">
      <alignment horizontal="center"/>
    </xf>
    <xf numFmtId="0" fontId="0" fillId="0" borderId="1" xfId="0" applyBorder="1" applyAlignment="1">
      <alignment horizontal="center"/>
    </xf>
    <xf numFmtId="0" fontId="0" fillId="0" borderId="1" xfId="0" applyBorder="1" applyAlignment="1">
      <alignment horizontal="right"/>
    </xf>
    <xf numFmtId="0" fontId="0" fillId="0" borderId="0" xfId="0" applyFill="1" applyBorder="1" applyAlignment="1">
      <alignment horizontal="right"/>
    </xf>
    <xf numFmtId="165" fontId="0" fillId="0" borderId="1" xfId="0" applyNumberFormat="1" applyFill="1" applyBorder="1"/>
    <xf numFmtId="164" fontId="22" fillId="19" borderId="1" xfId="3" applyNumberFormat="1" applyFont="1" applyFill="1" applyBorder="1"/>
    <xf numFmtId="0" fontId="0" fillId="0" borderId="1" xfId="0" applyBorder="1" applyAlignment="1">
      <alignment horizontal="center"/>
    </xf>
    <xf numFmtId="165" fontId="0" fillId="0" borderId="0" xfId="0" applyNumberFormat="1" applyAlignment="1">
      <alignment horizontal="center"/>
    </xf>
    <xf numFmtId="165" fontId="22" fillId="19" borderId="1" xfId="0" applyNumberFormat="1" applyFont="1" applyFill="1" applyBorder="1" applyAlignment="1">
      <alignment horizontal="center"/>
    </xf>
    <xf numFmtId="2" fontId="0" fillId="4" borderId="1" xfId="0" applyNumberFormat="1" applyFill="1" applyBorder="1" applyAlignment="1">
      <alignment horizontal="center"/>
    </xf>
    <xf numFmtId="1" fontId="0" fillId="0" borderId="0" xfId="0" applyNumberFormat="1"/>
    <xf numFmtId="0" fontId="0" fillId="6" borderId="2" xfId="0" applyFill="1" applyBorder="1" applyAlignment="1">
      <alignment horizontal="left" vertical="top" wrapText="1"/>
    </xf>
    <xf numFmtId="0" fontId="0" fillId="6" borderId="8" xfId="0" applyFill="1" applyBorder="1" applyAlignment="1">
      <alignment horizontal="left" vertical="top"/>
    </xf>
    <xf numFmtId="0" fontId="0" fillId="6" borderId="3" xfId="0" applyFill="1" applyBorder="1" applyAlignment="1">
      <alignment horizontal="left" vertical="top"/>
    </xf>
    <xf numFmtId="0" fontId="0" fillId="6" borderId="4" xfId="0" applyFill="1" applyBorder="1" applyAlignment="1">
      <alignment horizontal="left" vertical="top"/>
    </xf>
    <xf numFmtId="0" fontId="0" fillId="6" borderId="0" xfId="0" applyFill="1" applyBorder="1" applyAlignment="1">
      <alignment horizontal="left" vertical="top"/>
    </xf>
    <xf numFmtId="0" fontId="0" fillId="6" borderId="5" xfId="0" applyFill="1" applyBorder="1" applyAlignment="1">
      <alignment horizontal="left" vertical="top"/>
    </xf>
    <xf numFmtId="0" fontId="0" fillId="6" borderId="6" xfId="0" applyFill="1" applyBorder="1" applyAlignment="1">
      <alignment horizontal="left" vertical="top"/>
    </xf>
    <xf numFmtId="0" fontId="0" fillId="6" borderId="9" xfId="0" applyFill="1" applyBorder="1" applyAlignment="1">
      <alignment horizontal="left" vertical="top"/>
    </xf>
    <xf numFmtId="0" fontId="0" fillId="6" borderId="7" xfId="0" applyFill="1" applyBorder="1" applyAlignment="1">
      <alignment horizontal="left" vertical="top"/>
    </xf>
    <xf numFmtId="0" fontId="11" fillId="5" borderId="2" xfId="0" applyFont="1" applyFill="1" applyBorder="1" applyAlignment="1">
      <alignment horizontal="left" vertical="top" wrapText="1"/>
    </xf>
    <xf numFmtId="0" fontId="0" fillId="5" borderId="8" xfId="0" applyFill="1" applyBorder="1" applyAlignment="1">
      <alignment horizontal="left" vertical="top" wrapText="1"/>
    </xf>
    <xf numFmtId="0" fontId="0" fillId="5" borderId="3"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5" borderId="5" xfId="0" applyFill="1" applyBorder="1" applyAlignment="1">
      <alignment horizontal="left" vertical="top" wrapText="1"/>
    </xf>
    <xf numFmtId="0" fontId="0" fillId="5" borderId="6" xfId="0" applyFill="1" applyBorder="1" applyAlignment="1">
      <alignment horizontal="left" vertical="top" wrapText="1"/>
    </xf>
    <xf numFmtId="0" fontId="0" fillId="5" borderId="9" xfId="0" applyFill="1" applyBorder="1" applyAlignment="1">
      <alignment horizontal="left" vertical="top" wrapText="1"/>
    </xf>
    <xf numFmtId="0" fontId="0" fillId="5" borderId="7" xfId="0" applyFill="1" applyBorder="1" applyAlignment="1">
      <alignment horizontal="left" vertical="top" wrapText="1"/>
    </xf>
    <xf numFmtId="0" fontId="0" fillId="0" borderId="1" xfId="0" applyBorder="1" applyAlignment="1">
      <alignment horizontal="center" vertical="center" wrapText="1"/>
    </xf>
    <xf numFmtId="167" fontId="0" fillId="0" borderId="1" xfId="0" applyNumberFormat="1" applyBorder="1" applyAlignment="1">
      <alignment horizontal="center" vertical="center"/>
    </xf>
    <xf numFmtId="0" fontId="0" fillId="5" borderId="8" xfId="0" applyFill="1" applyBorder="1" applyAlignment="1">
      <alignment horizontal="left" vertical="top"/>
    </xf>
    <xf numFmtId="0" fontId="0" fillId="5" borderId="3" xfId="0" applyFill="1" applyBorder="1" applyAlignment="1">
      <alignment horizontal="left" vertical="top"/>
    </xf>
    <xf numFmtId="0" fontId="0" fillId="5" borderId="4" xfId="0" applyFill="1" applyBorder="1" applyAlignment="1">
      <alignment horizontal="left" vertical="top"/>
    </xf>
    <xf numFmtId="0" fontId="0" fillId="5" borderId="0" xfId="0" applyFill="1" applyBorder="1" applyAlignment="1">
      <alignment horizontal="left" vertical="top"/>
    </xf>
    <xf numFmtId="0" fontId="0" fillId="5" borderId="5" xfId="0" applyFill="1" applyBorder="1" applyAlignment="1">
      <alignment horizontal="left" vertical="top"/>
    </xf>
    <xf numFmtId="0" fontId="0" fillId="5" borderId="6" xfId="0" applyFill="1" applyBorder="1" applyAlignment="1">
      <alignment horizontal="left" vertical="top"/>
    </xf>
    <xf numFmtId="0" fontId="0" fillId="5" borderId="9" xfId="0" applyFill="1" applyBorder="1" applyAlignment="1">
      <alignment horizontal="left" vertical="top"/>
    </xf>
    <xf numFmtId="0" fontId="0" fillId="5" borderId="7" xfId="0" applyFill="1" applyBorder="1" applyAlignment="1">
      <alignment horizontal="left" vertical="top"/>
    </xf>
    <xf numFmtId="0" fontId="22" fillId="0" borderId="1" xfId="0" applyFont="1" applyBorder="1" applyAlignment="1">
      <alignment horizontal="left"/>
    </xf>
    <xf numFmtId="0" fontId="14" fillId="6" borderId="2" xfId="0" applyFont="1" applyFill="1" applyBorder="1" applyAlignment="1">
      <alignment horizontal="left" vertical="top" wrapText="1"/>
    </xf>
    <xf numFmtId="0" fontId="14" fillId="6" borderId="8" xfId="0" applyFont="1" applyFill="1" applyBorder="1" applyAlignment="1">
      <alignment horizontal="left" vertical="top" wrapText="1"/>
    </xf>
    <xf numFmtId="0" fontId="14" fillId="6" borderId="3" xfId="0" applyFont="1" applyFill="1" applyBorder="1" applyAlignment="1">
      <alignment horizontal="left" vertical="top" wrapText="1"/>
    </xf>
    <xf numFmtId="0" fontId="14" fillId="6" borderId="4" xfId="0" applyFont="1" applyFill="1" applyBorder="1" applyAlignment="1">
      <alignment horizontal="left" vertical="top" wrapText="1"/>
    </xf>
    <xf numFmtId="0" fontId="14" fillId="6" borderId="0" xfId="0" applyFont="1" applyFill="1" applyBorder="1" applyAlignment="1">
      <alignment horizontal="left" vertical="top" wrapText="1"/>
    </xf>
    <xf numFmtId="0" fontId="14" fillId="6" borderId="5" xfId="0" applyFont="1" applyFill="1" applyBorder="1" applyAlignment="1">
      <alignment horizontal="left" vertical="top" wrapText="1"/>
    </xf>
    <xf numFmtId="0" fontId="14" fillId="6" borderId="6" xfId="0" applyFont="1" applyFill="1" applyBorder="1" applyAlignment="1">
      <alignment horizontal="left" vertical="top" wrapText="1"/>
    </xf>
    <xf numFmtId="0" fontId="14" fillId="6" borderId="9" xfId="0" applyFont="1" applyFill="1" applyBorder="1" applyAlignment="1">
      <alignment horizontal="left" vertical="top" wrapText="1"/>
    </xf>
    <xf numFmtId="0" fontId="14" fillId="6" borderId="7" xfId="0" applyFont="1" applyFill="1" applyBorder="1" applyAlignment="1">
      <alignment horizontal="left" vertical="top" wrapText="1"/>
    </xf>
    <xf numFmtId="0" fontId="0" fillId="7" borderId="1" xfId="0" applyFill="1" applyBorder="1" applyAlignment="1">
      <alignment horizontal="center"/>
    </xf>
    <xf numFmtId="0" fontId="0" fillId="0" borderId="1" xfId="0" applyBorder="1" applyAlignment="1">
      <alignment horizontal="center" vertical="center"/>
    </xf>
    <xf numFmtId="0" fontId="0" fillId="0" borderId="10" xfId="0" applyBorder="1" applyAlignment="1">
      <alignment horizontal="center" vertical="center"/>
    </xf>
    <xf numFmtId="0" fontId="22" fillId="0" borderId="5" xfId="0" applyFont="1" applyBorder="1" applyAlignment="1">
      <alignment horizontal="right" vertical="center" textRotation="90"/>
    </xf>
    <xf numFmtId="0" fontId="22" fillId="0" borderId="1" xfId="0" applyFont="1" applyBorder="1" applyAlignment="1">
      <alignment horizontal="center"/>
    </xf>
    <xf numFmtId="0" fontId="12" fillId="6" borderId="1" xfId="0" applyFont="1" applyFill="1" applyBorder="1" applyAlignment="1">
      <alignment horizontal="left" vertical="top" wrapText="1"/>
    </xf>
    <xf numFmtId="0" fontId="0" fillId="6" borderId="1" xfId="0" applyFill="1" applyBorder="1" applyAlignment="1">
      <alignment horizontal="left" vertical="top" wrapText="1"/>
    </xf>
    <xf numFmtId="0" fontId="28" fillId="0" borderId="1" xfId="0" applyFont="1" applyBorder="1" applyAlignment="1">
      <alignment horizontal="center"/>
    </xf>
    <xf numFmtId="0" fontId="10" fillId="6" borderId="1" xfId="0" applyFont="1" applyFill="1" applyBorder="1" applyAlignment="1">
      <alignment horizontal="left" vertical="top" wrapText="1"/>
    </xf>
    <xf numFmtId="0" fontId="0" fillId="0" borderId="1" xfId="0" applyBorder="1" applyAlignment="1">
      <alignment horizontal="center"/>
    </xf>
    <xf numFmtId="0" fontId="22" fillId="0" borderId="10" xfId="0" applyFont="1" applyBorder="1" applyAlignment="1">
      <alignment horizontal="center"/>
    </xf>
    <xf numFmtId="0" fontId="22" fillId="0" borderId="13" xfId="0" applyFont="1" applyBorder="1" applyAlignment="1">
      <alignment horizontal="center"/>
    </xf>
    <xf numFmtId="0" fontId="22" fillId="15" borderId="10" xfId="0" applyFont="1" applyFill="1" applyBorder="1" applyAlignment="1">
      <alignment horizontal="center"/>
    </xf>
    <xf numFmtId="0" fontId="22" fillId="15" borderId="14" xfId="0" applyFont="1" applyFill="1" applyBorder="1" applyAlignment="1">
      <alignment horizontal="center"/>
    </xf>
    <xf numFmtId="0" fontId="22" fillId="15" borderId="13" xfId="0" applyFont="1" applyFill="1" applyBorder="1" applyAlignment="1">
      <alignment horizontal="center"/>
    </xf>
    <xf numFmtId="0" fontId="0" fillId="0" borderId="0" xfId="0" applyAlignment="1">
      <alignment horizontal="center" wrapText="1"/>
    </xf>
    <xf numFmtId="165" fontId="0" fillId="0" borderId="0" xfId="0" applyNumberFormat="1" applyAlignment="1">
      <alignment horizontal="center" vertical="center"/>
    </xf>
    <xf numFmtId="0" fontId="0" fillId="0" borderId="10" xfId="0" applyFill="1" applyBorder="1" applyAlignment="1">
      <alignment horizontal="left"/>
    </xf>
    <xf numFmtId="0" fontId="0" fillId="0" borderId="14" xfId="0" applyFill="1" applyBorder="1" applyAlignment="1">
      <alignment horizontal="left"/>
    </xf>
    <xf numFmtId="0" fontId="0" fillId="0" borderId="13" xfId="0" applyFill="1" applyBorder="1" applyAlignment="1">
      <alignment horizontal="left"/>
    </xf>
    <xf numFmtId="0" fontId="0" fillId="0" borderId="6" xfId="0" applyFill="1" applyBorder="1" applyAlignment="1">
      <alignment horizontal="left"/>
    </xf>
    <xf numFmtId="0" fontId="0" fillId="0" borderId="9" xfId="0" applyFill="1" applyBorder="1" applyAlignment="1">
      <alignment horizontal="left"/>
    </xf>
    <xf numFmtId="0" fontId="0" fillId="0" borderId="7" xfId="0" applyFill="1" applyBorder="1" applyAlignment="1">
      <alignment horizontal="left"/>
    </xf>
    <xf numFmtId="0" fontId="0" fillId="0" borderId="0" xfId="0" applyAlignment="1">
      <alignment horizontal="left"/>
    </xf>
    <xf numFmtId="0" fontId="0" fillId="0" borderId="0" xfId="0" applyAlignment="1">
      <alignment horizontal="right"/>
    </xf>
    <xf numFmtId="0" fontId="0" fillId="0" borderId="5" xfId="0" applyBorder="1" applyAlignment="1">
      <alignment horizontal="right"/>
    </xf>
    <xf numFmtId="0" fontId="0" fillId="0" borderId="4" xfId="0" applyBorder="1" applyAlignment="1">
      <alignment horizontal="left"/>
    </xf>
    <xf numFmtId="0" fontId="22" fillId="15" borderId="12" xfId="0" applyFont="1" applyFill="1" applyBorder="1" applyAlignment="1">
      <alignment horizontal="right" vertical="center" textRotation="90"/>
    </xf>
    <xf numFmtId="0" fontId="22" fillId="15" borderId="15" xfId="0" applyFont="1" applyFill="1" applyBorder="1" applyAlignment="1">
      <alignment horizontal="right" vertical="center" textRotation="90"/>
    </xf>
    <xf numFmtId="0" fontId="22" fillId="15" borderId="11" xfId="0" applyFont="1" applyFill="1" applyBorder="1" applyAlignment="1">
      <alignment horizontal="right" vertical="center" textRotation="90"/>
    </xf>
    <xf numFmtId="0" fontId="8" fillId="15" borderId="1" xfId="0" applyFont="1" applyFill="1" applyBorder="1" applyAlignment="1">
      <alignment horizontal="left" vertical="top" wrapText="1"/>
    </xf>
    <xf numFmtId="0" fontId="9" fillId="15" borderId="1" xfId="0" applyFont="1" applyFill="1" applyBorder="1" applyAlignment="1">
      <alignment horizontal="left" vertical="top" wrapText="1"/>
    </xf>
    <xf numFmtId="0" fontId="0" fillId="0" borderId="1" xfId="0" applyFill="1" applyBorder="1" applyAlignment="1">
      <alignment horizontal="center" vertical="center"/>
    </xf>
    <xf numFmtId="0" fontId="0" fillId="0" borderId="11" xfId="0" applyBorder="1" applyAlignment="1">
      <alignment horizontal="center" vertical="top" wrapText="1"/>
    </xf>
    <xf numFmtId="0" fontId="0" fillId="0" borderId="11"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7" fillId="15" borderId="2" xfId="0" applyFont="1" applyFill="1" applyBorder="1" applyAlignment="1">
      <alignment horizontal="left" vertical="top" wrapText="1"/>
    </xf>
    <xf numFmtId="0" fontId="0" fillId="15" borderId="8" xfId="0" applyFill="1" applyBorder="1" applyAlignment="1">
      <alignment horizontal="left" vertical="top" wrapText="1"/>
    </xf>
    <xf numFmtId="0" fontId="0" fillId="15" borderId="3" xfId="0" applyFill="1" applyBorder="1" applyAlignment="1">
      <alignment horizontal="left" vertical="top" wrapText="1"/>
    </xf>
    <xf numFmtId="0" fontId="0" fillId="15" borderId="4" xfId="0" applyFill="1" applyBorder="1" applyAlignment="1">
      <alignment horizontal="left" vertical="top" wrapText="1"/>
    </xf>
    <xf numFmtId="0" fontId="0" fillId="15" borderId="0" xfId="0" applyFill="1" applyBorder="1" applyAlignment="1">
      <alignment horizontal="left" vertical="top" wrapText="1"/>
    </xf>
    <xf numFmtId="0" fontId="0" fillId="15" borderId="5" xfId="0" applyFill="1" applyBorder="1" applyAlignment="1">
      <alignment horizontal="left" vertical="top" wrapText="1"/>
    </xf>
    <xf numFmtId="0" fontId="0" fillId="15" borderId="6" xfId="0" applyFill="1" applyBorder="1" applyAlignment="1">
      <alignment horizontal="left" vertical="top" wrapText="1"/>
    </xf>
    <xf numFmtId="0" fontId="0" fillId="15" borderId="9" xfId="0" applyFill="1" applyBorder="1" applyAlignment="1">
      <alignment horizontal="left" vertical="top" wrapText="1"/>
    </xf>
    <xf numFmtId="0" fontId="0" fillId="15" borderId="7" xfId="0" applyFill="1" applyBorder="1" applyAlignment="1">
      <alignment horizontal="left" vertical="top" wrapText="1"/>
    </xf>
    <xf numFmtId="0" fontId="6" fillId="15" borderId="2" xfId="0" applyFont="1" applyFill="1" applyBorder="1" applyAlignment="1">
      <alignment horizontal="left" vertical="top" wrapText="1"/>
    </xf>
    <xf numFmtId="0" fontId="0" fillId="15" borderId="8" xfId="0" applyFill="1" applyBorder="1" applyAlignment="1">
      <alignment horizontal="left" vertical="top"/>
    </xf>
    <xf numFmtId="0" fontId="0" fillId="15" borderId="3" xfId="0" applyFill="1" applyBorder="1" applyAlignment="1">
      <alignment horizontal="left" vertical="top"/>
    </xf>
    <xf numFmtId="0" fontId="0" fillId="15" borderId="4" xfId="0" applyFill="1" applyBorder="1" applyAlignment="1">
      <alignment horizontal="left" vertical="top"/>
    </xf>
    <xf numFmtId="0" fontId="0" fillId="15" borderId="0" xfId="0" applyFill="1" applyBorder="1" applyAlignment="1">
      <alignment horizontal="left" vertical="top"/>
    </xf>
    <xf numFmtId="0" fontId="0" fillId="15" borderId="5" xfId="0" applyFill="1" applyBorder="1" applyAlignment="1">
      <alignment horizontal="left" vertical="top"/>
    </xf>
    <xf numFmtId="0" fontId="0" fillId="15" borderId="6" xfId="0" applyFill="1" applyBorder="1" applyAlignment="1">
      <alignment horizontal="left" vertical="top"/>
    </xf>
    <xf numFmtId="0" fontId="0" fillId="15" borderId="9" xfId="0" applyFill="1" applyBorder="1" applyAlignment="1">
      <alignment horizontal="left" vertical="top"/>
    </xf>
    <xf numFmtId="0" fontId="0" fillId="15" borderId="7" xfId="0" applyFill="1" applyBorder="1" applyAlignment="1">
      <alignment horizontal="left" vertical="top"/>
    </xf>
    <xf numFmtId="0" fontId="0" fillId="0" borderId="11" xfId="0" applyFill="1" applyBorder="1" applyAlignment="1">
      <alignment horizontal="center" vertical="center"/>
    </xf>
    <xf numFmtId="0" fontId="22" fillId="15" borderId="1" xfId="0" applyFont="1" applyFill="1" applyBorder="1" applyAlignment="1">
      <alignment horizontal="left" vertical="top" wrapText="1"/>
    </xf>
    <xf numFmtId="0" fontId="33" fillId="0" borderId="0" xfId="0" applyFont="1" applyAlignment="1">
      <alignment horizontal="center"/>
    </xf>
    <xf numFmtId="0" fontId="37" fillId="0" borderId="1" xfId="0" applyFont="1" applyFill="1" applyBorder="1" applyAlignment="1">
      <alignment horizontal="center"/>
    </xf>
    <xf numFmtId="0" fontId="4" fillId="6" borderId="2" xfId="0" applyFont="1" applyFill="1" applyBorder="1" applyAlignment="1">
      <alignment horizontal="left" vertical="top" wrapText="1"/>
    </xf>
    <xf numFmtId="0" fontId="0" fillId="6" borderId="8" xfId="0" applyFill="1" applyBorder="1" applyAlignment="1">
      <alignment horizontal="left" vertical="top" wrapText="1"/>
    </xf>
    <xf numFmtId="0" fontId="0" fillId="6" borderId="3" xfId="0" applyFill="1" applyBorder="1" applyAlignment="1">
      <alignment horizontal="left" vertical="top" wrapText="1"/>
    </xf>
    <xf numFmtId="0" fontId="0" fillId="6" borderId="4" xfId="0" applyFill="1" applyBorder="1" applyAlignment="1">
      <alignment horizontal="left" vertical="top" wrapText="1"/>
    </xf>
    <xf numFmtId="0" fontId="0" fillId="6" borderId="0" xfId="0" applyFill="1" applyBorder="1" applyAlignment="1">
      <alignment horizontal="left" vertical="top" wrapText="1"/>
    </xf>
    <xf numFmtId="0" fontId="0" fillId="6" borderId="5" xfId="0" applyFill="1" applyBorder="1" applyAlignment="1">
      <alignment horizontal="left" vertical="top" wrapText="1"/>
    </xf>
    <xf numFmtId="0" fontId="0" fillId="6" borderId="6" xfId="0" applyFill="1" applyBorder="1" applyAlignment="1">
      <alignment horizontal="left" vertical="top" wrapText="1"/>
    </xf>
    <xf numFmtId="0" fontId="0" fillId="6" borderId="9" xfId="0" applyFill="1" applyBorder="1" applyAlignment="1">
      <alignment horizontal="left" vertical="top" wrapText="1"/>
    </xf>
    <xf numFmtId="0" fontId="0" fillId="6" borderId="7" xfId="0" applyFill="1" applyBorder="1" applyAlignment="1">
      <alignment horizontal="left" vertical="top" wrapText="1"/>
    </xf>
    <xf numFmtId="0" fontId="17" fillId="0" borderId="1" xfId="0" applyFont="1" applyFill="1" applyBorder="1" applyAlignment="1">
      <alignment horizontal="center" wrapText="1"/>
    </xf>
    <xf numFmtId="0" fontId="0" fillId="0" borderId="14" xfId="0" applyBorder="1" applyAlignment="1">
      <alignment horizontal="center"/>
    </xf>
    <xf numFmtId="0" fontId="17" fillId="0" borderId="16" xfId="0" applyFont="1" applyBorder="1" applyAlignment="1">
      <alignment horizontal="center"/>
    </xf>
    <xf numFmtId="0" fontId="17" fillId="0" borderId="17" xfId="0" applyFont="1" applyBorder="1" applyAlignment="1">
      <alignment horizontal="center"/>
    </xf>
    <xf numFmtId="0" fontId="2" fillId="6" borderId="1" xfId="0" applyFont="1" applyFill="1" applyBorder="1" applyAlignment="1">
      <alignment horizontal="left" vertical="top" wrapText="1"/>
    </xf>
    <xf numFmtId="0" fontId="5" fillId="6" borderId="1" xfId="0" applyFont="1" applyFill="1" applyBorder="1" applyAlignment="1">
      <alignment horizontal="left" vertical="top" wrapText="1"/>
    </xf>
    <xf numFmtId="0" fontId="17" fillId="0" borderId="1" xfId="0" applyFont="1" applyBorder="1" applyAlignment="1">
      <alignment horizontal="center" wrapText="1"/>
    </xf>
    <xf numFmtId="0" fontId="0" fillId="0" borderId="1" xfId="0" applyFill="1" applyBorder="1" applyAlignment="1">
      <alignment horizontal="center"/>
    </xf>
    <xf numFmtId="0" fontId="22" fillId="0" borderId="10" xfId="0" applyFont="1" applyBorder="1" applyAlignment="1">
      <alignment horizontal="left"/>
    </xf>
    <xf numFmtId="0" fontId="22" fillId="0" borderId="14" xfId="0" applyFont="1" applyBorder="1" applyAlignment="1">
      <alignment horizontal="left"/>
    </xf>
    <xf numFmtId="0" fontId="22" fillId="0" borderId="13" xfId="0" applyFont="1" applyBorder="1" applyAlignment="1">
      <alignment horizontal="left"/>
    </xf>
    <xf numFmtId="0" fontId="0" fillId="0" borderId="10" xfId="0" applyBorder="1" applyAlignment="1">
      <alignment horizontal="right"/>
    </xf>
    <xf numFmtId="0" fontId="0" fillId="0" borderId="13" xfId="0" applyBorder="1" applyAlignment="1">
      <alignment horizontal="right"/>
    </xf>
    <xf numFmtId="0" fontId="0" fillId="0" borderId="1" xfId="0" applyBorder="1" applyAlignment="1">
      <alignment horizontal="right"/>
    </xf>
    <xf numFmtId="0" fontId="41" fillId="0" borderId="1" xfId="0" applyFont="1" applyBorder="1" applyAlignment="1">
      <alignment horizontal="center"/>
    </xf>
    <xf numFmtId="0" fontId="0" fillId="0" borderId="0" xfId="0" applyFill="1" applyBorder="1" applyAlignment="1">
      <alignment horizontal="right"/>
    </xf>
    <xf numFmtId="0" fontId="0" fillId="0" borderId="0" xfId="0" applyFill="1" applyBorder="1" applyAlignment="1">
      <alignment horizontal="center"/>
    </xf>
    <xf numFmtId="0" fontId="22" fillId="6" borderId="1" xfId="0" applyFont="1" applyFill="1" applyBorder="1" applyAlignment="1">
      <alignment horizontal="left"/>
    </xf>
    <xf numFmtId="0" fontId="22" fillId="6" borderId="10" xfId="0" applyFont="1" applyFill="1" applyBorder="1" applyAlignment="1">
      <alignment horizontal="center"/>
    </xf>
    <xf numFmtId="0" fontId="22" fillId="6" borderId="14" xfId="0" applyFont="1" applyFill="1" applyBorder="1" applyAlignment="1">
      <alignment horizontal="center"/>
    </xf>
    <xf numFmtId="0" fontId="22" fillId="6" borderId="13" xfId="0" applyFont="1" applyFill="1" applyBorder="1" applyAlignment="1">
      <alignment horizontal="center"/>
    </xf>
    <xf numFmtId="1" fontId="22" fillId="19" borderId="10" xfId="0" applyNumberFormat="1" applyFont="1" applyFill="1" applyBorder="1" applyAlignment="1">
      <alignment horizontal="center"/>
    </xf>
    <xf numFmtId="1" fontId="22" fillId="19" borderId="13" xfId="0" applyNumberFormat="1" applyFont="1" applyFill="1" applyBorder="1" applyAlignment="1">
      <alignment horizontal="center"/>
    </xf>
    <xf numFmtId="0" fontId="0" fillId="0" borderId="5" xfId="0" applyBorder="1" applyAlignment="1">
      <alignment horizontal="right" textRotation="90"/>
    </xf>
    <xf numFmtId="0" fontId="0" fillId="0" borderId="5" xfId="0" applyBorder="1" applyAlignment="1">
      <alignment horizontal="left"/>
    </xf>
    <xf numFmtId="0" fontId="0" fillId="0" borderId="9" xfId="0" applyBorder="1" applyAlignment="1">
      <alignment horizontal="center"/>
    </xf>
    <xf numFmtId="0" fontId="0" fillId="0" borderId="5" xfId="0" applyBorder="1" applyAlignment="1">
      <alignment horizontal="center" vertical="center" textRotation="90"/>
    </xf>
    <xf numFmtId="0" fontId="0" fillId="0" borderId="1" xfId="0" applyBorder="1" applyAlignment="1">
      <alignment horizontal="left"/>
    </xf>
    <xf numFmtId="0" fontId="49" fillId="2" borderId="1" xfId="0" applyFont="1" applyFill="1" applyBorder="1" applyAlignment="1">
      <alignment horizontal="center" vertical="center" wrapText="1"/>
    </xf>
    <xf numFmtId="0" fontId="49" fillId="2" borderId="12" xfId="0" applyFont="1" applyFill="1" applyBorder="1" applyAlignment="1">
      <alignment horizontal="center" vertical="center" wrapText="1"/>
    </xf>
    <xf numFmtId="0" fontId="49" fillId="2" borderId="11" xfId="0" applyFont="1" applyFill="1" applyBorder="1" applyAlignment="1">
      <alignment horizontal="center" vertical="center" wrapText="1"/>
    </xf>
    <xf numFmtId="0" fontId="52" fillId="2" borderId="12" xfId="0" applyFont="1" applyFill="1" applyBorder="1" applyAlignment="1">
      <alignment horizontal="center" vertical="center" wrapText="1"/>
    </xf>
    <xf numFmtId="0" fontId="52" fillId="2" borderId="11" xfId="0" applyFont="1" applyFill="1" applyBorder="1" applyAlignment="1">
      <alignment horizontal="center" vertical="center" wrapText="1"/>
    </xf>
    <xf numFmtId="0" fontId="52" fillId="2" borderId="1" xfId="0" applyFont="1" applyFill="1" applyBorder="1" applyAlignment="1">
      <alignment horizontal="center" vertical="center" wrapText="1"/>
    </xf>
    <xf numFmtId="0" fontId="45" fillId="2" borderId="12" xfId="0" applyFont="1" applyFill="1" applyBorder="1" applyAlignment="1">
      <alignment horizontal="center" wrapText="1"/>
    </xf>
    <xf numFmtId="0" fontId="45" fillId="2" borderId="11" xfId="0" applyFont="1" applyFill="1" applyBorder="1" applyAlignment="1">
      <alignment horizontal="center" wrapText="1"/>
    </xf>
    <xf numFmtId="0" fontId="53" fillId="2" borderId="1" xfId="0" applyFont="1" applyFill="1" applyBorder="1" applyAlignment="1">
      <alignment horizontal="center" vertical="center" wrapText="1"/>
    </xf>
    <xf numFmtId="0" fontId="45" fillId="2" borderId="1" xfId="0" applyFont="1" applyFill="1" applyBorder="1" applyAlignment="1">
      <alignment horizontal="center" wrapText="1"/>
    </xf>
    <xf numFmtId="0" fontId="45" fillId="20" borderId="2" xfId="0" applyFont="1" applyFill="1" applyBorder="1" applyAlignment="1">
      <alignment horizontal="center" vertical="center" wrapText="1"/>
    </xf>
    <xf numFmtId="0" fontId="45" fillId="20" borderId="8" xfId="0" applyFont="1" applyFill="1" applyBorder="1" applyAlignment="1">
      <alignment horizontal="center" vertical="center" wrapText="1"/>
    </xf>
    <xf numFmtId="0" fontId="55" fillId="2" borderId="1" xfId="0" applyFont="1" applyFill="1" applyBorder="1" applyAlignment="1">
      <alignment horizontal="center" vertical="center" wrapText="1"/>
    </xf>
    <xf numFmtId="0" fontId="54" fillId="2" borderId="1" xfId="0" applyFont="1" applyFill="1" applyBorder="1" applyAlignment="1">
      <alignment horizontal="center" vertical="center" wrapText="1"/>
    </xf>
    <xf numFmtId="0" fontId="57" fillId="2" borderId="1" xfId="0" applyFont="1" applyFill="1" applyBorder="1" applyAlignment="1">
      <alignment horizontal="center" vertical="center" wrapText="1"/>
    </xf>
    <xf numFmtId="0" fontId="22" fillId="0" borderId="1" xfId="0" applyFont="1" applyBorder="1" applyAlignment="1">
      <alignment horizontal="right"/>
    </xf>
    <xf numFmtId="0" fontId="59" fillId="2" borderId="1" xfId="0" applyFont="1" applyFill="1" applyBorder="1" applyAlignment="1">
      <alignment horizontal="center" vertical="center" wrapText="1"/>
    </xf>
    <xf numFmtId="0" fontId="58" fillId="2" borderId="1" xfId="0" applyFont="1" applyFill="1" applyBorder="1" applyAlignment="1">
      <alignment horizontal="center" vertical="center" wrapText="1"/>
    </xf>
    <xf numFmtId="0" fontId="0" fillId="0" borderId="12" xfId="0" applyBorder="1" applyAlignment="1">
      <alignment horizontal="center"/>
    </xf>
    <xf numFmtId="0" fontId="62" fillId="0" borderId="4" xfId="0" applyFont="1" applyBorder="1" applyAlignment="1">
      <alignment horizontal="center"/>
    </xf>
    <xf numFmtId="0" fontId="62" fillId="0" borderId="0" xfId="0" applyFont="1" applyAlignment="1">
      <alignment horizontal="center"/>
    </xf>
    <xf numFmtId="0" fontId="63" fillId="0" borderId="0" xfId="0" applyFont="1"/>
    <xf numFmtId="0" fontId="64" fillId="0" borderId="1" xfId="0" applyFont="1" applyBorder="1"/>
    <xf numFmtId="0" fontId="63" fillId="0" borderId="1" xfId="0" applyFont="1" applyBorder="1"/>
    <xf numFmtId="0" fontId="63" fillId="0" borderId="10" xfId="0" applyFont="1" applyBorder="1"/>
    <xf numFmtId="0" fontId="65" fillId="0" borderId="1" xfId="0" applyFont="1" applyBorder="1" applyAlignment="1">
      <alignment horizontal="center"/>
    </xf>
    <xf numFmtId="0" fontId="66" fillId="8" borderId="1" xfId="0" applyFont="1" applyFill="1" applyBorder="1"/>
    <xf numFmtId="0" fontId="0" fillId="8" borderId="1" xfId="0" applyFill="1" applyBorder="1"/>
    <xf numFmtId="9" fontId="0" fillId="8" borderId="1" xfId="1" applyFont="1" applyFill="1" applyBorder="1"/>
    <xf numFmtId="174" fontId="0" fillId="8" borderId="1" xfId="3" applyNumberFormat="1" applyFont="1" applyFill="1" applyBorder="1"/>
    <xf numFmtId="174" fontId="0" fillId="8" borderId="10" xfId="3" applyNumberFormat="1" applyFont="1" applyFill="1" applyBorder="1"/>
    <xf numFmtId="0" fontId="67" fillId="0" borderId="1" xfId="0" applyFont="1" applyBorder="1"/>
    <xf numFmtId="174" fontId="67" fillId="0" borderId="1" xfId="0" applyNumberFormat="1" applyFont="1" applyBorder="1"/>
    <xf numFmtId="0" fontId="68" fillId="0" borderId="0" xfId="0" applyFont="1"/>
    <xf numFmtId="9" fontId="69" fillId="3" borderId="1" xfId="0" applyNumberFormat="1" applyFont="1" applyFill="1" applyBorder="1"/>
    <xf numFmtId="0" fontId="66" fillId="7" borderId="1" xfId="0" applyFont="1" applyFill="1" applyBorder="1"/>
    <xf numFmtId="9" fontId="0" fillId="7" borderId="1" xfId="1" applyFont="1" applyFill="1" applyBorder="1"/>
    <xf numFmtId="174" fontId="0" fillId="7" borderId="1" xfId="3" applyNumberFormat="1" applyFont="1" applyFill="1" applyBorder="1"/>
    <xf numFmtId="174" fontId="0" fillId="7" borderId="10" xfId="3" applyNumberFormat="1" applyFont="1" applyFill="1" applyBorder="1"/>
    <xf numFmtId="0" fontId="63" fillId="0" borderId="26" xfId="0" applyFont="1" applyBorder="1" applyAlignment="1">
      <alignment horizontal="center"/>
    </xf>
    <xf numFmtId="0" fontId="63" fillId="0" borderId="27" xfId="0" applyFont="1" applyBorder="1" applyAlignment="1">
      <alignment horizontal="center"/>
    </xf>
    <xf numFmtId="0" fontId="66" fillId="21" borderId="1" xfId="0" applyFont="1" applyFill="1" applyBorder="1"/>
    <xf numFmtId="0" fontId="0" fillId="21" borderId="1" xfId="0" applyFill="1" applyBorder="1"/>
    <xf numFmtId="9" fontId="0" fillId="21" borderId="1" xfId="1" applyFont="1" applyFill="1" applyBorder="1"/>
    <xf numFmtId="174" fontId="0" fillId="21" borderId="1" xfId="3" applyNumberFormat="1" applyFont="1" applyFill="1" applyBorder="1"/>
    <xf numFmtId="174" fontId="0" fillId="21" borderId="10" xfId="3" applyNumberFormat="1" applyFont="1" applyFill="1" applyBorder="1"/>
    <xf numFmtId="0" fontId="63" fillId="0" borderId="9" xfId="0" applyFont="1" applyBorder="1" applyAlignment="1">
      <alignment horizontal="center"/>
    </xf>
    <xf numFmtId="0" fontId="64" fillId="0" borderId="1" xfId="0" applyFont="1" applyBorder="1" applyAlignment="1">
      <alignment horizontal="center"/>
    </xf>
    <xf numFmtId="0" fontId="63" fillId="0" borderId="1" xfId="0" applyFont="1" applyBorder="1" applyAlignment="1">
      <alignment horizontal="center"/>
    </xf>
    <xf numFmtId="0" fontId="63" fillId="0" borderId="10" xfId="0" applyFont="1" applyBorder="1" applyAlignment="1">
      <alignment horizontal="center"/>
    </xf>
    <xf numFmtId="0" fontId="63" fillId="0" borderId="28" xfId="0" applyFont="1" applyBorder="1" applyAlignment="1">
      <alignment horizontal="center"/>
    </xf>
    <xf numFmtId="0" fontId="63" fillId="0" borderId="0" xfId="0" applyFont="1" applyAlignment="1">
      <alignment horizontal="center"/>
    </xf>
    <xf numFmtId="0" fontId="66" fillId="0" borderId="1" xfId="0" applyFont="1" applyBorder="1"/>
    <xf numFmtId="0" fontId="0" fillId="22" borderId="1" xfId="0" applyFill="1" applyBorder="1"/>
    <xf numFmtId="174" fontId="0" fillId="0" borderId="1" xfId="3" applyNumberFormat="1" applyFont="1" applyBorder="1"/>
    <xf numFmtId="174" fontId="0" fillId="0" borderId="10" xfId="3" applyNumberFormat="1" applyFont="1" applyBorder="1"/>
    <xf numFmtId="0" fontId="0" fillId="3" borderId="28" xfId="0" applyFill="1" applyBorder="1" applyAlignment="1">
      <alignment horizontal="center"/>
    </xf>
    <xf numFmtId="9" fontId="0" fillId="0" borderId="1" xfId="1" applyFont="1" applyFill="1" applyBorder="1"/>
    <xf numFmtId="9" fontId="0" fillId="0" borderId="10" xfId="1" applyFont="1" applyBorder="1"/>
    <xf numFmtId="0" fontId="63" fillId="0" borderId="0" xfId="0" applyFont="1" applyAlignment="1">
      <alignment horizontal="right"/>
    </xf>
    <xf numFmtId="174" fontId="0" fillId="0" borderId="1" xfId="3" applyNumberFormat="1" applyFont="1" applyFill="1" applyBorder="1"/>
    <xf numFmtId="0" fontId="0" fillId="23" borderId="1" xfId="0" applyFill="1" applyBorder="1"/>
    <xf numFmtId="174" fontId="0" fillId="0" borderId="1" xfId="0" applyNumberFormat="1" applyBorder="1"/>
    <xf numFmtId="0" fontId="0" fillId="24" borderId="1" xfId="0" applyFill="1" applyBorder="1"/>
    <xf numFmtId="174" fontId="0" fillId="0" borderId="29" xfId="3" applyNumberFormat="1" applyFont="1" applyBorder="1"/>
    <xf numFmtId="174" fontId="0" fillId="0" borderId="0" xfId="3" applyNumberFormat="1" applyFont="1"/>
    <xf numFmtId="0" fontId="63" fillId="0" borderId="4" xfId="0" applyFont="1" applyBorder="1" applyAlignment="1">
      <alignment horizontal="center"/>
    </xf>
    <xf numFmtId="174" fontId="0" fillId="0" borderId="30" xfId="3" applyNumberFormat="1" applyFont="1" applyBorder="1"/>
    <xf numFmtId="174" fontId="0" fillId="6" borderId="0" xfId="3" applyNumberFormat="1" applyFont="1" applyFill="1"/>
    <xf numFmtId="0" fontId="63" fillId="0" borderId="1" xfId="0" applyFont="1" applyBorder="1" applyAlignment="1">
      <alignment horizontal="center"/>
    </xf>
    <xf numFmtId="9" fontId="0" fillId="0" borderId="1" xfId="0" applyNumberFormat="1" applyBorder="1"/>
    <xf numFmtId="9" fontId="70" fillId="0" borderId="1" xfId="0" applyNumberFormat="1" applyFont="1" applyBorder="1"/>
    <xf numFmtId="0" fontId="61" fillId="0" borderId="25" xfId="4"/>
    <xf numFmtId="0" fontId="63" fillId="0" borderId="31" xfId="0" applyFont="1" applyBorder="1"/>
    <xf numFmtId="0" fontId="63" fillId="0" borderId="1" xfId="0" applyFont="1" applyBorder="1" applyAlignment="1">
      <alignment horizontal="center" vertical="center" textRotation="90"/>
    </xf>
    <xf numFmtId="0" fontId="0" fillId="0" borderId="11" xfId="0" applyBorder="1"/>
    <xf numFmtId="0" fontId="63" fillId="0" borderId="31" xfId="0" applyFont="1" applyBorder="1" applyAlignment="1">
      <alignment horizontal="center"/>
    </xf>
    <xf numFmtId="0" fontId="0" fillId="3" borderId="11" xfId="0" applyFill="1" applyBorder="1" applyAlignment="1">
      <alignment horizontal="center"/>
    </xf>
    <xf numFmtId="174" fontId="0" fillId="0" borderId="0" xfId="3" applyNumberFormat="1" applyFont="1" applyFill="1"/>
    <xf numFmtId="174" fontId="0" fillId="0" borderId="0" xfId="0" applyNumberFormat="1"/>
  </cellXfs>
  <cellStyles count="5">
    <cellStyle name="Comma" xfId="2" builtinId="3"/>
    <cellStyle name="Currency" xfId="3" builtinId="4"/>
    <cellStyle name="Heading 1" xfId="4" builtinId="16"/>
    <cellStyle name="Normal" xfId="0" builtinId="0"/>
    <cellStyle name="Percent" xfId="1" builtinId="5"/>
  </cellStyles>
  <dxfs count="19">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theme="9" tint="0.39994506668294322"/>
        </patternFill>
      </fill>
    </dxf>
  </dxfs>
  <tableStyles count="0" defaultTableStyle="TableStyleMedium2" defaultPivotStyle="PivotStyleLight16"/>
  <colors>
    <mruColors>
      <color rgb="FFFF505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'Woodworks Bookshelf Co.'!$H$6</c:f>
              <c:strCache>
                <c:ptCount val="1"/>
                <c:pt idx="0">
                  <c:v>year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'Woodworks Bookshelf Co.'!$H$7:$H$12</c:f>
              <c:numCache>
                <c:formatCode>General</c:formatCode>
                <c:ptCount val="6"/>
                <c:pt idx="0">
                  <c:v>0</c:v>
                </c:pt>
                <c:pt idx="1">
                  <c:v>1</c:v>
                </c:pt>
                <c:pt idx="2">
                  <c:v>2</c:v>
                </c:pt>
                <c:pt idx="3">
                  <c:v>3</c:v>
                </c:pt>
                <c:pt idx="4">
                  <c:v>4</c:v>
                </c:pt>
                <c:pt idx="5">
                  <c:v>5</c:v>
                </c:pt>
              </c:numCache>
            </c:numRef>
          </c:val>
          <c:smooth val="0"/>
          <c:extLst>
            <c:ext xmlns:c16="http://schemas.microsoft.com/office/drawing/2014/chart" uri="{C3380CC4-5D6E-409C-BE32-E72D297353CC}">
              <c16:uniqueId val="{00000000-6BED-43FA-961D-7C4CFFF32914}"/>
            </c:ext>
          </c:extLst>
        </c:ser>
        <c:ser>
          <c:idx val="1"/>
          <c:order val="1"/>
          <c:tx>
            <c:strRef>
              <c:f>'Woodworks Bookshelf Co.'!$L$6</c:f>
              <c:strCache>
                <c:ptCount val="1"/>
                <c:pt idx="0">
                  <c:v>total cost, cherry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'Woodworks Bookshelf Co.'!$L$7:$L$12</c:f>
              <c:numCache>
                <c:formatCode>0.00</c:formatCode>
                <c:ptCount val="6"/>
                <c:pt idx="0">
                  <c:v>461</c:v>
                </c:pt>
                <c:pt idx="1">
                  <c:v>469.4</c:v>
                </c:pt>
                <c:pt idx="2">
                  <c:v>477.96163999999999</c:v>
                </c:pt>
                <c:pt idx="3">
                  <c:v>486.68819995999996</c:v>
                </c:pt>
                <c:pt idx="4">
                  <c:v>495.58302956803993</c:v>
                </c:pt>
                <c:pt idx="5">
                  <c:v>504.64954977880791</c:v>
                </c:pt>
              </c:numCache>
            </c:numRef>
          </c:val>
          <c:smooth val="0"/>
          <c:extLst>
            <c:ext xmlns:c16="http://schemas.microsoft.com/office/drawing/2014/chart" uri="{C3380CC4-5D6E-409C-BE32-E72D297353CC}">
              <c16:uniqueId val="{00000001-6BED-43FA-961D-7C4CFFF32914}"/>
            </c:ext>
          </c:extLst>
        </c:ser>
        <c:ser>
          <c:idx val="2"/>
          <c:order val="2"/>
          <c:tx>
            <c:strRef>
              <c:f>'Woodworks Bookshelf Co.'!$M$6</c:f>
              <c:strCache>
                <c:ptCount val="1"/>
                <c:pt idx="0">
                  <c:v>total cost, oak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'Woodworks Bookshelf Co.'!$M$7:$M$12</c:f>
              <c:numCache>
                <c:formatCode>0.00</c:formatCode>
                <c:ptCount val="6"/>
                <c:pt idx="0">
                  <c:v>425</c:v>
                </c:pt>
                <c:pt idx="1">
                  <c:v>431.63299999999998</c:v>
                </c:pt>
                <c:pt idx="2">
                  <c:v>438.36988099999996</c:v>
                </c:pt>
                <c:pt idx="3">
                  <c:v>445.21227577699995</c:v>
                </c:pt>
                <c:pt idx="4">
                  <c:v>452.16184286720886</c:v>
                </c:pt>
                <c:pt idx="5">
                  <c:v>459.22026697398138</c:v>
                </c:pt>
              </c:numCache>
            </c:numRef>
          </c:val>
          <c:smooth val="0"/>
          <c:extLst>
            <c:ext xmlns:c16="http://schemas.microsoft.com/office/drawing/2014/chart" uri="{C3380CC4-5D6E-409C-BE32-E72D297353CC}">
              <c16:uniqueId val="{00000002-6BED-43FA-961D-7C4CFFF32914}"/>
            </c:ext>
          </c:extLst>
        </c:ser>
        <c:dLbls>
          <c:showLegendKey val="0"/>
          <c:showVal val="0"/>
          <c:showCatName val="0"/>
          <c:showSerName val="0"/>
          <c:showPercent val="0"/>
          <c:showBubbleSize val="0"/>
        </c:dLbls>
        <c:marker val="1"/>
        <c:smooth val="0"/>
        <c:axId val="78351007"/>
        <c:axId val="78360159"/>
      </c:lineChart>
      <c:catAx>
        <c:axId val="7835100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0159"/>
        <c:crosses val="autoZero"/>
        <c:auto val="1"/>
        <c:lblAlgn val="ctr"/>
        <c:lblOffset val="100"/>
        <c:noMultiLvlLbl val="0"/>
      </c:catAx>
      <c:valAx>
        <c:axId val="78360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51007"/>
        <c:crosses val="autoZero"/>
        <c:crossBetween val="between"/>
      </c:valAx>
      <c:spPr>
        <a:noFill/>
        <a:ln>
          <a:noFill/>
        </a:ln>
        <a:effectLst/>
      </c:spPr>
    </c:plotArea>
    <c:legend>
      <c:legendPos val="b"/>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'Quality Sweater Company'!$P$7</c:f>
              <c:strCache>
                <c:ptCount val="1"/>
                <c:pt idx="0">
                  <c:v>прибуток</c:v>
                </c:pt>
              </c:strCache>
            </c:strRef>
          </c:tx>
          <c:spPr>
            <a:solidFill>
              <a:schemeClr val="accent1"/>
            </a:solidFill>
            <a:ln>
              <a:noFill/>
            </a:ln>
            <a:effectLst/>
          </c:spPr>
          <c:invertIfNegative val="0"/>
          <c:cat>
            <c:numRef>
              <c:f>'Quality Sweater Company'!$O$9:$O$19</c:f>
              <c:numCache>
                <c:formatCode>0.0%</c:formatCode>
                <c:ptCount val="11"/>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numCache>
            </c:numRef>
          </c:cat>
          <c:val>
            <c:numRef>
              <c:f>'Quality Sweater Company'!$P$9:$P$19</c:f>
              <c:numCache>
                <c:formatCode>_-[$$-409]* #\ ##0.00_ ;_-[$$-409]* \-#\ ##0.00\ ;_-[$$-409]* "-"??_ ;_-@_ </c:formatCode>
                <c:ptCount val="11"/>
                <c:pt idx="0">
                  <c:v>-21600</c:v>
                </c:pt>
                <c:pt idx="1">
                  <c:v>-17700</c:v>
                </c:pt>
                <c:pt idx="2">
                  <c:v>-13800</c:v>
                </c:pt>
                <c:pt idx="3">
                  <c:v>-9900</c:v>
                </c:pt>
                <c:pt idx="4">
                  <c:v>-6000</c:v>
                </c:pt>
                <c:pt idx="5">
                  <c:v>-2100</c:v>
                </c:pt>
                <c:pt idx="6">
                  <c:v>1800</c:v>
                </c:pt>
                <c:pt idx="7">
                  <c:v>5700</c:v>
                </c:pt>
                <c:pt idx="8">
                  <c:v>9600</c:v>
                </c:pt>
                <c:pt idx="9">
                  <c:v>13500</c:v>
                </c:pt>
                <c:pt idx="10">
                  <c:v>17400</c:v>
                </c:pt>
              </c:numCache>
            </c:numRef>
          </c:val>
          <c:extLst>
            <c:ext xmlns:c16="http://schemas.microsoft.com/office/drawing/2014/chart" uri="{C3380CC4-5D6E-409C-BE32-E72D297353CC}">
              <c16:uniqueId val="{00000000-C19B-4860-9DE2-6F6C895927C9}"/>
            </c:ext>
          </c:extLst>
        </c:ser>
        <c:dLbls>
          <c:showLegendKey val="0"/>
          <c:showVal val="0"/>
          <c:showCatName val="0"/>
          <c:showSerName val="0"/>
          <c:showPercent val="0"/>
          <c:showBubbleSize val="0"/>
        </c:dLbls>
        <c:gapWidth val="219"/>
        <c:overlap val="-27"/>
        <c:axId val="28207808"/>
        <c:axId val="28221120"/>
      </c:barChart>
      <c:catAx>
        <c:axId val="2820780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21120"/>
        <c:crosses val="autoZero"/>
        <c:auto val="1"/>
        <c:lblAlgn val="ctr"/>
        <c:lblOffset val="100"/>
        <c:noMultiLvlLbl val="0"/>
      </c:catAx>
      <c:valAx>
        <c:axId val="28221120"/>
        <c:scaling>
          <c:orientation val="minMax"/>
        </c:scaling>
        <c:delete val="0"/>
        <c:axPos val="l"/>
        <c:majorGridlines>
          <c:spPr>
            <a:ln w="9525" cap="flat" cmpd="sng" algn="ctr">
              <a:solidFill>
                <a:schemeClr val="tx1">
                  <a:lumMod val="15000"/>
                  <a:lumOff val="85000"/>
                </a:schemeClr>
              </a:solidFill>
              <a:round/>
            </a:ln>
            <a:effectLst/>
          </c:spPr>
        </c:majorGridlines>
        <c:numFmt formatCode="_-[$$-409]* #\ ##0.00_ ;_-[$$-409]* \-#\ ##0.0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07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paperSize="9" orientation="landscape" verticalDpi="0"/>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95398075240595"/>
          <c:y val="4.1666666666666664E-2"/>
          <c:w val="0.79601574803149611"/>
          <c:h val="0.89814814814814814"/>
        </c:manualLayout>
      </c:layout>
      <c:lineChart>
        <c:grouping val="standard"/>
        <c:varyColors val="0"/>
        <c:ser>
          <c:idx val="0"/>
          <c:order val="0"/>
          <c:spPr>
            <a:ln w="28575" cap="rnd">
              <a:solidFill>
                <a:schemeClr val="accent1"/>
              </a:solidFill>
              <a:round/>
            </a:ln>
            <a:effectLst/>
          </c:spPr>
          <c:marker>
            <c:symbol val="none"/>
          </c:marker>
          <c:val>
            <c:numRef>
              <c:f>'Copy Shop'!$K$16:$N$16</c:f>
              <c:numCache>
                <c:formatCode>_-[$$-409]* #\ ##0.00_ ;_-[$$-409]* \-#\ ##0.00\ ;_-[$$-409]* "-"??_ ;_-@_ </c:formatCode>
                <c:ptCount val="4"/>
                <c:pt idx="0">
                  <c:v>-2800</c:v>
                </c:pt>
                <c:pt idx="1">
                  <c:v>-2800</c:v>
                </c:pt>
                <c:pt idx="2">
                  <c:v>-2800</c:v>
                </c:pt>
                <c:pt idx="3">
                  <c:v>-2800</c:v>
                </c:pt>
              </c:numCache>
            </c:numRef>
          </c:val>
          <c:smooth val="0"/>
          <c:extLst>
            <c:ext xmlns:c16="http://schemas.microsoft.com/office/drawing/2014/chart" uri="{C3380CC4-5D6E-409C-BE32-E72D297353CC}">
              <c16:uniqueId val="{00000000-C18C-4AAC-8FFA-1A1828547AFF}"/>
            </c:ext>
          </c:extLst>
        </c:ser>
        <c:ser>
          <c:idx val="1"/>
          <c:order val="1"/>
          <c:spPr>
            <a:ln w="28575" cap="rnd">
              <a:solidFill>
                <a:schemeClr val="accent2"/>
              </a:solidFill>
              <a:round/>
            </a:ln>
            <a:effectLst/>
          </c:spPr>
          <c:marker>
            <c:symbol val="none"/>
          </c:marker>
          <c:val>
            <c:numRef>
              <c:f>'Copy Shop'!$K$17:$N$17</c:f>
              <c:numCache>
                <c:formatCode>_-[$$-409]* #\ ##0.00_ ;_-[$$-409]* \-#\ ##0.00\ ;_-[$$-409]* "-"??_ ;_-@_ </c:formatCode>
                <c:ptCount val="4"/>
                <c:pt idx="0">
                  <c:v>-2025</c:v>
                </c:pt>
                <c:pt idx="1">
                  <c:v>-800</c:v>
                </c:pt>
                <c:pt idx="2">
                  <c:v>-800</c:v>
                </c:pt>
                <c:pt idx="3">
                  <c:v>-800</c:v>
                </c:pt>
              </c:numCache>
            </c:numRef>
          </c:val>
          <c:smooth val="0"/>
          <c:extLst>
            <c:ext xmlns:c16="http://schemas.microsoft.com/office/drawing/2014/chart" uri="{C3380CC4-5D6E-409C-BE32-E72D297353CC}">
              <c16:uniqueId val="{00000001-C18C-4AAC-8FFA-1A1828547AFF}"/>
            </c:ext>
          </c:extLst>
        </c:ser>
        <c:ser>
          <c:idx val="2"/>
          <c:order val="2"/>
          <c:spPr>
            <a:ln w="28575" cap="rnd">
              <a:solidFill>
                <a:schemeClr val="accent3"/>
              </a:solidFill>
              <a:round/>
            </a:ln>
            <a:effectLst/>
          </c:spPr>
          <c:marker>
            <c:symbol val="none"/>
          </c:marker>
          <c:val>
            <c:numRef>
              <c:f>'Copy Shop'!$K$18:$N$18</c:f>
              <c:numCache>
                <c:formatCode>_-[$$-409]* #\ ##0.00_ ;_-[$$-409]* \-#\ ##0.00\ ;_-[$$-409]* "-"??_ ;_-@_ </c:formatCode>
                <c:ptCount val="4"/>
                <c:pt idx="0">
                  <c:v>-7025</c:v>
                </c:pt>
                <c:pt idx="1">
                  <c:v>1200</c:v>
                </c:pt>
                <c:pt idx="2">
                  <c:v>1200</c:v>
                </c:pt>
                <c:pt idx="3">
                  <c:v>1200</c:v>
                </c:pt>
              </c:numCache>
            </c:numRef>
          </c:val>
          <c:smooth val="0"/>
          <c:extLst>
            <c:ext xmlns:c16="http://schemas.microsoft.com/office/drawing/2014/chart" uri="{C3380CC4-5D6E-409C-BE32-E72D297353CC}">
              <c16:uniqueId val="{00000002-C18C-4AAC-8FFA-1A1828547AFF}"/>
            </c:ext>
          </c:extLst>
        </c:ser>
        <c:ser>
          <c:idx val="3"/>
          <c:order val="3"/>
          <c:spPr>
            <a:ln w="28575" cap="rnd">
              <a:solidFill>
                <a:schemeClr val="accent4"/>
              </a:solidFill>
              <a:round/>
            </a:ln>
            <a:effectLst/>
          </c:spPr>
          <c:marker>
            <c:symbol val="none"/>
          </c:marker>
          <c:val>
            <c:numRef>
              <c:f>'Copy Shop'!$K$19:$N$19</c:f>
              <c:numCache>
                <c:formatCode>_-[$$-409]* #\ ##0.00_ ;_-[$$-409]* \-#\ ##0.00\ ;_-[$$-409]* "-"??_ ;_-@_ </c:formatCode>
                <c:ptCount val="4"/>
                <c:pt idx="0">
                  <c:v>-12025</c:v>
                </c:pt>
                <c:pt idx="1">
                  <c:v>750</c:v>
                </c:pt>
                <c:pt idx="2">
                  <c:v>3200</c:v>
                </c:pt>
                <c:pt idx="3">
                  <c:v>3200</c:v>
                </c:pt>
              </c:numCache>
            </c:numRef>
          </c:val>
          <c:smooth val="0"/>
          <c:extLst>
            <c:ext xmlns:c16="http://schemas.microsoft.com/office/drawing/2014/chart" uri="{C3380CC4-5D6E-409C-BE32-E72D297353CC}">
              <c16:uniqueId val="{00000003-C18C-4AAC-8FFA-1A1828547AFF}"/>
            </c:ext>
          </c:extLst>
        </c:ser>
        <c:ser>
          <c:idx val="4"/>
          <c:order val="4"/>
          <c:spPr>
            <a:ln w="28575" cap="rnd">
              <a:solidFill>
                <a:schemeClr val="accent5"/>
              </a:solidFill>
              <a:round/>
            </a:ln>
            <a:effectLst/>
          </c:spPr>
          <c:marker>
            <c:symbol val="none"/>
          </c:marker>
          <c:val>
            <c:numRef>
              <c:f>'Copy Shop'!$K$20:$N$20</c:f>
              <c:numCache>
                <c:formatCode>_-[$$-409]* #\ ##0.00_ ;_-[$$-409]* \-#\ ##0.00\ ;_-[$$-409]* "-"??_ ;_-@_ </c:formatCode>
                <c:ptCount val="4"/>
                <c:pt idx="0">
                  <c:v>-17025</c:v>
                </c:pt>
                <c:pt idx="1">
                  <c:v>-4250</c:v>
                </c:pt>
                <c:pt idx="2">
                  <c:v>5200</c:v>
                </c:pt>
                <c:pt idx="3">
                  <c:v>5200</c:v>
                </c:pt>
              </c:numCache>
            </c:numRef>
          </c:val>
          <c:smooth val="0"/>
          <c:extLst>
            <c:ext xmlns:c16="http://schemas.microsoft.com/office/drawing/2014/chart" uri="{C3380CC4-5D6E-409C-BE32-E72D297353CC}">
              <c16:uniqueId val="{00000004-C18C-4AAC-8FFA-1A1828547AFF}"/>
            </c:ext>
          </c:extLst>
        </c:ser>
        <c:dLbls>
          <c:showLegendKey val="0"/>
          <c:showVal val="0"/>
          <c:showCatName val="0"/>
          <c:showSerName val="0"/>
          <c:showPercent val="0"/>
          <c:showBubbleSize val="0"/>
        </c:dLbls>
        <c:smooth val="0"/>
        <c:axId val="1875317184"/>
        <c:axId val="1875310112"/>
      </c:lineChart>
      <c:catAx>
        <c:axId val="187531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310112"/>
        <c:crosses val="autoZero"/>
        <c:auto val="1"/>
        <c:lblAlgn val="ctr"/>
        <c:lblOffset val="100"/>
        <c:noMultiLvlLbl val="0"/>
      </c:catAx>
      <c:valAx>
        <c:axId val="1875310112"/>
        <c:scaling>
          <c:orientation val="minMax"/>
        </c:scaling>
        <c:delete val="0"/>
        <c:axPos val="l"/>
        <c:majorGridlines>
          <c:spPr>
            <a:ln w="9525" cap="flat" cmpd="sng" algn="ctr">
              <a:solidFill>
                <a:schemeClr val="tx1">
                  <a:lumMod val="15000"/>
                  <a:lumOff val="85000"/>
                </a:schemeClr>
              </a:solidFill>
              <a:round/>
            </a:ln>
            <a:effectLst/>
          </c:spPr>
        </c:majorGridlines>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317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Price &amp; Demand </a:t>
            </a:r>
          </a:p>
        </c:rich>
      </c:tx>
      <c:layout>
        <c:manualLayout>
          <c:xMode val="edge"/>
          <c:yMode val="edge"/>
          <c:x val="0.16108369617803583"/>
          <c:y val="2.7996500437445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'The 19th Hole'!$D$14</c:f>
              <c:strCache>
                <c:ptCount val="1"/>
                <c:pt idx="0">
                  <c:v>Demand (00s)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0.15312007874015748"/>
                  <c:y val="-0.6237978510632297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power"/>
            <c:dispRSqr val="0"/>
            <c:dispEq val="1"/>
            <c:trendlineLbl>
              <c:layout>
                <c:manualLayout>
                  <c:x val="-4.5781135122986261E-2"/>
                  <c:y val="-0.57294948367674514"/>
                </c:manualLayout>
              </c:layout>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exp"/>
            <c:dispRSqr val="0"/>
            <c:dispEq val="1"/>
            <c:trendlineLbl>
              <c:layout>
                <c:manualLayout>
                  <c:x val="-0.22797755505525524"/>
                  <c:y val="-0.584185835038336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'The 19th Hole'!$C$15:$C$26</c:f>
              <c:numCache>
                <c:formatCode>General</c:formatCode>
                <c:ptCount val="12"/>
                <c:pt idx="0">
                  <c:v>450</c:v>
                </c:pt>
                <c:pt idx="1">
                  <c:v>300</c:v>
                </c:pt>
                <c:pt idx="2">
                  <c:v>440</c:v>
                </c:pt>
                <c:pt idx="3">
                  <c:v>360</c:v>
                </c:pt>
                <c:pt idx="4">
                  <c:v>290</c:v>
                </c:pt>
                <c:pt idx="5">
                  <c:v>450</c:v>
                </c:pt>
                <c:pt idx="6">
                  <c:v>340</c:v>
                </c:pt>
                <c:pt idx="7">
                  <c:v>370</c:v>
                </c:pt>
                <c:pt idx="8">
                  <c:v>500</c:v>
                </c:pt>
                <c:pt idx="9">
                  <c:v>490</c:v>
                </c:pt>
                <c:pt idx="10">
                  <c:v>430</c:v>
                </c:pt>
                <c:pt idx="11">
                  <c:v>390</c:v>
                </c:pt>
              </c:numCache>
            </c:numRef>
          </c:xVal>
          <c:yVal>
            <c:numRef>
              <c:f>'The 19th Hole'!$D$15:$D$26</c:f>
              <c:numCache>
                <c:formatCode>General</c:formatCode>
                <c:ptCount val="12"/>
                <c:pt idx="0">
                  <c:v>45</c:v>
                </c:pt>
                <c:pt idx="1">
                  <c:v>103</c:v>
                </c:pt>
                <c:pt idx="2">
                  <c:v>49</c:v>
                </c:pt>
                <c:pt idx="3">
                  <c:v>86</c:v>
                </c:pt>
                <c:pt idx="4">
                  <c:v>125</c:v>
                </c:pt>
                <c:pt idx="5">
                  <c:v>52</c:v>
                </c:pt>
                <c:pt idx="6">
                  <c:v>87</c:v>
                </c:pt>
                <c:pt idx="7">
                  <c:v>68</c:v>
                </c:pt>
                <c:pt idx="8">
                  <c:v>45</c:v>
                </c:pt>
                <c:pt idx="9">
                  <c:v>44</c:v>
                </c:pt>
                <c:pt idx="10">
                  <c:v>58</c:v>
                </c:pt>
                <c:pt idx="11">
                  <c:v>68</c:v>
                </c:pt>
              </c:numCache>
            </c:numRef>
          </c:yVal>
          <c:smooth val="0"/>
          <c:extLst>
            <c:ext xmlns:c16="http://schemas.microsoft.com/office/drawing/2014/chart" uri="{C3380CC4-5D6E-409C-BE32-E72D297353CC}">
              <c16:uniqueId val="{00000000-5917-47C6-8069-BF11C5D8FE7C}"/>
            </c:ext>
          </c:extLst>
        </c:ser>
        <c:dLbls>
          <c:showLegendKey val="0"/>
          <c:showVal val="0"/>
          <c:showCatName val="0"/>
          <c:showSerName val="0"/>
          <c:showPercent val="0"/>
          <c:showBubbleSize val="0"/>
        </c:dLbls>
        <c:axId val="267019040"/>
        <c:axId val="267019872"/>
      </c:scatterChart>
      <c:valAx>
        <c:axId val="2670190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019872"/>
        <c:crosses val="autoZero"/>
        <c:crossBetween val="midCat"/>
      </c:valAx>
      <c:valAx>
        <c:axId val="267019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Demand</a:t>
                </a:r>
                <a:r>
                  <a:rPr lang="en-US" baseline="0"/>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0190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p>
        </c:rich>
      </c:tx>
      <c:layout>
        <c:manualLayout>
          <c:xMode val="edge"/>
          <c:yMode val="edge"/>
          <c:x val="2.6138577382921538E-2"/>
          <c:y val="1.81405960471355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'Peloton '!$D$17</c:f>
              <c:strCache>
                <c:ptCount val="1"/>
                <c:pt idx="0">
                  <c:v>Revenue (millions of USD)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1"/>
            <c:trendlineLbl>
              <c:layout>
                <c:manualLayout>
                  <c:x val="0.15651955731982034"/>
                  <c:y val="-0.2008556790600028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power"/>
            <c:dispRSqr val="0"/>
            <c:dispEq val="1"/>
            <c:trendlineLbl>
              <c:layout>
                <c:manualLayout>
                  <c:x val="-5.5692271843807394E-2"/>
                  <c:y val="-0.3644588585208486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power"/>
            <c:dispRSqr val="0"/>
            <c:dispEq val="0"/>
          </c:trendline>
          <c:xVal>
            <c:numRef>
              <c:f>'Peloton '!$C$18:$C$23</c:f>
              <c:numCache>
                <c:formatCode>0</c:formatCode>
                <c:ptCount val="6"/>
                <c:pt idx="0">
                  <c:v>1</c:v>
                </c:pt>
                <c:pt idx="1">
                  <c:v>2</c:v>
                </c:pt>
                <c:pt idx="2">
                  <c:v>3</c:v>
                </c:pt>
                <c:pt idx="3">
                  <c:v>4</c:v>
                </c:pt>
                <c:pt idx="4">
                  <c:v>5</c:v>
                </c:pt>
                <c:pt idx="5">
                  <c:v>6</c:v>
                </c:pt>
              </c:numCache>
            </c:numRef>
          </c:xVal>
          <c:yVal>
            <c:numRef>
              <c:f>'Peloton '!$D$18:$D$23</c:f>
              <c:numCache>
                <c:formatCode>0.0</c:formatCode>
                <c:ptCount val="6"/>
                <c:pt idx="0">
                  <c:v>218.6</c:v>
                </c:pt>
                <c:pt idx="1">
                  <c:v>435</c:v>
                </c:pt>
                <c:pt idx="2">
                  <c:v>915</c:v>
                </c:pt>
                <c:pt idx="3">
                  <c:v>1825.9</c:v>
                </c:pt>
                <c:pt idx="4">
                  <c:v>4021.8</c:v>
                </c:pt>
                <c:pt idx="5" formatCode="0.00">
                  <c:v>3582.1</c:v>
                </c:pt>
              </c:numCache>
            </c:numRef>
          </c:yVal>
          <c:smooth val="0"/>
          <c:extLst>
            <c:ext xmlns:c16="http://schemas.microsoft.com/office/drawing/2014/chart" uri="{C3380CC4-5D6E-409C-BE32-E72D297353CC}">
              <c16:uniqueId val="{00000000-2FB0-43DD-97C7-EC819F988035}"/>
            </c:ext>
          </c:extLst>
        </c:ser>
        <c:dLbls>
          <c:showLegendKey val="0"/>
          <c:showVal val="0"/>
          <c:showCatName val="0"/>
          <c:showSerName val="0"/>
          <c:showPercent val="0"/>
          <c:showBubbleSize val="0"/>
        </c:dLbls>
        <c:axId val="684882911"/>
        <c:axId val="684878335"/>
      </c:scatterChart>
      <c:valAx>
        <c:axId val="6848829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878335"/>
        <c:crosses val="autoZero"/>
        <c:crossBetween val="midCat"/>
      </c:valAx>
      <c:valAx>
        <c:axId val="68487833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8829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1"/>
            <c:trendlineLbl>
              <c:layout>
                <c:manualLayout>
                  <c:x val="4.6280596933206034E-2"/>
                  <c:y val="-0.1265676255227395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[1]Sheet1!$B$2:$B$21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[1]Sheet1!$C$2:$C$21</c:f>
              <c:numCache>
                <c:formatCode>General</c:formatCode>
                <c:ptCount val="20"/>
                <c:pt idx="0">
                  <c:v>150781.16666666666</c:v>
                </c:pt>
                <c:pt idx="1">
                  <c:v>161696.25</c:v>
                </c:pt>
                <c:pt idx="2">
                  <c:v>175688.83333333334</c:v>
                </c:pt>
                <c:pt idx="3">
                  <c:v>185437.25</c:v>
                </c:pt>
                <c:pt idx="4">
                  <c:v>196728.16666666666</c:v>
                </c:pt>
                <c:pt idx="5">
                  <c:v>206334.08333333334</c:v>
                </c:pt>
                <c:pt idx="6">
                  <c:v>215657.66666666666</c:v>
                </c:pt>
                <c:pt idx="7">
                  <c:v>233872</c:v>
                </c:pt>
                <c:pt idx="8">
                  <c:v>248748.25</c:v>
                </c:pt>
                <c:pt idx="9">
                  <c:v>255663.75</c:v>
                </c:pt>
                <c:pt idx="10">
                  <c:v>261272.41666666666</c:v>
                </c:pt>
                <c:pt idx="11">
                  <c:v>272232.5</c:v>
                </c:pt>
                <c:pt idx="12">
                  <c:v>288987.5</c:v>
                </c:pt>
                <c:pt idx="13">
                  <c:v>307826.08333333331</c:v>
                </c:pt>
                <c:pt idx="14">
                  <c:v>323823.08333333331</c:v>
                </c:pt>
                <c:pt idx="15">
                  <c:v>334008</c:v>
                </c:pt>
                <c:pt idx="16">
                  <c:v>328780.33333333331</c:v>
                </c:pt>
                <c:pt idx="17">
                  <c:v>303288.91666666669</c:v>
                </c:pt>
                <c:pt idx="18">
                  <c:v>323964.16666666669</c:v>
                </c:pt>
                <c:pt idx="19">
                  <c:v>349717.75</c:v>
                </c:pt>
              </c:numCache>
            </c:numRef>
          </c:yVal>
          <c:smooth val="0"/>
          <c:extLst>
            <c:ext xmlns:c16="http://schemas.microsoft.com/office/drawing/2014/chart" uri="{C3380CC4-5D6E-409C-BE32-E72D297353CC}">
              <c16:uniqueId val="{00000001-F518-45C2-A21B-C21496B7D69C}"/>
            </c:ext>
          </c:extLst>
        </c:ser>
        <c:dLbls>
          <c:showLegendKey val="0"/>
          <c:showVal val="0"/>
          <c:showCatName val="0"/>
          <c:showSerName val="0"/>
          <c:showPercent val="0"/>
          <c:showBubbleSize val="0"/>
        </c:dLbls>
        <c:axId val="1513803520"/>
        <c:axId val="1513804352"/>
      </c:scatterChart>
      <c:valAx>
        <c:axId val="1513803520"/>
        <c:scaling>
          <c:orientation val="minMax"/>
          <c:max val="21"/>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804352"/>
        <c:crosses val="autoZero"/>
        <c:crossBetween val="midCat"/>
        <c:majorUnit val="1"/>
      </c:valAx>
      <c:valAx>
        <c:axId val="151380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803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US"/>
              <a:t>Total capital expenditures for all approved projects by year</a:t>
            </a:r>
          </a:p>
        </c:rich>
      </c:tx>
      <c:layout>
        <c:manualLayout>
          <c:xMode val="edge"/>
          <c:yMode val="edge"/>
          <c:x val="0.17740266841644795"/>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'Bluejay Natural Gas '!$W$18</c:f>
              <c:strCache>
                <c:ptCount val="1"/>
                <c:pt idx="0">
                  <c:v>FA1</c:v>
                </c:pt>
              </c:strCache>
            </c:strRef>
          </c:tx>
          <c:spPr>
            <a:ln w="28575" cap="rnd">
              <a:solidFill>
                <a:schemeClr val="accent1"/>
              </a:solidFill>
              <a:round/>
            </a:ln>
            <a:effectLst/>
          </c:spPr>
          <c:marker>
            <c:symbol val="none"/>
          </c:marker>
          <c:val>
            <c:numRef>
              <c:f>'Bluejay Natural Gas '!$X$18:$Z$18</c:f>
              <c:numCache>
                <c:formatCode>General</c:formatCode>
                <c:ptCount val="3"/>
                <c:pt idx="0">
                  <c:v>200</c:v>
                </c:pt>
                <c:pt idx="1">
                  <c:v>400</c:v>
                </c:pt>
                <c:pt idx="2">
                  <c:v>800</c:v>
                </c:pt>
              </c:numCache>
            </c:numRef>
          </c:val>
          <c:smooth val="0"/>
          <c:extLst>
            <c:ext xmlns:c16="http://schemas.microsoft.com/office/drawing/2014/chart" uri="{C3380CC4-5D6E-409C-BE32-E72D297353CC}">
              <c16:uniqueId val="{00000000-FB9E-4DF9-B2B9-942DF2D47414}"/>
            </c:ext>
          </c:extLst>
        </c:ser>
        <c:ser>
          <c:idx val="1"/>
          <c:order val="1"/>
          <c:tx>
            <c:strRef>
              <c:f>'Bluejay Natural Gas '!$W$19</c:f>
              <c:strCache>
                <c:ptCount val="1"/>
                <c:pt idx="0">
                  <c:v>FA2</c:v>
                </c:pt>
              </c:strCache>
            </c:strRef>
          </c:tx>
          <c:spPr>
            <a:ln w="28575" cap="rnd">
              <a:solidFill>
                <a:schemeClr val="accent2"/>
              </a:solidFill>
              <a:round/>
            </a:ln>
            <a:effectLst/>
          </c:spPr>
          <c:marker>
            <c:symbol val="none"/>
          </c:marker>
          <c:val>
            <c:numRef>
              <c:f>'Bluejay Natural Gas '!$X$19:$Z$19</c:f>
              <c:numCache>
                <c:formatCode>General</c:formatCode>
                <c:ptCount val="3"/>
                <c:pt idx="0">
                  <c:v>1518</c:v>
                </c:pt>
                <c:pt idx="1">
                  <c:v>1302</c:v>
                </c:pt>
                <c:pt idx="2">
                  <c:v>986</c:v>
                </c:pt>
              </c:numCache>
            </c:numRef>
          </c:val>
          <c:smooth val="0"/>
          <c:extLst>
            <c:ext xmlns:c16="http://schemas.microsoft.com/office/drawing/2014/chart" uri="{C3380CC4-5D6E-409C-BE32-E72D297353CC}">
              <c16:uniqueId val="{00000001-FB9E-4DF9-B2B9-942DF2D47414}"/>
            </c:ext>
          </c:extLst>
        </c:ser>
        <c:ser>
          <c:idx val="2"/>
          <c:order val="2"/>
          <c:tx>
            <c:strRef>
              <c:f>'Bluejay Natural Gas '!$W$20</c:f>
              <c:strCache>
                <c:ptCount val="1"/>
                <c:pt idx="0">
                  <c:v>FA3</c:v>
                </c:pt>
              </c:strCache>
            </c:strRef>
          </c:tx>
          <c:spPr>
            <a:ln w="28575" cap="rnd">
              <a:solidFill>
                <a:schemeClr val="accent3"/>
              </a:solidFill>
              <a:round/>
            </a:ln>
            <a:effectLst/>
          </c:spPr>
          <c:marker>
            <c:symbol val="none"/>
          </c:marker>
          <c:val>
            <c:numRef>
              <c:f>'Bluejay Natural Gas '!$X$20:$Z$20</c:f>
              <c:numCache>
                <c:formatCode>General</c:formatCode>
                <c:ptCount val="3"/>
                <c:pt idx="0">
                  <c:v>1850</c:v>
                </c:pt>
                <c:pt idx="1">
                  <c:v>650</c:v>
                </c:pt>
                <c:pt idx="2">
                  <c:v>550</c:v>
                </c:pt>
              </c:numCache>
            </c:numRef>
          </c:val>
          <c:smooth val="0"/>
          <c:extLst>
            <c:ext xmlns:c16="http://schemas.microsoft.com/office/drawing/2014/chart" uri="{C3380CC4-5D6E-409C-BE32-E72D297353CC}">
              <c16:uniqueId val="{00000002-FB9E-4DF9-B2B9-942DF2D47414}"/>
            </c:ext>
          </c:extLst>
        </c:ser>
        <c:dLbls>
          <c:showLegendKey val="0"/>
          <c:showVal val="0"/>
          <c:showCatName val="0"/>
          <c:showSerName val="0"/>
          <c:showPercent val="0"/>
          <c:showBubbleSize val="0"/>
        </c:dLbls>
        <c:smooth val="0"/>
        <c:axId val="1644134608"/>
        <c:axId val="1600007584"/>
      </c:lineChart>
      <c:catAx>
        <c:axId val="16441346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600007584"/>
        <c:crosses val="autoZero"/>
        <c:auto val="1"/>
        <c:lblAlgn val="ctr"/>
        <c:lblOffset val="100"/>
        <c:noMultiLvlLbl val="0"/>
      </c:catAx>
      <c:valAx>
        <c:axId val="160000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644134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ln>
            <a:noFill/>
          </a:ln>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'Bluejay Natural Gas '!$W$18</c:f>
              <c:strCache>
                <c:ptCount val="1"/>
                <c:pt idx="0">
                  <c:v>FA1</c:v>
                </c:pt>
              </c:strCache>
            </c:strRef>
          </c:tx>
          <c:spPr>
            <a:ln w="28575" cap="rnd">
              <a:solidFill>
                <a:schemeClr val="accent1"/>
              </a:solidFill>
              <a:round/>
            </a:ln>
            <a:effectLst/>
          </c:spPr>
          <c:marker>
            <c:symbol val="none"/>
          </c:marker>
          <c:val>
            <c:numRef>
              <c:f>'Bluejay Natural Gas '!$X$18:$Z$18</c:f>
              <c:numCache>
                <c:formatCode>General</c:formatCode>
                <c:ptCount val="3"/>
                <c:pt idx="0">
                  <c:v>200</c:v>
                </c:pt>
                <c:pt idx="1">
                  <c:v>400</c:v>
                </c:pt>
                <c:pt idx="2">
                  <c:v>800</c:v>
                </c:pt>
              </c:numCache>
            </c:numRef>
          </c:val>
          <c:smooth val="0"/>
          <c:extLst>
            <c:ext xmlns:c16="http://schemas.microsoft.com/office/drawing/2014/chart" uri="{C3380CC4-5D6E-409C-BE32-E72D297353CC}">
              <c16:uniqueId val="{00000000-DBC1-4862-BF63-43B5D6E3E7B0}"/>
            </c:ext>
          </c:extLst>
        </c:ser>
        <c:dLbls>
          <c:showLegendKey val="0"/>
          <c:showVal val="0"/>
          <c:showCatName val="0"/>
          <c:showSerName val="0"/>
          <c:showPercent val="0"/>
          <c:showBubbleSize val="0"/>
        </c:dLbls>
        <c:smooth val="0"/>
        <c:axId val="1644442928"/>
        <c:axId val="1644443344"/>
      </c:lineChart>
      <c:catAx>
        <c:axId val="16444429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443344"/>
        <c:crosses val="autoZero"/>
        <c:auto val="1"/>
        <c:lblAlgn val="ctr"/>
        <c:lblOffset val="100"/>
        <c:noMultiLvlLbl val="0"/>
      </c:catAx>
      <c:valAx>
        <c:axId val="164444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44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'Bluejay Natural Gas '!$W$19</c:f>
              <c:strCache>
                <c:ptCount val="1"/>
                <c:pt idx="0">
                  <c:v>FA2</c:v>
                </c:pt>
              </c:strCache>
            </c:strRef>
          </c:tx>
          <c:spPr>
            <a:ln w="28575" cap="rnd">
              <a:solidFill>
                <a:schemeClr val="accent2"/>
              </a:solidFill>
              <a:round/>
            </a:ln>
            <a:effectLst/>
          </c:spPr>
          <c:marker>
            <c:symbol val="none"/>
          </c:marker>
          <c:val>
            <c:numRef>
              <c:f>'Bluejay Natural Gas '!$X$19:$Z$19</c:f>
              <c:numCache>
                <c:formatCode>General</c:formatCode>
                <c:ptCount val="3"/>
                <c:pt idx="0">
                  <c:v>1518</c:v>
                </c:pt>
                <c:pt idx="1">
                  <c:v>1302</c:v>
                </c:pt>
                <c:pt idx="2">
                  <c:v>986</c:v>
                </c:pt>
              </c:numCache>
            </c:numRef>
          </c:val>
          <c:smooth val="0"/>
          <c:extLst>
            <c:ext xmlns:c16="http://schemas.microsoft.com/office/drawing/2014/chart" uri="{C3380CC4-5D6E-409C-BE32-E72D297353CC}">
              <c16:uniqueId val="{00000000-EF0B-46D1-A627-EC88304C4AA9}"/>
            </c:ext>
          </c:extLst>
        </c:ser>
        <c:dLbls>
          <c:showLegendKey val="0"/>
          <c:showVal val="0"/>
          <c:showCatName val="0"/>
          <c:showSerName val="0"/>
          <c:showPercent val="0"/>
          <c:showBubbleSize val="0"/>
        </c:dLbls>
        <c:smooth val="0"/>
        <c:axId val="1528924720"/>
        <c:axId val="1528927632"/>
      </c:lineChart>
      <c:catAx>
        <c:axId val="15289247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927632"/>
        <c:crosses val="autoZero"/>
        <c:auto val="1"/>
        <c:lblAlgn val="ctr"/>
        <c:lblOffset val="100"/>
        <c:noMultiLvlLbl val="0"/>
      </c:catAx>
      <c:valAx>
        <c:axId val="152892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92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'Bluejay Natural Gas '!$W$20</c:f>
              <c:strCache>
                <c:ptCount val="1"/>
                <c:pt idx="0">
                  <c:v>FA3</c:v>
                </c:pt>
              </c:strCache>
            </c:strRef>
          </c:tx>
          <c:spPr>
            <a:ln w="28575" cap="rnd">
              <a:solidFill>
                <a:schemeClr val="bg1">
                  <a:lumMod val="65000"/>
                </a:schemeClr>
              </a:solidFill>
              <a:round/>
            </a:ln>
            <a:effectLst/>
          </c:spPr>
          <c:marker>
            <c:symbol val="none"/>
          </c:marker>
          <c:val>
            <c:numRef>
              <c:f>'Bluejay Natural Gas '!$X$20:$Z$20</c:f>
              <c:numCache>
                <c:formatCode>General</c:formatCode>
                <c:ptCount val="3"/>
                <c:pt idx="0">
                  <c:v>1850</c:v>
                </c:pt>
                <c:pt idx="1">
                  <c:v>650</c:v>
                </c:pt>
                <c:pt idx="2">
                  <c:v>550</c:v>
                </c:pt>
              </c:numCache>
            </c:numRef>
          </c:val>
          <c:smooth val="0"/>
          <c:extLst>
            <c:ext xmlns:c16="http://schemas.microsoft.com/office/drawing/2014/chart" uri="{C3380CC4-5D6E-409C-BE32-E72D297353CC}">
              <c16:uniqueId val="{00000000-DCF9-4693-B2AA-772A6A769C44}"/>
            </c:ext>
          </c:extLst>
        </c:ser>
        <c:dLbls>
          <c:showLegendKey val="0"/>
          <c:showVal val="0"/>
          <c:showCatName val="0"/>
          <c:showSerName val="0"/>
          <c:showPercent val="0"/>
          <c:showBubbleSize val="0"/>
        </c:dLbls>
        <c:smooth val="0"/>
        <c:axId val="1645096752"/>
        <c:axId val="1645097168"/>
      </c:lineChart>
      <c:catAx>
        <c:axId val="16450967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097168"/>
        <c:crosses val="autoZero"/>
        <c:auto val="1"/>
        <c:lblAlgn val="ctr"/>
        <c:lblOffset val="100"/>
        <c:noMultiLvlLbl val="0"/>
      </c:catAx>
      <c:valAx>
        <c:axId val="164509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09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s>
</file>

<file path=xl/drawings/_rels/drawing15.xml.rels><?xml version="1.0" encoding="UTF-8" standalone="yes"?>
<Relationships xmlns="http://schemas.openxmlformats.org/package/2006/relationships"><Relationship Id="rId1" Type="http://schemas.openxmlformats.org/officeDocument/2006/relationships/customXml" Target="../ink/ink1.xml"/><Relationship Id="rId5" Type="http://schemas.openxmlformats.org/officeDocument/2006/relationships/image" Target="../media/image8.png"/><Relationship Id="rId4"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9.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30.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3.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7</xdr:col>
      <xdr:colOff>19050</xdr:colOff>
      <xdr:row>13</xdr:row>
      <xdr:rowOff>9525</xdr:rowOff>
    </xdr:from>
    <xdr:to>
      <xdr:col>13</xdr:col>
      <xdr:colOff>47625</xdr:colOff>
      <xdr:row>33</xdr:row>
      <xdr:rowOff>28575</xdr:rowOff>
    </xdr:to>
    <xdr:graphicFrame macro="">
      <xdr:nvGraphicFramePr>
        <xdr:cNvPr id="3" name="Chart 2">
          <a:extLst>
            <a:ext uri="{FF2B5EF4-FFF2-40B4-BE49-F238E27FC236}">
              <a16:creationId xmlns:a16="http://schemas.microsoft.com/office/drawing/2014/main" id="{2D9B7B13-ABEF-47C4-9292-B3A034D06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180975</xdr:colOff>
      <xdr:row>5</xdr:row>
      <xdr:rowOff>42862</xdr:rowOff>
    </xdr:from>
    <xdr:to>
      <xdr:col>21</xdr:col>
      <xdr:colOff>485775</xdr:colOff>
      <xdr:row>19</xdr:row>
      <xdr:rowOff>119062</xdr:rowOff>
    </xdr:to>
    <xdr:graphicFrame macro="">
      <xdr:nvGraphicFramePr>
        <xdr:cNvPr id="2" name="Chart 1">
          <a:extLst>
            <a:ext uri="{FF2B5EF4-FFF2-40B4-BE49-F238E27FC236}">
              <a16:creationId xmlns:a16="http://schemas.microsoft.com/office/drawing/2014/main" id="{C5B09160-25ED-4892-9CD9-550898FA47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9525</xdr:colOff>
      <xdr:row>7</xdr:row>
      <xdr:rowOff>176212</xdr:rowOff>
    </xdr:from>
    <xdr:to>
      <xdr:col>23</xdr:col>
      <xdr:colOff>314325</xdr:colOff>
      <xdr:row>22</xdr:row>
      <xdr:rowOff>61912</xdr:rowOff>
    </xdr:to>
    <xdr:graphicFrame macro="">
      <xdr:nvGraphicFramePr>
        <xdr:cNvPr id="5" name="Chart 4">
          <a:extLst>
            <a:ext uri="{FF2B5EF4-FFF2-40B4-BE49-F238E27FC236}">
              <a16:creationId xmlns:a16="http://schemas.microsoft.com/office/drawing/2014/main" id="{311CCB41-12E8-4273-AE25-A85314D64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28574</xdr:colOff>
      <xdr:row>0</xdr:row>
      <xdr:rowOff>161925</xdr:rowOff>
    </xdr:from>
    <xdr:to>
      <xdr:col>19</xdr:col>
      <xdr:colOff>971549</xdr:colOff>
      <xdr:row>18</xdr:row>
      <xdr:rowOff>171450</xdr:rowOff>
    </xdr:to>
    <xdr:graphicFrame macro="">
      <xdr:nvGraphicFramePr>
        <xdr:cNvPr id="2" name="Chart 1">
          <a:extLst>
            <a:ext uri="{FF2B5EF4-FFF2-40B4-BE49-F238E27FC236}">
              <a16:creationId xmlns:a16="http://schemas.microsoft.com/office/drawing/2014/main" id="{0D496248-B68D-47A5-9457-8742D16CEF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5952</xdr:colOff>
      <xdr:row>5</xdr:row>
      <xdr:rowOff>167708</xdr:rowOff>
    </xdr:from>
    <xdr:to>
      <xdr:col>19</xdr:col>
      <xdr:colOff>0</xdr:colOff>
      <xdr:row>18</xdr:row>
      <xdr:rowOff>8503</xdr:rowOff>
    </xdr:to>
    <xdr:graphicFrame macro="">
      <xdr:nvGraphicFramePr>
        <xdr:cNvPr id="4" name="Chart 3">
          <a:extLst>
            <a:ext uri="{FF2B5EF4-FFF2-40B4-BE49-F238E27FC236}">
              <a16:creationId xmlns:a16="http://schemas.microsoft.com/office/drawing/2014/main" id="{BD4D46A7-BD6F-4C2F-8096-04804DE11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2</xdr:row>
      <xdr:rowOff>28575</xdr:rowOff>
    </xdr:from>
    <xdr:to>
      <xdr:col>20</xdr:col>
      <xdr:colOff>114300</xdr:colOff>
      <xdr:row>24</xdr:row>
      <xdr:rowOff>19050</xdr:rowOff>
    </xdr:to>
    <xdr:graphicFrame macro="">
      <xdr:nvGraphicFramePr>
        <xdr:cNvPr id="2" name="Chart 1">
          <a:extLst>
            <a:ext uri="{FF2B5EF4-FFF2-40B4-BE49-F238E27FC236}">
              <a16:creationId xmlns:a16="http://schemas.microsoft.com/office/drawing/2014/main" id="{A23BE3E1-F819-4E26-819D-1D45D6F38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125802</xdr:colOff>
      <xdr:row>22</xdr:row>
      <xdr:rowOff>12220</xdr:rowOff>
    </xdr:from>
    <xdr:to>
      <xdr:col>27</xdr:col>
      <xdr:colOff>592167</xdr:colOff>
      <xdr:row>38</xdr:row>
      <xdr:rowOff>161745</xdr:rowOff>
    </xdr:to>
    <xdr:graphicFrame macro="">
      <xdr:nvGraphicFramePr>
        <xdr:cNvPr id="4" name="Chart 3">
          <a:extLst>
            <a:ext uri="{FF2B5EF4-FFF2-40B4-BE49-F238E27FC236}">
              <a16:creationId xmlns:a16="http://schemas.microsoft.com/office/drawing/2014/main" id="{BC48B16C-D492-435C-B32C-96BA073635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9883</xdr:colOff>
      <xdr:row>27</xdr:row>
      <xdr:rowOff>182952</xdr:rowOff>
    </xdr:from>
    <xdr:to>
      <xdr:col>17</xdr:col>
      <xdr:colOff>790754</xdr:colOff>
      <xdr:row>42</xdr:row>
      <xdr:rowOff>44929</xdr:rowOff>
    </xdr:to>
    <xdr:graphicFrame macro="">
      <xdr:nvGraphicFramePr>
        <xdr:cNvPr id="5" name="Chart 4">
          <a:extLst>
            <a:ext uri="{FF2B5EF4-FFF2-40B4-BE49-F238E27FC236}">
              <a16:creationId xmlns:a16="http://schemas.microsoft.com/office/drawing/2014/main" id="{C9202EC0-CD21-4C6C-84C3-30D811E61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18869</xdr:colOff>
      <xdr:row>40</xdr:row>
      <xdr:rowOff>12220</xdr:rowOff>
    </xdr:from>
    <xdr:to>
      <xdr:col>26</xdr:col>
      <xdr:colOff>8984</xdr:colOff>
      <xdr:row>55</xdr:row>
      <xdr:rowOff>35942</xdr:rowOff>
    </xdr:to>
    <xdr:graphicFrame macro="">
      <xdr:nvGraphicFramePr>
        <xdr:cNvPr id="6" name="Chart 5">
          <a:extLst>
            <a:ext uri="{FF2B5EF4-FFF2-40B4-BE49-F238E27FC236}">
              <a16:creationId xmlns:a16="http://schemas.microsoft.com/office/drawing/2014/main" id="{213C64D6-B07D-43FA-8747-AE5F71AAB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8985</xdr:colOff>
      <xdr:row>43</xdr:row>
      <xdr:rowOff>17972</xdr:rowOff>
    </xdr:from>
    <xdr:to>
      <xdr:col>18</xdr:col>
      <xdr:colOff>26957</xdr:colOff>
      <xdr:row>57</xdr:row>
      <xdr:rowOff>8985</xdr:rowOff>
    </xdr:to>
    <xdr:graphicFrame macro="">
      <xdr:nvGraphicFramePr>
        <xdr:cNvPr id="7" name="Chart 6">
          <a:extLst>
            <a:ext uri="{FF2B5EF4-FFF2-40B4-BE49-F238E27FC236}">
              <a16:creationId xmlns:a16="http://schemas.microsoft.com/office/drawing/2014/main" id="{14774438-3320-4A6C-A098-FF7597C6EC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371476</xdr:colOff>
      <xdr:row>0</xdr:row>
      <xdr:rowOff>161925</xdr:rowOff>
    </xdr:from>
    <xdr:to>
      <xdr:col>10</xdr:col>
      <xdr:colOff>219076</xdr:colOff>
      <xdr:row>10</xdr:row>
      <xdr:rowOff>57150</xdr:rowOff>
    </xdr:to>
    <xdr:sp macro="" textlink="">
      <xdr:nvSpPr>
        <xdr:cNvPr id="2" name="TextBox 1">
          <a:extLst>
            <a:ext uri="{FF2B5EF4-FFF2-40B4-BE49-F238E27FC236}">
              <a16:creationId xmlns:a16="http://schemas.microsoft.com/office/drawing/2014/main" id="{BC1E4B28-F946-48C4-A198-A3D119F95292}"/>
            </a:ext>
          </a:extLst>
        </xdr:cNvPr>
        <xdr:cNvSpPr txBox="1"/>
      </xdr:nvSpPr>
      <xdr:spPr>
        <a:xfrm>
          <a:off x="371476" y="161925"/>
          <a:ext cx="5943600" cy="18002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Campaign Marketing</a:t>
          </a:r>
          <a:endParaRPr lang="uk-UA" sz="1100"/>
        </a:p>
        <a:p>
          <a:r>
            <a:rPr lang="en-US" sz="1100"/>
            <a:t>A candidate for mayor has allocated $40,000 for last minute advertising in the days preceding the election.  Two types of ads will be used: radio and television.  Each radio ad costs $200 and reaches an estimated 3000 people.  Each television ad costs $500 and reaches an estimated 7000 people.  The campaigning mayor would like to reach as many people as possible, but she has stipulated that at least 10 ads of each type be used.  Also, the number of radio ads must be at least as great as the number of television ads. </a:t>
          </a:r>
        </a:p>
        <a:p>
          <a:r>
            <a:rPr lang="en-US" sz="1100"/>
            <a:t>How many ads of each type should be used?</a:t>
          </a:r>
        </a:p>
        <a:p>
          <a:r>
            <a:rPr lang="en-US" sz="1100"/>
            <a:t>How many people will be reached?</a:t>
          </a:r>
        </a:p>
        <a:p>
          <a:endParaRPr lang="en-US" sz="1100"/>
        </a:p>
      </xdr:txBody>
    </xdr:sp>
    <xdr:clientData/>
  </xdr:twoCellAnchor>
  <xdr:twoCellAnchor editAs="oneCell">
    <xdr:from>
      <xdr:col>15</xdr:col>
      <xdr:colOff>9525</xdr:colOff>
      <xdr:row>1</xdr:row>
      <xdr:rowOff>161925</xdr:rowOff>
    </xdr:from>
    <xdr:to>
      <xdr:col>23</xdr:col>
      <xdr:colOff>542925</xdr:colOff>
      <xdr:row>32</xdr:row>
      <xdr:rowOff>9525</xdr:rowOff>
    </xdr:to>
    <xdr:pic>
      <xdr:nvPicPr>
        <xdr:cNvPr id="4" name="Picture 3">
          <a:extLst>
            <a:ext uri="{FF2B5EF4-FFF2-40B4-BE49-F238E27FC236}">
              <a16:creationId xmlns:a16="http://schemas.microsoft.com/office/drawing/2014/main" id="{80417107-D6AB-4660-81C8-C3862C195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53775" y="352425"/>
          <a:ext cx="5410200" cy="575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17</xdr:col>
      <xdr:colOff>228600</xdr:colOff>
      <xdr:row>0</xdr:row>
      <xdr:rowOff>114300</xdr:rowOff>
    </xdr:from>
    <xdr:to>
      <xdr:col>27</xdr:col>
      <xdr:colOff>361950</xdr:colOff>
      <xdr:row>18</xdr:row>
      <xdr:rowOff>28576</xdr:rowOff>
    </xdr:to>
    <xdr:sp macro="" textlink="">
      <xdr:nvSpPr>
        <xdr:cNvPr id="2" name="TextBox 1">
          <a:extLst>
            <a:ext uri="{FF2B5EF4-FFF2-40B4-BE49-F238E27FC236}">
              <a16:creationId xmlns:a16="http://schemas.microsoft.com/office/drawing/2014/main" id="{534C5CEC-67DF-496E-978B-465E4C7BD78F}"/>
            </a:ext>
          </a:extLst>
        </xdr:cNvPr>
        <xdr:cNvSpPr txBox="1"/>
      </xdr:nvSpPr>
      <xdr:spPr>
        <a:xfrm>
          <a:off x="11344275" y="114300"/>
          <a:ext cx="6229350" cy="3343276"/>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Company sells</a:t>
          </a:r>
          <a:endParaRPr lang="uk-UA" sz="1100"/>
        </a:p>
        <a:p>
          <a:r>
            <a:rPr lang="en-US" sz="1100"/>
            <a:t>A company sells two products, X and Y. The profit per unit of X is $5 and the profit per unit of Y is $6.</a:t>
          </a:r>
        </a:p>
        <a:p>
          <a:r>
            <a:rPr lang="en-US" sz="1100"/>
            <a:t>The company wants to maximize profit, 5X+6Y5X+6Y5, X, plus, 6, Y, subject to the following constraints:</a:t>
          </a:r>
        </a:p>
        <a:p>
          <a:r>
            <a:rPr lang="en-US" sz="1100"/>
            <a:t>2X+Y≤120</a:t>
          </a:r>
        </a:p>
        <a:p>
          <a:r>
            <a:rPr lang="en-US" sz="1100"/>
            <a:t>2X+3Y≤240</a:t>
          </a:r>
        </a:p>
        <a:p>
          <a:r>
            <a:rPr lang="en-US" sz="1100"/>
            <a:t>In addition, the variables X and Y should be nonnegative.</a:t>
          </a: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Question 1</a:t>
          </a:r>
        </a:p>
        <a:p>
          <a:r>
            <a:rPr lang="en-US" sz="1100" b="0" i="0">
              <a:solidFill>
                <a:schemeClr val="dk1"/>
              </a:solidFill>
              <a:effectLst/>
              <a:latin typeface="+mn-lt"/>
              <a:ea typeface="+mn-ea"/>
              <a:cs typeface="+mn-cs"/>
            </a:rPr>
            <a:t>Which of the following screenshots shows a correct set-up for the table of constraints?</a:t>
          </a: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Question 2</a:t>
          </a:r>
        </a:p>
        <a:p>
          <a:r>
            <a:rPr lang="en-US" sz="1100" b="0" i="0">
              <a:solidFill>
                <a:schemeClr val="dk1"/>
              </a:solidFill>
              <a:effectLst/>
              <a:latin typeface="+mn-lt"/>
              <a:ea typeface="+mn-ea"/>
              <a:cs typeface="+mn-cs"/>
            </a:rPr>
            <a:t>Use Solver to find the optimal solution.</a:t>
          </a: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Question 3</a:t>
          </a:r>
        </a:p>
        <a:p>
          <a:r>
            <a:rPr lang="en-US" sz="1100" b="0" i="0">
              <a:solidFill>
                <a:schemeClr val="dk1"/>
              </a:solidFill>
              <a:effectLst/>
              <a:latin typeface="+mn-lt"/>
              <a:ea typeface="+mn-ea"/>
              <a:cs typeface="+mn-cs"/>
            </a:rPr>
            <a:t>Suppose that the profit per unit of X rose to $7. What would change in the optimal solution?</a:t>
          </a:r>
        </a:p>
        <a:p>
          <a:endParaRPr lang="en-US" sz="1100" b="1" i="0">
            <a:solidFill>
              <a:schemeClr val="dk1"/>
            </a:solidFill>
            <a:effectLst/>
            <a:latin typeface="+mn-lt"/>
            <a:ea typeface="+mn-ea"/>
            <a:cs typeface="+mn-cs"/>
          </a:endParaRPr>
        </a:p>
        <a:p>
          <a:r>
            <a:rPr lang="en-US" sz="1100" b="0" i="0">
              <a:solidFill>
                <a:schemeClr val="dk1"/>
              </a:solidFill>
              <a:effectLst/>
              <a:latin typeface="+mn-lt"/>
              <a:ea typeface="+mn-ea"/>
              <a:cs typeface="+mn-cs"/>
            </a:rPr>
            <a:t>Question 4</a:t>
          </a:r>
        </a:p>
        <a:p>
          <a:r>
            <a:rPr lang="en-US" sz="1100" b="0" i="0">
              <a:solidFill>
                <a:schemeClr val="dk1"/>
              </a:solidFill>
              <a:effectLst/>
              <a:latin typeface="+mn-lt"/>
              <a:ea typeface="+mn-ea"/>
              <a:cs typeface="+mn-cs"/>
            </a:rPr>
            <a:t>Suppose that the profit per unit of X decreased to $3. What would change in the optimal solution?</a:t>
          </a:r>
        </a:p>
        <a:p>
          <a:endParaRPr lang="en-US" sz="1100"/>
        </a:p>
      </xdr:txBody>
    </xdr:sp>
    <xdr:clientData/>
  </xdr:twoCellAnchor>
  <xdr:twoCellAnchor editAs="oneCell">
    <xdr:from>
      <xdr:col>7</xdr:col>
      <xdr:colOff>390525</xdr:colOff>
      <xdr:row>1</xdr:row>
      <xdr:rowOff>123825</xdr:rowOff>
    </xdr:from>
    <xdr:to>
      <xdr:col>16</xdr:col>
      <xdr:colOff>371475</xdr:colOff>
      <xdr:row>31</xdr:row>
      <xdr:rowOff>152400</xdr:rowOff>
    </xdr:to>
    <xdr:pic>
      <xdr:nvPicPr>
        <xdr:cNvPr id="3" name="Picture 2">
          <a:extLst>
            <a:ext uri="{FF2B5EF4-FFF2-40B4-BE49-F238E27FC236}">
              <a16:creationId xmlns:a16="http://schemas.microsoft.com/office/drawing/2014/main" id="{5B2A3CC5-5D56-463B-B1FA-9123E070E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10200" y="314325"/>
          <a:ext cx="5467350" cy="574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47625</xdr:colOff>
      <xdr:row>0</xdr:row>
      <xdr:rowOff>47624</xdr:rowOff>
    </xdr:from>
    <xdr:to>
      <xdr:col>11</xdr:col>
      <xdr:colOff>514350</xdr:colOff>
      <xdr:row>11</xdr:row>
      <xdr:rowOff>133350</xdr:rowOff>
    </xdr:to>
    <xdr:sp macro="" textlink="">
      <xdr:nvSpPr>
        <xdr:cNvPr id="2" name="TextBox 1">
          <a:extLst>
            <a:ext uri="{FF2B5EF4-FFF2-40B4-BE49-F238E27FC236}">
              <a16:creationId xmlns:a16="http://schemas.microsoft.com/office/drawing/2014/main" id="{C22F7134-ADCD-41FA-9964-1DF304DA22A0}"/>
            </a:ext>
          </a:extLst>
        </xdr:cNvPr>
        <xdr:cNvSpPr txBox="1"/>
      </xdr:nvSpPr>
      <xdr:spPr>
        <a:xfrm>
          <a:off x="47625" y="47624"/>
          <a:ext cx="8629650" cy="2181226"/>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PC Tech Company</a:t>
          </a:r>
        </a:p>
        <a:p>
          <a:r>
            <a:rPr lang="en-US" sz="1100" b="0" i="0">
              <a:solidFill>
                <a:schemeClr val="dk1"/>
              </a:solidFill>
              <a:effectLst/>
              <a:latin typeface="+mn-lt"/>
              <a:ea typeface="+mn-ea"/>
              <a:cs typeface="+mn-cs"/>
            </a:rPr>
            <a:t>The PC Tech company assembles and then tests two models of computers, Basic and XP.  For the coming month, the company wants to decide how many of each model to assemble and then test.  No computers are in inventory from the previous month, and because these models are going to be changed after this month, the company doesn’t want to hold any inventory after this month. </a:t>
          </a:r>
        </a:p>
        <a:p>
          <a:r>
            <a:rPr lang="en-US" sz="1100" b="0" i="0">
              <a:solidFill>
                <a:schemeClr val="dk1"/>
              </a:solidFill>
              <a:effectLst/>
              <a:latin typeface="+mn-lt"/>
              <a:ea typeface="+mn-ea"/>
              <a:cs typeface="+mn-cs"/>
            </a:rPr>
            <a:t> It believes the most it can sell this month are 600 Basics and 1200 XPs.</a:t>
          </a:r>
        </a:p>
        <a:p>
          <a:r>
            <a:rPr lang="en-US" sz="1100" b="0" i="0">
              <a:solidFill>
                <a:schemeClr val="dk1"/>
              </a:solidFill>
              <a:effectLst/>
              <a:latin typeface="+mn-lt"/>
              <a:ea typeface="+mn-ea"/>
              <a:cs typeface="+mn-cs"/>
            </a:rPr>
            <a:t>  Each Basic sells for $300 and each XP sells for $450.</a:t>
          </a:r>
        </a:p>
        <a:p>
          <a:r>
            <a:rPr lang="en-US" sz="1100" b="0" i="0">
              <a:solidFill>
                <a:schemeClr val="dk1"/>
              </a:solidFill>
              <a:effectLst/>
              <a:latin typeface="+mn-lt"/>
              <a:ea typeface="+mn-ea"/>
              <a:cs typeface="+mn-cs"/>
            </a:rPr>
            <a:t> The cost of component parts for a Basic is $150; for an XP it is $225. </a:t>
          </a:r>
        </a:p>
        <a:p>
          <a:r>
            <a:rPr lang="en-US" sz="1100" b="0" i="0">
              <a:solidFill>
                <a:schemeClr val="dk1"/>
              </a:solidFill>
              <a:effectLst/>
              <a:latin typeface="+mn-lt"/>
              <a:ea typeface="+mn-ea"/>
              <a:cs typeface="+mn-cs"/>
            </a:rPr>
            <a:t> Labor is required for assembly and testing.  There are at most 10,000 assembly hours and 3,000 testing hours available.  </a:t>
          </a:r>
        </a:p>
        <a:p>
          <a:r>
            <a:rPr lang="en-US" sz="1100" b="0" i="0">
              <a:solidFill>
                <a:schemeClr val="dk1"/>
              </a:solidFill>
              <a:effectLst/>
              <a:latin typeface="+mn-lt"/>
              <a:ea typeface="+mn-ea"/>
              <a:cs typeface="+mn-cs"/>
            </a:rPr>
            <a:t>Each labor hour for assembling costs $11 and each labor hour for testing costs $15.  </a:t>
          </a:r>
        </a:p>
        <a:p>
          <a:r>
            <a:rPr lang="en-US" sz="1100" b="0" i="0">
              <a:solidFill>
                <a:schemeClr val="dk1"/>
              </a:solidFill>
              <a:effectLst/>
              <a:latin typeface="+mn-lt"/>
              <a:ea typeface="+mn-ea"/>
              <a:cs typeface="+mn-cs"/>
            </a:rPr>
            <a:t>Each Basic requires five hours for assembling and one hour for testing.  Each XP requires six hours for assembling and two hours for testing. PC Tech wants to know how many of each model it should produce (assemble and test) to maximize its net profit, but it cannot use more labor hours that are available, and it does not want to produce more than it can sell. </a:t>
          </a:r>
          <a:endParaRPr lang="en-US" sz="1100"/>
        </a:p>
      </xdr:txBody>
    </xdr:sp>
    <xdr:clientData/>
  </xdr:twoCellAnchor>
  <xdr:twoCellAnchor editAs="oneCell">
    <xdr:from>
      <xdr:col>14</xdr:col>
      <xdr:colOff>304800</xdr:colOff>
      <xdr:row>6</xdr:row>
      <xdr:rowOff>85725</xdr:rowOff>
    </xdr:from>
    <xdr:to>
      <xdr:col>23</xdr:col>
      <xdr:colOff>304800</xdr:colOff>
      <xdr:row>36</xdr:row>
      <xdr:rowOff>47625</xdr:rowOff>
    </xdr:to>
    <xdr:pic>
      <xdr:nvPicPr>
        <xdr:cNvPr id="3" name="Picture 2">
          <a:extLst>
            <a:ext uri="{FF2B5EF4-FFF2-40B4-BE49-F238E27FC236}">
              <a16:creationId xmlns:a16="http://schemas.microsoft.com/office/drawing/2014/main" id="{0C232BCC-3E27-462A-9353-C41EC3572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25100" y="1228725"/>
          <a:ext cx="5486400" cy="567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476249</xdr:colOff>
      <xdr:row>0</xdr:row>
      <xdr:rowOff>171450</xdr:rowOff>
    </xdr:from>
    <xdr:to>
      <xdr:col>15</xdr:col>
      <xdr:colOff>66674</xdr:colOff>
      <xdr:row>10</xdr:row>
      <xdr:rowOff>123825</xdr:rowOff>
    </xdr:to>
    <xdr:sp macro="" textlink="">
      <xdr:nvSpPr>
        <xdr:cNvPr id="2" name="TextBox 1">
          <a:extLst>
            <a:ext uri="{FF2B5EF4-FFF2-40B4-BE49-F238E27FC236}">
              <a16:creationId xmlns:a16="http://schemas.microsoft.com/office/drawing/2014/main" id="{AB76EB98-730C-462C-8749-9410D1584326}"/>
            </a:ext>
          </a:extLst>
        </xdr:cNvPr>
        <xdr:cNvSpPr txBox="1"/>
      </xdr:nvSpPr>
      <xdr:spPr>
        <a:xfrm>
          <a:off x="476249" y="171450"/>
          <a:ext cx="9077325" cy="1857375"/>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Furniture Company</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Tectona Furniture Corporation manufactures outdoor furniture. Their two main products are benches and tables, both made of teak wood.</a:t>
          </a:r>
        </a:p>
        <a:p>
          <a:r>
            <a:rPr lang="en-US" sz="1100" b="0" i="0">
              <a:solidFill>
                <a:schemeClr val="dk1"/>
              </a:solidFill>
              <a:effectLst/>
              <a:latin typeface="+mn-lt"/>
              <a:ea typeface="+mn-ea"/>
              <a:cs typeface="+mn-cs"/>
            </a:rPr>
            <a:t>The firm has two main resources:  its carpenters (labor force) and a supply of teak for use in the furniture. During the next production cycle, 1,250 hours of labor are available under a union agreement. The firm also has a stock of 3,600 board feet of teak lumber. Each bench that Tectona produces requires 4 labor hours and 9 board feet of teak; each picnic table takes 6 labor hours and 36 board feet of teak. Completed benches will yield a profit of $12 each, and tables will result in a profit of $20 each.</a:t>
          </a:r>
        </a:p>
        <a:p>
          <a:r>
            <a:rPr lang="en-US" sz="1100" b="0" i="0">
              <a:solidFill>
                <a:schemeClr val="dk1"/>
              </a:solidFill>
              <a:effectLst/>
              <a:latin typeface="+mn-lt"/>
              <a:ea typeface="+mn-ea"/>
              <a:cs typeface="+mn-cs"/>
            </a:rPr>
            <a:t>As a consultant for Tectona Furniture Corporation, you are tasked with creating a spreadsheet model to help the company obtain the maximum profit during the next production cycle.</a:t>
          </a:r>
        </a:p>
        <a:p>
          <a:endParaRPr lang="en-US" sz="1100"/>
        </a:p>
      </xdr:txBody>
    </xdr:sp>
    <xdr:clientData/>
  </xdr:twoCellAnchor>
  <xdr:twoCellAnchor editAs="oneCell">
    <xdr:from>
      <xdr:col>17</xdr:col>
      <xdr:colOff>476250</xdr:colOff>
      <xdr:row>2</xdr:row>
      <xdr:rowOff>171450</xdr:rowOff>
    </xdr:from>
    <xdr:to>
      <xdr:col>26</xdr:col>
      <xdr:colOff>485775</xdr:colOff>
      <xdr:row>33</xdr:row>
      <xdr:rowOff>0</xdr:rowOff>
    </xdr:to>
    <xdr:pic>
      <xdr:nvPicPr>
        <xdr:cNvPr id="4" name="Picture 3">
          <a:extLst>
            <a:ext uri="{FF2B5EF4-FFF2-40B4-BE49-F238E27FC236}">
              <a16:creationId xmlns:a16="http://schemas.microsoft.com/office/drawing/2014/main" id="{1F7CEF44-FECF-4436-A592-69D112DF17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63325" y="552450"/>
          <a:ext cx="5495925" cy="573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266700</xdr:colOff>
      <xdr:row>0</xdr:row>
      <xdr:rowOff>171450</xdr:rowOff>
    </xdr:from>
    <xdr:to>
      <xdr:col>23</xdr:col>
      <xdr:colOff>400050</xdr:colOff>
      <xdr:row>7</xdr:row>
      <xdr:rowOff>161925</xdr:rowOff>
    </xdr:to>
    <xdr:sp macro="" textlink="">
      <xdr:nvSpPr>
        <xdr:cNvPr id="2" name="TextBox 1">
          <a:extLst>
            <a:ext uri="{FF2B5EF4-FFF2-40B4-BE49-F238E27FC236}">
              <a16:creationId xmlns:a16="http://schemas.microsoft.com/office/drawing/2014/main" id="{8BD9E813-3AD7-4E0A-B530-43666A5F2DEE}"/>
            </a:ext>
          </a:extLst>
        </xdr:cNvPr>
        <xdr:cNvSpPr txBox="1"/>
      </xdr:nvSpPr>
      <xdr:spPr>
        <a:xfrm>
          <a:off x="8067675" y="171450"/>
          <a:ext cx="9258300" cy="1323975"/>
        </a:xfrm>
        <a:prstGeom prst="rect">
          <a:avLst/>
        </a:prstGeom>
        <a:solidFill>
          <a:schemeClr val="bg1">
            <a:lumMod val="8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Investment Allocation</a:t>
          </a:r>
        </a:p>
        <a:p>
          <a:r>
            <a:rPr lang="en-US" sz="1100" b="0" i="0">
              <a:solidFill>
                <a:schemeClr val="dk1"/>
              </a:solidFill>
              <a:effectLst/>
              <a:latin typeface="+mn-lt"/>
              <a:ea typeface="+mn-ea"/>
              <a:cs typeface="+mn-cs"/>
            </a:rPr>
            <a:t>A brokerage firm has been instructed by a client to invest $250,000. The client requests the firm select whatever stocks and bonds they believe are well-rated, but with the following guidelines:</a:t>
          </a:r>
        </a:p>
        <a:p>
          <a:r>
            <a:rPr lang="en-US" sz="1100" b="0" i="0">
              <a:solidFill>
                <a:schemeClr val="dk1"/>
              </a:solidFill>
              <a:effectLst/>
              <a:latin typeface="+mn-lt"/>
              <a:ea typeface="+mn-ea"/>
              <a:cs typeface="+mn-cs"/>
            </a:rPr>
            <a:t>Municipal bonds constitute at least 20% of investment.</a:t>
          </a:r>
        </a:p>
        <a:p>
          <a:r>
            <a:rPr lang="en-US" sz="1100" b="0" i="0">
              <a:solidFill>
                <a:schemeClr val="dk1"/>
              </a:solidFill>
              <a:effectLst/>
              <a:latin typeface="+mn-lt"/>
              <a:ea typeface="+mn-ea"/>
              <a:cs typeface="+mn-cs"/>
            </a:rPr>
            <a:t>At least 40% of the investment is placed in tech stocks.</a:t>
          </a:r>
        </a:p>
        <a:p>
          <a:r>
            <a:rPr lang="en-US" sz="1100" b="0" i="0">
              <a:solidFill>
                <a:schemeClr val="dk1"/>
              </a:solidFill>
              <a:effectLst/>
              <a:latin typeface="+mn-lt"/>
              <a:ea typeface="+mn-ea"/>
              <a:cs typeface="+mn-cs"/>
            </a:rPr>
            <a:t>No more than 50% of the amount invested in municipal bonds should be high risk.</a:t>
          </a:r>
        </a:p>
        <a:p>
          <a:r>
            <a:rPr lang="en-US" sz="1100" b="0" i="0">
              <a:solidFill>
                <a:schemeClr val="dk1"/>
              </a:solidFill>
              <a:effectLst/>
              <a:latin typeface="+mn-lt"/>
              <a:ea typeface="+mn-ea"/>
              <a:cs typeface="+mn-cs"/>
            </a:rPr>
            <a:t>The table below lists the rate of return for five different investment options.</a:t>
          </a:r>
        </a:p>
        <a:p>
          <a:endParaRPr lang="en-US" sz="1100"/>
        </a:p>
      </xdr:txBody>
    </xdr:sp>
    <xdr:clientData/>
  </xdr:twoCellAnchor>
  <xdr:twoCellAnchor editAs="oneCell">
    <xdr:from>
      <xdr:col>11</xdr:col>
      <xdr:colOff>581025</xdr:colOff>
      <xdr:row>14</xdr:row>
      <xdr:rowOff>123825</xdr:rowOff>
    </xdr:from>
    <xdr:to>
      <xdr:col>18</xdr:col>
      <xdr:colOff>533400</xdr:colOff>
      <xdr:row>44</xdr:row>
      <xdr:rowOff>104775</xdr:rowOff>
    </xdr:to>
    <xdr:pic>
      <xdr:nvPicPr>
        <xdr:cNvPr id="4" name="Picture 3">
          <a:extLst>
            <a:ext uri="{FF2B5EF4-FFF2-40B4-BE49-F238E27FC236}">
              <a16:creationId xmlns:a16="http://schemas.microsoft.com/office/drawing/2014/main" id="{513B40D4-1A13-4E0B-AD7D-D70380E35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91600" y="2790825"/>
          <a:ext cx="5419725"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400051</xdr:colOff>
      <xdr:row>1</xdr:row>
      <xdr:rowOff>19051</xdr:rowOff>
    </xdr:from>
    <xdr:to>
      <xdr:col>10</xdr:col>
      <xdr:colOff>9526</xdr:colOff>
      <xdr:row>11</xdr:row>
      <xdr:rowOff>0</xdr:rowOff>
    </xdr:to>
    <xdr:sp macro="" textlink="">
      <xdr:nvSpPr>
        <xdr:cNvPr id="2" name="TextBox 1">
          <a:extLst>
            <a:ext uri="{FF2B5EF4-FFF2-40B4-BE49-F238E27FC236}">
              <a16:creationId xmlns:a16="http://schemas.microsoft.com/office/drawing/2014/main" id="{619417B1-2C22-4187-A8FB-1DD8F0955E6B}"/>
            </a:ext>
          </a:extLst>
        </xdr:cNvPr>
        <xdr:cNvSpPr txBox="1"/>
      </xdr:nvSpPr>
      <xdr:spPr>
        <a:xfrm>
          <a:off x="400051" y="209551"/>
          <a:ext cx="8286750" cy="1885949"/>
        </a:xfrm>
        <a:prstGeom prst="rect">
          <a:avLst/>
        </a:prstGeom>
        <a:solidFill>
          <a:schemeClr val="bg1">
            <a:lumMod val="8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Feed Mix</a:t>
          </a:r>
        </a:p>
        <a:p>
          <a:r>
            <a:rPr lang="en-US" sz="1100" b="0" i="0">
              <a:solidFill>
                <a:schemeClr val="dk1"/>
              </a:solidFill>
              <a:effectLst/>
              <a:latin typeface="+mn-lt"/>
              <a:ea typeface="+mn-ea"/>
              <a:cs typeface="+mn-cs"/>
            </a:rPr>
            <a:t>The Battery Park Stable feeds and houses the horses used to pull tourist-filled carriages through the streets of Charleston’s historic waterfront area. The stable owner, an ex-racehorse trainer, recognizes the need to set a nutritional diet for the horses in his care. At the same time, he would like to keep the overall daily cost of feed to a minimum.</a:t>
          </a:r>
        </a:p>
        <a:p>
          <a:r>
            <a:rPr lang="en-US" sz="1100" b="0" i="0">
              <a:solidFill>
                <a:schemeClr val="dk1"/>
              </a:solidFill>
              <a:effectLst/>
              <a:latin typeface="+mn-lt"/>
              <a:ea typeface="+mn-ea"/>
              <a:cs typeface="+mn-cs"/>
            </a:rPr>
            <a:t>The feed mixes available for the horses’ diet are an oat product, a highly enriched grain, and a mineral product. Each of these mixes contains a certain amount of five ingredients needed daily to keep the average horse healthy. The table below shows these minimum requirements, units of each ingredient per pound of feed mix, and costs for the three mixes.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In addition, the stable owner is aware that an overfed horse is a sluggish worker. Consequently, he determines that a total of 6 pounds of feed per day is the most that any horse needs to function properly. </a:t>
          </a:r>
        </a:p>
        <a:p>
          <a:endParaRPr lang="en-US" sz="1100"/>
        </a:p>
      </xdr:txBody>
    </xdr:sp>
    <xdr:clientData/>
  </xdr:twoCellAnchor>
  <xdr:twoCellAnchor editAs="oneCell">
    <xdr:from>
      <xdr:col>16</xdr:col>
      <xdr:colOff>409575</xdr:colOff>
      <xdr:row>2</xdr:row>
      <xdr:rowOff>9525</xdr:rowOff>
    </xdr:from>
    <xdr:to>
      <xdr:col>25</xdr:col>
      <xdr:colOff>352425</xdr:colOff>
      <xdr:row>30</xdr:row>
      <xdr:rowOff>95250</xdr:rowOff>
    </xdr:to>
    <xdr:pic>
      <xdr:nvPicPr>
        <xdr:cNvPr id="4" name="Picture 3">
          <a:extLst>
            <a:ext uri="{FF2B5EF4-FFF2-40B4-BE49-F238E27FC236}">
              <a16:creationId xmlns:a16="http://schemas.microsoft.com/office/drawing/2014/main" id="{F6E12D25-21B0-46BF-9026-84CF0B9E8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68200" y="390525"/>
          <a:ext cx="5429250" cy="574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219075</xdr:colOff>
      <xdr:row>0</xdr:row>
      <xdr:rowOff>152400</xdr:rowOff>
    </xdr:from>
    <xdr:to>
      <xdr:col>11</xdr:col>
      <xdr:colOff>85725</xdr:colOff>
      <xdr:row>12</xdr:row>
      <xdr:rowOff>123825</xdr:rowOff>
    </xdr:to>
    <xdr:sp macro="" textlink="">
      <xdr:nvSpPr>
        <xdr:cNvPr id="2" name="TextBox 1">
          <a:extLst>
            <a:ext uri="{FF2B5EF4-FFF2-40B4-BE49-F238E27FC236}">
              <a16:creationId xmlns:a16="http://schemas.microsoft.com/office/drawing/2014/main" id="{ADA50FFE-AD7C-4B8F-B6D0-9B74FF2E3301}"/>
            </a:ext>
          </a:extLst>
        </xdr:cNvPr>
        <xdr:cNvSpPr txBox="1"/>
      </xdr:nvSpPr>
      <xdr:spPr>
        <a:xfrm>
          <a:off x="219075" y="152400"/>
          <a:ext cx="6572250" cy="1876425"/>
        </a:xfrm>
        <a:prstGeom prst="rect">
          <a:avLst/>
        </a:prstGeom>
        <a:solidFill>
          <a:schemeClr val="bg1">
            <a:lumMod val="8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Busing Problem</a:t>
          </a:r>
        </a:p>
        <a:p>
          <a:endParaRPr lang="en-US" sz="1100"/>
        </a:p>
        <a:p>
          <a:r>
            <a:rPr lang="en-US" sz="1100" b="0" i="0">
              <a:solidFill>
                <a:schemeClr val="dk1"/>
              </a:solidFill>
              <a:effectLst/>
              <a:latin typeface="+mn-lt"/>
              <a:ea typeface="+mn-ea"/>
              <a:cs typeface="+mn-cs"/>
            </a:rPr>
            <a:t>Johns Hopkins is setting up three Charter schools in Baltimore City: Kyoko HS, Devon HS, and Manny HS. Each high school has a capacity of 900 students. The Mayor hires your company to assign accepted students to these three new high schools.  Busses will be provided to students who live more than walking distance (defined as 1.5 miles) to the schools. Baltimore City has been partitioned into five neighborhoods: A, B, C, D and E.  Kyoko HS is in sector B, Devon HS is in sector C, and Manny HS is in sector E. If a student lives in a sector and is assigned to the high school in that sector, the student can walk to school and does not get a bus. All students must be assigned a school. The table below shows the distance (in miles) from each sector to each school. Minimize the total student miles travelled by bus. </a:t>
          </a:r>
          <a:endParaRPr lang="en-US" sz="1100"/>
        </a:p>
      </xdr:txBody>
    </xdr:sp>
    <xdr:clientData/>
  </xdr:twoCellAnchor>
  <xdr:twoCellAnchor editAs="oneCell">
    <xdr:from>
      <xdr:col>18</xdr:col>
      <xdr:colOff>409575</xdr:colOff>
      <xdr:row>0</xdr:row>
      <xdr:rowOff>0</xdr:rowOff>
    </xdr:from>
    <xdr:to>
      <xdr:col>26</xdr:col>
      <xdr:colOff>190500</xdr:colOff>
      <xdr:row>24</xdr:row>
      <xdr:rowOff>14296</xdr:rowOff>
    </xdr:to>
    <xdr:pic>
      <xdr:nvPicPr>
        <xdr:cNvPr id="4" name="Picture 3">
          <a:extLst>
            <a:ext uri="{FF2B5EF4-FFF2-40B4-BE49-F238E27FC236}">
              <a16:creationId xmlns:a16="http://schemas.microsoft.com/office/drawing/2014/main" id="{59488868-077C-43BB-97AA-DC78BC111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96850" y="0"/>
          <a:ext cx="4657725" cy="4919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266700</xdr:colOff>
      <xdr:row>0</xdr:row>
      <xdr:rowOff>180975</xdr:rowOff>
    </xdr:from>
    <xdr:to>
      <xdr:col>11</xdr:col>
      <xdr:colOff>323850</xdr:colOff>
      <xdr:row>13</xdr:row>
      <xdr:rowOff>104774</xdr:rowOff>
    </xdr:to>
    <xdr:sp macro="" textlink="">
      <xdr:nvSpPr>
        <xdr:cNvPr id="2" name="TextBox 1">
          <a:extLst>
            <a:ext uri="{FF2B5EF4-FFF2-40B4-BE49-F238E27FC236}">
              <a16:creationId xmlns:a16="http://schemas.microsoft.com/office/drawing/2014/main" id="{283C56FC-BAA6-4DAA-BBDE-63D01EB7F43E}"/>
            </a:ext>
          </a:extLst>
        </xdr:cNvPr>
        <xdr:cNvSpPr txBox="1"/>
      </xdr:nvSpPr>
      <xdr:spPr>
        <a:xfrm>
          <a:off x="266700" y="180975"/>
          <a:ext cx="7505700" cy="2400299"/>
        </a:xfrm>
        <a:prstGeom prst="rect">
          <a:avLst/>
        </a:prstGeom>
        <a:solidFill>
          <a:schemeClr val="bg1">
            <a:lumMod val="8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Bus Company</a:t>
          </a:r>
        </a:p>
        <a:p>
          <a:endParaRPr lang="en-US" sz="1100"/>
        </a:p>
        <a:p>
          <a:r>
            <a:rPr lang="en-US" sz="1100" b="0" i="0">
              <a:solidFill>
                <a:schemeClr val="dk1"/>
              </a:solidFill>
              <a:effectLst/>
              <a:latin typeface="+mn-lt"/>
              <a:ea typeface="+mn-ea"/>
              <a:cs typeface="+mn-cs"/>
            </a:rPr>
            <a:t>A bus company believes that it will need the following number of bus drivers during each of the next five years: 60 drivers in year 1, 70 drivers in year 2, 50 drivers in year 3, 65 drivers in year 4; and 75 drivers in year 5.</a:t>
          </a:r>
        </a:p>
        <a:p>
          <a:r>
            <a:rPr lang="en-US" sz="1100" b="0" i="0">
              <a:solidFill>
                <a:schemeClr val="dk1"/>
              </a:solidFill>
              <a:effectLst/>
              <a:latin typeface="+mn-lt"/>
              <a:ea typeface="+mn-ea"/>
              <a:cs typeface="+mn-cs"/>
            </a:rPr>
            <a:t>At the beginning of each year, the bus company must decide how many new drivers to hire and how many current drivers to fire. It costs $4000 to hire a new driver and $2000 to fire a current driver. A driver's salary is $10,000 per year.</a:t>
          </a:r>
        </a:p>
        <a:p>
          <a:r>
            <a:rPr lang="en-US" sz="1100" b="0" i="0">
              <a:solidFill>
                <a:schemeClr val="dk1"/>
              </a:solidFill>
              <a:effectLst/>
              <a:latin typeface="+mn-lt"/>
              <a:ea typeface="+mn-ea"/>
              <a:cs typeface="+mn-cs"/>
            </a:rPr>
            <a:t>At the beginning of year 1, the company has 50 drivers. A driver hired at the beginning of a year can be used to meet the current year's requirements and is paid full salary for the current year.</a:t>
          </a:r>
        </a:p>
        <a:p>
          <a:r>
            <a:rPr lang="en-US" sz="1100" b="0" i="0">
              <a:solidFill>
                <a:schemeClr val="dk1"/>
              </a:solidFill>
              <a:effectLst/>
              <a:latin typeface="+mn-lt"/>
              <a:ea typeface="+mn-ea"/>
              <a:cs typeface="+mn-cs"/>
            </a:rPr>
            <a:t>As a consultant for the bus company, you have been asked to determine how to minimize the bus company's total costs (which include salary, hiring, and firing costs) over the next five years.</a:t>
          </a:r>
        </a:p>
        <a:p>
          <a:endParaRPr lang="en-US" sz="1100"/>
        </a:p>
      </xdr:txBody>
    </xdr:sp>
    <xdr:clientData/>
  </xdr:twoCellAnchor>
  <xdr:twoCellAnchor editAs="oneCell">
    <xdr:from>
      <xdr:col>19</xdr:col>
      <xdr:colOff>266190</xdr:colOff>
      <xdr:row>7</xdr:row>
      <xdr:rowOff>138900</xdr:rowOff>
    </xdr:from>
    <xdr:to>
      <xdr:col>19</xdr:col>
      <xdr:colOff>266550</xdr:colOff>
      <xdr:row>7</xdr:row>
      <xdr:rowOff>142860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8" name="Ink 7">
              <a:extLst>
                <a:ext uri="{FF2B5EF4-FFF2-40B4-BE49-F238E27FC236}">
                  <a16:creationId xmlns:a16="http://schemas.microsoft.com/office/drawing/2014/main" id="{5A8C9690-8884-47AF-8681-E0B985CC639B}"/>
                </a:ext>
              </a:extLst>
            </xdr14:cNvPr>
            <xdr14:cNvContentPartPr/>
          </xdr14:nvContentPartPr>
          <xdr14:nvPr macro=""/>
          <xdr14:xfrm>
            <a:off x="12934440" y="1472400"/>
            <a:ext cx="360" cy="3960"/>
          </xdr14:xfrm>
        </xdr:contentPart>
      </mc:Choice>
      <mc:Fallback xmlns="">
        <xdr:pic>
          <xdr:nvPicPr>
            <xdr:cNvPr id="8" name="Ink 7">
              <a:extLst>
                <a:ext uri="{FF2B5EF4-FFF2-40B4-BE49-F238E27FC236}">
                  <a16:creationId xmlns:a16="http://schemas.microsoft.com/office/drawing/2014/main" id="{5A8C9690-8884-47AF-8681-E0B985CC639B}"/>
                </a:ext>
              </a:extLst>
            </xdr:cNvPr>
            <xdr:cNvPicPr/>
          </xdr:nvPicPr>
          <xdr:blipFill>
            <a:blip xmlns:r="http://schemas.openxmlformats.org/officeDocument/2006/relationships" r:embed="rId4"/>
            <a:stretch>
              <a:fillRect/>
            </a:stretch>
          </xdr:blipFill>
          <xdr:spPr>
            <a:xfrm>
              <a:off x="12925800" y="1463400"/>
              <a:ext cx="18000" cy="21600"/>
            </a:xfrm>
            <a:prstGeom prst="rect">
              <a:avLst/>
            </a:prstGeom>
          </xdr:spPr>
        </xdr:pic>
      </mc:Fallback>
    </mc:AlternateContent>
    <xdr:clientData/>
  </xdr:twoCellAnchor>
  <xdr:twoCellAnchor editAs="oneCell">
    <xdr:from>
      <xdr:col>17</xdr:col>
      <xdr:colOff>590550</xdr:colOff>
      <xdr:row>1</xdr:row>
      <xdr:rowOff>171450</xdr:rowOff>
    </xdr:from>
    <xdr:to>
      <xdr:col>26</xdr:col>
      <xdr:colOff>514350</xdr:colOff>
      <xdr:row>32</xdr:row>
      <xdr:rowOff>0</xdr:rowOff>
    </xdr:to>
    <xdr:pic>
      <xdr:nvPicPr>
        <xdr:cNvPr id="5" name="Picture 4">
          <a:extLst>
            <a:ext uri="{FF2B5EF4-FFF2-40B4-BE49-F238E27FC236}">
              <a16:creationId xmlns:a16="http://schemas.microsoft.com/office/drawing/2014/main" id="{F95D83F2-BAB9-47D5-B20B-CC67AE26FF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039600" y="361950"/>
          <a:ext cx="5410200" cy="573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19050</xdr:colOff>
      <xdr:row>23</xdr:row>
      <xdr:rowOff>38100</xdr:rowOff>
    </xdr:from>
    <xdr:to>
      <xdr:col>10</xdr:col>
      <xdr:colOff>895350</xdr:colOff>
      <xdr:row>23</xdr:row>
      <xdr:rowOff>47625</xdr:rowOff>
    </xdr:to>
    <xdr:cxnSp macro="">
      <xdr:nvCxnSpPr>
        <xdr:cNvPr id="4" name="Straight Arrow Connector 3">
          <a:extLst>
            <a:ext uri="{FF2B5EF4-FFF2-40B4-BE49-F238E27FC236}">
              <a16:creationId xmlns:a16="http://schemas.microsoft.com/office/drawing/2014/main" id="{338F256D-DD29-4AE7-89B7-0E31927F03C1}"/>
            </a:ext>
          </a:extLst>
        </xdr:cNvPr>
        <xdr:cNvCxnSpPr/>
      </xdr:nvCxnSpPr>
      <xdr:spPr>
        <a:xfrm>
          <a:off x="1866900" y="4419600"/>
          <a:ext cx="55530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9523</xdr:colOff>
      <xdr:row>1</xdr:row>
      <xdr:rowOff>0</xdr:rowOff>
    </xdr:from>
    <xdr:to>
      <xdr:col>11</xdr:col>
      <xdr:colOff>609599</xdr:colOff>
      <xdr:row>10</xdr:row>
      <xdr:rowOff>19050</xdr:rowOff>
    </xdr:to>
    <xdr:sp macro="" textlink="">
      <xdr:nvSpPr>
        <xdr:cNvPr id="2" name="TextBox 1">
          <a:extLst>
            <a:ext uri="{FF2B5EF4-FFF2-40B4-BE49-F238E27FC236}">
              <a16:creationId xmlns:a16="http://schemas.microsoft.com/office/drawing/2014/main" id="{C643EB40-3DC7-44E5-ADA1-3FDBA564EF86}"/>
            </a:ext>
          </a:extLst>
        </xdr:cNvPr>
        <xdr:cNvSpPr txBox="1"/>
      </xdr:nvSpPr>
      <xdr:spPr>
        <a:xfrm>
          <a:off x="619123" y="190500"/>
          <a:ext cx="8077201" cy="1733550"/>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Nike factory</a:t>
          </a:r>
        </a:p>
        <a:p>
          <a:r>
            <a:rPr lang="en-US" sz="1100" b="0" i="0">
              <a:solidFill>
                <a:schemeClr val="dk1"/>
              </a:solidFill>
              <a:effectLst/>
              <a:latin typeface="+mn-lt"/>
              <a:ea typeface="+mn-ea"/>
              <a:cs typeface="+mn-cs"/>
            </a:rPr>
            <a:t>A Nike factory in Hanover, MD, makes soccer balls and basketballs. A soccer ball takes 1.5 hours of machine time and 3 hours of a worker's time in its making while a basketball takes 3 hours of machine time and 1 hour of a worker's time. In a day, the factory can produce no more than 42 hours of machine time(total time across multiple machines) and 24 hours of worker's time. The profit on a soccer ball is $20 and the profit on a basketball is $10. The manager wants to maximize the daily profit.</a:t>
          </a:r>
          <a:endParaRPr lang="en-US" sz="1100"/>
        </a:p>
      </xdr:txBody>
    </xdr:sp>
    <xdr:clientData/>
  </xdr:twoCellAnchor>
  <xdr:twoCellAnchor editAs="oneCell">
    <xdr:from>
      <xdr:col>15</xdr:col>
      <xdr:colOff>47625</xdr:colOff>
      <xdr:row>2</xdr:row>
      <xdr:rowOff>38100</xdr:rowOff>
    </xdr:from>
    <xdr:to>
      <xdr:col>23</xdr:col>
      <xdr:colOff>600075</xdr:colOff>
      <xdr:row>32</xdr:row>
      <xdr:rowOff>28575</xdr:rowOff>
    </xdr:to>
    <xdr:pic>
      <xdr:nvPicPr>
        <xdr:cNvPr id="3" name="Picture 2">
          <a:extLst>
            <a:ext uri="{FF2B5EF4-FFF2-40B4-BE49-F238E27FC236}">
              <a16:creationId xmlns:a16="http://schemas.microsoft.com/office/drawing/2014/main" id="{DDBD01CA-1214-4127-9BB4-04B778C5D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72750" y="419100"/>
          <a:ext cx="5429250" cy="570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561976</xdr:colOff>
      <xdr:row>1</xdr:row>
      <xdr:rowOff>57150</xdr:rowOff>
    </xdr:from>
    <xdr:to>
      <xdr:col>9</xdr:col>
      <xdr:colOff>85726</xdr:colOff>
      <xdr:row>7</xdr:row>
      <xdr:rowOff>9525</xdr:rowOff>
    </xdr:to>
    <xdr:sp macro="" textlink="">
      <xdr:nvSpPr>
        <xdr:cNvPr id="2" name="TextBox 1">
          <a:extLst>
            <a:ext uri="{FF2B5EF4-FFF2-40B4-BE49-F238E27FC236}">
              <a16:creationId xmlns:a16="http://schemas.microsoft.com/office/drawing/2014/main" id="{1A76E094-130E-4890-9F91-EA45129AF4AF}"/>
            </a:ext>
          </a:extLst>
        </xdr:cNvPr>
        <xdr:cNvSpPr txBox="1"/>
      </xdr:nvSpPr>
      <xdr:spPr>
        <a:xfrm>
          <a:off x="561976" y="247650"/>
          <a:ext cx="5010150" cy="1095375"/>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Transportation Example</a:t>
          </a:r>
        </a:p>
        <a:p>
          <a:endParaRPr lang="en-US" sz="1100" b="1"/>
        </a:p>
        <a:p>
          <a:r>
            <a:rPr lang="en-US" sz="1100" b="0"/>
            <a:t>Factories:</a:t>
          </a:r>
          <a:r>
            <a:rPr lang="en-US" sz="1100" b="1" baseline="0"/>
            <a:t> </a:t>
          </a:r>
          <a:r>
            <a:rPr lang="en-US" sz="1100" b="0" baseline="0"/>
            <a:t>Des Moines, Eyanston, Ft Lauderdale</a:t>
          </a:r>
        </a:p>
        <a:p>
          <a:r>
            <a:rPr lang="en-US" sz="1100" b="0" baseline="0"/>
            <a:t>Stores in: Albany, Boston, Cleveland</a:t>
          </a:r>
          <a:endParaRPr lang="en-US" sz="1100" b="1"/>
        </a:p>
      </xdr:txBody>
    </xdr:sp>
    <xdr:clientData/>
  </xdr:twoCellAnchor>
  <xdr:twoCellAnchor editAs="oneCell">
    <xdr:from>
      <xdr:col>0</xdr:col>
      <xdr:colOff>285750</xdr:colOff>
      <xdr:row>35</xdr:row>
      <xdr:rowOff>28575</xdr:rowOff>
    </xdr:from>
    <xdr:to>
      <xdr:col>7</xdr:col>
      <xdr:colOff>114300</xdr:colOff>
      <xdr:row>65</xdr:row>
      <xdr:rowOff>28575</xdr:rowOff>
    </xdr:to>
    <xdr:pic>
      <xdr:nvPicPr>
        <xdr:cNvPr id="3" name="Picture 2">
          <a:extLst>
            <a:ext uri="{FF2B5EF4-FFF2-40B4-BE49-F238E27FC236}">
              <a16:creationId xmlns:a16="http://schemas.microsoft.com/office/drawing/2014/main" id="{4C8F01D6-4D92-442E-9B7D-CB739A4E6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6696075"/>
          <a:ext cx="54102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876300</xdr:colOff>
      <xdr:row>31</xdr:row>
      <xdr:rowOff>0</xdr:rowOff>
    </xdr:from>
    <xdr:to>
      <xdr:col>20</xdr:col>
      <xdr:colOff>304800</xdr:colOff>
      <xdr:row>61</xdr:row>
      <xdr:rowOff>57150</xdr:rowOff>
    </xdr:to>
    <xdr:pic>
      <xdr:nvPicPr>
        <xdr:cNvPr id="4" name="Picture 3">
          <a:extLst>
            <a:ext uri="{FF2B5EF4-FFF2-40B4-BE49-F238E27FC236}">
              <a16:creationId xmlns:a16="http://schemas.microsoft.com/office/drawing/2014/main" id="{F0409CAD-D10F-4F19-89FC-54E3493A92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5905500"/>
          <a:ext cx="5476875"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561975</xdr:colOff>
      <xdr:row>0</xdr:row>
      <xdr:rowOff>142876</xdr:rowOff>
    </xdr:from>
    <xdr:to>
      <xdr:col>12</xdr:col>
      <xdr:colOff>523875</xdr:colOff>
      <xdr:row>5</xdr:row>
      <xdr:rowOff>152400</xdr:rowOff>
    </xdr:to>
    <xdr:sp macro="" textlink="">
      <xdr:nvSpPr>
        <xdr:cNvPr id="2" name="TextBox 1">
          <a:extLst>
            <a:ext uri="{FF2B5EF4-FFF2-40B4-BE49-F238E27FC236}">
              <a16:creationId xmlns:a16="http://schemas.microsoft.com/office/drawing/2014/main" id="{C041AC37-70E2-4372-AAC2-B6F0BC6B291E}"/>
            </a:ext>
          </a:extLst>
        </xdr:cNvPr>
        <xdr:cNvSpPr txBox="1"/>
      </xdr:nvSpPr>
      <xdr:spPr>
        <a:xfrm>
          <a:off x="561975" y="142876"/>
          <a:ext cx="7343775" cy="9620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Osbourne Concrete Company has plants in three locations and is currently working on three major construction projects, each located at a different site. The shipping cost per truckload of concrete, daily plant capacities, and daily project require</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Determine the least-cost way for Osbourne Concrete to meet their requirements.ments are provided in the table below.</a:t>
          </a:r>
          <a:endParaRPr lang="en-US" sz="1100"/>
        </a:p>
      </xdr:txBody>
    </xdr:sp>
    <xdr:clientData/>
  </xdr:twoCellAnchor>
  <xdr:twoCellAnchor editAs="oneCell">
    <xdr:from>
      <xdr:col>18</xdr:col>
      <xdr:colOff>133350</xdr:colOff>
      <xdr:row>3</xdr:row>
      <xdr:rowOff>0</xdr:rowOff>
    </xdr:from>
    <xdr:to>
      <xdr:col>27</xdr:col>
      <xdr:colOff>114300</xdr:colOff>
      <xdr:row>32</xdr:row>
      <xdr:rowOff>9525</xdr:rowOff>
    </xdr:to>
    <xdr:pic>
      <xdr:nvPicPr>
        <xdr:cNvPr id="3" name="Picture 2">
          <a:extLst>
            <a:ext uri="{FF2B5EF4-FFF2-40B4-BE49-F238E27FC236}">
              <a16:creationId xmlns:a16="http://schemas.microsoft.com/office/drawing/2014/main" id="{409BEFD5-5398-4BFE-9ACD-8F70D53B8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72825" y="571500"/>
          <a:ext cx="5467350" cy="564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28576</xdr:colOff>
      <xdr:row>0</xdr:row>
      <xdr:rowOff>171449</xdr:rowOff>
    </xdr:from>
    <xdr:to>
      <xdr:col>9</xdr:col>
      <xdr:colOff>600076</xdr:colOff>
      <xdr:row>6</xdr:row>
      <xdr:rowOff>123824</xdr:rowOff>
    </xdr:to>
    <xdr:sp macro="" textlink="">
      <xdr:nvSpPr>
        <xdr:cNvPr id="2" name="TextBox 1">
          <a:extLst>
            <a:ext uri="{FF2B5EF4-FFF2-40B4-BE49-F238E27FC236}">
              <a16:creationId xmlns:a16="http://schemas.microsoft.com/office/drawing/2014/main" id="{ADF85CD5-163C-460B-ACA4-6A8CB9F15B36}"/>
            </a:ext>
          </a:extLst>
        </xdr:cNvPr>
        <xdr:cNvSpPr txBox="1"/>
      </xdr:nvSpPr>
      <xdr:spPr>
        <a:xfrm>
          <a:off x="638176" y="171449"/>
          <a:ext cx="5448300" cy="1095375"/>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New Hire Assignments</a:t>
          </a:r>
        </a:p>
        <a:p>
          <a:r>
            <a:rPr lang="en-US" sz="1100" b="0" i="0">
              <a:solidFill>
                <a:schemeClr val="dk1"/>
              </a:solidFill>
              <a:effectLst/>
              <a:latin typeface="+mn-lt"/>
              <a:ea typeface="+mn-ea"/>
              <a:cs typeface="+mn-cs"/>
            </a:rPr>
            <a:t>A company has three new hires: Jones, Smith, and Wilson. They can be sent to any one of four offices: in Omaha, Dallas, New York, or Miami. Only one candidate can be sent to each office. The cost to relocate each candidate to each of the offices is shown in the table below.</a:t>
          </a:r>
          <a:endParaRPr lang="en-US" sz="1100"/>
        </a:p>
      </xdr:txBody>
    </xdr:sp>
    <xdr:clientData/>
  </xdr:twoCellAnchor>
  <xdr:twoCellAnchor editAs="oneCell">
    <xdr:from>
      <xdr:col>15</xdr:col>
      <xdr:colOff>66675</xdr:colOff>
      <xdr:row>2</xdr:row>
      <xdr:rowOff>133350</xdr:rowOff>
    </xdr:from>
    <xdr:to>
      <xdr:col>24</xdr:col>
      <xdr:colOff>19050</xdr:colOff>
      <xdr:row>32</xdr:row>
      <xdr:rowOff>161925</xdr:rowOff>
    </xdr:to>
    <xdr:pic>
      <xdr:nvPicPr>
        <xdr:cNvPr id="3" name="Picture 2">
          <a:extLst>
            <a:ext uri="{FF2B5EF4-FFF2-40B4-BE49-F238E27FC236}">
              <a16:creationId xmlns:a16="http://schemas.microsoft.com/office/drawing/2014/main" id="{AE86E9A5-41A3-4376-B7E9-39C1076311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24975" y="514350"/>
          <a:ext cx="5438775" cy="574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161924</xdr:colOff>
      <xdr:row>1</xdr:row>
      <xdr:rowOff>0</xdr:rowOff>
    </xdr:from>
    <xdr:to>
      <xdr:col>11</xdr:col>
      <xdr:colOff>209549</xdr:colOff>
      <xdr:row>9</xdr:row>
      <xdr:rowOff>95250</xdr:rowOff>
    </xdr:to>
    <xdr:sp macro="" textlink="">
      <xdr:nvSpPr>
        <xdr:cNvPr id="2" name="TextBox 1">
          <a:extLst>
            <a:ext uri="{FF2B5EF4-FFF2-40B4-BE49-F238E27FC236}">
              <a16:creationId xmlns:a16="http://schemas.microsoft.com/office/drawing/2014/main" id="{68ECA1F4-022F-4A21-8277-2895D035CE54}"/>
            </a:ext>
          </a:extLst>
        </xdr:cNvPr>
        <xdr:cNvSpPr txBox="1"/>
      </xdr:nvSpPr>
      <xdr:spPr>
        <a:xfrm>
          <a:off x="771524" y="190500"/>
          <a:ext cx="6143625" cy="1619250"/>
        </a:xfrm>
        <a:prstGeom prst="rect">
          <a:avLst/>
        </a:prstGeom>
        <a:solidFill>
          <a:schemeClr val="bg1">
            <a:lumMod val="8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MLB Umpire Assignment</a:t>
          </a:r>
          <a:endParaRPr lang="en-US" sz="1100" b="1"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Crews of Major League Baseball (MLB) umpires are currently in the cities of Seattle, Arlington, Oakland, and Baltimore. The crews need to get sent to games that are soon beginning in Kansas City, Chicago, Detroit, and Toronto. Estimated travel distances (in miles) between the cities are shown in the table below.</a:t>
          </a:r>
        </a:p>
        <a:p>
          <a:r>
            <a:rPr lang="en-US" sz="1100" b="0" i="0">
              <a:solidFill>
                <a:schemeClr val="dk1"/>
              </a:solidFill>
              <a:effectLst/>
              <a:latin typeface="+mn-lt"/>
              <a:ea typeface="+mn-ea"/>
              <a:cs typeface="+mn-cs"/>
            </a:rPr>
            <a:t>Due to a union requirement, the MLB is not allowed to send any crew from Oakland to Toronto.</a:t>
          </a:r>
        </a:p>
        <a:p>
          <a:r>
            <a:rPr lang="en-US" sz="1100" b="0" i="0">
              <a:solidFill>
                <a:schemeClr val="dk1"/>
              </a:solidFill>
              <a:effectLst/>
              <a:latin typeface="+mn-lt"/>
              <a:ea typeface="+mn-ea"/>
              <a:cs typeface="+mn-cs"/>
            </a:rPr>
            <a:t>Assign one umpire crew to each city (only one per city) to minimize the total distance traveled.</a:t>
          </a:r>
        </a:p>
        <a:p>
          <a:endParaRPr lang="en-US" sz="1100"/>
        </a:p>
      </xdr:txBody>
    </xdr:sp>
    <xdr:clientData/>
  </xdr:twoCellAnchor>
  <xdr:twoCellAnchor editAs="oneCell">
    <xdr:from>
      <xdr:col>18</xdr:col>
      <xdr:colOff>342900</xdr:colOff>
      <xdr:row>1</xdr:row>
      <xdr:rowOff>38100</xdr:rowOff>
    </xdr:from>
    <xdr:to>
      <xdr:col>27</xdr:col>
      <xdr:colOff>285750</xdr:colOff>
      <xdr:row>31</xdr:row>
      <xdr:rowOff>104775</xdr:rowOff>
    </xdr:to>
    <xdr:pic>
      <xdr:nvPicPr>
        <xdr:cNvPr id="3" name="Picture 2">
          <a:extLst>
            <a:ext uri="{FF2B5EF4-FFF2-40B4-BE49-F238E27FC236}">
              <a16:creationId xmlns:a16="http://schemas.microsoft.com/office/drawing/2014/main" id="{B3D6317C-4266-42B2-8FD6-5FDE9C57D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15700" y="228600"/>
          <a:ext cx="5429250" cy="573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76201</xdr:colOff>
      <xdr:row>0</xdr:row>
      <xdr:rowOff>152400</xdr:rowOff>
    </xdr:from>
    <xdr:to>
      <xdr:col>11</xdr:col>
      <xdr:colOff>228601</xdr:colOff>
      <xdr:row>8</xdr:row>
      <xdr:rowOff>133350</xdr:rowOff>
    </xdr:to>
    <xdr:sp macro="" textlink="">
      <xdr:nvSpPr>
        <xdr:cNvPr id="2" name="TextBox 1">
          <a:extLst>
            <a:ext uri="{FF2B5EF4-FFF2-40B4-BE49-F238E27FC236}">
              <a16:creationId xmlns:a16="http://schemas.microsoft.com/office/drawing/2014/main" id="{51305159-AAC8-452C-928A-1EE7056FEAA0}"/>
            </a:ext>
          </a:extLst>
        </xdr:cNvPr>
        <xdr:cNvSpPr txBox="1"/>
      </xdr:nvSpPr>
      <xdr:spPr>
        <a:xfrm>
          <a:off x="685801" y="152400"/>
          <a:ext cx="6248400" cy="1504950"/>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College Professors</a:t>
          </a:r>
        </a:p>
        <a:p>
          <a:endParaRPr lang="en-US" sz="1100"/>
        </a:p>
        <a:p>
          <a:r>
            <a:rPr lang="en-US" sz="1100" b="0" i="0">
              <a:solidFill>
                <a:schemeClr val="dk1"/>
              </a:solidFill>
              <a:effectLst/>
              <a:latin typeface="+mn-lt"/>
              <a:ea typeface="+mn-ea"/>
              <a:cs typeface="+mn-cs"/>
            </a:rPr>
            <a:t>Richard Whiteless, chairman of a college’s business department, has decided to apply a new method in assigning professors to courses next semester. As a criterion for judging who should teach each course, Professor Whiteless reviews the past two years’ teaching evaluations (which were filled out by students). Since each of the four professors taught each of the four courses at one time or another during the two-year period, Whiteless is able to record a course rating for each instructor. These ratings are shown in the following table. Find the best assignment of professors to courses to maximize the overall teaching rating.</a:t>
          </a:r>
          <a:endParaRPr lang="en-US" sz="1100"/>
        </a:p>
      </xdr:txBody>
    </xdr:sp>
    <xdr:clientData/>
  </xdr:twoCellAnchor>
  <xdr:twoCellAnchor editAs="oneCell">
    <xdr:from>
      <xdr:col>15</xdr:col>
      <xdr:colOff>323850</xdr:colOff>
      <xdr:row>2</xdr:row>
      <xdr:rowOff>28575</xdr:rowOff>
    </xdr:from>
    <xdr:to>
      <xdr:col>24</xdr:col>
      <xdr:colOff>238125</xdr:colOff>
      <xdr:row>32</xdr:row>
      <xdr:rowOff>38100</xdr:rowOff>
    </xdr:to>
    <xdr:pic>
      <xdr:nvPicPr>
        <xdr:cNvPr id="3" name="Picture 2">
          <a:extLst>
            <a:ext uri="{FF2B5EF4-FFF2-40B4-BE49-F238E27FC236}">
              <a16:creationId xmlns:a16="http://schemas.microsoft.com/office/drawing/2014/main" id="{AAF9477C-1459-4A36-A6A4-676D957E5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0" y="409575"/>
          <a:ext cx="5400675" cy="572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600075</xdr:colOff>
      <xdr:row>1</xdr:row>
      <xdr:rowOff>1</xdr:rowOff>
    </xdr:from>
    <xdr:to>
      <xdr:col>11</xdr:col>
      <xdr:colOff>523875</xdr:colOff>
      <xdr:row>13</xdr:row>
      <xdr:rowOff>9525</xdr:rowOff>
    </xdr:to>
    <xdr:sp macro="" textlink="">
      <xdr:nvSpPr>
        <xdr:cNvPr id="2" name="TextBox 1">
          <a:extLst>
            <a:ext uri="{FF2B5EF4-FFF2-40B4-BE49-F238E27FC236}">
              <a16:creationId xmlns:a16="http://schemas.microsoft.com/office/drawing/2014/main" id="{1777474F-05A0-401A-8BB4-1B34A8538458}"/>
            </a:ext>
          </a:extLst>
        </xdr:cNvPr>
        <xdr:cNvSpPr txBox="1"/>
      </xdr:nvSpPr>
      <xdr:spPr>
        <a:xfrm>
          <a:off x="600075" y="190501"/>
          <a:ext cx="6810375" cy="2295524"/>
        </a:xfrm>
        <a:prstGeom prst="rect">
          <a:avLst/>
        </a:prstGeom>
        <a:solidFill>
          <a:schemeClr val="bg1">
            <a:lumMod val="8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Transportation and Assignment Problems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Maxie and Bianca own Umbrella Corporation, LLC, and they are the top producers of high quality Johns Hopkins Basketball jerseys. Despite prior team records, these jerseys are in hot demand. </a:t>
          </a:r>
        </a:p>
        <a:p>
          <a:r>
            <a:rPr lang="en-US" sz="1100" b="0" i="0">
              <a:solidFill>
                <a:schemeClr val="dk1"/>
              </a:solidFill>
              <a:effectLst/>
              <a:latin typeface="+mn-lt"/>
              <a:ea typeface="+mn-ea"/>
              <a:cs typeface="+mn-cs"/>
            </a:rPr>
            <a:t>Maxie and Bianca operate two factories, Factory 1 and Factory 2. They have large orders from retail stores in three locations: Store A, Store B, and Store C. The transportation costs from Factory 1 to the three stores are $22, $14, and $30 per jersey, respectively. The transportation costs from Factory 2 to the three stores are $16, $20, and $24 per jersey respectively. Factory 1 can produce at most 100 jerseys in a week. Factory 2 can produce at most 120 jerseys in a week.  Stores A, B and C demand 80, 60, and 70 jerseys each week. </a:t>
          </a:r>
        </a:p>
        <a:p>
          <a:r>
            <a:rPr lang="en-US" sz="1100" b="0" i="0">
              <a:solidFill>
                <a:schemeClr val="dk1"/>
              </a:solidFill>
              <a:effectLst/>
              <a:latin typeface="+mn-lt"/>
              <a:ea typeface="+mn-ea"/>
              <a:cs typeface="+mn-cs"/>
            </a:rPr>
            <a:t>The manufacturing costs are $6.00 per jersey at Factory 1 and $6.25 per jersey at Factory 2.</a:t>
          </a:r>
        </a:p>
        <a:p>
          <a:r>
            <a:rPr lang="en-US" sz="1100" b="0" i="0">
              <a:solidFill>
                <a:schemeClr val="dk1"/>
              </a:solidFill>
              <a:effectLst/>
              <a:latin typeface="+mn-lt"/>
              <a:ea typeface="+mn-ea"/>
              <a:cs typeface="+mn-cs"/>
            </a:rPr>
            <a:t>Maxie and Bianca are savvy businesswomen and want to minimize their costs. Find the number of jerseys that should be shipped from each factory to each store such that the total costs from transportation and manufacturing are minimized.</a:t>
          </a:r>
        </a:p>
        <a:p>
          <a:endParaRPr lang="en-US" sz="1100"/>
        </a:p>
      </xdr:txBody>
    </xdr:sp>
    <xdr:clientData/>
  </xdr:twoCellAnchor>
  <xdr:twoCellAnchor editAs="oneCell">
    <xdr:from>
      <xdr:col>2</xdr:col>
      <xdr:colOff>28575</xdr:colOff>
      <xdr:row>35</xdr:row>
      <xdr:rowOff>38100</xdr:rowOff>
    </xdr:from>
    <xdr:to>
      <xdr:col>10</xdr:col>
      <xdr:colOff>419100</xdr:colOff>
      <xdr:row>65</xdr:row>
      <xdr:rowOff>19050</xdr:rowOff>
    </xdr:to>
    <xdr:pic>
      <xdr:nvPicPr>
        <xdr:cNvPr id="3" name="Picture 2">
          <a:extLst>
            <a:ext uri="{FF2B5EF4-FFF2-40B4-BE49-F238E27FC236}">
              <a16:creationId xmlns:a16="http://schemas.microsoft.com/office/drawing/2014/main" id="{5C489B4B-652C-44C5-B149-968EC2A02B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6705600"/>
          <a:ext cx="5448300"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552450</xdr:colOff>
      <xdr:row>23</xdr:row>
      <xdr:rowOff>104775</xdr:rowOff>
    </xdr:from>
    <xdr:to>
      <xdr:col>6</xdr:col>
      <xdr:colOff>542925</xdr:colOff>
      <xdr:row>23</xdr:row>
      <xdr:rowOff>104775</xdr:rowOff>
    </xdr:to>
    <xdr:cxnSp macro="">
      <xdr:nvCxnSpPr>
        <xdr:cNvPr id="5" name="Straight Arrow Connector 4">
          <a:extLst>
            <a:ext uri="{FF2B5EF4-FFF2-40B4-BE49-F238E27FC236}">
              <a16:creationId xmlns:a16="http://schemas.microsoft.com/office/drawing/2014/main" id="{4ED47A38-74DA-46C6-9CA1-08BC92F29028}"/>
            </a:ext>
          </a:extLst>
        </xdr:cNvPr>
        <xdr:cNvCxnSpPr/>
      </xdr:nvCxnSpPr>
      <xdr:spPr>
        <a:xfrm>
          <a:off x="3781425" y="4486275"/>
          <a:ext cx="600075"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19</xdr:row>
      <xdr:rowOff>28575</xdr:rowOff>
    </xdr:from>
    <xdr:to>
      <xdr:col>7</xdr:col>
      <xdr:colOff>190500</xdr:colOff>
      <xdr:row>21</xdr:row>
      <xdr:rowOff>76200</xdr:rowOff>
    </xdr:to>
    <xdr:cxnSp macro="">
      <xdr:nvCxnSpPr>
        <xdr:cNvPr id="7" name="Straight Arrow Connector 6">
          <a:extLst>
            <a:ext uri="{FF2B5EF4-FFF2-40B4-BE49-F238E27FC236}">
              <a16:creationId xmlns:a16="http://schemas.microsoft.com/office/drawing/2014/main" id="{D0D6F016-79AB-4198-B55C-B77DDDFE9E56}"/>
            </a:ext>
          </a:extLst>
        </xdr:cNvPr>
        <xdr:cNvCxnSpPr/>
      </xdr:nvCxnSpPr>
      <xdr:spPr>
        <a:xfrm flipV="1">
          <a:off x="4010025" y="3648075"/>
          <a:ext cx="628650" cy="4286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581026</xdr:colOff>
      <xdr:row>1</xdr:row>
      <xdr:rowOff>0</xdr:rowOff>
    </xdr:from>
    <xdr:to>
      <xdr:col>18</xdr:col>
      <xdr:colOff>9525</xdr:colOff>
      <xdr:row>5</xdr:row>
      <xdr:rowOff>0</xdr:rowOff>
    </xdr:to>
    <xdr:sp macro="" textlink="">
      <xdr:nvSpPr>
        <xdr:cNvPr id="8" name="TextBox 7">
          <a:extLst>
            <a:ext uri="{FF2B5EF4-FFF2-40B4-BE49-F238E27FC236}">
              <a16:creationId xmlns:a16="http://schemas.microsoft.com/office/drawing/2014/main" id="{660503E8-7183-4934-BECD-ED0E709C4F12}"/>
            </a:ext>
          </a:extLst>
        </xdr:cNvPr>
        <xdr:cNvSpPr txBox="1"/>
      </xdr:nvSpPr>
      <xdr:spPr>
        <a:xfrm>
          <a:off x="8077201" y="190500"/>
          <a:ext cx="4057649" cy="762000"/>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Maxie is leaving the Johns Hopkins Basketball jersey making business and is closing three of her factories. She would like to reassign all 235 of her best workers to Bianca's remaining factories. </a:t>
          </a:r>
          <a:endParaRPr lang="en-US" sz="1100"/>
        </a:p>
      </xdr:txBody>
    </xdr:sp>
    <xdr:clientData/>
  </xdr:twoCellAnchor>
  <xdr:twoCellAnchor>
    <xdr:from>
      <xdr:col>18</xdr:col>
      <xdr:colOff>561975</xdr:colOff>
      <xdr:row>0</xdr:row>
      <xdr:rowOff>171450</xdr:rowOff>
    </xdr:from>
    <xdr:to>
      <xdr:col>26</xdr:col>
      <xdr:colOff>381000</xdr:colOff>
      <xdr:row>5</xdr:row>
      <xdr:rowOff>47625</xdr:rowOff>
    </xdr:to>
    <xdr:sp macro="" textlink="">
      <xdr:nvSpPr>
        <xdr:cNvPr id="9" name="TextBox 8">
          <a:extLst>
            <a:ext uri="{FF2B5EF4-FFF2-40B4-BE49-F238E27FC236}">
              <a16:creationId xmlns:a16="http://schemas.microsoft.com/office/drawing/2014/main" id="{AA8AAB16-1574-4FED-8571-27309E2E7739}"/>
            </a:ext>
          </a:extLst>
        </xdr:cNvPr>
        <xdr:cNvSpPr txBox="1"/>
      </xdr:nvSpPr>
      <xdr:spPr>
        <a:xfrm>
          <a:off x="12687300" y="171450"/>
          <a:ext cx="4695825" cy="828675"/>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However, demand for skilled labor in the basketball jersey making market has decreased. Bianca has three open plants that have openings, but not enough for all 235 employees looking to be transferred. The below table summarizes Bianca's current needs:</a:t>
          </a:r>
        </a:p>
        <a:p>
          <a:br>
            <a:rPr lang="en-US"/>
          </a:br>
          <a:endParaRPr lang="en-US" sz="1100"/>
        </a:p>
      </xdr:txBody>
    </xdr:sp>
    <xdr:clientData/>
  </xdr:twoCellAnchor>
  <xdr:twoCellAnchor>
    <xdr:from>
      <xdr:col>12</xdr:col>
      <xdr:colOff>590550</xdr:colOff>
      <xdr:row>12</xdr:row>
      <xdr:rowOff>47624</xdr:rowOff>
    </xdr:from>
    <xdr:to>
      <xdr:col>18</xdr:col>
      <xdr:colOff>9525</xdr:colOff>
      <xdr:row>16</xdr:row>
      <xdr:rowOff>0</xdr:rowOff>
    </xdr:to>
    <xdr:sp macro="" textlink="">
      <xdr:nvSpPr>
        <xdr:cNvPr id="10" name="TextBox 9">
          <a:extLst>
            <a:ext uri="{FF2B5EF4-FFF2-40B4-BE49-F238E27FC236}">
              <a16:creationId xmlns:a16="http://schemas.microsoft.com/office/drawing/2014/main" id="{89350F7D-7606-4DEB-8034-41E1B1D9005C}"/>
            </a:ext>
          </a:extLst>
        </xdr:cNvPr>
        <xdr:cNvSpPr txBox="1"/>
      </xdr:nvSpPr>
      <xdr:spPr>
        <a:xfrm>
          <a:off x="8086725" y="2600324"/>
          <a:ext cx="4048125" cy="714376"/>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Each worker who fills an open position on the assembly line will increase the number of basketball jerseys produced per day at each plant as shown in the following table:</a:t>
          </a:r>
          <a:endParaRPr lang="en-US" sz="1100"/>
        </a:p>
      </xdr:txBody>
    </xdr:sp>
    <xdr:clientData/>
  </xdr:twoCellAnchor>
  <xdr:twoCellAnchor>
    <xdr:from>
      <xdr:col>13</xdr:col>
      <xdr:colOff>57150</xdr:colOff>
      <xdr:row>23</xdr:row>
      <xdr:rowOff>161925</xdr:rowOff>
    </xdr:from>
    <xdr:to>
      <xdr:col>19</xdr:col>
      <xdr:colOff>219075</xdr:colOff>
      <xdr:row>27</xdr:row>
      <xdr:rowOff>28575</xdr:rowOff>
    </xdr:to>
    <xdr:sp macro="" textlink="">
      <xdr:nvSpPr>
        <xdr:cNvPr id="11" name="TextBox 10">
          <a:extLst>
            <a:ext uri="{FF2B5EF4-FFF2-40B4-BE49-F238E27FC236}">
              <a16:creationId xmlns:a16="http://schemas.microsoft.com/office/drawing/2014/main" id="{EB40E1BC-F0C9-40F1-B2F8-6EB03D924899}"/>
            </a:ext>
          </a:extLst>
        </xdr:cNvPr>
        <xdr:cNvSpPr txBox="1"/>
      </xdr:nvSpPr>
      <xdr:spPr>
        <a:xfrm>
          <a:off x="8162925" y="4810125"/>
          <a:ext cx="4791075" cy="628650"/>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Determine how to assign workers from the closing plants to the open plants in order to maximize product output.</a:t>
          </a:r>
          <a:endParaRPr lang="en-US" sz="1100"/>
        </a:p>
      </xdr:txBody>
    </xdr:sp>
    <xdr:clientData/>
  </xdr:twoCellAnchor>
  <xdr:twoCellAnchor editAs="oneCell">
    <xdr:from>
      <xdr:col>14</xdr:col>
      <xdr:colOff>561975</xdr:colOff>
      <xdr:row>43</xdr:row>
      <xdr:rowOff>38100</xdr:rowOff>
    </xdr:from>
    <xdr:to>
      <xdr:col>22</xdr:col>
      <xdr:colOff>133350</xdr:colOff>
      <xdr:row>73</xdr:row>
      <xdr:rowOff>28575</xdr:rowOff>
    </xdr:to>
    <xdr:pic>
      <xdr:nvPicPr>
        <xdr:cNvPr id="12" name="Picture 11">
          <a:extLst>
            <a:ext uri="{FF2B5EF4-FFF2-40B4-BE49-F238E27FC236}">
              <a16:creationId xmlns:a16="http://schemas.microsoft.com/office/drawing/2014/main" id="{593E5A42-19DE-4E87-B362-FA0889A20FF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77350" y="8496300"/>
          <a:ext cx="5419725" cy="570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409575</xdr:colOff>
      <xdr:row>30</xdr:row>
      <xdr:rowOff>114300</xdr:rowOff>
    </xdr:from>
    <xdr:to>
      <xdr:col>17</xdr:col>
      <xdr:colOff>581025</xdr:colOff>
      <xdr:row>31</xdr:row>
      <xdr:rowOff>28575</xdr:rowOff>
    </xdr:to>
    <xdr:cxnSp macro="">
      <xdr:nvCxnSpPr>
        <xdr:cNvPr id="14" name="Straight Arrow Connector 13">
          <a:extLst>
            <a:ext uri="{FF2B5EF4-FFF2-40B4-BE49-F238E27FC236}">
              <a16:creationId xmlns:a16="http://schemas.microsoft.com/office/drawing/2014/main" id="{C1ECE8D5-5924-465E-AEA5-CC55738D694C}"/>
            </a:ext>
          </a:extLst>
        </xdr:cNvPr>
        <xdr:cNvCxnSpPr/>
      </xdr:nvCxnSpPr>
      <xdr:spPr>
        <a:xfrm flipV="1">
          <a:off x="11925300" y="6096000"/>
          <a:ext cx="171450" cy="1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466725</xdr:colOff>
      <xdr:row>34</xdr:row>
      <xdr:rowOff>66675</xdr:rowOff>
    </xdr:from>
    <xdr:to>
      <xdr:col>17</xdr:col>
      <xdr:colOff>571500</xdr:colOff>
      <xdr:row>34</xdr:row>
      <xdr:rowOff>95250</xdr:rowOff>
    </xdr:to>
    <xdr:cxnSp macro="">
      <xdr:nvCxnSpPr>
        <xdr:cNvPr id="16" name="Straight Arrow Connector 15">
          <a:extLst>
            <a:ext uri="{FF2B5EF4-FFF2-40B4-BE49-F238E27FC236}">
              <a16:creationId xmlns:a16="http://schemas.microsoft.com/office/drawing/2014/main" id="{F9201334-A4AA-42CE-934C-7B7627DCE828}"/>
            </a:ext>
          </a:extLst>
        </xdr:cNvPr>
        <xdr:cNvCxnSpPr/>
      </xdr:nvCxnSpPr>
      <xdr:spPr>
        <a:xfrm>
          <a:off x="11372850" y="6810375"/>
          <a:ext cx="71437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533400</xdr:colOff>
      <xdr:row>1</xdr:row>
      <xdr:rowOff>19050</xdr:rowOff>
    </xdr:from>
    <xdr:to>
      <xdr:col>12</xdr:col>
      <xdr:colOff>95250</xdr:colOff>
      <xdr:row>8</xdr:row>
      <xdr:rowOff>47625</xdr:rowOff>
    </xdr:to>
    <xdr:sp macro="" textlink="">
      <xdr:nvSpPr>
        <xdr:cNvPr id="2" name="TextBox 1">
          <a:extLst>
            <a:ext uri="{FF2B5EF4-FFF2-40B4-BE49-F238E27FC236}">
              <a16:creationId xmlns:a16="http://schemas.microsoft.com/office/drawing/2014/main" id="{85C2A6A4-9F1C-4680-8216-E52D43599199}"/>
            </a:ext>
          </a:extLst>
        </xdr:cNvPr>
        <xdr:cNvSpPr txBox="1"/>
      </xdr:nvSpPr>
      <xdr:spPr>
        <a:xfrm>
          <a:off x="533400" y="209550"/>
          <a:ext cx="6877050" cy="1362075"/>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Princess Brides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Liz Bailey is the owner of Princess Brides, a wedding dress retailer. She uses radio to market and two types of ads are available – those during prime time and those at other times. Each prime time ad costs $390 and reaches 8,200 people on average. Off-peak ads cost $240 and reach 5,100 people on average. Bailey has a budget of $1800 per week for advertising. She wants at least 2 prime time ads and no more than 6 off-peak ads. Find the best mix of ads to purchase so the most people are reached.</a:t>
          </a:r>
          <a:endParaRPr lang="en-US" sz="1100"/>
        </a:p>
      </xdr:txBody>
    </xdr:sp>
    <xdr:clientData/>
  </xdr:twoCellAnchor>
  <xdr:twoCellAnchor>
    <xdr:from>
      <xdr:col>5</xdr:col>
      <xdr:colOff>542925</xdr:colOff>
      <xdr:row>17</xdr:row>
      <xdr:rowOff>95250</xdr:rowOff>
    </xdr:from>
    <xdr:to>
      <xdr:col>7</xdr:col>
      <xdr:colOff>152400</xdr:colOff>
      <xdr:row>18</xdr:row>
      <xdr:rowOff>133350</xdr:rowOff>
    </xdr:to>
    <xdr:cxnSp macro="">
      <xdr:nvCxnSpPr>
        <xdr:cNvPr id="4" name="Straight Arrow Connector 3">
          <a:extLst>
            <a:ext uri="{FF2B5EF4-FFF2-40B4-BE49-F238E27FC236}">
              <a16:creationId xmlns:a16="http://schemas.microsoft.com/office/drawing/2014/main" id="{FDDD102E-6DBC-4308-9924-1F444E8415B8}"/>
            </a:ext>
          </a:extLst>
        </xdr:cNvPr>
        <xdr:cNvCxnSpPr/>
      </xdr:nvCxnSpPr>
      <xdr:spPr>
        <a:xfrm>
          <a:off x="3590925" y="3333750"/>
          <a:ext cx="828675"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14</xdr:row>
      <xdr:rowOff>152400</xdr:rowOff>
    </xdr:from>
    <xdr:to>
      <xdr:col>7</xdr:col>
      <xdr:colOff>142875</xdr:colOff>
      <xdr:row>16</xdr:row>
      <xdr:rowOff>66675</xdr:rowOff>
    </xdr:to>
    <xdr:cxnSp macro="">
      <xdr:nvCxnSpPr>
        <xdr:cNvPr id="6" name="Straight Arrow Connector 5">
          <a:extLst>
            <a:ext uri="{FF2B5EF4-FFF2-40B4-BE49-F238E27FC236}">
              <a16:creationId xmlns:a16="http://schemas.microsoft.com/office/drawing/2014/main" id="{D271BE9E-7DF5-4300-83E2-CBC86320D376}"/>
            </a:ext>
          </a:extLst>
        </xdr:cNvPr>
        <xdr:cNvCxnSpPr/>
      </xdr:nvCxnSpPr>
      <xdr:spPr>
        <a:xfrm flipV="1">
          <a:off x="3962400" y="2819400"/>
          <a:ext cx="44767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352425</xdr:colOff>
      <xdr:row>2</xdr:row>
      <xdr:rowOff>0</xdr:rowOff>
    </xdr:from>
    <xdr:to>
      <xdr:col>23</xdr:col>
      <xdr:colOff>304800</xdr:colOff>
      <xdr:row>32</xdr:row>
      <xdr:rowOff>0</xdr:rowOff>
    </xdr:to>
    <xdr:pic>
      <xdr:nvPicPr>
        <xdr:cNvPr id="7" name="Picture 6">
          <a:extLst>
            <a:ext uri="{FF2B5EF4-FFF2-40B4-BE49-F238E27FC236}">
              <a16:creationId xmlns:a16="http://schemas.microsoft.com/office/drawing/2014/main" id="{A54BBFBF-7485-4887-9B9D-59739EC508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86825" y="381000"/>
          <a:ext cx="5438775"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600075</xdr:colOff>
      <xdr:row>1</xdr:row>
      <xdr:rowOff>0</xdr:rowOff>
    </xdr:from>
    <xdr:to>
      <xdr:col>10</xdr:col>
      <xdr:colOff>85725</xdr:colOff>
      <xdr:row>9</xdr:row>
      <xdr:rowOff>180975</xdr:rowOff>
    </xdr:to>
    <xdr:sp macro="" textlink="">
      <xdr:nvSpPr>
        <xdr:cNvPr id="2" name="TextBox 1">
          <a:extLst>
            <a:ext uri="{FF2B5EF4-FFF2-40B4-BE49-F238E27FC236}">
              <a16:creationId xmlns:a16="http://schemas.microsoft.com/office/drawing/2014/main" id="{F0FDD0DE-57FE-4370-9725-F61C70364636}"/>
            </a:ext>
          </a:extLst>
        </xdr:cNvPr>
        <xdr:cNvSpPr txBox="1"/>
      </xdr:nvSpPr>
      <xdr:spPr>
        <a:xfrm>
          <a:off x="600075" y="190500"/>
          <a:ext cx="5581650" cy="1704975"/>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Bolsa de Café</a:t>
          </a:r>
        </a:p>
        <a:p>
          <a:endParaRPr lang="en-US" sz="1100"/>
        </a:p>
        <a:p>
          <a:r>
            <a:rPr lang="en-US" sz="1100" b="0" i="0">
              <a:solidFill>
                <a:schemeClr val="dk1"/>
              </a:solidFill>
              <a:effectLst/>
              <a:latin typeface="+mn-lt"/>
              <a:ea typeface="+mn-ea"/>
              <a:cs typeface="+mn-cs"/>
            </a:rPr>
            <a:t>Bolsa de Café is a specialty coffee shop selling custom blends of coffee using 3 types of beans.  They sell two products: 20 lb bags of blended coffee beans (whole) and individual bags of ground beans sold by the pound in bulk.  The ground beans can be produced in any quantity.  Both bags are composed of three different beans.  The 20lb bags sell for $85 and bags of ground beans sell for $1.50/lb.  Find the number of 20lb bags and number of pounds of ground beans to produce subject to the constraints in the table below so that profit is maximized.</a:t>
          </a:r>
          <a:endParaRPr lang="en-US" sz="1100"/>
        </a:p>
      </xdr:txBody>
    </xdr:sp>
    <xdr:clientData/>
  </xdr:twoCellAnchor>
  <xdr:twoCellAnchor editAs="oneCell">
    <xdr:from>
      <xdr:col>14</xdr:col>
      <xdr:colOff>104775</xdr:colOff>
      <xdr:row>2</xdr:row>
      <xdr:rowOff>19050</xdr:rowOff>
    </xdr:from>
    <xdr:to>
      <xdr:col>23</xdr:col>
      <xdr:colOff>19050</xdr:colOff>
      <xdr:row>30</xdr:row>
      <xdr:rowOff>19050</xdr:rowOff>
    </xdr:to>
    <xdr:pic>
      <xdr:nvPicPr>
        <xdr:cNvPr id="4" name="Picture 3">
          <a:extLst>
            <a:ext uri="{FF2B5EF4-FFF2-40B4-BE49-F238E27FC236}">
              <a16:creationId xmlns:a16="http://schemas.microsoft.com/office/drawing/2014/main" id="{7D5F9E7F-16C0-40AD-95F1-5AD50F00D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29825" y="400050"/>
          <a:ext cx="5400675"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22</xdr:row>
      <xdr:rowOff>152400</xdr:rowOff>
    </xdr:from>
    <xdr:to>
      <xdr:col>5</xdr:col>
      <xdr:colOff>57150</xdr:colOff>
      <xdr:row>24</xdr:row>
      <xdr:rowOff>85725</xdr:rowOff>
    </xdr:to>
    <xdr:cxnSp macro="">
      <xdr:nvCxnSpPr>
        <xdr:cNvPr id="6" name="Straight Arrow Connector 5">
          <a:extLst>
            <a:ext uri="{FF2B5EF4-FFF2-40B4-BE49-F238E27FC236}">
              <a16:creationId xmlns:a16="http://schemas.microsoft.com/office/drawing/2014/main" id="{AE1BEAB8-8C0D-420C-83E6-D6396D67D44C}"/>
            </a:ext>
          </a:extLst>
        </xdr:cNvPr>
        <xdr:cNvCxnSpPr/>
      </xdr:nvCxnSpPr>
      <xdr:spPr>
        <a:xfrm flipV="1">
          <a:off x="4171950" y="4705350"/>
          <a:ext cx="323850"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371474</xdr:colOff>
      <xdr:row>1</xdr:row>
      <xdr:rowOff>123824</xdr:rowOff>
    </xdr:from>
    <xdr:to>
      <xdr:col>12</xdr:col>
      <xdr:colOff>228599</xdr:colOff>
      <xdr:row>12</xdr:row>
      <xdr:rowOff>171449</xdr:rowOff>
    </xdr:to>
    <xdr:sp macro="" textlink="">
      <xdr:nvSpPr>
        <xdr:cNvPr id="2" name="TextBox 1">
          <a:extLst>
            <a:ext uri="{FF2B5EF4-FFF2-40B4-BE49-F238E27FC236}">
              <a16:creationId xmlns:a16="http://schemas.microsoft.com/office/drawing/2014/main" id="{555D5036-65C1-4551-ABF1-6A766B014017}"/>
            </a:ext>
          </a:extLst>
        </xdr:cNvPr>
        <xdr:cNvSpPr txBox="1"/>
      </xdr:nvSpPr>
      <xdr:spPr>
        <a:xfrm>
          <a:off x="981074" y="314324"/>
          <a:ext cx="6562725" cy="2143125"/>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Art Posters</a:t>
          </a:r>
        </a:p>
        <a:p>
          <a:endParaRPr lang="uk-UA" sz="1100"/>
        </a:p>
        <a:p>
          <a:r>
            <a:rPr lang="en-US" sz="1100" b="0" i="0">
              <a:solidFill>
                <a:schemeClr val="dk1"/>
              </a:solidFill>
              <a:effectLst/>
              <a:latin typeface="+mn-lt"/>
              <a:ea typeface="+mn-ea"/>
              <a:cs typeface="+mn-cs"/>
            </a:rPr>
            <a:t>University art student Hilda Hernandez runs a small business printing and selling wall posters. She sells two sizes of wall posters, a large 3- by 4-foot poster and a smaller 2- by 3-foot poster. The profit earned from the sale of each large poster is $5; each smaller poster earns $7. Because of her classroom schedule, Hilda has the following weekly constraints: (1) up to four large posters can be sold, (2) up to six smaller posters can be sold, and (3) up to 15 hours can be spent on posters during the week, with each large poster requiring 3 hours of work and each smaller one taking 1.5 hour.</a:t>
          </a:r>
        </a:p>
        <a:p>
          <a:r>
            <a:rPr lang="en-US" sz="1100" b="0" i="0">
              <a:solidFill>
                <a:schemeClr val="dk1"/>
              </a:solidFill>
              <a:effectLst/>
              <a:latin typeface="+mn-lt"/>
              <a:ea typeface="+mn-ea"/>
              <a:cs typeface="+mn-cs"/>
            </a:rPr>
            <a:t>With the semester almost over, Hilda plans on taking a 3-month summer vacation to England. She wants to maximize her profit in her final week before leaving, and she doesn’t want to leave any unfinished posters behind. </a:t>
          </a:r>
        </a:p>
        <a:p>
          <a:endParaRPr lang="en-US" sz="1100"/>
        </a:p>
      </xdr:txBody>
    </xdr:sp>
    <xdr:clientData/>
  </xdr:twoCellAnchor>
  <xdr:twoCellAnchor editAs="oneCell">
    <xdr:from>
      <xdr:col>14</xdr:col>
      <xdr:colOff>28575</xdr:colOff>
      <xdr:row>2</xdr:row>
      <xdr:rowOff>85725</xdr:rowOff>
    </xdr:from>
    <xdr:to>
      <xdr:col>23</xdr:col>
      <xdr:colOff>19050</xdr:colOff>
      <xdr:row>32</xdr:row>
      <xdr:rowOff>123825</xdr:rowOff>
    </xdr:to>
    <xdr:pic>
      <xdr:nvPicPr>
        <xdr:cNvPr id="4" name="Picture 3">
          <a:extLst>
            <a:ext uri="{FF2B5EF4-FFF2-40B4-BE49-F238E27FC236}">
              <a16:creationId xmlns:a16="http://schemas.microsoft.com/office/drawing/2014/main" id="{262945A4-A3DB-4A52-A7D9-2D6250C09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63125" y="466725"/>
          <a:ext cx="5476875" cy="575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381000</xdr:colOff>
      <xdr:row>19</xdr:row>
      <xdr:rowOff>152400</xdr:rowOff>
    </xdr:from>
    <xdr:to>
      <xdr:col>6</xdr:col>
      <xdr:colOff>76200</xdr:colOff>
      <xdr:row>21</xdr:row>
      <xdr:rowOff>95250</xdr:rowOff>
    </xdr:to>
    <xdr:cxnSp macro="">
      <xdr:nvCxnSpPr>
        <xdr:cNvPr id="6" name="Straight Arrow Connector 5">
          <a:extLst>
            <a:ext uri="{FF2B5EF4-FFF2-40B4-BE49-F238E27FC236}">
              <a16:creationId xmlns:a16="http://schemas.microsoft.com/office/drawing/2014/main" id="{0C492211-F633-4041-89B5-FE1ED7771DD1}"/>
            </a:ext>
          </a:extLst>
        </xdr:cNvPr>
        <xdr:cNvCxnSpPr/>
      </xdr:nvCxnSpPr>
      <xdr:spPr>
        <a:xfrm flipV="1">
          <a:off x="4629150" y="3771900"/>
          <a:ext cx="304800"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447675</xdr:colOff>
      <xdr:row>0</xdr:row>
      <xdr:rowOff>171450</xdr:rowOff>
    </xdr:from>
    <xdr:to>
      <xdr:col>12</xdr:col>
      <xdr:colOff>476250</xdr:colOff>
      <xdr:row>9</xdr:row>
      <xdr:rowOff>9525</xdr:rowOff>
    </xdr:to>
    <xdr:sp macro="" textlink="">
      <xdr:nvSpPr>
        <xdr:cNvPr id="2" name="TextBox 1">
          <a:extLst>
            <a:ext uri="{FF2B5EF4-FFF2-40B4-BE49-F238E27FC236}">
              <a16:creationId xmlns:a16="http://schemas.microsoft.com/office/drawing/2014/main" id="{10EE7A0A-598E-46E9-8AA9-445C358502A4}"/>
            </a:ext>
          </a:extLst>
        </xdr:cNvPr>
        <xdr:cNvSpPr txBox="1"/>
      </xdr:nvSpPr>
      <xdr:spPr>
        <a:xfrm>
          <a:off x="447675" y="171450"/>
          <a:ext cx="6734175" cy="1552575"/>
        </a:xfrm>
        <a:prstGeom prst="rect">
          <a:avLst/>
        </a:prstGeom>
        <a:solidFill>
          <a:schemeClr val="bg1">
            <a:lumMod val="8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Binary Investment Decision</a:t>
          </a:r>
        </a:p>
        <a:p>
          <a:r>
            <a:rPr lang="en-US" sz="1100" b="0" i="0">
              <a:solidFill>
                <a:schemeClr val="dk1"/>
              </a:solidFill>
              <a:effectLst/>
              <a:latin typeface="+mn-lt"/>
              <a:ea typeface="+mn-ea"/>
              <a:cs typeface="+mn-cs"/>
            </a:rPr>
            <a:t>A financial investment firm specializes in recommending oil stock portfolios for clients.  One such client made the following specifications:</a:t>
          </a:r>
        </a:p>
        <a:p>
          <a:r>
            <a:rPr lang="en-US" sz="1100" b="0" i="0">
              <a:solidFill>
                <a:schemeClr val="dk1"/>
              </a:solidFill>
              <a:effectLst/>
              <a:latin typeface="+mn-lt"/>
              <a:ea typeface="+mn-ea"/>
              <a:cs typeface="+mn-cs"/>
            </a:rPr>
            <a:t>At least two Texas oil firms must be in the portfolio</a:t>
          </a:r>
        </a:p>
        <a:p>
          <a:r>
            <a:rPr lang="en-US" sz="1100" b="0" i="0">
              <a:solidFill>
                <a:schemeClr val="dk1"/>
              </a:solidFill>
              <a:effectLst/>
              <a:latin typeface="+mn-lt"/>
              <a:ea typeface="+mn-ea"/>
              <a:cs typeface="+mn-cs"/>
            </a:rPr>
            <a:t>No more than one investment can be made in foreign oil companies (companies outside of the United States).</a:t>
          </a:r>
        </a:p>
        <a:p>
          <a:r>
            <a:rPr lang="en-US" sz="1100" b="0" i="0">
              <a:solidFill>
                <a:schemeClr val="dk1"/>
              </a:solidFill>
              <a:effectLst/>
              <a:latin typeface="+mn-lt"/>
              <a:ea typeface="+mn-ea"/>
              <a:cs typeface="+mn-cs"/>
            </a:rPr>
            <a:t>One of two California oil stocks must be purchased.</a:t>
          </a:r>
        </a:p>
        <a:p>
          <a:r>
            <a:rPr lang="en-US" sz="1100" b="0" i="0">
              <a:solidFill>
                <a:schemeClr val="dk1"/>
              </a:solidFill>
              <a:effectLst/>
              <a:latin typeface="+mn-lt"/>
              <a:ea typeface="+mn-ea"/>
              <a:cs typeface="+mn-cs"/>
            </a:rPr>
            <a:t>Up to $3 million for investing to purchase single blocks of stock per table below. </a:t>
          </a:r>
        </a:p>
        <a:p>
          <a:r>
            <a:rPr lang="en-US" sz="1100" b="0" i="0">
              <a:solidFill>
                <a:schemeClr val="dk1"/>
              </a:solidFill>
              <a:effectLst/>
              <a:latin typeface="+mn-lt"/>
              <a:ea typeface="+mn-ea"/>
              <a:cs typeface="+mn-cs"/>
            </a:rPr>
            <a:t>Find the allocation of investments to maximize the return.</a:t>
          </a:r>
        </a:p>
        <a:p>
          <a:endParaRPr lang="en-US" sz="1100"/>
        </a:p>
      </xdr:txBody>
    </xdr:sp>
    <xdr:clientData/>
  </xdr:twoCellAnchor>
  <xdr:twoCellAnchor>
    <xdr:from>
      <xdr:col>21</xdr:col>
      <xdr:colOff>352425</xdr:colOff>
      <xdr:row>13</xdr:row>
      <xdr:rowOff>104775</xdr:rowOff>
    </xdr:from>
    <xdr:to>
      <xdr:col>22</xdr:col>
      <xdr:colOff>9525</xdr:colOff>
      <xdr:row>14</xdr:row>
      <xdr:rowOff>57150</xdr:rowOff>
    </xdr:to>
    <xdr:cxnSp macro="">
      <xdr:nvCxnSpPr>
        <xdr:cNvPr id="5" name="Straight Arrow Connector 4">
          <a:extLst>
            <a:ext uri="{FF2B5EF4-FFF2-40B4-BE49-F238E27FC236}">
              <a16:creationId xmlns:a16="http://schemas.microsoft.com/office/drawing/2014/main" id="{11677D3D-A429-47BD-AE6E-01E3809DCC0F}"/>
            </a:ext>
          </a:extLst>
        </xdr:cNvPr>
        <xdr:cNvCxnSpPr/>
      </xdr:nvCxnSpPr>
      <xdr:spPr>
        <a:xfrm>
          <a:off x="15716250" y="3190875"/>
          <a:ext cx="2667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647700</xdr:colOff>
      <xdr:row>18</xdr:row>
      <xdr:rowOff>171450</xdr:rowOff>
    </xdr:from>
    <xdr:to>
      <xdr:col>9</xdr:col>
      <xdr:colOff>142875</xdr:colOff>
      <xdr:row>48</xdr:row>
      <xdr:rowOff>171450</xdr:rowOff>
    </xdr:to>
    <xdr:pic>
      <xdr:nvPicPr>
        <xdr:cNvPr id="6" name="Picture 5">
          <a:extLst>
            <a:ext uri="{FF2B5EF4-FFF2-40B4-BE49-F238E27FC236}">
              <a16:creationId xmlns:a16="http://schemas.microsoft.com/office/drawing/2014/main" id="{FBFC1411-DD75-45A3-B28A-9BAA45885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6900" y="4210050"/>
          <a:ext cx="546735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15</xdr:col>
      <xdr:colOff>219074</xdr:colOff>
      <xdr:row>0</xdr:row>
      <xdr:rowOff>123826</xdr:rowOff>
    </xdr:from>
    <xdr:to>
      <xdr:col>28</xdr:col>
      <xdr:colOff>57149</xdr:colOff>
      <xdr:row>8</xdr:row>
      <xdr:rowOff>28576</xdr:rowOff>
    </xdr:to>
    <xdr:sp macro="" textlink="">
      <xdr:nvSpPr>
        <xdr:cNvPr id="2" name="TextBox 1">
          <a:extLst>
            <a:ext uri="{FF2B5EF4-FFF2-40B4-BE49-F238E27FC236}">
              <a16:creationId xmlns:a16="http://schemas.microsoft.com/office/drawing/2014/main" id="{95B91B2C-B97E-41A9-94CD-E851AF75837A}"/>
            </a:ext>
          </a:extLst>
        </xdr:cNvPr>
        <xdr:cNvSpPr txBox="1"/>
      </xdr:nvSpPr>
      <xdr:spPr>
        <a:xfrm>
          <a:off x="9810749" y="123826"/>
          <a:ext cx="7762875" cy="1428750"/>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Horizon Wireless</a:t>
          </a:r>
        </a:p>
        <a:p>
          <a:endParaRPr lang="en-US" sz="1100"/>
        </a:p>
        <a:p>
          <a:r>
            <a:rPr lang="en-US" sz="1100" b="0" i="0">
              <a:solidFill>
                <a:schemeClr val="dk1"/>
              </a:solidFill>
              <a:effectLst/>
              <a:latin typeface="+mn-lt"/>
              <a:ea typeface="+mn-ea"/>
              <a:cs typeface="+mn-cs"/>
            </a:rPr>
            <a:t>Horizon Wireless, a cellular telephone company, is expanding into a new city. Relay towers are necessary to provide wireless telephone coverage to the different areas of the city. A grid is superimposed on a map of the city to help determine where the towers should be located. The grid consists of 8 areas labeled A through H. Six possible tower locations (numbered L1–L6) have been identified, and each location could serve several areas. The table below indicates the areas served by each of the towers.</a:t>
          </a:r>
        </a:p>
        <a:p>
          <a:r>
            <a:rPr lang="en-US" sz="1100" b="0" i="0">
              <a:solidFill>
                <a:schemeClr val="dk1"/>
              </a:solidFill>
              <a:effectLst/>
              <a:latin typeface="+mn-lt"/>
              <a:ea typeface="+mn-ea"/>
              <a:cs typeface="+mn-cs"/>
            </a:rPr>
            <a:t>Horizon wants to make sure that all areas of the city are served, while minimizing the number of towers that need to be built.</a:t>
          </a:r>
        </a:p>
        <a:p>
          <a:endParaRPr lang="en-US" sz="1100"/>
        </a:p>
      </xdr:txBody>
    </xdr:sp>
    <xdr:clientData/>
  </xdr:twoCellAnchor>
  <xdr:twoCellAnchor>
    <xdr:from>
      <xdr:col>9</xdr:col>
      <xdr:colOff>371475</xdr:colOff>
      <xdr:row>19</xdr:row>
      <xdr:rowOff>142875</xdr:rowOff>
    </xdr:from>
    <xdr:to>
      <xdr:col>10</xdr:col>
      <xdr:colOff>57150</xdr:colOff>
      <xdr:row>21</xdr:row>
      <xdr:rowOff>66675</xdr:rowOff>
    </xdr:to>
    <xdr:cxnSp macro="">
      <xdr:nvCxnSpPr>
        <xdr:cNvPr id="5" name="Straight Arrow Connector 4">
          <a:extLst>
            <a:ext uri="{FF2B5EF4-FFF2-40B4-BE49-F238E27FC236}">
              <a16:creationId xmlns:a16="http://schemas.microsoft.com/office/drawing/2014/main" id="{406FFE74-43B9-4D66-A849-C116F64D2A31}"/>
            </a:ext>
          </a:extLst>
        </xdr:cNvPr>
        <xdr:cNvCxnSpPr/>
      </xdr:nvCxnSpPr>
      <xdr:spPr>
        <a:xfrm>
          <a:off x="6305550" y="3876675"/>
          <a:ext cx="295275"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47625</xdr:colOff>
      <xdr:row>8</xdr:row>
      <xdr:rowOff>142875</xdr:rowOff>
    </xdr:from>
    <xdr:to>
      <xdr:col>22</xdr:col>
      <xdr:colOff>600075</xdr:colOff>
      <xdr:row>38</xdr:row>
      <xdr:rowOff>38100</xdr:rowOff>
    </xdr:to>
    <xdr:pic>
      <xdr:nvPicPr>
        <xdr:cNvPr id="7" name="Picture 6">
          <a:extLst>
            <a:ext uri="{FF2B5EF4-FFF2-40B4-BE49-F238E27FC236}">
              <a16:creationId xmlns:a16="http://schemas.microsoft.com/office/drawing/2014/main" id="{8DE5F3EC-3C04-4015-AD7A-9F6E0ABB2D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29700" y="1666875"/>
          <a:ext cx="5429250" cy="572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409575</xdr:colOff>
      <xdr:row>0</xdr:row>
      <xdr:rowOff>152400</xdr:rowOff>
    </xdr:from>
    <xdr:to>
      <xdr:col>9</xdr:col>
      <xdr:colOff>285750</xdr:colOff>
      <xdr:row>12</xdr:row>
      <xdr:rowOff>0</xdr:rowOff>
    </xdr:to>
    <xdr:sp macro="" textlink="">
      <xdr:nvSpPr>
        <xdr:cNvPr id="2" name="TextBox 1">
          <a:extLst>
            <a:ext uri="{FF2B5EF4-FFF2-40B4-BE49-F238E27FC236}">
              <a16:creationId xmlns:a16="http://schemas.microsoft.com/office/drawing/2014/main" id="{7D9E656D-1196-476C-8BD9-F09F9259CB67}"/>
            </a:ext>
          </a:extLst>
        </xdr:cNvPr>
        <xdr:cNvSpPr txBox="1"/>
      </xdr:nvSpPr>
      <xdr:spPr>
        <a:xfrm>
          <a:off x="409575" y="152400"/>
          <a:ext cx="5362575" cy="2133600"/>
        </a:xfrm>
        <a:prstGeom prst="rect">
          <a:avLst/>
        </a:prstGeom>
        <a:solidFill>
          <a:schemeClr val="bg1">
            <a:lumMod val="8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Portfolio Variance</a:t>
          </a:r>
        </a:p>
        <a:p>
          <a:r>
            <a:rPr lang="en-US" sz="1100" b="0" i="0">
              <a:solidFill>
                <a:schemeClr val="dk1"/>
              </a:solidFill>
              <a:effectLst/>
              <a:latin typeface="+mn-lt"/>
              <a:ea typeface="+mn-ea"/>
              <a:cs typeface="+mn-cs"/>
            </a:rPr>
            <a:t>Ryan, a financial investor for PB&amp;J, is evaluating two stocks in a particular industry.  He want to minimize the variance of a portfolio consisting of these two stocks, but wants to have an expected return of 9%.  After obtaining historical data on past variances and returns, he develops the following </a:t>
          </a:r>
          <a:r>
            <a:rPr lang="en-US" sz="1100" b="0" i="1">
              <a:solidFill>
                <a:schemeClr val="dk1"/>
              </a:solidFill>
              <a:effectLst/>
              <a:latin typeface="+mn-lt"/>
              <a:ea typeface="+mn-ea"/>
              <a:cs typeface="+mn-cs"/>
            </a:rPr>
            <a:t>non-linear</a:t>
          </a:r>
          <a:r>
            <a:rPr lang="en-US" sz="1100" b="0" i="0">
              <a:solidFill>
                <a:schemeClr val="dk1"/>
              </a:solidFill>
              <a:effectLst/>
              <a:latin typeface="+mn-lt"/>
              <a:ea typeface="+mn-ea"/>
              <a:cs typeface="+mn-cs"/>
            </a:rPr>
            <a:t> program:</a:t>
          </a:r>
        </a:p>
        <a:p>
          <a:r>
            <a:rPr lang="en-US" sz="1100" b="0" i="0">
              <a:solidFill>
                <a:schemeClr val="dk1"/>
              </a:solidFill>
              <a:effectLst/>
              <a:latin typeface="+mn-lt"/>
              <a:ea typeface="+mn-ea"/>
              <a:cs typeface="+mn-cs"/>
            </a:rPr>
            <a:t>X</a:t>
          </a:r>
          <a:r>
            <a:rPr lang="en-US" sz="1100" b="0" i="1">
              <a:solidFill>
                <a:schemeClr val="dk1"/>
              </a:solidFill>
              <a:effectLst/>
              <a:latin typeface="+mn-lt"/>
              <a:ea typeface="+mn-ea"/>
              <a:cs typeface="+mn-cs"/>
            </a:rPr>
            <a:t>X</a:t>
          </a:r>
          <a:r>
            <a:rPr lang="en-US" sz="1100" b="0" i="0">
              <a:solidFill>
                <a:schemeClr val="dk1"/>
              </a:solidFill>
              <a:effectLst/>
              <a:latin typeface="+mn-lt"/>
              <a:ea typeface="+mn-ea"/>
              <a:cs typeface="+mn-cs"/>
            </a:rPr>
            <a:t>X = proportion of money to invest in Stock 1</a:t>
          </a:r>
        </a:p>
        <a:p>
          <a:r>
            <a:rPr lang="en-US" sz="1100" b="0" i="0">
              <a:solidFill>
                <a:schemeClr val="dk1"/>
              </a:solidFill>
              <a:effectLst/>
              <a:latin typeface="+mn-lt"/>
              <a:ea typeface="+mn-ea"/>
              <a:cs typeface="+mn-cs"/>
            </a:rPr>
            <a:t>Y</a:t>
          </a:r>
          <a:r>
            <a:rPr lang="en-US" sz="1100" b="0" i="1">
              <a:solidFill>
                <a:schemeClr val="dk1"/>
              </a:solidFill>
              <a:effectLst/>
              <a:latin typeface="+mn-lt"/>
              <a:ea typeface="+mn-ea"/>
              <a:cs typeface="+mn-cs"/>
            </a:rPr>
            <a:t>Y</a:t>
          </a:r>
          <a:r>
            <a:rPr lang="en-US" sz="1100" b="0" i="0">
              <a:solidFill>
                <a:schemeClr val="dk1"/>
              </a:solidFill>
              <a:effectLst/>
              <a:latin typeface="+mn-lt"/>
              <a:ea typeface="+mn-ea"/>
              <a:cs typeface="+mn-cs"/>
            </a:rPr>
            <a:t>Y = proportion of money to invest in Stock 2</a:t>
          </a:r>
        </a:p>
        <a:p>
          <a:r>
            <a:rPr lang="en-US" sz="1100" b="0" i="0">
              <a:solidFill>
                <a:schemeClr val="dk1"/>
              </a:solidFill>
              <a:effectLst/>
              <a:latin typeface="+mn-lt"/>
              <a:ea typeface="+mn-ea"/>
              <a:cs typeface="+mn-cs"/>
            </a:rPr>
            <a:t>All funds must be invested. Historical return on Stock 1 is 11%; Historical return on Stock 2 is 8%.</a:t>
          </a:r>
        </a:p>
        <a:p>
          <a:r>
            <a:rPr lang="en-US" sz="1100" b="0" i="0">
              <a:solidFill>
                <a:schemeClr val="dk1"/>
              </a:solidFill>
              <a:effectLst/>
              <a:latin typeface="+mn-lt"/>
              <a:ea typeface="+mn-ea"/>
              <a:cs typeface="+mn-cs"/>
            </a:rPr>
            <a:t>Min: Var=0.16X2+0.2XY+0.9Y2Var=0.16</a:t>
          </a:r>
          <a:r>
            <a:rPr lang="en-US" sz="1100" b="0" i="1">
              <a:solidFill>
                <a:schemeClr val="dk1"/>
              </a:solidFill>
              <a:effectLst/>
              <a:latin typeface="+mn-lt"/>
              <a:ea typeface="+mn-ea"/>
              <a:cs typeface="+mn-cs"/>
            </a:rPr>
            <a:t>X</a:t>
          </a:r>
          <a:r>
            <a:rPr lang="en-US" sz="1100" b="0" i="0">
              <a:solidFill>
                <a:schemeClr val="dk1"/>
              </a:solidFill>
              <a:effectLst/>
              <a:latin typeface="+mn-lt"/>
              <a:ea typeface="+mn-ea"/>
              <a:cs typeface="+mn-cs"/>
            </a:rPr>
            <a:t>2+0.2</a:t>
          </a:r>
          <a:r>
            <a:rPr lang="en-US" sz="1100" b="0" i="1">
              <a:solidFill>
                <a:schemeClr val="dk1"/>
              </a:solidFill>
              <a:effectLst/>
              <a:latin typeface="+mn-lt"/>
              <a:ea typeface="+mn-ea"/>
              <a:cs typeface="+mn-cs"/>
            </a:rPr>
            <a:t>XY</a:t>
          </a:r>
          <a:r>
            <a:rPr lang="en-US" sz="1100" b="0" i="0">
              <a:solidFill>
                <a:schemeClr val="dk1"/>
              </a:solidFill>
              <a:effectLst/>
              <a:latin typeface="+mn-lt"/>
              <a:ea typeface="+mn-ea"/>
              <a:cs typeface="+mn-cs"/>
            </a:rPr>
            <a:t>+0.9</a:t>
          </a:r>
          <a:r>
            <a:rPr lang="en-US" sz="1100" b="0" i="1">
              <a:solidFill>
                <a:schemeClr val="dk1"/>
              </a:solidFill>
              <a:effectLst/>
              <a:latin typeface="+mn-lt"/>
              <a:ea typeface="+mn-ea"/>
              <a:cs typeface="+mn-cs"/>
            </a:rPr>
            <a:t>Y</a:t>
          </a:r>
          <a:r>
            <a:rPr lang="en-US" sz="1100" b="0" i="0">
              <a:solidFill>
                <a:schemeClr val="dk1"/>
              </a:solidFill>
              <a:effectLst/>
              <a:latin typeface="+mn-lt"/>
              <a:ea typeface="+mn-ea"/>
              <a:cs typeface="+mn-cs"/>
            </a:rPr>
            <a:t>2</a:t>
          </a:r>
        </a:p>
        <a:p>
          <a:r>
            <a:rPr lang="en-US" sz="1100" b="0" i="0">
              <a:solidFill>
                <a:schemeClr val="dk1"/>
              </a:solidFill>
              <a:effectLst/>
              <a:latin typeface="+mn-lt"/>
              <a:ea typeface="+mn-ea"/>
              <a:cs typeface="+mn-cs"/>
            </a:rPr>
            <a:t>start text, V, a, r, end text, equals, 0, point, 16, X, squared, plus, 0, point, 2, X, Y, plus, 0, point, 9, Y, squared</a:t>
          </a:r>
        </a:p>
        <a:p>
          <a:br>
            <a:rPr lang="en-US"/>
          </a:br>
          <a:endParaRPr lang="en-US" sz="1100"/>
        </a:p>
      </xdr:txBody>
    </xdr:sp>
    <xdr:clientData/>
  </xdr:twoCellAnchor>
  <xdr:twoCellAnchor>
    <xdr:from>
      <xdr:col>5</xdr:col>
      <xdr:colOff>381000</xdr:colOff>
      <xdr:row>26</xdr:row>
      <xdr:rowOff>95250</xdr:rowOff>
    </xdr:from>
    <xdr:to>
      <xdr:col>6</xdr:col>
      <xdr:colOff>19050</xdr:colOff>
      <xdr:row>28</xdr:row>
      <xdr:rowOff>28575</xdr:rowOff>
    </xdr:to>
    <xdr:cxnSp macro="">
      <xdr:nvCxnSpPr>
        <xdr:cNvPr id="4" name="Straight Arrow Connector 3">
          <a:extLst>
            <a:ext uri="{FF2B5EF4-FFF2-40B4-BE49-F238E27FC236}">
              <a16:creationId xmlns:a16="http://schemas.microsoft.com/office/drawing/2014/main" id="{A9700053-71F8-4E9D-B6F3-9EA96CCE7246}"/>
            </a:ext>
          </a:extLst>
        </xdr:cNvPr>
        <xdr:cNvCxnSpPr/>
      </xdr:nvCxnSpPr>
      <xdr:spPr>
        <a:xfrm flipV="1">
          <a:off x="3609975" y="5048250"/>
          <a:ext cx="247650"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22</xdr:row>
      <xdr:rowOff>180975</xdr:rowOff>
    </xdr:from>
    <xdr:to>
      <xdr:col>3</xdr:col>
      <xdr:colOff>142875</xdr:colOff>
      <xdr:row>23</xdr:row>
      <xdr:rowOff>66675</xdr:rowOff>
    </xdr:to>
    <xdr:cxnSp macro="">
      <xdr:nvCxnSpPr>
        <xdr:cNvPr id="6" name="Straight Arrow Connector 5">
          <a:extLst>
            <a:ext uri="{FF2B5EF4-FFF2-40B4-BE49-F238E27FC236}">
              <a16:creationId xmlns:a16="http://schemas.microsoft.com/office/drawing/2014/main" id="{86D17DBA-7726-4EBA-857D-4A163D519F21}"/>
            </a:ext>
          </a:extLst>
        </xdr:cNvPr>
        <xdr:cNvCxnSpPr/>
      </xdr:nvCxnSpPr>
      <xdr:spPr>
        <a:xfrm flipV="1">
          <a:off x="2095500" y="4371975"/>
          <a:ext cx="571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419100</xdr:colOff>
      <xdr:row>3</xdr:row>
      <xdr:rowOff>104775</xdr:rowOff>
    </xdr:from>
    <xdr:to>
      <xdr:col>20</xdr:col>
      <xdr:colOff>400050</xdr:colOff>
      <xdr:row>33</xdr:row>
      <xdr:rowOff>152400</xdr:rowOff>
    </xdr:to>
    <xdr:pic>
      <xdr:nvPicPr>
        <xdr:cNvPr id="7" name="Picture 6">
          <a:extLst>
            <a:ext uri="{FF2B5EF4-FFF2-40B4-BE49-F238E27FC236}">
              <a16:creationId xmlns:a16="http://schemas.microsoft.com/office/drawing/2014/main" id="{710C7212-8658-4B0A-9E2F-A0F3E96BF3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9975" y="676275"/>
          <a:ext cx="5467350" cy="576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219075</xdr:colOff>
      <xdr:row>1</xdr:row>
      <xdr:rowOff>152400</xdr:rowOff>
    </xdr:from>
    <xdr:to>
      <xdr:col>12</xdr:col>
      <xdr:colOff>438150</xdr:colOff>
      <xdr:row>11</xdr:row>
      <xdr:rowOff>123825</xdr:rowOff>
    </xdr:to>
    <xdr:sp macro="" textlink="">
      <xdr:nvSpPr>
        <xdr:cNvPr id="2" name="TextBox 1">
          <a:extLst>
            <a:ext uri="{FF2B5EF4-FFF2-40B4-BE49-F238E27FC236}">
              <a16:creationId xmlns:a16="http://schemas.microsoft.com/office/drawing/2014/main" id="{FB0ACE24-FEFE-4B78-B592-D2E3D73B911E}"/>
            </a:ext>
          </a:extLst>
        </xdr:cNvPr>
        <xdr:cNvSpPr txBox="1"/>
      </xdr:nvSpPr>
      <xdr:spPr>
        <a:xfrm>
          <a:off x="828675" y="342900"/>
          <a:ext cx="6924675" cy="1876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Motorcross Snowmobiles</a:t>
          </a:r>
        </a:p>
        <a:p>
          <a:r>
            <a:rPr lang="en-US" sz="1100" b="0" i="0">
              <a:solidFill>
                <a:schemeClr val="dk1"/>
              </a:solidFill>
              <a:effectLst/>
              <a:latin typeface="+mn-lt"/>
              <a:ea typeface="+mn-ea"/>
              <a:cs typeface="+mn-cs"/>
            </a:rPr>
            <a:t>.</a:t>
          </a:r>
        </a:p>
        <a:p>
          <a:endParaRPr lang="en-US" sz="1100"/>
        </a:p>
      </xdr:txBody>
    </xdr:sp>
    <xdr:clientData/>
  </xdr:twoCellAnchor>
  <xdr:twoCellAnchor editAs="oneCell">
    <xdr:from>
      <xdr:col>1</xdr:col>
      <xdr:colOff>314325</xdr:colOff>
      <xdr:row>3</xdr:row>
      <xdr:rowOff>142875</xdr:rowOff>
    </xdr:from>
    <xdr:to>
      <xdr:col>12</xdr:col>
      <xdr:colOff>104775</xdr:colOff>
      <xdr:row>11</xdr:row>
      <xdr:rowOff>115511</xdr:rowOff>
    </xdr:to>
    <xdr:pic>
      <xdr:nvPicPr>
        <xdr:cNvPr id="3" name="Picture 2">
          <a:extLst>
            <a:ext uri="{FF2B5EF4-FFF2-40B4-BE49-F238E27FC236}">
              <a16:creationId xmlns:a16="http://schemas.microsoft.com/office/drawing/2014/main" id="{C61695F1-A713-41A0-A9A4-BFF2D79FEAA4}"/>
            </a:ext>
          </a:extLst>
        </xdr:cNvPr>
        <xdr:cNvPicPr>
          <a:picLocks noChangeAspect="1"/>
        </xdr:cNvPicPr>
      </xdr:nvPicPr>
      <xdr:blipFill>
        <a:blip xmlns:r="http://schemas.openxmlformats.org/officeDocument/2006/relationships" r:embed="rId1"/>
        <a:stretch>
          <a:fillRect/>
        </a:stretch>
      </xdr:blipFill>
      <xdr:spPr>
        <a:xfrm>
          <a:off x="923925" y="714375"/>
          <a:ext cx="6819900" cy="1496636"/>
        </a:xfrm>
        <a:prstGeom prst="rect">
          <a:avLst/>
        </a:prstGeom>
        <a:ln>
          <a:solidFill>
            <a:schemeClr val="tx1"/>
          </a:solidFill>
        </a:ln>
      </xdr:spPr>
    </xdr:pic>
    <xdr:clientData/>
  </xdr:twoCellAnchor>
  <xdr:twoCellAnchor editAs="oneCell">
    <xdr:from>
      <xdr:col>14</xdr:col>
      <xdr:colOff>28575</xdr:colOff>
      <xdr:row>2</xdr:row>
      <xdr:rowOff>28575</xdr:rowOff>
    </xdr:from>
    <xdr:to>
      <xdr:col>23</xdr:col>
      <xdr:colOff>19050</xdr:colOff>
      <xdr:row>32</xdr:row>
      <xdr:rowOff>57150</xdr:rowOff>
    </xdr:to>
    <xdr:pic>
      <xdr:nvPicPr>
        <xdr:cNvPr id="5" name="Picture 4">
          <a:extLst>
            <a:ext uri="{FF2B5EF4-FFF2-40B4-BE49-F238E27FC236}">
              <a16:creationId xmlns:a16="http://schemas.microsoft.com/office/drawing/2014/main" id="{492CA2AF-EF61-4C1B-B3C7-7950FB1049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86825" y="409575"/>
          <a:ext cx="5476875" cy="574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428625</xdr:colOff>
      <xdr:row>21</xdr:row>
      <xdr:rowOff>171450</xdr:rowOff>
    </xdr:from>
    <xdr:to>
      <xdr:col>8</xdr:col>
      <xdr:colOff>19050</xdr:colOff>
      <xdr:row>22</xdr:row>
      <xdr:rowOff>57150</xdr:rowOff>
    </xdr:to>
    <xdr:cxnSp macro="">
      <xdr:nvCxnSpPr>
        <xdr:cNvPr id="7" name="Straight Arrow Connector 6">
          <a:extLst>
            <a:ext uri="{FF2B5EF4-FFF2-40B4-BE49-F238E27FC236}">
              <a16:creationId xmlns:a16="http://schemas.microsoft.com/office/drawing/2014/main" id="{6C83E268-A6CB-4216-BE59-71D1D1035D86}"/>
            </a:ext>
          </a:extLst>
        </xdr:cNvPr>
        <xdr:cNvCxnSpPr/>
      </xdr:nvCxnSpPr>
      <xdr:spPr>
        <a:xfrm>
          <a:off x="5019675" y="4171950"/>
          <a:ext cx="200025"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533401</xdr:colOff>
      <xdr:row>1</xdr:row>
      <xdr:rowOff>19050</xdr:rowOff>
    </xdr:from>
    <xdr:to>
      <xdr:col>12</xdr:col>
      <xdr:colOff>400051</xdr:colOff>
      <xdr:row>10</xdr:row>
      <xdr:rowOff>152401</xdr:rowOff>
    </xdr:to>
    <xdr:sp macro="" textlink="">
      <xdr:nvSpPr>
        <xdr:cNvPr id="2" name="TextBox 1">
          <a:extLst>
            <a:ext uri="{FF2B5EF4-FFF2-40B4-BE49-F238E27FC236}">
              <a16:creationId xmlns:a16="http://schemas.microsoft.com/office/drawing/2014/main" id="{95307111-7DBA-4CC0-A7CC-75F69EC90737}"/>
            </a:ext>
          </a:extLst>
        </xdr:cNvPr>
        <xdr:cNvSpPr txBox="1"/>
      </xdr:nvSpPr>
      <xdr:spPr>
        <a:xfrm>
          <a:off x="533401" y="209550"/>
          <a:ext cx="7181850" cy="1847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Baseball Stadium</a:t>
          </a:r>
        </a:p>
        <a:p>
          <a:endParaRPr lang="en-US" sz="1100"/>
        </a:p>
      </xdr:txBody>
    </xdr:sp>
    <xdr:clientData/>
  </xdr:twoCellAnchor>
  <xdr:twoCellAnchor editAs="oneCell">
    <xdr:from>
      <xdr:col>1</xdr:col>
      <xdr:colOff>47624</xdr:colOff>
      <xdr:row>2</xdr:row>
      <xdr:rowOff>66676</xdr:rowOff>
    </xdr:from>
    <xdr:to>
      <xdr:col>11</xdr:col>
      <xdr:colOff>288748</xdr:colOff>
      <xdr:row>10</xdr:row>
      <xdr:rowOff>9526</xdr:rowOff>
    </xdr:to>
    <xdr:pic>
      <xdr:nvPicPr>
        <xdr:cNvPr id="3" name="Picture 2">
          <a:extLst>
            <a:ext uri="{FF2B5EF4-FFF2-40B4-BE49-F238E27FC236}">
              <a16:creationId xmlns:a16="http://schemas.microsoft.com/office/drawing/2014/main" id="{FA2817CC-CBB9-402D-B581-B4873D976079}"/>
            </a:ext>
          </a:extLst>
        </xdr:cNvPr>
        <xdr:cNvPicPr>
          <a:picLocks noChangeAspect="1"/>
        </xdr:cNvPicPr>
      </xdr:nvPicPr>
      <xdr:blipFill>
        <a:blip xmlns:r="http://schemas.openxmlformats.org/officeDocument/2006/relationships" r:embed="rId1"/>
        <a:stretch>
          <a:fillRect/>
        </a:stretch>
      </xdr:blipFill>
      <xdr:spPr>
        <a:xfrm>
          <a:off x="657224" y="447676"/>
          <a:ext cx="6880049" cy="1466850"/>
        </a:xfrm>
        <a:prstGeom prst="rect">
          <a:avLst/>
        </a:prstGeom>
      </xdr:spPr>
    </xdr:pic>
    <xdr:clientData/>
  </xdr:twoCellAnchor>
  <xdr:twoCellAnchor editAs="oneCell">
    <xdr:from>
      <xdr:col>14</xdr:col>
      <xdr:colOff>400050</xdr:colOff>
      <xdr:row>3</xdr:row>
      <xdr:rowOff>47625</xdr:rowOff>
    </xdr:from>
    <xdr:to>
      <xdr:col>23</xdr:col>
      <xdr:colOff>342900</xdr:colOff>
      <xdr:row>33</xdr:row>
      <xdr:rowOff>104775</xdr:rowOff>
    </xdr:to>
    <xdr:pic>
      <xdr:nvPicPr>
        <xdr:cNvPr id="5" name="Picture 4">
          <a:extLst>
            <a:ext uri="{FF2B5EF4-FFF2-40B4-BE49-F238E27FC236}">
              <a16:creationId xmlns:a16="http://schemas.microsoft.com/office/drawing/2014/main" id="{64C7A042-1A42-47C8-87CB-1384EDCD01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77375" y="619125"/>
          <a:ext cx="54292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542924</xdr:colOff>
      <xdr:row>2</xdr:row>
      <xdr:rowOff>9525</xdr:rowOff>
    </xdr:from>
    <xdr:to>
      <xdr:col>10</xdr:col>
      <xdr:colOff>342899</xdr:colOff>
      <xdr:row>11</xdr:row>
      <xdr:rowOff>95250</xdr:rowOff>
    </xdr:to>
    <xdr:sp macro="" textlink="">
      <xdr:nvSpPr>
        <xdr:cNvPr id="2" name="TextBox 1">
          <a:extLst>
            <a:ext uri="{FF2B5EF4-FFF2-40B4-BE49-F238E27FC236}">
              <a16:creationId xmlns:a16="http://schemas.microsoft.com/office/drawing/2014/main" id="{D2F9808D-6496-4030-9CB4-26552DF3B4F9}"/>
            </a:ext>
          </a:extLst>
        </xdr:cNvPr>
        <xdr:cNvSpPr txBox="1"/>
      </xdr:nvSpPr>
      <xdr:spPr>
        <a:xfrm>
          <a:off x="542924" y="390525"/>
          <a:ext cx="5895975" cy="1800225"/>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Textbook Company</a:t>
          </a:r>
          <a:endParaRPr lang="uk-UA" sz="1100" b="1" i="0">
            <a:solidFill>
              <a:schemeClr val="dk1"/>
            </a:solidFill>
            <a:effectLst/>
            <a:latin typeface="+mn-lt"/>
            <a:ea typeface="+mn-ea"/>
            <a:cs typeface="+mn-cs"/>
          </a:endParaRPr>
        </a:p>
        <a:p>
          <a:endParaRPr lang="uk-UA" sz="1100" b="0" i="0">
            <a:solidFill>
              <a:schemeClr val="dk1"/>
            </a:solidFill>
            <a:effectLst/>
            <a:latin typeface="+mn-lt"/>
            <a:ea typeface="+mn-ea"/>
            <a:cs typeface="+mn-cs"/>
          </a:endParaRPr>
        </a:p>
        <a:p>
          <a:r>
            <a:rPr lang="en-US" sz="1100" b="0" i="0">
              <a:solidFill>
                <a:schemeClr val="dk1"/>
              </a:solidFill>
              <a:effectLst/>
              <a:latin typeface="+mn-lt"/>
              <a:ea typeface="+mn-ea"/>
              <a:cs typeface="+mn-cs"/>
            </a:rPr>
            <a:t>Justin Brody is the production manager for a math textbook manufacturing company. The company produces Geometry and Calculus texts. Each Geometry text generates a profit of $80 and requires 3 hours assembly time and 4 hours of proofing. Each Calculus text generates $45 of profit and requires 5 hours of assembly and 2 hours of proofing. There are 360 hours of assembly time and 240 hours of proofing time available each month.</a:t>
          </a:r>
          <a:endParaRPr lang="uk-UA" sz="1100" b="0" i="0">
            <a:solidFill>
              <a:schemeClr val="dk1"/>
            </a:solidFill>
            <a:effectLst/>
            <a:latin typeface="+mn-lt"/>
            <a:ea typeface="+mn-ea"/>
            <a:cs typeface="+mn-cs"/>
          </a:endParaRPr>
        </a:p>
        <a:p>
          <a:r>
            <a:rPr lang="en-US" sz="1100" b="0">
              <a:solidFill>
                <a:schemeClr val="dk1"/>
              </a:solidFill>
              <a:effectLst/>
              <a:latin typeface="+mn-lt"/>
              <a:ea typeface="+mn-ea"/>
              <a:cs typeface="+mn-cs"/>
            </a:rPr>
            <a:t>Optimal Solution </a:t>
          </a:r>
        </a:p>
        <a:p>
          <a:r>
            <a:rPr lang="en-US" sz="1100" b="0" i="0">
              <a:solidFill>
                <a:schemeClr val="dk1"/>
              </a:solidFill>
              <a:effectLst/>
              <a:latin typeface="+mn-lt"/>
              <a:ea typeface="+mn-ea"/>
              <a:cs typeface="+mn-cs"/>
            </a:rPr>
            <a:t>Find the number of Geometry and Calculus texts to make that maximizes the profit each month.</a:t>
          </a:r>
        </a:p>
        <a:p>
          <a:endParaRPr lang="en-US" sz="1100"/>
        </a:p>
      </xdr:txBody>
    </xdr:sp>
    <xdr:clientData/>
  </xdr:twoCellAnchor>
  <xdr:twoCellAnchor editAs="oneCell">
    <xdr:from>
      <xdr:col>12</xdr:col>
      <xdr:colOff>38100</xdr:colOff>
      <xdr:row>1</xdr:row>
      <xdr:rowOff>85725</xdr:rowOff>
    </xdr:from>
    <xdr:to>
      <xdr:col>21</xdr:col>
      <xdr:colOff>66675</xdr:colOff>
      <xdr:row>31</xdr:row>
      <xdr:rowOff>142875</xdr:rowOff>
    </xdr:to>
    <xdr:pic>
      <xdr:nvPicPr>
        <xdr:cNvPr id="5" name="Picture 4">
          <a:extLst>
            <a:ext uri="{FF2B5EF4-FFF2-40B4-BE49-F238E27FC236}">
              <a16:creationId xmlns:a16="http://schemas.microsoft.com/office/drawing/2014/main" id="{B6956EAD-1FFB-4718-91FC-28AC5704E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48625" y="276225"/>
          <a:ext cx="5514975"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104775</xdr:colOff>
      <xdr:row>1</xdr:row>
      <xdr:rowOff>180975</xdr:rowOff>
    </xdr:from>
    <xdr:to>
      <xdr:col>9</xdr:col>
      <xdr:colOff>66675</xdr:colOff>
      <xdr:row>9</xdr:row>
      <xdr:rowOff>19050</xdr:rowOff>
    </xdr:to>
    <xdr:sp macro="" textlink="">
      <xdr:nvSpPr>
        <xdr:cNvPr id="2" name="TextBox 1">
          <a:extLst>
            <a:ext uri="{FF2B5EF4-FFF2-40B4-BE49-F238E27FC236}">
              <a16:creationId xmlns:a16="http://schemas.microsoft.com/office/drawing/2014/main" id="{E18504F0-7B41-4E5A-A3B5-A70CF6F44121}"/>
            </a:ext>
          </a:extLst>
        </xdr:cNvPr>
        <xdr:cNvSpPr txBox="1"/>
      </xdr:nvSpPr>
      <xdr:spPr>
        <a:xfrm>
          <a:off x="714375" y="371475"/>
          <a:ext cx="4838700" cy="1362075"/>
        </a:xfrm>
        <a:prstGeom prst="rect">
          <a:avLst/>
        </a:prstGeom>
        <a:solidFill>
          <a:schemeClr val="bg1">
            <a:lumMod val="75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M&amp;T Stadium</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The demand for hamburgers sold at M&amp;T Stadium (home of the Baltimore Ravens) depends on the price. If p</a:t>
          </a:r>
          <a:r>
            <a:rPr lang="en-US" sz="1100" b="0" i="1">
              <a:solidFill>
                <a:schemeClr val="dk1"/>
              </a:solidFill>
              <a:effectLst/>
              <a:latin typeface="+mn-lt"/>
              <a:ea typeface="+mn-ea"/>
              <a:cs typeface="+mn-cs"/>
            </a:rPr>
            <a:t>p</a:t>
          </a:r>
          <a:r>
            <a:rPr lang="en-US" sz="1100" b="0" i="0">
              <a:solidFill>
                <a:schemeClr val="dk1"/>
              </a:solidFill>
              <a:effectLst/>
              <a:latin typeface="+mn-lt"/>
              <a:ea typeface="+mn-ea"/>
              <a:cs typeface="+mn-cs"/>
            </a:rPr>
            <a:t>p is the price of a hamburger, then the demand is given by −10000p+70000−10000</a:t>
          </a:r>
          <a:r>
            <a:rPr lang="en-US" sz="1100" b="0" i="1">
              <a:solidFill>
                <a:schemeClr val="dk1"/>
              </a:solidFill>
              <a:effectLst/>
              <a:latin typeface="+mn-lt"/>
              <a:ea typeface="+mn-ea"/>
              <a:cs typeface="+mn-cs"/>
            </a:rPr>
            <a:t>p</a:t>
          </a:r>
          <a:r>
            <a:rPr lang="en-US" sz="1100" b="0" i="0">
              <a:solidFill>
                <a:schemeClr val="dk1"/>
              </a:solidFill>
              <a:effectLst/>
              <a:latin typeface="+mn-lt"/>
              <a:ea typeface="+mn-ea"/>
              <a:cs typeface="+mn-cs"/>
            </a:rPr>
            <a:t>+70000minus, 10000, p, plus, 70000. If the vendor’s fixed costs are $2,500 and variable costs are $0.60 per hamburger, find the price of a hamburger that will maximize the profit.</a:t>
          </a:r>
        </a:p>
      </xdr:txBody>
    </xdr:sp>
    <xdr:clientData/>
  </xdr:twoCellAnchor>
  <xdr:twoCellAnchor editAs="oneCell">
    <xdr:from>
      <xdr:col>11</xdr:col>
      <xdr:colOff>66675</xdr:colOff>
      <xdr:row>2</xdr:row>
      <xdr:rowOff>142875</xdr:rowOff>
    </xdr:from>
    <xdr:to>
      <xdr:col>19</xdr:col>
      <xdr:colOff>581025</xdr:colOff>
      <xdr:row>32</xdr:row>
      <xdr:rowOff>133350</xdr:rowOff>
    </xdr:to>
    <xdr:pic>
      <xdr:nvPicPr>
        <xdr:cNvPr id="5" name="Picture 4">
          <a:extLst>
            <a:ext uri="{FF2B5EF4-FFF2-40B4-BE49-F238E27FC236}">
              <a16:creationId xmlns:a16="http://schemas.microsoft.com/office/drawing/2014/main" id="{9FF1B9BE-EBA4-48E9-8D2C-5D7FCEC00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8075" y="523875"/>
          <a:ext cx="5391150" cy="570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9</xdr:col>
      <xdr:colOff>317500</xdr:colOff>
      <xdr:row>11</xdr:row>
      <xdr:rowOff>50800</xdr:rowOff>
    </xdr:from>
    <xdr:to>
      <xdr:col>11</xdr:col>
      <xdr:colOff>457200</xdr:colOff>
      <xdr:row>14</xdr:row>
      <xdr:rowOff>76200</xdr:rowOff>
    </xdr:to>
    <xdr:sp macro="" textlink="">
      <xdr:nvSpPr>
        <xdr:cNvPr id="2" name="Alternate Process 1">
          <a:extLst>
            <a:ext uri="{FF2B5EF4-FFF2-40B4-BE49-F238E27FC236}">
              <a16:creationId xmlns:a16="http://schemas.microsoft.com/office/drawing/2014/main" id="{25B37AAF-69AA-4F8E-87AD-AD22EB31610D}"/>
            </a:ext>
          </a:extLst>
        </xdr:cNvPr>
        <xdr:cNvSpPr/>
      </xdr:nvSpPr>
      <xdr:spPr>
        <a:xfrm>
          <a:off x="10156825" y="2374900"/>
          <a:ext cx="1816100" cy="625475"/>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Insert 0 or 1 here:</a:t>
          </a:r>
        </a:p>
        <a:p>
          <a:pPr algn="l"/>
          <a:endParaRPr lang="en-US" sz="1100"/>
        </a:p>
      </xdr:txBody>
    </xdr:sp>
    <xdr:clientData/>
  </xdr:twoCellAnchor>
  <xdr:twoCellAnchor>
    <xdr:from>
      <xdr:col>14</xdr:col>
      <xdr:colOff>757766</xdr:colOff>
      <xdr:row>4</xdr:row>
      <xdr:rowOff>84667</xdr:rowOff>
    </xdr:from>
    <xdr:to>
      <xdr:col>16</xdr:col>
      <xdr:colOff>275167</xdr:colOff>
      <xdr:row>8</xdr:row>
      <xdr:rowOff>169334</xdr:rowOff>
    </xdr:to>
    <xdr:sp macro="" textlink="">
      <xdr:nvSpPr>
        <xdr:cNvPr id="3" name="Alternate Process 5">
          <a:extLst>
            <a:ext uri="{FF2B5EF4-FFF2-40B4-BE49-F238E27FC236}">
              <a16:creationId xmlns:a16="http://schemas.microsoft.com/office/drawing/2014/main" id="{A8608DAC-A7E5-4746-9135-0C0426031A76}"/>
            </a:ext>
          </a:extLst>
        </xdr:cNvPr>
        <xdr:cNvSpPr/>
      </xdr:nvSpPr>
      <xdr:spPr>
        <a:xfrm>
          <a:off x="17016941" y="1008592"/>
          <a:ext cx="1870076" cy="884767"/>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Insert</a:t>
          </a:r>
          <a:r>
            <a:rPr lang="en-US" sz="1400" baseline="0"/>
            <a:t>  Discount Rate Reduction </a:t>
          </a:r>
        </a:p>
        <a:p>
          <a:pPr algn="ctr"/>
          <a:r>
            <a:rPr lang="en-US" sz="1400" baseline="0"/>
            <a:t>Here.</a:t>
          </a:r>
          <a:endParaRPr lang="en-US" sz="1400"/>
        </a:p>
        <a:p>
          <a:pPr algn="l"/>
          <a:endParaRPr lang="en-US" sz="1100"/>
        </a:p>
      </xdr:txBody>
    </xdr:sp>
    <xdr:clientData/>
  </xdr:twoCellAnchor>
  <xdr:twoCellAnchor>
    <xdr:from>
      <xdr:col>14</xdr:col>
      <xdr:colOff>203200</xdr:colOff>
      <xdr:row>5</xdr:row>
      <xdr:rowOff>177800</xdr:rowOff>
    </xdr:from>
    <xdr:to>
      <xdr:col>14</xdr:col>
      <xdr:colOff>711200</xdr:colOff>
      <xdr:row>7</xdr:row>
      <xdr:rowOff>50800</xdr:rowOff>
    </xdr:to>
    <xdr:sp macro="" textlink="">
      <xdr:nvSpPr>
        <xdr:cNvPr id="4" name="Left Arrow 6">
          <a:extLst>
            <a:ext uri="{FF2B5EF4-FFF2-40B4-BE49-F238E27FC236}">
              <a16:creationId xmlns:a16="http://schemas.microsoft.com/office/drawing/2014/main" id="{6E061E58-BF4A-4224-B294-E34DF8BDEB2C}"/>
            </a:ext>
          </a:extLst>
        </xdr:cNvPr>
        <xdr:cNvSpPr/>
      </xdr:nvSpPr>
      <xdr:spPr>
        <a:xfrm>
          <a:off x="16462375" y="1301750"/>
          <a:ext cx="50800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444500</xdr:colOff>
      <xdr:row>14</xdr:row>
      <xdr:rowOff>127000</xdr:rowOff>
    </xdr:from>
    <xdr:to>
      <xdr:col>10</xdr:col>
      <xdr:colOff>787400</xdr:colOff>
      <xdr:row>16</xdr:row>
      <xdr:rowOff>127000</xdr:rowOff>
    </xdr:to>
    <xdr:sp macro="" textlink="">
      <xdr:nvSpPr>
        <xdr:cNvPr id="5" name="Down Arrow 7">
          <a:extLst>
            <a:ext uri="{FF2B5EF4-FFF2-40B4-BE49-F238E27FC236}">
              <a16:creationId xmlns:a16="http://schemas.microsoft.com/office/drawing/2014/main" id="{C842EE8A-36A8-4BBF-B501-2DE92A952EC0}"/>
            </a:ext>
          </a:extLst>
        </xdr:cNvPr>
        <xdr:cNvSpPr/>
      </xdr:nvSpPr>
      <xdr:spPr>
        <a:xfrm>
          <a:off x="10836275" y="3051175"/>
          <a:ext cx="342900" cy="4095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0</xdr:colOff>
      <xdr:row>87</xdr:row>
      <xdr:rowOff>0</xdr:rowOff>
    </xdr:from>
    <xdr:to>
      <xdr:col>6</xdr:col>
      <xdr:colOff>168901</xdr:colOff>
      <xdr:row>112</xdr:row>
      <xdr:rowOff>184150</xdr:rowOff>
    </xdr:to>
    <xdr:pic>
      <xdr:nvPicPr>
        <xdr:cNvPr id="6" name="Picture 5">
          <a:extLst>
            <a:ext uri="{FF2B5EF4-FFF2-40B4-BE49-F238E27FC236}">
              <a16:creationId xmlns:a16="http://schemas.microsoft.com/office/drawing/2014/main" id="{7848B5CC-694B-46B3-9D2E-D15315F38B46}"/>
            </a:ext>
          </a:extLst>
        </xdr:cNvPr>
        <xdr:cNvPicPr>
          <a:picLocks noChangeAspect="1"/>
        </xdr:cNvPicPr>
      </xdr:nvPicPr>
      <xdr:blipFill>
        <a:blip xmlns:r="http://schemas.openxmlformats.org/officeDocument/2006/relationships" r:embed="rId1"/>
        <a:stretch>
          <a:fillRect/>
        </a:stretch>
      </xdr:blipFill>
      <xdr:spPr>
        <a:xfrm>
          <a:off x="1981200" y="17278350"/>
          <a:ext cx="5255251" cy="4946650"/>
        </a:xfrm>
        <a:prstGeom prst="rect">
          <a:avLst/>
        </a:prstGeom>
      </xdr:spPr>
    </xdr:pic>
    <xdr:clientData/>
  </xdr:twoCellAnchor>
  <xdr:twoCellAnchor editAs="oneCell">
    <xdr:from>
      <xdr:col>8</xdr:col>
      <xdr:colOff>676275</xdr:colOff>
      <xdr:row>86</xdr:row>
      <xdr:rowOff>133350</xdr:rowOff>
    </xdr:from>
    <xdr:to>
      <xdr:col>13</xdr:col>
      <xdr:colOff>210785</xdr:colOff>
      <xdr:row>113</xdr:row>
      <xdr:rowOff>141519</xdr:rowOff>
    </xdr:to>
    <xdr:pic>
      <xdr:nvPicPr>
        <xdr:cNvPr id="7" name="Picture 6">
          <a:extLst>
            <a:ext uri="{FF2B5EF4-FFF2-40B4-BE49-F238E27FC236}">
              <a16:creationId xmlns:a16="http://schemas.microsoft.com/office/drawing/2014/main" id="{C1A9FD39-41B5-488F-B4D8-94559576FB97}"/>
            </a:ext>
          </a:extLst>
        </xdr:cNvPr>
        <xdr:cNvPicPr>
          <a:picLocks noChangeAspect="1"/>
        </xdr:cNvPicPr>
      </xdr:nvPicPr>
      <xdr:blipFill>
        <a:blip xmlns:r="http://schemas.openxmlformats.org/officeDocument/2006/relationships" r:embed="rId2"/>
        <a:stretch>
          <a:fillRect/>
        </a:stretch>
      </xdr:blipFill>
      <xdr:spPr>
        <a:xfrm>
          <a:off x="9753600" y="17221200"/>
          <a:ext cx="5306660" cy="515166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Downloads/9nB4bJbkTi2G54z5ASnU-A_c9145d70edce4071aa5cf40d422966f1_Microsoft_Sal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n/Downloads/Gw8bY8jyQ9aFSw1sNDFFAg_ae61c641e0ad4b368e8090c93651bef1_Bluejay-Natural-Gas-Final-Solu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B2">
            <v>1</v>
          </cell>
          <cell r="C2">
            <v>150781.16666666666</v>
          </cell>
        </row>
        <row r="3">
          <cell r="B3">
            <v>2</v>
          </cell>
          <cell r="C3">
            <v>161696.25</v>
          </cell>
        </row>
        <row r="4">
          <cell r="B4">
            <v>3</v>
          </cell>
          <cell r="C4">
            <v>175688.83333333334</v>
          </cell>
        </row>
        <row r="5">
          <cell r="B5">
            <v>4</v>
          </cell>
          <cell r="C5">
            <v>185437.25</v>
          </cell>
        </row>
        <row r="6">
          <cell r="B6">
            <v>5</v>
          </cell>
          <cell r="C6">
            <v>196728.16666666666</v>
          </cell>
        </row>
        <row r="7">
          <cell r="B7">
            <v>6</v>
          </cell>
          <cell r="C7">
            <v>206334.08333333334</v>
          </cell>
        </row>
        <row r="8">
          <cell r="B8">
            <v>7</v>
          </cell>
          <cell r="C8">
            <v>215657.66666666666</v>
          </cell>
        </row>
        <row r="9">
          <cell r="B9">
            <v>8</v>
          </cell>
          <cell r="C9">
            <v>233872</v>
          </cell>
        </row>
        <row r="10">
          <cell r="B10">
            <v>9</v>
          </cell>
          <cell r="C10">
            <v>248748.25</v>
          </cell>
        </row>
        <row r="11">
          <cell r="B11">
            <v>10</v>
          </cell>
          <cell r="C11">
            <v>255663.75</v>
          </cell>
        </row>
        <row r="12">
          <cell r="B12">
            <v>11</v>
          </cell>
          <cell r="C12">
            <v>261272.41666666666</v>
          </cell>
        </row>
        <row r="13">
          <cell r="B13">
            <v>12</v>
          </cell>
          <cell r="C13">
            <v>272232.5</v>
          </cell>
        </row>
        <row r="14">
          <cell r="B14">
            <v>13</v>
          </cell>
          <cell r="C14">
            <v>288987.5</v>
          </cell>
        </row>
        <row r="15">
          <cell r="B15">
            <v>14</v>
          </cell>
          <cell r="C15">
            <v>307826.08333333331</v>
          </cell>
        </row>
        <row r="16">
          <cell r="B16">
            <v>15</v>
          </cell>
          <cell r="C16">
            <v>323823.08333333331</v>
          </cell>
        </row>
        <row r="17">
          <cell r="B17">
            <v>16</v>
          </cell>
          <cell r="C17">
            <v>334008</v>
          </cell>
        </row>
        <row r="18">
          <cell r="B18">
            <v>17</v>
          </cell>
          <cell r="C18">
            <v>328780.33333333331</v>
          </cell>
        </row>
        <row r="19">
          <cell r="B19">
            <v>18</v>
          </cell>
          <cell r="C19">
            <v>303288.91666666669</v>
          </cell>
        </row>
        <row r="20">
          <cell r="B20">
            <v>19</v>
          </cell>
          <cell r="C20">
            <v>323964.16666666669</v>
          </cell>
        </row>
        <row r="21">
          <cell r="B21">
            <v>20</v>
          </cell>
          <cell r="C21">
            <v>349717.75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Model"/>
      <sheetName val="Solution Solver Summary"/>
      <sheetName val="Approved Line Charts"/>
    </sheetNames>
    <sheetDataSet>
      <sheetData sheetId="0">
        <row r="19">
          <cell r="K19">
            <v>0</v>
          </cell>
        </row>
        <row r="20">
          <cell r="K20">
            <v>1</v>
          </cell>
        </row>
        <row r="21">
          <cell r="K21">
            <v>0</v>
          </cell>
        </row>
        <row r="22">
          <cell r="K22">
            <v>1</v>
          </cell>
        </row>
        <row r="23">
          <cell r="K23">
            <v>1</v>
          </cell>
        </row>
        <row r="26">
          <cell r="K26">
            <v>1</v>
          </cell>
        </row>
        <row r="27">
          <cell r="K27">
            <v>1</v>
          </cell>
        </row>
        <row r="28">
          <cell r="K28">
            <v>1</v>
          </cell>
        </row>
        <row r="29">
          <cell r="K29">
            <v>1</v>
          </cell>
        </row>
        <row r="32">
          <cell r="K32">
            <v>0</v>
          </cell>
        </row>
        <row r="33">
          <cell r="K33">
            <v>1</v>
          </cell>
        </row>
        <row r="34">
          <cell r="K34">
            <v>0</v>
          </cell>
        </row>
      </sheetData>
      <sheetData sheetId="1" refreshError="1"/>
      <sheetData sheetId="2"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14T14:19:05.837"/>
    </inkml:context>
    <inkml:brush xml:id="br0">
      <inkml:brushProperty name="width" value="0.05" units="cm"/>
      <inkml:brushProperty name="height" value="0.05" units="cm"/>
      <inkml:brushProperty name="ignorePressure" value="1"/>
    </inkml:brush>
  </inkml:definitions>
  <inkml:trace contextRef="#ctx0" brushRef="#br0">1 10,'0'-4,"0"-2</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V25"/>
  <sheetViews>
    <sheetView workbookViewId="0">
      <selection activeCell="E28" sqref="E28"/>
    </sheetView>
  </sheetViews>
  <sheetFormatPr defaultRowHeight="15"/>
  <cols>
    <col min="3" max="3" width="12.42578125" customWidth="1"/>
    <col min="11" max="11" width="10.5703125" customWidth="1"/>
    <col min="12" max="12" width="32.85546875" style="1" customWidth="1"/>
    <col min="13" max="13" width="13.7109375" style="1" bestFit="1" customWidth="1"/>
    <col min="14" max="14" width="18.140625" style="1" bestFit="1" customWidth="1"/>
    <col min="15" max="15" width="14" style="1" customWidth="1"/>
    <col min="16" max="16" width="12.85546875" style="1" customWidth="1"/>
    <col min="17" max="17" width="11.28515625" style="1" customWidth="1"/>
    <col min="18" max="18" width="11.85546875" style="1" bestFit="1" customWidth="1"/>
    <col min="19" max="19" width="10.140625" style="1" bestFit="1" customWidth="1"/>
    <col min="20" max="20" width="9.140625" style="1"/>
    <col min="21" max="21" width="9.85546875" bestFit="1" customWidth="1"/>
    <col min="22" max="22" width="8" bestFit="1" customWidth="1"/>
  </cols>
  <sheetData>
    <row r="2" spans="1:22">
      <c r="A2" s="380" t="s">
        <v>0</v>
      </c>
      <c r="B2" s="381"/>
      <c r="C2" s="381"/>
      <c r="D2" s="381"/>
      <c r="E2" s="381"/>
      <c r="F2" s="381"/>
      <c r="G2" s="381"/>
      <c r="H2" s="381"/>
      <c r="I2" s="381"/>
      <c r="J2" s="382"/>
    </row>
    <row r="3" spans="1:22">
      <c r="A3" s="383"/>
      <c r="B3" s="384"/>
      <c r="C3" s="384"/>
      <c r="D3" s="384"/>
      <c r="E3" s="384"/>
      <c r="F3" s="384"/>
      <c r="G3" s="384"/>
      <c r="H3" s="384"/>
      <c r="I3" s="384"/>
      <c r="J3" s="385"/>
    </row>
    <row r="4" spans="1:22">
      <c r="A4" s="383"/>
      <c r="B4" s="384"/>
      <c r="C4" s="384"/>
      <c r="D4" s="384"/>
      <c r="E4" s="384"/>
      <c r="F4" s="384"/>
      <c r="G4" s="384"/>
      <c r="H4" s="384"/>
      <c r="I4" s="384"/>
      <c r="J4" s="385"/>
      <c r="L4" s="29" t="s">
        <v>5</v>
      </c>
      <c r="M4" s="30">
        <v>750</v>
      </c>
      <c r="N4" s="31"/>
    </row>
    <row r="5" spans="1:22">
      <c r="A5" s="383"/>
      <c r="B5" s="384"/>
      <c r="C5" s="384"/>
      <c r="D5" s="384"/>
      <c r="E5" s="384"/>
      <c r="F5" s="384"/>
      <c r="G5" s="384"/>
      <c r="H5" s="384"/>
      <c r="I5" s="384"/>
      <c r="J5" s="385"/>
      <c r="L5" s="32" t="s">
        <v>6</v>
      </c>
      <c r="M5" s="30">
        <v>8</v>
      </c>
      <c r="N5" s="33"/>
      <c r="O5" s="3"/>
      <c r="P5" s="5"/>
      <c r="Q5"/>
      <c r="R5" s="3"/>
      <c r="S5" s="2"/>
      <c r="T5" s="2"/>
      <c r="U5" s="4"/>
      <c r="V5" s="4"/>
    </row>
    <row r="6" spans="1:22">
      <c r="A6" s="383"/>
      <c r="B6" s="384"/>
      <c r="C6" s="384"/>
      <c r="D6" s="384"/>
      <c r="E6" s="384"/>
      <c r="F6" s="384"/>
      <c r="G6" s="384"/>
      <c r="H6" s="384"/>
      <c r="I6" s="384"/>
      <c r="J6" s="385"/>
      <c r="L6" s="34"/>
      <c r="M6" s="35"/>
      <c r="N6" s="35"/>
      <c r="O6" s="2"/>
      <c r="P6" s="5"/>
      <c r="Q6" s="3"/>
      <c r="R6" s="3"/>
      <c r="S6" s="2"/>
      <c r="T6" s="2"/>
      <c r="U6" s="4"/>
      <c r="V6" s="4"/>
    </row>
    <row r="7" spans="1:22">
      <c r="A7" s="383"/>
      <c r="B7" s="384"/>
      <c r="C7" s="384"/>
      <c r="D7" s="384"/>
      <c r="E7" s="384"/>
      <c r="F7" s="384"/>
      <c r="G7" s="384"/>
      <c r="H7" s="384"/>
      <c r="I7" s="384"/>
      <c r="J7" s="385"/>
      <c r="L7" s="34"/>
      <c r="M7" s="33"/>
      <c r="N7" s="35"/>
      <c r="O7" s="2"/>
      <c r="P7" s="5"/>
      <c r="Q7" s="2"/>
      <c r="R7" s="2"/>
      <c r="S7" s="2"/>
      <c r="T7" s="2"/>
      <c r="U7" s="4"/>
      <c r="V7" s="4"/>
    </row>
    <row r="8" spans="1:22">
      <c r="A8" s="383"/>
      <c r="B8" s="384"/>
      <c r="C8" s="384"/>
      <c r="D8" s="384"/>
      <c r="E8" s="384"/>
      <c r="F8" s="384"/>
      <c r="G8" s="384"/>
      <c r="H8" s="384"/>
      <c r="I8" s="384"/>
      <c r="J8" s="385"/>
      <c r="L8" s="32" t="s">
        <v>4</v>
      </c>
      <c r="M8" s="36">
        <v>18</v>
      </c>
      <c r="N8" s="35"/>
      <c r="O8" s="2"/>
      <c r="P8" s="2"/>
      <c r="Q8" s="2"/>
      <c r="R8" s="2"/>
      <c r="S8" s="2"/>
      <c r="T8" s="2"/>
      <c r="U8" s="4"/>
      <c r="V8" s="4"/>
    </row>
    <row r="9" spans="1:22">
      <c r="A9" s="383"/>
      <c r="B9" s="384"/>
      <c r="C9" s="384"/>
      <c r="D9" s="384"/>
      <c r="E9" s="384"/>
      <c r="F9" s="384"/>
      <c r="G9" s="384"/>
      <c r="H9" s="384"/>
      <c r="I9" s="384"/>
      <c r="J9" s="385"/>
      <c r="L9" s="32" t="s">
        <v>11</v>
      </c>
      <c r="M9" s="36">
        <v>6</v>
      </c>
      <c r="N9" s="35"/>
      <c r="O9" s="2"/>
      <c r="P9" s="2"/>
      <c r="Q9" s="2"/>
      <c r="R9" s="2"/>
      <c r="S9" s="2"/>
      <c r="T9" s="2"/>
      <c r="U9" s="4"/>
      <c r="V9" s="4"/>
    </row>
    <row r="10" spans="1:22">
      <c r="A10" s="383"/>
      <c r="B10" s="384"/>
      <c r="C10" s="384"/>
      <c r="D10" s="384"/>
      <c r="E10" s="384"/>
      <c r="F10" s="384"/>
      <c r="G10" s="384"/>
      <c r="H10" s="384"/>
      <c r="I10" s="384"/>
      <c r="J10" s="385"/>
      <c r="L10" s="34"/>
      <c r="M10" s="37"/>
      <c r="N10" s="35"/>
      <c r="O10" s="2"/>
      <c r="P10" s="2"/>
      <c r="Q10" s="2"/>
      <c r="R10" s="2"/>
      <c r="S10" s="2"/>
      <c r="T10" s="2"/>
      <c r="U10" s="4"/>
      <c r="V10" s="4"/>
    </row>
    <row r="11" spans="1:22">
      <c r="A11" s="383"/>
      <c r="B11" s="384"/>
      <c r="C11" s="384"/>
      <c r="D11" s="384"/>
      <c r="E11" s="384"/>
      <c r="F11" s="384"/>
      <c r="G11" s="384"/>
      <c r="H11" s="384"/>
      <c r="I11" s="384"/>
      <c r="J11" s="385"/>
      <c r="L11" s="34"/>
      <c r="M11" s="38"/>
      <c r="N11" s="35"/>
      <c r="O11" s="2"/>
      <c r="P11" s="2"/>
      <c r="Q11" s="2"/>
      <c r="R11" s="2"/>
      <c r="S11" s="2"/>
      <c r="T11" s="2"/>
      <c r="U11" s="4"/>
      <c r="V11" s="4"/>
    </row>
    <row r="12" spans="1:22">
      <c r="A12" s="383"/>
      <c r="B12" s="384"/>
      <c r="C12" s="384"/>
      <c r="D12" s="384"/>
      <c r="E12" s="384"/>
      <c r="F12" s="384"/>
      <c r="G12" s="384"/>
      <c r="H12" s="384"/>
      <c r="I12" s="384"/>
      <c r="J12" s="385"/>
      <c r="L12" s="29" t="s">
        <v>7</v>
      </c>
      <c r="M12" s="39">
        <v>1450</v>
      </c>
      <c r="N12" s="31"/>
    </row>
    <row r="13" spans="1:22">
      <c r="A13" s="383"/>
      <c r="B13" s="384"/>
      <c r="C13" s="384"/>
      <c r="D13" s="384"/>
      <c r="E13" s="384"/>
      <c r="F13" s="384"/>
      <c r="G13" s="384"/>
      <c r="H13" s="384"/>
      <c r="I13" s="384"/>
      <c r="J13" s="385"/>
      <c r="L13" s="29" t="s">
        <v>8</v>
      </c>
      <c r="M13" s="40">
        <v>1500</v>
      </c>
      <c r="N13" s="31"/>
    </row>
    <row r="14" spans="1:22">
      <c r="A14" s="383"/>
      <c r="B14" s="384"/>
      <c r="C14" s="384"/>
      <c r="D14" s="384"/>
      <c r="E14" s="384"/>
      <c r="F14" s="384"/>
      <c r="G14" s="384"/>
      <c r="H14" s="384"/>
      <c r="I14" s="384"/>
      <c r="J14" s="385"/>
      <c r="L14" s="41"/>
      <c r="M14" s="42"/>
      <c r="N14" s="31"/>
    </row>
    <row r="15" spans="1:22">
      <c r="A15" s="383"/>
      <c r="B15" s="384"/>
      <c r="C15" s="384"/>
      <c r="D15" s="384"/>
      <c r="E15" s="384"/>
      <c r="F15" s="384"/>
      <c r="G15" s="384"/>
      <c r="H15" s="384"/>
      <c r="I15" s="384"/>
      <c r="J15" s="385"/>
      <c r="L15" s="29" t="s">
        <v>9</v>
      </c>
      <c r="M15" s="43">
        <f>MIN(M12:M13)</f>
        <v>1450</v>
      </c>
      <c r="N15" s="31" t="str">
        <f ca="1">_xlfn.FORMULATEXT(M15)</f>
        <v>=MIN(M12:M13)</v>
      </c>
    </row>
    <row r="16" spans="1:22">
      <c r="A16" s="383"/>
      <c r="B16" s="384"/>
      <c r="C16" s="384"/>
      <c r="D16" s="384"/>
      <c r="E16" s="384"/>
      <c r="F16" s="384"/>
      <c r="G16" s="384"/>
      <c r="H16" s="384"/>
      <c r="I16" s="384"/>
      <c r="J16" s="385"/>
      <c r="L16" s="29" t="s">
        <v>10</v>
      </c>
      <c r="M16" s="39">
        <f>MAX(M12-M13,0)</f>
        <v>0</v>
      </c>
      <c r="N16" s="31" t="str">
        <f ca="1">_xlfn.FORMULATEXT(M16)</f>
        <v>=MAX(M12-M13;0)</v>
      </c>
      <c r="S16" s="8"/>
    </row>
    <row r="17" spans="1:14">
      <c r="A17" s="386"/>
      <c r="B17" s="387"/>
      <c r="C17" s="387"/>
      <c r="D17" s="387"/>
      <c r="E17" s="387"/>
      <c r="F17" s="387"/>
      <c r="G17" s="387"/>
      <c r="H17" s="387"/>
      <c r="I17" s="387"/>
      <c r="J17" s="388"/>
      <c r="L17" s="41"/>
      <c r="M17" s="39"/>
      <c r="N17" s="31"/>
    </row>
    <row r="18" spans="1:14">
      <c r="L18" s="29" t="s">
        <v>12</v>
      </c>
      <c r="M18" s="36">
        <f>M4+M5*M12</f>
        <v>12350</v>
      </c>
      <c r="N18" s="31" t="str">
        <f ca="1">_xlfn.FORMULATEXT(M18)</f>
        <v>=M4+M5*M12</v>
      </c>
    </row>
    <row r="19" spans="1:14">
      <c r="L19" s="29" t="s">
        <v>13</v>
      </c>
      <c r="M19" s="36">
        <f>M15*M8+M16*M9</f>
        <v>26100</v>
      </c>
      <c r="N19" s="31" t="str">
        <f ca="1">_xlfn.FORMULATEXT(M19)</f>
        <v>=M15*M8+M16*M9</v>
      </c>
    </row>
    <row r="20" spans="1:14">
      <c r="L20" s="44" t="s">
        <v>14</v>
      </c>
      <c r="M20" s="45">
        <f>M19-M18</f>
        <v>13750</v>
      </c>
      <c r="N20" s="31"/>
    </row>
    <row r="21" spans="1:14">
      <c r="M21" s="7"/>
    </row>
    <row r="22" spans="1:14">
      <c r="M22" s="7"/>
    </row>
    <row r="23" spans="1:14">
      <c r="M23" s="8"/>
    </row>
    <row r="25" spans="1:14">
      <c r="M25" s="6"/>
    </row>
  </sheetData>
  <mergeCells count="1">
    <mergeCell ref="A2:J17"/>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ACC8C-ED68-466E-967C-833C5B23F98C}">
  <dimension ref="A2:N12"/>
  <sheetViews>
    <sheetView workbookViewId="0">
      <selection activeCell="O16" sqref="O16"/>
    </sheetView>
  </sheetViews>
  <sheetFormatPr defaultRowHeight="15"/>
  <cols>
    <col min="1" max="1" width="37.85546875" customWidth="1"/>
    <col min="6" max="6" width="23.5703125" customWidth="1"/>
    <col min="8" max="8" width="52.42578125" customWidth="1"/>
    <col min="9" max="9" width="11.42578125" bestFit="1" customWidth="1"/>
    <col min="12" max="12" width="20.85546875" style="1" bestFit="1" customWidth="1"/>
    <col min="13" max="13" width="19.140625" style="1" customWidth="1"/>
    <col min="14" max="14" width="13.42578125" customWidth="1"/>
  </cols>
  <sheetData>
    <row r="2" spans="1:14" ht="15.75" customHeight="1">
      <c r="A2" s="389" t="s">
        <v>15</v>
      </c>
      <c r="B2" s="390"/>
      <c r="C2" s="390"/>
      <c r="D2" s="390"/>
      <c r="E2" s="390"/>
      <c r="F2" s="391"/>
      <c r="H2" s="28" t="s">
        <v>16</v>
      </c>
      <c r="I2" s="28" t="s">
        <v>17</v>
      </c>
      <c r="J2" s="28" t="s">
        <v>18</v>
      </c>
      <c r="K2" s="28" t="s">
        <v>19</v>
      </c>
      <c r="L2" s="17"/>
      <c r="M2" s="18"/>
    </row>
    <row r="3" spans="1:14" ht="15.75">
      <c r="A3" s="392"/>
      <c r="B3" s="393"/>
      <c r="C3" s="393"/>
      <c r="D3" s="393"/>
      <c r="E3" s="393"/>
      <c r="F3" s="394"/>
      <c r="H3" s="10" t="s">
        <v>20</v>
      </c>
      <c r="I3" s="11">
        <v>30</v>
      </c>
      <c r="J3" s="11">
        <v>30</v>
      </c>
      <c r="K3" s="11">
        <v>16</v>
      </c>
      <c r="L3" s="19"/>
      <c r="M3" s="19"/>
    </row>
    <row r="4" spans="1:14" ht="15.75">
      <c r="A4" s="392"/>
      <c r="B4" s="393"/>
      <c r="C4" s="393"/>
      <c r="D4" s="393"/>
      <c r="E4" s="393"/>
      <c r="F4" s="394"/>
      <c r="H4" s="10" t="s">
        <v>21</v>
      </c>
      <c r="I4" s="27">
        <v>5.5</v>
      </c>
      <c r="J4" s="27">
        <v>4.3</v>
      </c>
      <c r="K4" s="27">
        <v>18.5</v>
      </c>
      <c r="L4" s="19"/>
      <c r="M4" s="19"/>
    </row>
    <row r="5" spans="1:14" ht="15.75">
      <c r="A5" s="392"/>
      <c r="B5" s="393"/>
      <c r="C5" s="393"/>
      <c r="D5" s="393"/>
      <c r="E5" s="393"/>
      <c r="F5" s="394"/>
      <c r="H5" s="10" t="s">
        <v>22</v>
      </c>
      <c r="I5" s="12">
        <v>2.4E-2</v>
      </c>
      <c r="J5" s="12">
        <v>1.7000000000000001E-2</v>
      </c>
      <c r="K5" s="12">
        <v>1.4999999999999999E-2</v>
      </c>
      <c r="L5" s="19"/>
      <c r="M5" s="19"/>
    </row>
    <row r="6" spans="1:14" ht="15.75">
      <c r="A6" s="392"/>
      <c r="B6" s="393"/>
      <c r="C6" s="393"/>
      <c r="D6" s="393"/>
      <c r="E6" s="393"/>
      <c r="F6" s="394"/>
      <c r="H6" s="9" t="s">
        <v>23</v>
      </c>
      <c r="I6" s="12"/>
      <c r="J6" s="12"/>
      <c r="K6" s="12"/>
      <c r="L6" s="9" t="s">
        <v>24</v>
      </c>
      <c r="M6" s="16" t="s">
        <v>25</v>
      </c>
    </row>
    <row r="7" spans="1:14" ht="15.75">
      <c r="A7" s="392"/>
      <c r="B7" s="393"/>
      <c r="C7" s="393"/>
      <c r="D7" s="393"/>
      <c r="E7" s="393"/>
      <c r="F7" s="394"/>
      <c r="H7" s="10">
        <v>0</v>
      </c>
      <c r="I7" s="14">
        <f>I3*I4</f>
        <v>165</v>
      </c>
      <c r="J7" s="14">
        <f>J3*J4</f>
        <v>129</v>
      </c>
      <c r="K7" s="14">
        <f>K3*K4</f>
        <v>296</v>
      </c>
      <c r="L7" s="15">
        <f>I7+K7</f>
        <v>461</v>
      </c>
      <c r="M7" s="15">
        <f>J7+K7</f>
        <v>425</v>
      </c>
    </row>
    <row r="8" spans="1:14" ht="15.75">
      <c r="A8" s="392"/>
      <c r="B8" s="393"/>
      <c r="C8" s="393"/>
      <c r="D8" s="393"/>
      <c r="E8" s="393"/>
      <c r="F8" s="394"/>
      <c r="H8" s="10">
        <v>1</v>
      </c>
      <c r="I8" s="15">
        <f>I7*(1+$I$5)</f>
        <v>168.96</v>
      </c>
      <c r="J8" s="15">
        <f>J7*(1+$J$5)</f>
        <v>131.19299999999998</v>
      </c>
      <c r="K8" s="15">
        <f>K7*(1+$K$5)</f>
        <v>300.44</v>
      </c>
      <c r="L8" s="15">
        <f t="shared" ref="L8:L12" si="0">I8+K8</f>
        <v>469.4</v>
      </c>
      <c r="M8" s="15">
        <f t="shared" ref="M8:M12" si="1">J8+K8</f>
        <v>431.63299999999998</v>
      </c>
      <c r="N8" t="str">
        <f ca="1">_xlfn.FORMULATEXT(I8)</f>
        <v>=I7*(1+$I$5)</v>
      </c>
    </row>
    <row r="9" spans="1:14" ht="15.75">
      <c r="A9" s="392"/>
      <c r="B9" s="393"/>
      <c r="C9" s="393"/>
      <c r="D9" s="393"/>
      <c r="E9" s="393"/>
      <c r="F9" s="394"/>
      <c r="H9" s="10">
        <v>2</v>
      </c>
      <c r="I9" s="15">
        <f t="shared" ref="I9:I12" si="2">I8*(1+$I$5)</f>
        <v>173.01504</v>
      </c>
      <c r="J9" s="15">
        <f t="shared" ref="J9:J12" si="3">J8*(1+$J$5)</f>
        <v>133.42328099999997</v>
      </c>
      <c r="K9" s="15">
        <f t="shared" ref="K9:K12" si="4">K8*(1+$K$5)</f>
        <v>304.94659999999999</v>
      </c>
      <c r="L9" s="15">
        <f t="shared" si="0"/>
        <v>477.96163999999999</v>
      </c>
      <c r="M9" s="15">
        <f t="shared" si="1"/>
        <v>438.36988099999996</v>
      </c>
    </row>
    <row r="10" spans="1:14" ht="15.75">
      <c r="A10" s="392"/>
      <c r="B10" s="393"/>
      <c r="C10" s="393"/>
      <c r="D10" s="393"/>
      <c r="E10" s="393"/>
      <c r="F10" s="394"/>
      <c r="H10" s="13">
        <v>3</v>
      </c>
      <c r="I10" s="15">
        <f t="shared" si="2"/>
        <v>177.16740096000001</v>
      </c>
      <c r="J10" s="15">
        <f t="shared" si="3"/>
        <v>135.69147677699996</v>
      </c>
      <c r="K10" s="15">
        <f t="shared" si="4"/>
        <v>309.52079899999995</v>
      </c>
      <c r="L10" s="15">
        <f t="shared" si="0"/>
        <v>486.68819995999996</v>
      </c>
      <c r="M10" s="15">
        <f t="shared" si="1"/>
        <v>445.21227577699995</v>
      </c>
    </row>
    <row r="11" spans="1:14" ht="15.75">
      <c r="A11" s="392"/>
      <c r="B11" s="393"/>
      <c r="C11" s="393"/>
      <c r="D11" s="393"/>
      <c r="E11" s="393"/>
      <c r="F11" s="394"/>
      <c r="H11" s="10">
        <v>4</v>
      </c>
      <c r="I11" s="15">
        <f t="shared" si="2"/>
        <v>181.41941858304003</v>
      </c>
      <c r="J11" s="15">
        <f t="shared" si="3"/>
        <v>137.99823188220896</v>
      </c>
      <c r="K11" s="15">
        <f t="shared" si="4"/>
        <v>314.16361098499993</v>
      </c>
      <c r="L11" s="15">
        <f t="shared" si="0"/>
        <v>495.58302956803993</v>
      </c>
      <c r="M11" s="15">
        <f t="shared" si="1"/>
        <v>452.16184286720886</v>
      </c>
    </row>
    <row r="12" spans="1:14" ht="15.75">
      <c r="A12" s="395"/>
      <c r="B12" s="396"/>
      <c r="C12" s="396"/>
      <c r="D12" s="396"/>
      <c r="E12" s="396"/>
      <c r="F12" s="397"/>
      <c r="H12" s="13">
        <v>5</v>
      </c>
      <c r="I12" s="15">
        <f t="shared" si="2"/>
        <v>185.77348462903299</v>
      </c>
      <c r="J12" s="15">
        <f t="shared" si="3"/>
        <v>140.34420182420649</v>
      </c>
      <c r="K12" s="15">
        <f t="shared" si="4"/>
        <v>318.87606514977489</v>
      </c>
      <c r="L12" s="15">
        <f t="shared" si="0"/>
        <v>504.64954977880791</v>
      </c>
      <c r="M12" s="15">
        <f t="shared" si="1"/>
        <v>459.22026697398138</v>
      </c>
    </row>
  </sheetData>
  <mergeCells count="1">
    <mergeCell ref="A2:F12"/>
  </mergeCells>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19931-B12A-4570-87B7-F9095BCF7329}">
  <dimension ref="A2:V32"/>
  <sheetViews>
    <sheetView workbookViewId="0">
      <selection activeCell="L37" sqref="L37"/>
    </sheetView>
  </sheetViews>
  <sheetFormatPr defaultRowHeight="15"/>
  <cols>
    <col min="12" max="12" width="41.28515625" bestFit="1" customWidth="1"/>
    <col min="13" max="13" width="14.140625" customWidth="1"/>
    <col min="14" max="14" width="9.140625" customWidth="1"/>
    <col min="15" max="15" width="17.28515625" bestFit="1" customWidth="1"/>
    <col min="16" max="16" width="12.28515625" style="1" customWidth="1"/>
    <col min="18" max="19" width="14.5703125" style="1" customWidth="1"/>
    <col min="21" max="21" width="16.5703125" customWidth="1"/>
  </cols>
  <sheetData>
    <row r="2" spans="1:22">
      <c r="A2" s="389" t="s">
        <v>33</v>
      </c>
      <c r="B2" s="400"/>
      <c r="C2" s="400"/>
      <c r="D2" s="400"/>
      <c r="E2" s="400"/>
      <c r="F2" s="400"/>
      <c r="G2" s="400"/>
      <c r="H2" s="400"/>
      <c r="I2" s="400"/>
      <c r="J2" s="401"/>
    </row>
    <row r="3" spans="1:22">
      <c r="A3" s="402"/>
      <c r="B3" s="403"/>
      <c r="C3" s="403"/>
      <c r="D3" s="403"/>
      <c r="E3" s="403"/>
      <c r="F3" s="403"/>
      <c r="G3" s="403"/>
      <c r="H3" s="403"/>
      <c r="I3" s="403"/>
      <c r="J3" s="404"/>
    </row>
    <row r="4" spans="1:22">
      <c r="A4" s="402"/>
      <c r="B4" s="403"/>
      <c r="C4" s="403"/>
      <c r="D4" s="403"/>
      <c r="E4" s="403"/>
      <c r="F4" s="403"/>
      <c r="G4" s="403"/>
      <c r="H4" s="403"/>
      <c r="I4" s="403"/>
      <c r="J4" s="404"/>
    </row>
    <row r="5" spans="1:22">
      <c r="A5" s="402"/>
      <c r="B5" s="403"/>
      <c r="C5" s="403"/>
      <c r="D5" s="403"/>
      <c r="E5" s="403"/>
      <c r="F5" s="403"/>
      <c r="G5" s="403"/>
      <c r="H5" s="403"/>
      <c r="I5" s="403"/>
      <c r="J5" s="404"/>
    </row>
    <row r="6" spans="1:22">
      <c r="A6" s="402"/>
      <c r="B6" s="403"/>
      <c r="C6" s="403"/>
      <c r="D6" s="403"/>
      <c r="E6" s="403"/>
      <c r="F6" s="403"/>
      <c r="G6" s="403"/>
      <c r="H6" s="403"/>
      <c r="I6" s="403"/>
      <c r="J6" s="404"/>
      <c r="L6" s="408" t="s">
        <v>2</v>
      </c>
      <c r="M6" s="408"/>
    </row>
    <row r="7" spans="1:22">
      <c r="A7" s="402"/>
      <c r="B7" s="403"/>
      <c r="C7" s="403"/>
      <c r="D7" s="403"/>
      <c r="E7" s="403"/>
      <c r="F7" s="403"/>
      <c r="G7" s="403"/>
      <c r="H7" s="403"/>
      <c r="I7" s="403"/>
      <c r="J7" s="404"/>
      <c r="L7" s="46" t="s">
        <v>63</v>
      </c>
      <c r="M7" s="47">
        <v>20000</v>
      </c>
      <c r="O7" s="31" t="s">
        <v>3</v>
      </c>
      <c r="P7" s="31" t="s">
        <v>1</v>
      </c>
    </row>
    <row r="8" spans="1:22">
      <c r="A8" s="402"/>
      <c r="B8" s="403"/>
      <c r="C8" s="403"/>
      <c r="D8" s="403"/>
      <c r="E8" s="403"/>
      <c r="F8" s="403"/>
      <c r="G8" s="403"/>
      <c r="H8" s="403"/>
      <c r="I8" s="403"/>
      <c r="J8" s="404"/>
      <c r="L8" s="46" t="s">
        <v>64</v>
      </c>
      <c r="M8" s="48">
        <v>0.15</v>
      </c>
      <c r="O8" s="31"/>
      <c r="P8" s="57">
        <f>$M$23</f>
        <v>150000</v>
      </c>
    </row>
    <row r="9" spans="1:22">
      <c r="A9" s="402"/>
      <c r="B9" s="403"/>
      <c r="C9" s="403"/>
      <c r="D9" s="403"/>
      <c r="E9" s="403"/>
      <c r="F9" s="403"/>
      <c r="G9" s="403"/>
      <c r="H9" s="403"/>
      <c r="I9" s="403"/>
      <c r="J9" s="404"/>
      <c r="L9" s="46" t="s">
        <v>65</v>
      </c>
      <c r="M9" s="48">
        <v>0.2</v>
      </c>
      <c r="O9" s="58">
        <v>0.03</v>
      </c>
      <c r="P9" s="59">
        <f t="dataTable" ref="P9:P19" dt2D="0" dtr="0" r1="M18"/>
        <v>-21600</v>
      </c>
      <c r="Q9" s="20"/>
      <c r="T9" s="23"/>
      <c r="U9" s="23"/>
    </row>
    <row r="10" spans="1:22">
      <c r="A10" s="402"/>
      <c r="B10" s="403"/>
      <c r="C10" s="403"/>
      <c r="D10" s="403"/>
      <c r="E10" s="403"/>
      <c r="F10" s="403"/>
      <c r="G10" s="403"/>
      <c r="H10" s="403"/>
      <c r="I10" s="403"/>
      <c r="J10" s="404"/>
      <c r="L10" s="46" t="s">
        <v>66</v>
      </c>
      <c r="M10" s="48">
        <v>0.1</v>
      </c>
      <c r="O10" s="58">
        <v>3.5000000000000003E-2</v>
      </c>
      <c r="P10" s="60">
        <v>-17700</v>
      </c>
      <c r="Q10" s="21"/>
      <c r="T10" s="21"/>
      <c r="U10" s="21"/>
    </row>
    <row r="11" spans="1:22">
      <c r="A11" s="402"/>
      <c r="B11" s="403"/>
      <c r="C11" s="403"/>
      <c r="D11" s="403"/>
      <c r="E11" s="403"/>
      <c r="F11" s="403"/>
      <c r="G11" s="403"/>
      <c r="H11" s="403"/>
      <c r="I11" s="403"/>
      <c r="J11" s="404"/>
      <c r="L11" s="46" t="s">
        <v>67</v>
      </c>
      <c r="M11" s="49">
        <v>100000</v>
      </c>
      <c r="O11" s="58">
        <v>0.04</v>
      </c>
      <c r="P11" s="60">
        <v>-13800</v>
      </c>
    </row>
    <row r="12" spans="1:22">
      <c r="A12" s="402"/>
      <c r="B12" s="403"/>
      <c r="C12" s="403"/>
      <c r="D12" s="403"/>
      <c r="E12" s="403"/>
      <c r="F12" s="403"/>
      <c r="G12" s="403"/>
      <c r="H12" s="403"/>
      <c r="I12" s="403"/>
      <c r="J12" s="404"/>
      <c r="L12" s="46"/>
      <c r="M12" s="46"/>
      <c r="O12" s="58">
        <v>4.4999999999999998E-2</v>
      </c>
      <c r="P12" s="60">
        <v>-9900</v>
      </c>
      <c r="Q12" s="23"/>
      <c r="T12" s="23"/>
      <c r="U12" s="23"/>
      <c r="V12" s="23"/>
    </row>
    <row r="13" spans="1:22">
      <c r="A13" s="402"/>
      <c r="B13" s="403"/>
      <c r="C13" s="403"/>
      <c r="D13" s="403"/>
      <c r="E13" s="403"/>
      <c r="F13" s="403"/>
      <c r="G13" s="403"/>
      <c r="H13" s="403"/>
      <c r="I13" s="403"/>
      <c r="J13" s="404"/>
      <c r="L13" s="50" t="s">
        <v>68</v>
      </c>
      <c r="M13" s="48">
        <f>M7+M8*M11+M10*M11</f>
        <v>45000</v>
      </c>
      <c r="O13" s="58">
        <v>0.05</v>
      </c>
      <c r="P13" s="61">
        <v>-6000</v>
      </c>
      <c r="Q13" s="24"/>
      <c r="T13" s="24"/>
      <c r="U13" s="24"/>
      <c r="V13" s="24"/>
    </row>
    <row r="14" spans="1:22">
      <c r="A14" s="402"/>
      <c r="B14" s="403"/>
      <c r="C14" s="403"/>
      <c r="D14" s="403"/>
      <c r="E14" s="403"/>
      <c r="F14" s="403"/>
      <c r="G14" s="403"/>
      <c r="H14" s="403"/>
      <c r="I14" s="403"/>
      <c r="J14" s="404"/>
      <c r="L14" s="46"/>
      <c r="M14" s="46"/>
      <c r="O14" s="58">
        <v>5.5E-2</v>
      </c>
      <c r="P14" s="60">
        <v>-2100</v>
      </c>
    </row>
    <row r="15" spans="1:22">
      <c r="A15" s="402"/>
      <c r="B15" s="403"/>
      <c r="C15" s="403"/>
      <c r="D15" s="403"/>
      <c r="E15" s="403"/>
      <c r="F15" s="403"/>
      <c r="G15" s="403"/>
      <c r="H15" s="403"/>
      <c r="I15" s="403"/>
      <c r="J15" s="404"/>
      <c r="L15" s="51" t="s">
        <v>69</v>
      </c>
      <c r="M15" s="48">
        <v>40</v>
      </c>
      <c r="O15" s="58">
        <v>0.06</v>
      </c>
      <c r="P15" s="62">
        <v>1800</v>
      </c>
      <c r="Q15" s="25"/>
      <c r="T15" s="25"/>
      <c r="U15" s="25"/>
      <c r="V15" s="25"/>
    </row>
    <row r="16" spans="1:22">
      <c r="A16" s="402"/>
      <c r="B16" s="403"/>
      <c r="C16" s="403"/>
      <c r="D16" s="403"/>
      <c r="E16" s="403"/>
      <c r="F16" s="403"/>
      <c r="G16" s="403"/>
      <c r="H16" s="403"/>
      <c r="I16" s="403"/>
      <c r="J16" s="404"/>
      <c r="L16" s="98" t="s">
        <v>70</v>
      </c>
      <c r="M16" s="52">
        <v>0.8</v>
      </c>
      <c r="O16" s="58">
        <v>6.5000000000000002E-2</v>
      </c>
      <c r="P16" s="62">
        <v>5700</v>
      </c>
      <c r="Q16" s="25"/>
      <c r="T16" s="25"/>
      <c r="U16" s="25"/>
      <c r="V16" s="25"/>
    </row>
    <row r="17" spans="1:22">
      <c r="A17" s="402"/>
      <c r="B17" s="403"/>
      <c r="C17" s="403"/>
      <c r="D17" s="403"/>
      <c r="E17" s="403"/>
      <c r="F17" s="403"/>
      <c r="G17" s="403"/>
      <c r="H17" s="403"/>
      <c r="I17" s="403"/>
      <c r="J17" s="404"/>
      <c r="L17" s="46"/>
      <c r="M17" s="46"/>
      <c r="O17" s="58">
        <v>7.0000000000000007E-2</v>
      </c>
      <c r="P17" s="60">
        <v>9600</v>
      </c>
      <c r="Q17" s="21"/>
      <c r="T17" s="21"/>
      <c r="U17" s="21"/>
      <c r="V17" s="21"/>
    </row>
    <row r="18" spans="1:22">
      <c r="A18" s="402"/>
      <c r="B18" s="403"/>
      <c r="C18" s="403"/>
      <c r="D18" s="403"/>
      <c r="E18" s="403"/>
      <c r="F18" s="403"/>
      <c r="G18" s="403"/>
      <c r="H18" s="403"/>
      <c r="I18" s="403"/>
      <c r="J18" s="404"/>
      <c r="L18" s="46" t="s">
        <v>71</v>
      </c>
      <c r="M18" s="53">
        <v>0.25</v>
      </c>
      <c r="O18" s="58">
        <v>7.4999999999999997E-2</v>
      </c>
      <c r="P18" s="60">
        <v>13500</v>
      </c>
      <c r="Q18" s="23"/>
      <c r="T18" s="23"/>
      <c r="U18" s="23"/>
      <c r="V18" s="23"/>
    </row>
    <row r="19" spans="1:22">
      <c r="A19" s="402"/>
      <c r="B19" s="403"/>
      <c r="C19" s="403"/>
      <c r="D19" s="403"/>
      <c r="E19" s="403"/>
      <c r="F19" s="403"/>
      <c r="G19" s="403"/>
      <c r="H19" s="403"/>
      <c r="I19" s="403"/>
      <c r="J19" s="404"/>
      <c r="L19" s="46" t="s">
        <v>72</v>
      </c>
      <c r="M19" s="54">
        <f>M11*M18</f>
        <v>25000</v>
      </c>
      <c r="O19" s="58">
        <v>0.08</v>
      </c>
      <c r="P19" s="62">
        <v>17400</v>
      </c>
      <c r="Q19" s="26"/>
      <c r="T19" s="26"/>
      <c r="U19" s="26"/>
      <c r="V19" s="26"/>
    </row>
    <row r="20" spans="1:22">
      <c r="A20" s="405"/>
      <c r="B20" s="406"/>
      <c r="C20" s="406"/>
      <c r="D20" s="406"/>
      <c r="E20" s="406"/>
      <c r="F20" s="406"/>
      <c r="G20" s="406"/>
      <c r="H20" s="406"/>
      <c r="I20" s="406"/>
      <c r="J20" s="407"/>
      <c r="L20" s="46" t="s">
        <v>73</v>
      </c>
      <c r="M20" s="48">
        <f>M19*M15</f>
        <v>1000000</v>
      </c>
      <c r="Q20" s="26"/>
      <c r="R20" s="22"/>
      <c r="S20" s="22"/>
      <c r="T20" s="26"/>
      <c r="U20" s="26"/>
      <c r="V20" s="26"/>
    </row>
    <row r="21" spans="1:22">
      <c r="L21" s="46" t="s">
        <v>74</v>
      </c>
      <c r="M21" s="48">
        <f>M20*M16+M9*M19</f>
        <v>805000</v>
      </c>
      <c r="S21" s="5"/>
    </row>
    <row r="22" spans="1:22">
      <c r="L22" s="46" t="s">
        <v>75</v>
      </c>
      <c r="M22" s="48">
        <f>M21+M13</f>
        <v>850000</v>
      </c>
      <c r="S22" s="3"/>
    </row>
    <row r="23" spans="1:22">
      <c r="L23" s="55" t="s">
        <v>14</v>
      </c>
      <c r="M23" s="56">
        <f>M20-M22</f>
        <v>150000</v>
      </c>
      <c r="O23" s="398" t="s">
        <v>26</v>
      </c>
      <c r="P23" s="398"/>
      <c r="Q23" s="398"/>
      <c r="R23" s="399">
        <v>5.7692307692307702E-2</v>
      </c>
      <c r="S23" s="399"/>
    </row>
    <row r="24" spans="1:22">
      <c r="O24" s="398"/>
      <c r="P24" s="398"/>
      <c r="Q24" s="398"/>
      <c r="R24" s="399"/>
      <c r="S24" s="399"/>
    </row>
    <row r="26" spans="1:22">
      <c r="O26" s="20"/>
      <c r="S26" s="6"/>
    </row>
    <row r="29" spans="1:22">
      <c r="N29" s="21"/>
      <c r="O29" s="21"/>
      <c r="P29" s="21"/>
      <c r="Q29" s="21"/>
      <c r="T29" s="21"/>
      <c r="U29" s="21"/>
    </row>
    <row r="30" spans="1:22">
      <c r="N30" s="21"/>
      <c r="O30" s="21"/>
      <c r="P30" s="21"/>
    </row>
    <row r="31" spans="1:22">
      <c r="N31" s="21"/>
      <c r="O31" s="21"/>
      <c r="P31" s="21"/>
    </row>
    <row r="32" spans="1:22">
      <c r="N32" s="21"/>
      <c r="O32" s="21"/>
      <c r="P32" s="21"/>
    </row>
  </sheetData>
  <mergeCells count="4">
    <mergeCell ref="O23:Q24"/>
    <mergeCell ref="R23:S24"/>
    <mergeCell ref="A2:J20"/>
    <mergeCell ref="L6:M6"/>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77675-2B69-44CC-97F6-FE8015D1A855}">
  <dimension ref="A2:S33"/>
  <sheetViews>
    <sheetView topLeftCell="C1" workbookViewId="0">
      <selection activeCell="AA22" sqref="AA22"/>
    </sheetView>
  </sheetViews>
  <sheetFormatPr defaultRowHeight="15"/>
  <cols>
    <col min="2" max="2" width="20" bestFit="1" customWidth="1"/>
    <col min="4" max="4" width="11.140625" bestFit="1" customWidth="1"/>
    <col min="5" max="5" width="11.140625" customWidth="1"/>
    <col min="15" max="15" width="21.28515625" customWidth="1"/>
    <col min="16" max="16" width="11.140625" bestFit="1" customWidth="1"/>
  </cols>
  <sheetData>
    <row r="2" spans="1:19">
      <c r="A2" s="409" t="s">
        <v>27</v>
      </c>
      <c r="B2" s="410"/>
      <c r="C2" s="410"/>
      <c r="D2" s="410"/>
      <c r="E2" s="410"/>
      <c r="F2" s="410"/>
      <c r="G2" s="410"/>
      <c r="H2" s="410"/>
      <c r="I2" s="410"/>
      <c r="J2" s="410"/>
      <c r="K2" s="410"/>
      <c r="L2" s="410"/>
      <c r="M2" s="411"/>
    </row>
    <row r="3" spans="1:19">
      <c r="A3" s="412"/>
      <c r="B3" s="413"/>
      <c r="C3" s="413"/>
      <c r="D3" s="413"/>
      <c r="E3" s="413"/>
      <c r="F3" s="413"/>
      <c r="G3" s="413"/>
      <c r="H3" s="413"/>
      <c r="I3" s="413"/>
      <c r="J3" s="413"/>
      <c r="K3" s="413"/>
      <c r="L3" s="413"/>
      <c r="M3" s="414"/>
      <c r="O3" s="29" t="s">
        <v>32</v>
      </c>
      <c r="P3" s="64">
        <v>2000</v>
      </c>
      <c r="Q3" s="72"/>
      <c r="R3" s="72"/>
    </row>
    <row r="4" spans="1:19">
      <c r="A4" s="412"/>
      <c r="B4" s="413"/>
      <c r="C4" s="413"/>
      <c r="D4" s="413"/>
      <c r="E4" s="413"/>
      <c r="F4" s="413"/>
      <c r="G4" s="413"/>
      <c r="H4" s="413"/>
      <c r="I4" s="413"/>
      <c r="J4" s="413"/>
      <c r="K4" s="413"/>
      <c r="L4" s="413"/>
      <c r="M4" s="414"/>
      <c r="O4" s="29" t="s">
        <v>30</v>
      </c>
      <c r="P4" s="65">
        <v>2200</v>
      </c>
      <c r="Q4" s="72"/>
      <c r="R4" s="72"/>
    </row>
    <row r="5" spans="1:19">
      <c r="A5" s="412"/>
      <c r="B5" s="413"/>
      <c r="C5" s="413"/>
      <c r="D5" s="413"/>
      <c r="E5" s="413"/>
      <c r="F5" s="413"/>
      <c r="G5" s="413"/>
      <c r="H5" s="413"/>
      <c r="I5" s="413"/>
      <c r="J5" s="413"/>
      <c r="K5" s="413"/>
      <c r="L5" s="413"/>
      <c r="M5" s="414"/>
      <c r="O5" s="66" t="s">
        <v>36</v>
      </c>
      <c r="P5" s="67">
        <f>MIN(P3,P4)</f>
        <v>2000</v>
      </c>
      <c r="Q5" s="46" t="str">
        <f ca="1">_xlfn.FORMULATEXT(P5)</f>
        <v>=MIN(P3;P4)</v>
      </c>
      <c r="R5" s="46"/>
    </row>
    <row r="6" spans="1:19">
      <c r="A6" s="412"/>
      <c r="B6" s="413"/>
      <c r="C6" s="413"/>
      <c r="D6" s="413"/>
      <c r="E6" s="413"/>
      <c r="F6" s="413"/>
      <c r="G6" s="413"/>
      <c r="H6" s="413"/>
      <c r="I6" s="413"/>
      <c r="J6" s="413"/>
      <c r="K6" s="413"/>
      <c r="L6" s="413"/>
      <c r="M6" s="414"/>
      <c r="O6" s="68" t="s">
        <v>37</v>
      </c>
      <c r="P6" s="46">
        <f>MAX(P4-P3,0)</f>
        <v>200</v>
      </c>
      <c r="Q6" s="46" t="str">
        <f ca="1">_xlfn.FORMULATEXT(P6)</f>
        <v>=MAX(P4-P3;0)</v>
      </c>
      <c r="R6" s="46"/>
    </row>
    <row r="7" spans="1:19">
      <c r="A7" s="412"/>
      <c r="B7" s="413"/>
      <c r="C7" s="413"/>
      <c r="D7" s="413"/>
      <c r="E7" s="413"/>
      <c r="F7" s="413"/>
      <c r="G7" s="413"/>
      <c r="H7" s="413"/>
      <c r="I7" s="413"/>
      <c r="J7" s="413"/>
      <c r="K7" s="413"/>
      <c r="L7" s="413"/>
      <c r="M7" s="414"/>
    </row>
    <row r="8" spans="1:19">
      <c r="A8" s="412"/>
      <c r="B8" s="413"/>
      <c r="C8" s="413"/>
      <c r="D8" s="413"/>
      <c r="E8" s="413"/>
      <c r="F8" s="413"/>
      <c r="G8" s="413"/>
      <c r="H8" s="413"/>
      <c r="I8" s="413"/>
      <c r="J8" s="413"/>
      <c r="K8" s="413"/>
      <c r="L8" s="413"/>
      <c r="M8" s="414"/>
    </row>
    <row r="9" spans="1:19">
      <c r="A9" s="412"/>
      <c r="B9" s="413"/>
      <c r="C9" s="413"/>
      <c r="D9" s="413"/>
      <c r="E9" s="413"/>
      <c r="F9" s="413"/>
      <c r="G9" s="413"/>
      <c r="H9" s="413"/>
      <c r="I9" s="413"/>
      <c r="J9" s="413"/>
      <c r="K9" s="413"/>
      <c r="L9" s="413"/>
      <c r="M9" s="414"/>
      <c r="O9" s="419" t="s">
        <v>42</v>
      </c>
      <c r="P9" s="78">
        <f>VLOOKUP(P4,H17:I21,2,TRUE)*P4</f>
        <v>48950</v>
      </c>
      <c r="Q9" s="76" t="str">
        <f t="shared" ref="Q9:Q14" ca="1" si="0">_xlfn.FORMULATEXT(P9)</f>
        <v>=VLOOKUP(P4;H17:I21;2;TRUE)*P4</v>
      </c>
    </row>
    <row r="10" spans="1:19">
      <c r="A10" s="412"/>
      <c r="B10" s="413"/>
      <c r="C10" s="413"/>
      <c r="D10" s="413"/>
      <c r="E10" s="413"/>
      <c r="F10" s="413"/>
      <c r="G10" s="413"/>
      <c r="H10" s="413"/>
      <c r="I10" s="413"/>
      <c r="J10" s="413"/>
      <c r="K10" s="413"/>
      <c r="L10" s="413"/>
      <c r="M10" s="414"/>
      <c r="O10" s="420"/>
      <c r="P10" s="69" cm="1">
        <f t="array" ref="P10">_xlfn.IFS(P4&lt;1000,P4*F16,P4&lt;2000,P4*F17,P4&lt;3000,P4*F18,P4&lt;4000,P4*F19,P4&gt;3999,P4*F20)</f>
        <v>48950</v>
      </c>
      <c r="Q10" s="77" t="str">
        <f t="shared" ca="1" si="0"/>
        <v>=IFS(P4&lt;1000;P4*F16;P4&lt;2000;P4*F17;P4&lt;3000;P4*F18;P4&lt;4000;P4*F19;P4&gt;3999;P4*F20)</v>
      </c>
      <c r="R10" s="63"/>
      <c r="S10" s="63"/>
    </row>
    <row r="11" spans="1:19">
      <c r="A11" s="412"/>
      <c r="B11" s="413"/>
      <c r="C11" s="413"/>
      <c r="D11" s="413"/>
      <c r="E11" s="413"/>
      <c r="F11" s="413"/>
      <c r="G11" s="413"/>
      <c r="H11" s="413"/>
      <c r="I11" s="413"/>
      <c r="J11" s="413"/>
      <c r="K11" s="413"/>
      <c r="L11" s="413"/>
      <c r="M11" s="414"/>
      <c r="O11" s="46" t="s">
        <v>36</v>
      </c>
      <c r="P11" s="79">
        <f>P5*C15</f>
        <v>60000</v>
      </c>
      <c r="Q11" t="str">
        <f t="shared" ca="1" si="0"/>
        <v>=P5*C15</v>
      </c>
    </row>
    <row r="12" spans="1:19">
      <c r="A12" s="412"/>
      <c r="B12" s="413"/>
      <c r="C12" s="413"/>
      <c r="D12" s="413"/>
      <c r="E12" s="413"/>
      <c r="F12" s="413"/>
      <c r="G12" s="413"/>
      <c r="H12" s="413"/>
      <c r="I12" s="413"/>
      <c r="J12" s="413"/>
      <c r="K12" s="413"/>
      <c r="L12" s="413"/>
      <c r="M12" s="414"/>
      <c r="O12" s="46" t="s">
        <v>37</v>
      </c>
      <c r="P12" s="48">
        <f>P6*C16</f>
        <v>2000</v>
      </c>
      <c r="Q12" t="str">
        <f t="shared" ca="1" si="0"/>
        <v>=P6*C16</v>
      </c>
    </row>
    <row r="13" spans="1:19">
      <c r="A13" s="415"/>
      <c r="B13" s="416"/>
      <c r="C13" s="416"/>
      <c r="D13" s="416"/>
      <c r="E13" s="416"/>
      <c r="F13" s="416"/>
      <c r="G13" s="416"/>
      <c r="H13" s="416"/>
      <c r="I13" s="416"/>
      <c r="J13" s="416"/>
      <c r="K13" s="416"/>
      <c r="L13" s="416"/>
      <c r="M13" s="417"/>
      <c r="O13" s="46" t="s">
        <v>43</v>
      </c>
      <c r="P13" s="48">
        <f>P11+P12</f>
        <v>62000</v>
      </c>
      <c r="Q13" t="str">
        <f t="shared" ca="1" si="0"/>
        <v>=P11+P12</v>
      </c>
    </row>
    <row r="14" spans="1:19">
      <c r="O14" s="70" t="s">
        <v>44</v>
      </c>
      <c r="P14" s="71">
        <f>P13-P10</f>
        <v>13050</v>
      </c>
      <c r="Q14" t="str">
        <f t="shared" ca="1" si="0"/>
        <v>=P13-P10</v>
      </c>
    </row>
    <row r="15" spans="1:19">
      <c r="B15" s="46" t="s">
        <v>34</v>
      </c>
      <c r="C15" s="48">
        <v>30</v>
      </c>
      <c r="E15" s="418" t="s">
        <v>31</v>
      </c>
      <c r="F15" s="418"/>
      <c r="H15" s="73" t="s">
        <v>29</v>
      </c>
      <c r="I15" s="73"/>
    </row>
    <row r="16" spans="1:19">
      <c r="B16" s="46" t="s">
        <v>35</v>
      </c>
      <c r="C16" s="48">
        <v>10</v>
      </c>
      <c r="E16" s="75" t="s">
        <v>38</v>
      </c>
      <c r="F16" s="69">
        <v>24</v>
      </c>
      <c r="H16" s="73" t="s">
        <v>30</v>
      </c>
      <c r="I16" s="73" t="s">
        <v>31</v>
      </c>
    </row>
    <row r="17" spans="3:14">
      <c r="E17" s="75" t="s">
        <v>39</v>
      </c>
      <c r="F17" s="69">
        <v>23</v>
      </c>
      <c r="G17" s="84" t="s">
        <v>45</v>
      </c>
      <c r="H17" s="73">
        <v>0</v>
      </c>
      <c r="I17" s="74">
        <v>24</v>
      </c>
    </row>
    <row r="18" spans="3:14">
      <c r="E18" s="75" t="s">
        <v>40</v>
      </c>
      <c r="F18" s="69">
        <v>22.25</v>
      </c>
      <c r="H18" s="73">
        <v>1000</v>
      </c>
      <c r="I18" s="74">
        <v>23</v>
      </c>
    </row>
    <row r="19" spans="3:14">
      <c r="E19" s="75" t="s">
        <v>41</v>
      </c>
      <c r="F19" s="69">
        <v>21.75</v>
      </c>
      <c r="H19" s="73">
        <v>2000</v>
      </c>
      <c r="I19" s="74">
        <v>22.25</v>
      </c>
    </row>
    <row r="20" spans="3:14">
      <c r="E20" s="75" t="s">
        <v>28</v>
      </c>
      <c r="F20" s="69">
        <v>21.3</v>
      </c>
      <c r="H20" s="73">
        <v>3000</v>
      </c>
      <c r="I20" s="74">
        <v>21.75</v>
      </c>
    </row>
    <row r="21" spans="3:14">
      <c r="H21" s="73">
        <v>4000</v>
      </c>
      <c r="I21" s="74">
        <v>21.3</v>
      </c>
    </row>
    <row r="22" spans="3:14">
      <c r="H22" s="80"/>
      <c r="I22" s="81"/>
    </row>
    <row r="23" spans="3:14">
      <c r="C23" s="421" t="s">
        <v>30</v>
      </c>
      <c r="D23" s="422" t="s">
        <v>32</v>
      </c>
      <c r="E23" s="422"/>
      <c r="F23" s="422"/>
      <c r="G23" s="422"/>
      <c r="H23" s="422"/>
      <c r="I23" s="422"/>
      <c r="J23" s="422"/>
      <c r="K23" s="422"/>
      <c r="L23" s="422"/>
      <c r="M23" s="422"/>
      <c r="N23" s="82"/>
    </row>
    <row r="24" spans="3:14">
      <c r="C24" s="421"/>
      <c r="D24" s="83">
        <f>P14</f>
        <v>13050</v>
      </c>
      <c r="E24" s="85">
        <v>500</v>
      </c>
      <c r="F24" s="85">
        <v>1000</v>
      </c>
      <c r="G24" s="85">
        <v>1500</v>
      </c>
      <c r="H24" s="85">
        <v>2000</v>
      </c>
      <c r="I24" s="85">
        <v>2500</v>
      </c>
      <c r="J24" s="85">
        <v>3000</v>
      </c>
      <c r="K24" s="85">
        <v>3500</v>
      </c>
      <c r="L24" s="85">
        <v>4000</v>
      </c>
      <c r="M24" s="85">
        <v>4500</v>
      </c>
    </row>
    <row r="25" spans="3:14">
      <c r="C25" s="421"/>
      <c r="D25" s="85">
        <v>500</v>
      </c>
      <c r="E25" s="31">
        <f t="dataTable" ref="E25:M33" dt2D="1" dtr="1" r1="P3" r2="P4"/>
        <v>3000</v>
      </c>
      <c r="F25" s="31">
        <v>3000</v>
      </c>
      <c r="G25" s="31">
        <v>3000</v>
      </c>
      <c r="H25" s="31">
        <v>3000</v>
      </c>
      <c r="I25" s="31">
        <v>3000</v>
      </c>
      <c r="J25" s="31">
        <v>3000</v>
      </c>
      <c r="K25" s="31">
        <v>3000</v>
      </c>
      <c r="L25" s="31">
        <v>3000</v>
      </c>
      <c r="M25" s="31">
        <v>3000</v>
      </c>
      <c r="N25" t="str">
        <f ca="1">_xlfn.FORMULATEXT(M25)</f>
        <v>{=TABLE(P3;P4)}</v>
      </c>
    </row>
    <row r="26" spans="3:14">
      <c r="C26" s="421"/>
      <c r="D26" s="85">
        <v>1000</v>
      </c>
      <c r="E26" s="31">
        <v>-3000</v>
      </c>
      <c r="F26" s="31">
        <v>7000</v>
      </c>
      <c r="G26" s="31">
        <v>7000</v>
      </c>
      <c r="H26" s="31">
        <v>7000</v>
      </c>
      <c r="I26" s="31">
        <v>7000</v>
      </c>
      <c r="J26" s="31">
        <v>7000</v>
      </c>
      <c r="K26" s="31">
        <v>7000</v>
      </c>
      <c r="L26" s="31">
        <v>7000</v>
      </c>
      <c r="M26" s="31">
        <v>7000</v>
      </c>
    </row>
    <row r="27" spans="3:14">
      <c r="C27" s="421"/>
      <c r="D27" s="85">
        <v>1500</v>
      </c>
      <c r="E27" s="31">
        <v>-9500</v>
      </c>
      <c r="F27" s="31">
        <v>500</v>
      </c>
      <c r="G27" s="31">
        <v>10500</v>
      </c>
      <c r="H27" s="31">
        <v>10500</v>
      </c>
      <c r="I27" s="31">
        <v>10500</v>
      </c>
      <c r="J27" s="31">
        <v>10500</v>
      </c>
      <c r="K27" s="31">
        <v>10500</v>
      </c>
      <c r="L27" s="31">
        <v>10500</v>
      </c>
      <c r="M27" s="31">
        <v>10500</v>
      </c>
    </row>
    <row r="28" spans="3:14">
      <c r="C28" s="421"/>
      <c r="D28" s="85">
        <v>2000</v>
      </c>
      <c r="E28" s="31">
        <v>-14500</v>
      </c>
      <c r="F28" s="31">
        <v>-4500</v>
      </c>
      <c r="G28" s="31">
        <v>5500</v>
      </c>
      <c r="H28" s="31">
        <v>15500</v>
      </c>
      <c r="I28" s="31">
        <v>15500</v>
      </c>
      <c r="J28" s="31">
        <v>15500</v>
      </c>
      <c r="K28" s="31">
        <v>15500</v>
      </c>
      <c r="L28" s="31">
        <v>15500</v>
      </c>
      <c r="M28" s="31">
        <v>15500</v>
      </c>
    </row>
    <row r="29" spans="3:14">
      <c r="C29" s="421"/>
      <c r="D29" s="85">
        <v>2500</v>
      </c>
      <c r="E29" s="31">
        <v>-20625</v>
      </c>
      <c r="F29" s="31">
        <v>-10625</v>
      </c>
      <c r="G29" s="31">
        <v>-625</v>
      </c>
      <c r="H29" s="31">
        <v>9375</v>
      </c>
      <c r="I29" s="31">
        <v>19375</v>
      </c>
      <c r="J29" s="31">
        <v>19375</v>
      </c>
      <c r="K29" s="31">
        <v>19375</v>
      </c>
      <c r="L29" s="31">
        <v>19375</v>
      </c>
      <c r="M29" s="31">
        <v>19375</v>
      </c>
    </row>
    <row r="30" spans="3:14">
      <c r="C30" s="421"/>
      <c r="D30" s="85">
        <v>3000</v>
      </c>
      <c r="E30" s="31">
        <v>-25250</v>
      </c>
      <c r="F30" s="31">
        <v>-15250</v>
      </c>
      <c r="G30" s="31">
        <v>-5250</v>
      </c>
      <c r="H30" s="31">
        <v>4750</v>
      </c>
      <c r="I30" s="31">
        <v>14750</v>
      </c>
      <c r="J30" s="31">
        <v>24750</v>
      </c>
      <c r="K30" s="31">
        <v>24750</v>
      </c>
      <c r="L30" s="31">
        <v>24750</v>
      </c>
      <c r="M30" s="31">
        <v>24750</v>
      </c>
    </row>
    <row r="31" spans="3:14">
      <c r="C31" s="421"/>
      <c r="D31" s="85">
        <v>3500</v>
      </c>
      <c r="E31" s="31">
        <v>-31125</v>
      </c>
      <c r="F31" s="31">
        <v>-21125</v>
      </c>
      <c r="G31" s="31">
        <v>-11125</v>
      </c>
      <c r="H31" s="31">
        <v>-1125</v>
      </c>
      <c r="I31" s="31">
        <v>8875</v>
      </c>
      <c r="J31" s="31">
        <v>18875</v>
      </c>
      <c r="K31" s="31">
        <v>28875</v>
      </c>
      <c r="L31" s="31">
        <v>28875</v>
      </c>
      <c r="M31" s="31">
        <v>28875</v>
      </c>
    </row>
    <row r="32" spans="3:14">
      <c r="C32" s="421"/>
      <c r="D32" s="85">
        <v>4000</v>
      </c>
      <c r="E32" s="31">
        <v>-35200</v>
      </c>
      <c r="F32" s="31">
        <v>-25200</v>
      </c>
      <c r="G32" s="31">
        <v>-15200</v>
      </c>
      <c r="H32" s="31">
        <v>-5200</v>
      </c>
      <c r="I32" s="31">
        <v>4800</v>
      </c>
      <c r="J32" s="31">
        <v>14800</v>
      </c>
      <c r="K32" s="31">
        <v>24800</v>
      </c>
      <c r="L32" s="31">
        <v>34800</v>
      </c>
      <c r="M32" s="31">
        <v>34800</v>
      </c>
    </row>
    <row r="33" spans="4:13">
      <c r="D33" s="85">
        <v>4500</v>
      </c>
      <c r="E33" s="31">
        <v>-40850</v>
      </c>
      <c r="F33" s="31">
        <v>-30850</v>
      </c>
      <c r="G33" s="31">
        <v>-20850</v>
      </c>
      <c r="H33" s="31">
        <v>-10850</v>
      </c>
      <c r="I33" s="31">
        <v>-850</v>
      </c>
      <c r="J33" s="31">
        <v>9150</v>
      </c>
      <c r="K33" s="31">
        <v>19150</v>
      </c>
      <c r="L33" s="31">
        <v>29150</v>
      </c>
      <c r="M33" s="31">
        <v>39150</v>
      </c>
    </row>
  </sheetData>
  <mergeCells count="5">
    <mergeCell ref="A2:M13"/>
    <mergeCell ref="E15:F15"/>
    <mergeCell ref="O9:O10"/>
    <mergeCell ref="C23:C32"/>
    <mergeCell ref="D23:M23"/>
  </mergeCells>
  <conditionalFormatting sqref="E25:M3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F26E2-52EF-4A16-863B-AD6BD47A5063}">
  <dimension ref="A2:O26"/>
  <sheetViews>
    <sheetView workbookViewId="0">
      <selection activeCell="J15" sqref="J15"/>
    </sheetView>
  </sheetViews>
  <sheetFormatPr defaultRowHeight="15"/>
  <cols>
    <col min="2" max="2" width="20.85546875" customWidth="1"/>
    <col min="3" max="3" width="11.140625" bestFit="1" customWidth="1"/>
    <col min="4" max="4" width="10.28515625" bestFit="1" customWidth="1"/>
    <col min="10" max="10" width="11.140625" bestFit="1" customWidth="1"/>
    <col min="11" max="11" width="13.7109375" customWidth="1"/>
    <col min="12" max="12" width="12.5703125" customWidth="1"/>
    <col min="13" max="13" width="12.140625" customWidth="1"/>
    <col min="14" max="14" width="14.7109375" customWidth="1"/>
  </cols>
  <sheetData>
    <row r="2" spans="1:15">
      <c r="A2" s="423" t="s">
        <v>47</v>
      </c>
      <c r="B2" s="424"/>
      <c r="C2" s="424"/>
      <c r="D2" s="424"/>
      <c r="E2" s="424"/>
      <c r="F2" s="424"/>
      <c r="G2" s="424"/>
      <c r="H2" s="424"/>
      <c r="I2" s="424"/>
      <c r="J2" s="424"/>
      <c r="K2" s="424"/>
    </row>
    <row r="3" spans="1:15">
      <c r="A3" s="424"/>
      <c r="B3" s="424"/>
      <c r="C3" s="424"/>
      <c r="D3" s="424"/>
      <c r="E3" s="424"/>
      <c r="F3" s="424"/>
      <c r="G3" s="424"/>
      <c r="H3" s="424"/>
      <c r="I3" s="424"/>
      <c r="J3" s="424"/>
      <c r="K3" s="424"/>
    </row>
    <row r="4" spans="1:15">
      <c r="A4" s="424"/>
      <c r="B4" s="424"/>
      <c r="C4" s="424"/>
      <c r="D4" s="424"/>
      <c r="E4" s="424"/>
      <c r="F4" s="424"/>
      <c r="G4" s="424"/>
      <c r="H4" s="424"/>
      <c r="I4" s="424"/>
      <c r="J4" s="424"/>
      <c r="K4" s="424"/>
    </row>
    <row r="5" spans="1:15">
      <c r="A5" s="424"/>
      <c r="B5" s="424"/>
      <c r="C5" s="424"/>
      <c r="D5" s="424"/>
      <c r="E5" s="424"/>
      <c r="F5" s="424"/>
      <c r="G5" s="424"/>
      <c r="H5" s="424"/>
      <c r="I5" s="424"/>
      <c r="J5" s="424"/>
      <c r="K5" s="424"/>
    </row>
    <row r="6" spans="1:15">
      <c r="A6" s="424"/>
      <c r="B6" s="424"/>
      <c r="C6" s="424"/>
      <c r="D6" s="424"/>
      <c r="E6" s="424"/>
      <c r="F6" s="424"/>
      <c r="G6" s="424"/>
      <c r="H6" s="424"/>
      <c r="I6" s="424"/>
      <c r="J6" s="424"/>
      <c r="K6" s="424"/>
    </row>
    <row r="9" spans="1:15">
      <c r="B9" s="50" t="s">
        <v>48</v>
      </c>
      <c r="C9" s="48">
        <v>5000</v>
      </c>
      <c r="D9" s="86" t="s">
        <v>49</v>
      </c>
    </row>
    <row r="10" spans="1:15">
      <c r="B10" s="50" t="s">
        <v>50</v>
      </c>
      <c r="C10" s="48">
        <v>0.03</v>
      </c>
      <c r="D10" t="s">
        <v>51</v>
      </c>
    </row>
    <row r="11" spans="1:15">
      <c r="B11" s="50" t="s">
        <v>52</v>
      </c>
      <c r="C11" s="48">
        <v>400</v>
      </c>
      <c r="D11" t="s">
        <v>53</v>
      </c>
    </row>
    <row r="12" spans="1:15">
      <c r="B12" s="50" t="s">
        <v>60</v>
      </c>
      <c r="C12" s="48">
        <f>C11*12+C9*C19+C22*C10</f>
        <v>28800</v>
      </c>
      <c r="D12" t="str">
        <f ca="1">_xlfn.FORMULATEXT(C12)</f>
        <v>=C11*12+C9*C19+C22*C10</v>
      </c>
    </row>
    <row r="15" spans="1:15">
      <c r="B15" s="50" t="s">
        <v>54</v>
      </c>
      <c r="C15" s="87">
        <v>0.1</v>
      </c>
      <c r="D15" t="s">
        <v>51</v>
      </c>
      <c r="J15" s="83">
        <f>C26</f>
        <v>1200</v>
      </c>
      <c r="K15" s="31">
        <v>500</v>
      </c>
      <c r="L15" s="31">
        <v>1000</v>
      </c>
      <c r="M15" s="31">
        <v>1500</v>
      </c>
      <c r="N15" s="31">
        <v>2000</v>
      </c>
    </row>
    <row r="16" spans="1:15">
      <c r="B16" s="50" t="s">
        <v>55</v>
      </c>
      <c r="C16" s="46">
        <v>365</v>
      </c>
      <c r="J16" s="96">
        <v>1</v>
      </c>
      <c r="K16" s="97">
        <f t="dataTable" ref="K16:N20" dt2D="1" dtr="1" r1="C18" r2="C19"/>
        <v>-2800</v>
      </c>
      <c r="L16" s="97">
        <v>-2800</v>
      </c>
      <c r="M16" s="97">
        <v>-2800</v>
      </c>
      <c r="N16" s="97">
        <v>-2800</v>
      </c>
      <c r="O16" t="str">
        <f ca="1">_xlfn.FORMULATEXT(N16)</f>
        <v>{=TABLE(C18;C19)}</v>
      </c>
    </row>
    <row r="17" spans="2:14">
      <c r="B17" s="50" t="s">
        <v>56</v>
      </c>
      <c r="C17" s="46">
        <v>100000</v>
      </c>
      <c r="D17" t="s">
        <v>49</v>
      </c>
      <c r="J17" s="94">
        <v>2</v>
      </c>
      <c r="K17" s="95">
        <v>-2025</v>
      </c>
      <c r="L17" s="95">
        <v>-800</v>
      </c>
      <c r="M17" s="95">
        <v>-800</v>
      </c>
      <c r="N17" s="95">
        <v>-800</v>
      </c>
    </row>
    <row r="18" spans="2:14">
      <c r="B18" s="50" t="s">
        <v>32</v>
      </c>
      <c r="C18" s="64">
        <v>2000</v>
      </c>
      <c r="D18" t="s">
        <v>46</v>
      </c>
      <c r="J18" s="92">
        <v>3</v>
      </c>
      <c r="K18" s="93">
        <v>-7025</v>
      </c>
      <c r="L18" s="93">
        <v>1200</v>
      </c>
      <c r="M18" s="93">
        <v>1200</v>
      </c>
      <c r="N18" s="93">
        <v>1200</v>
      </c>
    </row>
    <row r="19" spans="2:14">
      <c r="B19" s="50" t="s">
        <v>57</v>
      </c>
      <c r="C19" s="64">
        <v>3</v>
      </c>
      <c r="J19" s="90">
        <v>4</v>
      </c>
      <c r="K19" s="91">
        <v>-12025</v>
      </c>
      <c r="L19" s="91">
        <v>750</v>
      </c>
      <c r="M19" s="91">
        <v>3200</v>
      </c>
      <c r="N19" s="91">
        <v>3200</v>
      </c>
    </row>
    <row r="20" spans="2:14">
      <c r="J20" s="88">
        <v>5</v>
      </c>
      <c r="K20" s="89">
        <v>-17025</v>
      </c>
      <c r="L20" s="89">
        <v>-4250</v>
      </c>
      <c r="M20" s="89">
        <v>5200</v>
      </c>
      <c r="N20" s="89">
        <v>5200</v>
      </c>
    </row>
    <row r="22" spans="2:14">
      <c r="B22" s="50" t="s">
        <v>58</v>
      </c>
      <c r="C22" s="46">
        <f>MIN(C17*C19,C18*365)</f>
        <v>300000</v>
      </c>
      <c r="D22" t="str">
        <f ca="1">_xlfn.FORMULATEXT(C22)</f>
        <v>=MIN(C17*C19;C18*365)</v>
      </c>
    </row>
    <row r="24" spans="2:14" ht="15.75">
      <c r="J24" s="425" t="s">
        <v>62</v>
      </c>
      <c r="K24" s="425"/>
      <c r="L24" s="46">
        <v>775</v>
      </c>
    </row>
    <row r="25" spans="2:14">
      <c r="B25" s="50" t="s">
        <v>59</v>
      </c>
      <c r="C25" s="48">
        <f>C22*C15</f>
        <v>30000</v>
      </c>
      <c r="D25" t="str">
        <f ca="1">_xlfn.FORMULATEXT(C25)</f>
        <v>=C22*C15</v>
      </c>
    </row>
    <row r="26" spans="2:14">
      <c r="B26" s="50" t="s">
        <v>61</v>
      </c>
      <c r="C26" s="48">
        <f>C25-C12</f>
        <v>1200</v>
      </c>
    </row>
  </sheetData>
  <dataConsolidate/>
  <mergeCells count="2">
    <mergeCell ref="A2:K6"/>
    <mergeCell ref="J24:K24"/>
  </mergeCell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1AFDF-984E-4664-9E5C-2BDE1769C942}">
  <dimension ref="A2:U24"/>
  <sheetViews>
    <sheetView workbookViewId="0">
      <selection activeCell="G15" sqref="G15"/>
    </sheetView>
  </sheetViews>
  <sheetFormatPr defaultRowHeight="15"/>
  <cols>
    <col min="2" max="2" width="17.140625" customWidth="1"/>
    <col min="3" max="3" width="15.140625" customWidth="1"/>
    <col min="6" max="6" width="17.140625" customWidth="1"/>
    <col min="7" max="7" width="13.7109375" bestFit="1" customWidth="1"/>
    <col min="12" max="13" width="11.140625" bestFit="1" customWidth="1"/>
    <col min="15" max="15" width="14.85546875" customWidth="1"/>
    <col min="16" max="16" width="12.42578125" customWidth="1"/>
    <col min="17" max="17" width="13.7109375" bestFit="1" customWidth="1"/>
    <col min="18" max="18" width="14.42578125" bestFit="1" customWidth="1"/>
    <col min="19" max="19" width="14.7109375" customWidth="1"/>
  </cols>
  <sheetData>
    <row r="2" spans="1:21" ht="15" customHeight="1">
      <c r="A2" s="426" t="s">
        <v>91</v>
      </c>
      <c r="B2" s="424"/>
      <c r="C2" s="424"/>
      <c r="D2" s="424"/>
      <c r="E2" s="424"/>
      <c r="F2" s="424"/>
      <c r="G2" s="424"/>
      <c r="H2" s="424"/>
      <c r="I2" s="424"/>
      <c r="J2" s="424"/>
      <c r="K2" s="424"/>
    </row>
    <row r="3" spans="1:21">
      <c r="A3" s="424"/>
      <c r="B3" s="424"/>
      <c r="C3" s="424"/>
      <c r="D3" s="424"/>
      <c r="E3" s="424"/>
      <c r="F3" s="424"/>
      <c r="G3" s="424"/>
      <c r="H3" s="424"/>
      <c r="I3" s="424"/>
      <c r="J3" s="424"/>
      <c r="K3" s="424"/>
      <c r="M3" s="422" t="s">
        <v>92</v>
      </c>
      <c r="N3" s="422"/>
      <c r="O3" s="6"/>
      <c r="P3" s="1"/>
      <c r="Q3" s="428" t="s">
        <v>92</v>
      </c>
      <c r="R3" s="429"/>
      <c r="S3" s="1"/>
      <c r="T3" s="1"/>
    </row>
    <row r="4" spans="1:21">
      <c r="A4" s="424"/>
      <c r="B4" s="424"/>
      <c r="C4" s="424"/>
      <c r="D4" s="424"/>
      <c r="E4" s="424"/>
      <c r="F4" s="424"/>
      <c r="G4" s="424"/>
      <c r="H4" s="424"/>
      <c r="I4" s="424"/>
      <c r="J4" s="424"/>
      <c r="K4" s="424"/>
      <c r="M4" s="30" t="s">
        <v>87</v>
      </c>
      <c r="N4" s="108" t="s">
        <v>44</v>
      </c>
      <c r="O4" s="1"/>
      <c r="P4" s="1"/>
      <c r="Q4" s="31" t="s">
        <v>93</v>
      </c>
      <c r="R4" s="31" t="s">
        <v>44</v>
      </c>
      <c r="S4" s="1"/>
      <c r="T4" s="1"/>
    </row>
    <row r="5" spans="1:21">
      <c r="A5" s="424"/>
      <c r="B5" s="424"/>
      <c r="C5" s="424"/>
      <c r="D5" s="424"/>
      <c r="E5" s="424"/>
      <c r="F5" s="424"/>
      <c r="G5" s="424"/>
      <c r="H5" s="424"/>
      <c r="I5" s="424"/>
      <c r="J5" s="424"/>
      <c r="K5" s="424"/>
      <c r="M5" s="30"/>
      <c r="N5" s="109">
        <f>C23</f>
        <v>93000</v>
      </c>
      <c r="O5" s="1"/>
      <c r="P5" s="1"/>
      <c r="Q5" s="30"/>
      <c r="R5" s="109">
        <f>C23</f>
        <v>93000</v>
      </c>
      <c r="S5" s="1"/>
      <c r="T5" s="1"/>
    </row>
    <row r="6" spans="1:21">
      <c r="A6" s="424"/>
      <c r="B6" s="424"/>
      <c r="C6" s="424"/>
      <c r="D6" s="424"/>
      <c r="E6" s="424"/>
      <c r="F6" s="424"/>
      <c r="G6" s="424"/>
      <c r="H6" s="424"/>
      <c r="I6" s="424"/>
      <c r="J6" s="424"/>
      <c r="K6" s="424"/>
      <c r="M6" s="31">
        <v>35</v>
      </c>
      <c r="N6" s="31">
        <f t="dataTable" ref="N6:N11" dt2D="0" dtr="0" r1="G15" ca="1"/>
        <v>93000</v>
      </c>
      <c r="O6" s="1" t="str">
        <f ca="1">_xlfn.FORMULATEXT(N6)</f>
        <v>{=TABLE(;G15)}</v>
      </c>
      <c r="P6" s="1"/>
      <c r="Q6" s="110">
        <v>0.5</v>
      </c>
      <c r="R6" s="111">
        <f t="dataTable" ref="R6:R11" dt2D="0" dtr="0" r1="G12"/>
        <v>-2070000</v>
      </c>
      <c r="S6" s="1" t="str">
        <f ca="1">_xlfn.FORMULATEXT(R6)</f>
        <v>{=TABLE(;G12)}</v>
      </c>
      <c r="T6" s="1"/>
    </row>
    <row r="7" spans="1:21">
      <c r="A7" s="424"/>
      <c r="B7" s="424"/>
      <c r="C7" s="424"/>
      <c r="D7" s="424"/>
      <c r="E7" s="424"/>
      <c r="F7" s="424"/>
      <c r="G7" s="424"/>
      <c r="H7" s="424"/>
      <c r="I7" s="424"/>
      <c r="J7" s="424"/>
      <c r="K7" s="424"/>
      <c r="M7" s="31">
        <v>40</v>
      </c>
      <c r="N7" s="31">
        <v>892000</v>
      </c>
      <c r="O7" s="1"/>
      <c r="P7" s="1"/>
      <c r="Q7" s="110">
        <v>0.6</v>
      </c>
      <c r="R7" s="111">
        <v>-1349000</v>
      </c>
      <c r="S7" s="1"/>
      <c r="T7" s="1"/>
    </row>
    <row r="8" spans="1:21">
      <c r="A8" s="424"/>
      <c r="B8" s="424"/>
      <c r="C8" s="424"/>
      <c r="D8" s="424"/>
      <c r="E8" s="424"/>
      <c r="F8" s="424"/>
      <c r="G8" s="424"/>
      <c r="H8" s="424"/>
      <c r="I8" s="424"/>
      <c r="J8" s="424"/>
      <c r="K8" s="424"/>
      <c r="M8" s="31">
        <v>45</v>
      </c>
      <c r="N8" s="31">
        <v>1691000</v>
      </c>
      <c r="Q8" s="110">
        <v>0.7</v>
      </c>
      <c r="R8" s="111">
        <v>-628000</v>
      </c>
    </row>
    <row r="9" spans="1:21">
      <c r="A9" s="424"/>
      <c r="B9" s="424"/>
      <c r="C9" s="424"/>
      <c r="D9" s="424"/>
      <c r="E9" s="424"/>
      <c r="F9" s="424"/>
      <c r="G9" s="424"/>
      <c r="H9" s="424"/>
      <c r="I9" s="424"/>
      <c r="J9" s="424"/>
      <c r="K9" s="424"/>
      <c r="M9" s="31">
        <v>50</v>
      </c>
      <c r="N9" s="31">
        <v>2490000</v>
      </c>
      <c r="Q9" s="110">
        <v>0.8</v>
      </c>
      <c r="R9" s="111">
        <v>93000</v>
      </c>
    </row>
    <row r="10" spans="1:21">
      <c r="A10" s="99"/>
      <c r="B10" s="99"/>
      <c r="C10" s="99"/>
      <c r="D10" s="99"/>
      <c r="E10" s="99"/>
      <c r="F10" s="99"/>
      <c r="G10" s="99"/>
      <c r="H10" s="99"/>
      <c r="I10" s="99"/>
      <c r="J10" s="99"/>
      <c r="M10" s="31">
        <v>55</v>
      </c>
      <c r="N10" s="31">
        <v>3289000</v>
      </c>
      <c r="P10" s="20"/>
      <c r="Q10" s="110">
        <v>0.9</v>
      </c>
      <c r="R10" s="111">
        <v>814000</v>
      </c>
    </row>
    <row r="11" spans="1:21">
      <c r="A11" s="99"/>
      <c r="B11" s="101" t="s">
        <v>76</v>
      </c>
      <c r="C11" s="102"/>
      <c r="D11" s="102"/>
      <c r="E11" s="99"/>
      <c r="F11" s="41" t="s">
        <v>83</v>
      </c>
      <c r="G11" s="46">
        <v>800</v>
      </c>
      <c r="H11" s="46"/>
      <c r="I11" s="99"/>
      <c r="J11" s="99"/>
      <c r="M11" s="31">
        <v>60</v>
      </c>
      <c r="N11" s="31">
        <v>4088000</v>
      </c>
      <c r="P11" s="6"/>
      <c r="Q11" s="110">
        <v>1</v>
      </c>
      <c r="R11" s="111">
        <v>1535000</v>
      </c>
      <c r="S11" s="1"/>
      <c r="T11" s="1"/>
    </row>
    <row r="12" spans="1:21">
      <c r="A12" s="99"/>
      <c r="B12" s="103" t="s">
        <v>77</v>
      </c>
      <c r="C12" s="104">
        <v>5500000</v>
      </c>
      <c r="D12" s="102"/>
      <c r="E12" s="99"/>
      <c r="F12" s="41" t="s">
        <v>94</v>
      </c>
      <c r="G12" s="233">
        <v>0.8</v>
      </c>
      <c r="H12" s="46"/>
      <c r="I12" s="99"/>
      <c r="J12" s="99"/>
      <c r="P12" s="1"/>
      <c r="Q12" s="1"/>
      <c r="R12" s="1"/>
      <c r="S12" s="1"/>
      <c r="T12" s="1"/>
      <c r="U12" s="1"/>
    </row>
    <row r="13" spans="1:21">
      <c r="A13" s="99"/>
      <c r="B13" s="105" t="s">
        <v>78</v>
      </c>
      <c r="C13" s="104">
        <v>1000</v>
      </c>
      <c r="D13" s="102" t="s">
        <v>79</v>
      </c>
      <c r="E13" s="99"/>
      <c r="F13" s="41" t="s">
        <v>84</v>
      </c>
      <c r="G13" s="46">
        <f>G11*G12</f>
        <v>640</v>
      </c>
      <c r="H13" s="46"/>
      <c r="I13" s="99"/>
      <c r="J13" s="99"/>
      <c r="P13" s="3"/>
      <c r="Q13" s="1"/>
      <c r="R13" s="1"/>
      <c r="S13" s="1"/>
      <c r="T13" s="1"/>
      <c r="U13" s="1"/>
    </row>
    <row r="14" spans="1:21">
      <c r="B14" s="41" t="s">
        <v>88</v>
      </c>
      <c r="C14" s="106">
        <f>C12+C13*G16</f>
        <v>5675000</v>
      </c>
      <c r="D14" s="46" t="s">
        <v>49</v>
      </c>
      <c r="F14" s="41" t="s">
        <v>85</v>
      </c>
      <c r="G14" s="46">
        <v>5</v>
      </c>
      <c r="H14" s="46" t="s">
        <v>86</v>
      </c>
      <c r="L14" s="427" t="s">
        <v>62</v>
      </c>
      <c r="M14" s="427"/>
      <c r="N14" s="31">
        <v>35</v>
      </c>
      <c r="O14" s="31" t="s">
        <v>87</v>
      </c>
      <c r="P14" s="107"/>
      <c r="Q14" s="107"/>
      <c r="R14" s="5"/>
      <c r="S14" s="1"/>
      <c r="T14" s="1"/>
      <c r="U14" s="1"/>
    </row>
    <row r="15" spans="1:21">
      <c r="F15" s="41" t="s">
        <v>87</v>
      </c>
      <c r="G15" s="234">
        <v>35</v>
      </c>
      <c r="H15" s="46" t="s">
        <v>49</v>
      </c>
      <c r="N15" s="1"/>
      <c r="O15" s="1"/>
      <c r="P15" s="1"/>
      <c r="Q15" s="1"/>
      <c r="R15" s="1"/>
      <c r="S15" s="1"/>
      <c r="T15" s="1"/>
      <c r="U15" s="1"/>
    </row>
    <row r="16" spans="1:21">
      <c r="F16" s="41" t="s">
        <v>85</v>
      </c>
      <c r="G16" s="46">
        <f>G14*G15</f>
        <v>175</v>
      </c>
      <c r="H16" s="46" t="s">
        <v>49</v>
      </c>
      <c r="N16" s="1"/>
      <c r="O16" s="1"/>
      <c r="P16" s="1"/>
      <c r="Q16" s="1"/>
      <c r="R16" s="1"/>
      <c r="S16" s="1"/>
      <c r="T16" s="1"/>
      <c r="U16" s="1"/>
    </row>
    <row r="17" spans="2:18">
      <c r="B17" s="50" t="s">
        <v>80</v>
      </c>
      <c r="C17" s="46"/>
      <c r="N17" s="1"/>
      <c r="O17" s="1"/>
      <c r="P17" s="1"/>
      <c r="Q17" s="6"/>
    </row>
    <row r="18" spans="2:18">
      <c r="B18" s="41" t="s">
        <v>81</v>
      </c>
      <c r="C18" s="106">
        <v>50</v>
      </c>
      <c r="F18" s="20"/>
      <c r="N18" s="1"/>
      <c r="O18" s="1"/>
      <c r="P18" s="1"/>
      <c r="Q18" s="6"/>
    </row>
    <row r="19" spans="2:18">
      <c r="B19" s="41" t="s">
        <v>82</v>
      </c>
      <c r="C19" s="48">
        <v>1.5</v>
      </c>
      <c r="F19" s="20"/>
      <c r="L19" s="109">
        <f>C23</f>
        <v>93000</v>
      </c>
      <c r="M19" s="31">
        <v>50</v>
      </c>
      <c r="N19" s="31">
        <v>55</v>
      </c>
      <c r="O19" s="31">
        <v>60</v>
      </c>
      <c r="P19" s="31">
        <v>65</v>
      </c>
      <c r="Q19" s="33">
        <v>70</v>
      </c>
      <c r="R19" s="31">
        <v>75</v>
      </c>
    </row>
    <row r="20" spans="2:18">
      <c r="B20" s="41" t="s">
        <v>89</v>
      </c>
      <c r="C20" s="48">
        <f>G13*(C18+C19)*G16</f>
        <v>5768000</v>
      </c>
      <c r="D20" t="str">
        <f ca="1">_xlfn.FORMULATEXT(C20)</f>
        <v>=G13*(C18+C19)*G16</v>
      </c>
      <c r="L20" s="110">
        <v>0.6</v>
      </c>
      <c r="M20" s="111">
        <f t="dataTable" ref="M20:R24" dt2D="1" dtr="1" r1="C18" r2="G12" ca="1"/>
        <v>-1349000</v>
      </c>
      <c r="N20" s="111">
        <v>-929000</v>
      </c>
      <c r="O20" s="111">
        <v>-509000</v>
      </c>
      <c r="P20" s="111">
        <v>-89000</v>
      </c>
      <c r="Q20" s="111">
        <v>331000</v>
      </c>
      <c r="R20" s="111">
        <v>751000</v>
      </c>
    </row>
    <row r="21" spans="2:18">
      <c r="B21" s="46"/>
      <c r="C21" s="46"/>
      <c r="L21" s="110">
        <v>0.7</v>
      </c>
      <c r="M21" s="111">
        <v>-628000</v>
      </c>
      <c r="N21" s="111">
        <v>-138000</v>
      </c>
      <c r="O21" s="111">
        <v>352000</v>
      </c>
      <c r="P21" s="111">
        <v>842000</v>
      </c>
      <c r="Q21" s="111">
        <v>1332000</v>
      </c>
      <c r="R21" s="111">
        <v>1822000</v>
      </c>
    </row>
    <row r="22" spans="2:18">
      <c r="B22" s="46"/>
      <c r="C22" s="46"/>
      <c r="L22" s="110">
        <v>0.8</v>
      </c>
      <c r="M22" s="111">
        <v>93000</v>
      </c>
      <c r="N22" s="111">
        <v>653000</v>
      </c>
      <c r="O22" s="111">
        <v>1213000</v>
      </c>
      <c r="P22" s="111">
        <v>1773000</v>
      </c>
      <c r="Q22" s="111">
        <v>2333000</v>
      </c>
      <c r="R22" s="111">
        <v>2893000</v>
      </c>
    </row>
    <row r="23" spans="2:18">
      <c r="B23" s="100" t="s">
        <v>90</v>
      </c>
      <c r="C23" s="48">
        <f>C20-C14</f>
        <v>93000</v>
      </c>
      <c r="L23" s="110">
        <v>0.9</v>
      </c>
      <c r="M23" s="111">
        <v>814000</v>
      </c>
      <c r="N23" s="111">
        <v>1444000</v>
      </c>
      <c r="O23" s="111">
        <v>2074000</v>
      </c>
      <c r="P23" s="111">
        <v>2704000</v>
      </c>
      <c r="Q23" s="111">
        <v>3334000</v>
      </c>
      <c r="R23" s="111">
        <v>3964000</v>
      </c>
    </row>
    <row r="24" spans="2:18">
      <c r="L24" s="110">
        <v>1</v>
      </c>
      <c r="M24" s="111">
        <v>1535000</v>
      </c>
      <c r="N24" s="111">
        <v>2235000</v>
      </c>
      <c r="O24" s="111">
        <v>2935000</v>
      </c>
      <c r="P24" s="111">
        <v>3635000</v>
      </c>
      <c r="Q24" s="111">
        <v>4335000</v>
      </c>
      <c r="R24" s="111">
        <v>5035000</v>
      </c>
    </row>
  </sheetData>
  <mergeCells count="4">
    <mergeCell ref="A2:K9"/>
    <mergeCell ref="M3:N3"/>
    <mergeCell ref="L14:M14"/>
    <mergeCell ref="Q3:R3"/>
  </mergeCells>
  <conditionalFormatting sqref="M20:R24">
    <cfRule type="colorScale" priority="4">
      <colorScale>
        <cfvo type="min"/>
        <cfvo type="percentile" val="50"/>
        <cfvo type="max"/>
        <color rgb="FFF8696B"/>
        <color rgb="FFFFEB84"/>
        <color rgb="FF63BE7B"/>
      </colorScale>
    </cfRule>
  </conditionalFormatting>
  <conditionalFormatting sqref="R6:R11">
    <cfRule type="colorScale" priority="3">
      <colorScale>
        <cfvo type="min"/>
        <cfvo type="percentile" val="50"/>
        <cfvo type="max"/>
        <color rgb="FFF8696B"/>
        <color rgb="FFFFEB84"/>
        <color rgb="FF63BE7B"/>
      </colorScale>
    </cfRule>
  </conditionalFormatting>
  <conditionalFormatting sqref="N6:N11">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DAB20-16BA-4DE7-BCD3-4784F31DF689}">
  <dimension ref="A2:X74"/>
  <sheetViews>
    <sheetView topLeftCell="A22" workbookViewId="0">
      <selection activeCell="G48" sqref="G48"/>
    </sheetView>
  </sheetViews>
  <sheetFormatPr defaultRowHeight="15"/>
  <cols>
    <col min="4" max="4" width="20" bestFit="1" customWidth="1"/>
    <col min="5" max="5" width="13.7109375" bestFit="1" customWidth="1"/>
    <col min="6" max="6" width="14.5703125" bestFit="1" customWidth="1"/>
    <col min="8" max="8" width="12.7109375" customWidth="1"/>
    <col min="9" max="9" width="11.5703125" bestFit="1" customWidth="1"/>
    <col min="10" max="10" width="13.85546875" customWidth="1"/>
    <col min="12" max="12" width="8.85546875" customWidth="1"/>
    <col min="13" max="13" width="11.5703125" bestFit="1" customWidth="1"/>
    <col min="14" max="14" width="12.140625" bestFit="1" customWidth="1"/>
    <col min="15" max="15" width="13.85546875" bestFit="1" customWidth="1"/>
    <col min="16" max="16" width="14.5703125" customWidth="1"/>
    <col min="17" max="22" width="14.5703125" bestFit="1" customWidth="1"/>
  </cols>
  <sheetData>
    <row r="2" spans="2:24" ht="15" customHeight="1">
      <c r="B2" s="448" t="s">
        <v>125</v>
      </c>
      <c r="C2" s="449"/>
      <c r="D2" s="449"/>
      <c r="E2" s="449"/>
      <c r="F2" s="449"/>
      <c r="G2" s="449"/>
      <c r="H2" s="449"/>
      <c r="I2" s="449"/>
      <c r="J2" s="449"/>
      <c r="K2" s="449"/>
      <c r="P2" s="116"/>
      <c r="Q2" s="114"/>
      <c r="R2" s="114"/>
      <c r="S2" s="114"/>
      <c r="T2" s="114"/>
      <c r="U2" s="114"/>
      <c r="V2" s="114"/>
      <c r="W2" s="114"/>
      <c r="X2" s="114"/>
    </row>
    <row r="3" spans="2:24">
      <c r="B3" s="449"/>
      <c r="C3" s="449"/>
      <c r="D3" s="449"/>
      <c r="E3" s="449"/>
      <c r="F3" s="449"/>
      <c r="G3" s="449"/>
      <c r="H3" s="449"/>
      <c r="I3" s="449"/>
      <c r="J3" s="449"/>
      <c r="K3" s="449"/>
      <c r="P3" s="114"/>
      <c r="Q3" s="114"/>
      <c r="R3" s="114"/>
      <c r="S3" s="114"/>
      <c r="T3" s="114"/>
      <c r="U3" s="114"/>
      <c r="V3" s="114"/>
      <c r="W3" s="114"/>
      <c r="X3" s="114"/>
    </row>
    <row r="4" spans="2:24">
      <c r="B4" s="449"/>
      <c r="C4" s="449"/>
      <c r="D4" s="449"/>
      <c r="E4" s="449"/>
      <c r="F4" s="449"/>
      <c r="G4" s="449"/>
      <c r="H4" s="449"/>
      <c r="I4" s="449"/>
      <c r="J4" s="449"/>
      <c r="K4" s="449"/>
      <c r="P4" s="114"/>
      <c r="Q4" s="114"/>
      <c r="R4" s="114"/>
      <c r="S4" s="114"/>
      <c r="T4" s="114"/>
      <c r="U4" s="114"/>
      <c r="V4" s="114"/>
      <c r="W4" s="114"/>
      <c r="X4" s="114"/>
    </row>
    <row r="5" spans="2:24">
      <c r="B5" s="449"/>
      <c r="C5" s="449"/>
      <c r="D5" s="449"/>
      <c r="E5" s="449"/>
      <c r="F5" s="449"/>
      <c r="G5" s="449"/>
      <c r="H5" s="449"/>
      <c r="I5" s="449"/>
      <c r="J5" s="449"/>
      <c r="K5" s="449"/>
      <c r="P5" s="114"/>
      <c r="Q5" s="114"/>
      <c r="R5" s="114"/>
      <c r="S5" s="114"/>
      <c r="T5" s="114"/>
      <c r="U5" s="114"/>
      <c r="V5" s="114"/>
      <c r="W5" s="114"/>
      <c r="X5" s="114"/>
    </row>
    <row r="6" spans="2:24">
      <c r="B6" s="449"/>
      <c r="C6" s="449"/>
      <c r="D6" s="449"/>
      <c r="E6" s="449"/>
      <c r="F6" s="449"/>
      <c r="G6" s="449"/>
      <c r="H6" s="449"/>
      <c r="I6" s="449"/>
      <c r="J6" s="449"/>
      <c r="K6" s="449"/>
    </row>
    <row r="7" spans="2:24">
      <c r="B7" s="449"/>
      <c r="C7" s="449"/>
      <c r="D7" s="449"/>
      <c r="E7" s="449"/>
      <c r="F7" s="449"/>
      <c r="G7" s="449"/>
      <c r="H7" s="449"/>
      <c r="I7" s="449"/>
      <c r="J7" s="449"/>
      <c r="K7" s="449"/>
    </row>
    <row r="8" spans="2:24">
      <c r="B8" s="449"/>
      <c r="C8" s="449"/>
      <c r="D8" s="449"/>
      <c r="E8" s="449"/>
      <c r="F8" s="449"/>
      <c r="G8" s="449"/>
      <c r="H8" s="449"/>
      <c r="I8" s="449"/>
      <c r="J8" s="449"/>
      <c r="K8" s="449"/>
    </row>
    <row r="9" spans="2:24">
      <c r="B9" s="449"/>
      <c r="C9" s="449"/>
      <c r="D9" s="449"/>
      <c r="E9" s="449"/>
      <c r="F9" s="449"/>
      <c r="G9" s="449"/>
      <c r="H9" s="449"/>
      <c r="I9" s="449"/>
      <c r="J9" s="449"/>
      <c r="K9" s="449"/>
    </row>
    <row r="10" spans="2:24">
      <c r="B10" s="449"/>
      <c r="C10" s="449"/>
      <c r="D10" s="449"/>
      <c r="E10" s="449"/>
      <c r="F10" s="449"/>
      <c r="G10" s="449"/>
      <c r="H10" s="449"/>
      <c r="I10" s="449"/>
      <c r="J10" s="449"/>
      <c r="K10" s="449"/>
    </row>
    <row r="11" spans="2:24">
      <c r="B11" s="449"/>
      <c r="C11" s="449"/>
      <c r="D11" s="449"/>
      <c r="E11" s="449"/>
      <c r="F11" s="449"/>
      <c r="G11" s="449"/>
      <c r="H11" s="449"/>
      <c r="I11" s="449"/>
      <c r="J11" s="449"/>
      <c r="K11" s="449"/>
    </row>
    <row r="12" spans="2:24">
      <c r="B12" s="449"/>
      <c r="C12" s="449"/>
      <c r="D12" s="449"/>
      <c r="E12" s="449"/>
      <c r="F12" s="449"/>
      <c r="G12" s="449"/>
      <c r="H12" s="449"/>
      <c r="I12" s="449"/>
      <c r="J12" s="449"/>
      <c r="K12" s="449"/>
    </row>
    <row r="13" spans="2:24">
      <c r="B13" s="449"/>
      <c r="C13" s="449"/>
      <c r="D13" s="449"/>
      <c r="E13" s="449"/>
      <c r="F13" s="449"/>
      <c r="G13" s="449"/>
      <c r="H13" s="449"/>
      <c r="I13" s="449"/>
      <c r="J13" s="449"/>
      <c r="K13" s="449"/>
    </row>
    <row r="14" spans="2:24">
      <c r="B14" s="133" t="s">
        <v>95</v>
      </c>
      <c r="C14" s="133" t="s">
        <v>96</v>
      </c>
      <c r="D14" s="133" t="s">
        <v>97</v>
      </c>
      <c r="E14" s="132"/>
    </row>
    <row r="15" spans="2:24">
      <c r="B15" s="131">
        <v>1</v>
      </c>
      <c r="C15" s="131">
        <v>450</v>
      </c>
      <c r="D15" s="131">
        <v>45</v>
      </c>
      <c r="F15" s="63"/>
      <c r="G15" s="63"/>
      <c r="H15" s="63"/>
      <c r="I15" s="63"/>
      <c r="J15" s="63"/>
      <c r="K15" s="63"/>
      <c r="L15" s="63"/>
    </row>
    <row r="16" spans="2:24">
      <c r="B16" s="131">
        <v>2</v>
      </c>
      <c r="C16" s="131">
        <v>300</v>
      </c>
      <c r="D16" s="131">
        <v>103</v>
      </c>
      <c r="F16" s="450" t="s">
        <v>109</v>
      </c>
      <c r="G16" s="450"/>
      <c r="H16" s="450" t="s">
        <v>102</v>
      </c>
      <c r="I16" s="450"/>
      <c r="J16" s="450" t="s">
        <v>103</v>
      </c>
      <c r="K16" s="450"/>
      <c r="L16" s="63"/>
    </row>
    <row r="17" spans="2:13">
      <c r="B17" s="131">
        <v>3</v>
      </c>
      <c r="C17" s="131">
        <v>440</v>
      </c>
      <c r="D17" s="131">
        <v>49</v>
      </c>
      <c r="F17" s="118" t="s">
        <v>98</v>
      </c>
      <c r="G17" s="117">
        <v>211.31</v>
      </c>
      <c r="H17" s="118" t="s">
        <v>100</v>
      </c>
      <c r="I17" s="118">
        <v>5871064</v>
      </c>
      <c r="J17" s="118" t="s">
        <v>100</v>
      </c>
      <c r="K17" s="118">
        <v>466.51</v>
      </c>
      <c r="L17" s="63"/>
    </row>
    <row r="18" spans="2:13">
      <c r="B18" s="131">
        <v>4</v>
      </c>
      <c r="C18" s="131">
        <v>360</v>
      </c>
      <c r="D18" s="131">
        <v>86</v>
      </c>
      <c r="F18" s="118" t="s">
        <v>99</v>
      </c>
      <c r="G18" s="117">
        <v>-0.35460000000000003</v>
      </c>
      <c r="H18" s="118" t="s">
        <v>101</v>
      </c>
      <c r="I18" s="118">
        <v>-1.9079999999999999</v>
      </c>
      <c r="J18" s="118" t="s">
        <v>101</v>
      </c>
      <c r="K18" s="118">
        <v>-5.0000000000000001E-3</v>
      </c>
      <c r="L18" s="63"/>
    </row>
    <row r="19" spans="2:13">
      <c r="B19" s="131">
        <v>5</v>
      </c>
      <c r="C19" s="131">
        <v>290</v>
      </c>
      <c r="D19" s="131">
        <v>125</v>
      </c>
      <c r="F19" s="63"/>
      <c r="G19" s="63"/>
      <c r="H19" s="63"/>
      <c r="I19" s="63"/>
      <c r="J19" s="63"/>
      <c r="K19" s="63"/>
      <c r="L19" s="63"/>
    </row>
    <row r="20" spans="2:13">
      <c r="B20" s="131">
        <v>6</v>
      </c>
      <c r="C20" s="131">
        <v>450</v>
      </c>
      <c r="D20" s="131">
        <v>52</v>
      </c>
      <c r="F20" s="63"/>
      <c r="G20" s="63"/>
      <c r="H20" s="63"/>
      <c r="I20" s="63"/>
      <c r="J20" s="63"/>
      <c r="K20" s="63"/>
      <c r="L20" s="63"/>
    </row>
    <row r="21" spans="2:13">
      <c r="B21" s="131">
        <v>7</v>
      </c>
      <c r="C21" s="131">
        <v>340</v>
      </c>
      <c r="D21" s="131">
        <v>87</v>
      </c>
      <c r="F21" s="438" t="s">
        <v>104</v>
      </c>
      <c r="G21" s="439"/>
      <c r="H21" s="439"/>
      <c r="I21" s="439"/>
      <c r="J21" s="440"/>
      <c r="K21" s="435" t="s">
        <v>110</v>
      </c>
      <c r="L21" s="436"/>
      <c r="M21" s="437"/>
    </row>
    <row r="22" spans="2:13">
      <c r="B22" s="131">
        <v>8</v>
      </c>
      <c r="C22" s="131">
        <v>370</v>
      </c>
      <c r="D22" s="131">
        <v>68</v>
      </c>
      <c r="F22" s="117" t="s">
        <v>105</v>
      </c>
      <c r="G22" s="118" t="s">
        <v>106</v>
      </c>
      <c r="H22" s="118" t="s">
        <v>107</v>
      </c>
      <c r="I22" s="118" t="s">
        <v>108</v>
      </c>
      <c r="J22" s="117" t="s">
        <v>97</v>
      </c>
      <c r="K22" s="118" t="s">
        <v>106</v>
      </c>
      <c r="L22" s="118" t="s">
        <v>107</v>
      </c>
      <c r="M22" s="118" t="s">
        <v>108</v>
      </c>
    </row>
    <row r="23" spans="2:13">
      <c r="B23" s="131">
        <v>9</v>
      </c>
      <c r="C23" s="131">
        <v>500</v>
      </c>
      <c r="D23" s="131">
        <v>45</v>
      </c>
      <c r="F23" s="117">
        <v>450</v>
      </c>
      <c r="G23" s="119">
        <f>$G$18*F23+$G$17</f>
        <v>51.739999999999981</v>
      </c>
      <c r="H23" s="119">
        <f>$I$17*F23^$I$18</f>
        <v>50.861286169919921</v>
      </c>
      <c r="I23" s="119">
        <f>$K$17*EXP($K$18*F23)</f>
        <v>49.169792250355329</v>
      </c>
      <c r="J23" s="117">
        <v>45</v>
      </c>
      <c r="K23" s="120">
        <f>ABS(G23-J23)/J23</f>
        <v>0.14977777777777734</v>
      </c>
      <c r="L23" s="120">
        <f>ABS(H23-J23)/J23</f>
        <v>0.13025080377599826</v>
      </c>
      <c r="M23" s="120">
        <f>ABS(I23-J23)/J23</f>
        <v>9.2662050007896193E-2</v>
      </c>
    </row>
    <row r="24" spans="2:13">
      <c r="B24" s="131">
        <v>10</v>
      </c>
      <c r="C24" s="131">
        <v>490</v>
      </c>
      <c r="D24" s="131">
        <v>44</v>
      </c>
      <c r="F24" s="117">
        <v>300</v>
      </c>
      <c r="G24" s="119">
        <f t="shared" ref="G24:G34" si="0">$G$18*F24+$G$17</f>
        <v>104.92999999999999</v>
      </c>
      <c r="H24" s="119">
        <f t="shared" ref="H24:H34" si="1">$I$17*F24^$I$18</f>
        <v>110.2476803704582</v>
      </c>
      <c r="I24" s="119">
        <f t="shared" ref="I24:I34" si="2">$K$17*EXP($K$18*F24)</f>
        <v>104.09245101084399</v>
      </c>
      <c r="J24" s="117">
        <v>103</v>
      </c>
      <c r="K24" s="120">
        <f t="shared" ref="K24:K34" si="3">ABS(G24-J24)/J24</f>
        <v>1.8737864077669832E-2</v>
      </c>
      <c r="L24" s="120">
        <f t="shared" ref="L24:L34" si="4">ABS(H24-J24)/J24</f>
        <v>7.0365828839399985E-2</v>
      </c>
      <c r="M24" s="120">
        <f t="shared" ref="M24:M34" si="5">ABS(I24-J24)/J24</f>
        <v>1.0606320493630948E-2</v>
      </c>
    </row>
    <row r="25" spans="2:13">
      <c r="B25" s="131">
        <v>11</v>
      </c>
      <c r="C25" s="131">
        <v>430</v>
      </c>
      <c r="D25" s="131">
        <v>58</v>
      </c>
      <c r="F25" s="117">
        <v>440</v>
      </c>
      <c r="G25" s="119">
        <f t="shared" si="0"/>
        <v>55.286000000000001</v>
      </c>
      <c r="H25" s="119">
        <f t="shared" si="1"/>
        <v>53.089557787712614</v>
      </c>
      <c r="I25" s="119">
        <f t="shared" si="2"/>
        <v>51.69078140761237</v>
      </c>
      <c r="J25" s="117">
        <v>49</v>
      </c>
      <c r="K25" s="120">
        <f t="shared" si="3"/>
        <v>0.12828571428571431</v>
      </c>
      <c r="L25" s="120">
        <f t="shared" si="4"/>
        <v>8.3460363014543154E-2</v>
      </c>
      <c r="M25" s="120">
        <f t="shared" si="5"/>
        <v>5.4913906277803466E-2</v>
      </c>
    </row>
    <row r="26" spans="2:13">
      <c r="B26" s="131">
        <v>12</v>
      </c>
      <c r="C26" s="131">
        <v>390</v>
      </c>
      <c r="D26" s="131">
        <v>68</v>
      </c>
      <c r="F26" s="117">
        <v>360</v>
      </c>
      <c r="G26" s="119">
        <f t="shared" si="0"/>
        <v>83.653999999999996</v>
      </c>
      <c r="H26" s="119">
        <f t="shared" si="1"/>
        <v>77.85592038588905</v>
      </c>
      <c r="I26" s="119">
        <f t="shared" si="2"/>
        <v>77.113584344252331</v>
      </c>
      <c r="J26" s="117">
        <v>86</v>
      </c>
      <c r="K26" s="120">
        <f t="shared" si="3"/>
        <v>2.7279069767441901E-2</v>
      </c>
      <c r="L26" s="120">
        <f t="shared" si="4"/>
        <v>9.4698600164080812E-2</v>
      </c>
      <c r="M26" s="120">
        <f t="shared" si="5"/>
        <v>0.10333041460171709</v>
      </c>
    </row>
    <row r="27" spans="2:13">
      <c r="B27" s="115"/>
      <c r="C27" s="115"/>
      <c r="D27" s="115"/>
      <c r="F27" s="117">
        <v>290</v>
      </c>
      <c r="G27" s="119">
        <f t="shared" si="0"/>
        <v>108.476</v>
      </c>
      <c r="H27" s="119">
        <f t="shared" si="1"/>
        <v>117.61465381582187</v>
      </c>
      <c r="I27" s="119">
        <f t="shared" si="2"/>
        <v>109.42938509863754</v>
      </c>
      <c r="J27" s="117">
        <v>125</v>
      </c>
      <c r="K27" s="120">
        <f t="shared" si="3"/>
        <v>0.132192</v>
      </c>
      <c r="L27" s="120">
        <f t="shared" si="4"/>
        <v>5.9082769473425063E-2</v>
      </c>
      <c r="M27" s="120">
        <f t="shared" si="5"/>
        <v>0.12456491921089968</v>
      </c>
    </row>
    <row r="28" spans="2:13">
      <c r="F28" s="117">
        <v>450</v>
      </c>
      <c r="G28" s="119">
        <f t="shared" si="0"/>
        <v>51.739999999999981</v>
      </c>
      <c r="H28" s="119">
        <f t="shared" si="1"/>
        <v>50.861286169919921</v>
      </c>
      <c r="I28" s="119">
        <f t="shared" si="2"/>
        <v>49.169792250355329</v>
      </c>
      <c r="J28" s="117">
        <v>52</v>
      </c>
      <c r="K28" s="120">
        <f t="shared" si="3"/>
        <v>5.0000000000003713E-3</v>
      </c>
      <c r="L28" s="120">
        <f t="shared" si="4"/>
        <v>2.1898342886155355E-2</v>
      </c>
      <c r="M28" s="120">
        <f t="shared" si="5"/>
        <v>5.4427072108551369E-2</v>
      </c>
    </row>
    <row r="29" spans="2:13">
      <c r="F29" s="117">
        <v>340</v>
      </c>
      <c r="G29" s="119">
        <f t="shared" si="0"/>
        <v>90.745999999999995</v>
      </c>
      <c r="H29" s="119">
        <f t="shared" si="1"/>
        <v>86.827049006961417</v>
      </c>
      <c r="I29" s="119">
        <f t="shared" si="2"/>
        <v>85.223690805841244</v>
      </c>
      <c r="J29" s="117">
        <v>87</v>
      </c>
      <c r="K29" s="120">
        <f t="shared" si="3"/>
        <v>4.3057471264367757E-2</v>
      </c>
      <c r="L29" s="120">
        <f t="shared" si="4"/>
        <v>1.9879424487193459E-3</v>
      </c>
      <c r="M29" s="120">
        <f t="shared" si="5"/>
        <v>2.0417347059296046E-2</v>
      </c>
    </row>
    <row r="30" spans="2:13">
      <c r="F30" s="117">
        <v>370</v>
      </c>
      <c r="G30" s="119">
        <f t="shared" si="0"/>
        <v>80.108000000000004</v>
      </c>
      <c r="H30" s="119">
        <f t="shared" si="1"/>
        <v>73.890384263545585</v>
      </c>
      <c r="I30" s="119">
        <f t="shared" si="2"/>
        <v>73.352710456970414</v>
      </c>
      <c r="J30" s="117">
        <v>68</v>
      </c>
      <c r="K30" s="120">
        <f t="shared" si="3"/>
        <v>0.17805882352941182</v>
      </c>
      <c r="L30" s="120">
        <f t="shared" si="4"/>
        <v>8.6623297993317416E-2</v>
      </c>
      <c r="M30" s="120">
        <f t="shared" si="5"/>
        <v>7.8716330249564911E-2</v>
      </c>
    </row>
    <row r="31" spans="2:13">
      <c r="F31" s="117">
        <v>500</v>
      </c>
      <c r="G31" s="119">
        <f t="shared" si="0"/>
        <v>34.009999999999991</v>
      </c>
      <c r="H31" s="119">
        <f t="shared" si="1"/>
        <v>41.59891911995917</v>
      </c>
      <c r="I31" s="119">
        <f t="shared" si="2"/>
        <v>38.293472708035026</v>
      </c>
      <c r="J31" s="117">
        <v>45</v>
      </c>
      <c r="K31" s="120">
        <f t="shared" si="3"/>
        <v>0.24422222222222242</v>
      </c>
      <c r="L31" s="120">
        <f t="shared" si="4"/>
        <v>7.5579575112018446E-2</v>
      </c>
      <c r="M31" s="120">
        <f t="shared" si="5"/>
        <v>0.14903393982144386</v>
      </c>
    </row>
    <row r="32" spans="2:13">
      <c r="F32" s="117">
        <v>490</v>
      </c>
      <c r="G32" s="119">
        <f t="shared" si="0"/>
        <v>37.555999999999983</v>
      </c>
      <c r="H32" s="119">
        <f t="shared" si="1"/>
        <v>43.233728796663705</v>
      </c>
      <c r="I32" s="119">
        <f t="shared" si="2"/>
        <v>40.256821037821332</v>
      </c>
      <c r="J32" s="117">
        <v>44</v>
      </c>
      <c r="K32" s="120">
        <f t="shared" si="3"/>
        <v>0.14645454545454584</v>
      </c>
      <c r="L32" s="120">
        <f t="shared" si="4"/>
        <v>1.7415254621279432E-2</v>
      </c>
      <c r="M32" s="120">
        <f t="shared" si="5"/>
        <v>8.5072249140424272E-2</v>
      </c>
    </row>
    <row r="33" spans="4:22">
      <c r="F33" s="117">
        <v>430</v>
      </c>
      <c r="G33" s="119">
        <f t="shared" si="0"/>
        <v>58.831999999999994</v>
      </c>
      <c r="H33" s="119">
        <f t="shared" si="1"/>
        <v>55.470106712335337</v>
      </c>
      <c r="I33" s="119">
        <f t="shared" si="2"/>
        <v>54.341024442914069</v>
      </c>
      <c r="J33" s="117">
        <v>58</v>
      </c>
      <c r="K33" s="120">
        <f t="shared" si="3"/>
        <v>1.4344827586206787E-2</v>
      </c>
      <c r="L33" s="120">
        <f t="shared" si="4"/>
        <v>4.3618849787321778E-2</v>
      </c>
      <c r="M33" s="120">
        <f t="shared" si="5"/>
        <v>6.3085785466998806E-2</v>
      </c>
    </row>
    <row r="34" spans="4:22">
      <c r="F34" s="117">
        <v>390</v>
      </c>
      <c r="G34" s="119">
        <f t="shared" si="0"/>
        <v>73.015999999999991</v>
      </c>
      <c r="H34" s="119">
        <f t="shared" si="1"/>
        <v>66.829089531318985</v>
      </c>
      <c r="I34" s="119">
        <f t="shared" si="2"/>
        <v>66.372277135824447</v>
      </c>
      <c r="J34" s="117">
        <v>68</v>
      </c>
      <c r="K34" s="120">
        <f t="shared" si="3"/>
        <v>7.3764705882352816E-2</v>
      </c>
      <c r="L34" s="120">
        <f t="shared" si="4"/>
        <v>1.7219271598250221E-2</v>
      </c>
      <c r="M34" s="120">
        <f t="shared" si="5"/>
        <v>2.393710094375813E-2</v>
      </c>
    </row>
    <row r="35" spans="4:22">
      <c r="K35" s="121">
        <f>AVERAGE(K23:K34)</f>
        <v>9.6764585153975916E-2</v>
      </c>
      <c r="L35" s="122">
        <f>AVERAGE(L23:L34)</f>
        <v>5.8516741642875771E-2</v>
      </c>
      <c r="M35" s="121">
        <f>AVERAGE(M23:M34)</f>
        <v>7.17306196151654E-2</v>
      </c>
      <c r="N35" t="s">
        <v>111</v>
      </c>
    </row>
    <row r="37" spans="4:22">
      <c r="O37" s="430" t="s">
        <v>123</v>
      </c>
      <c r="P37" s="431"/>
      <c r="Q37" s="431"/>
      <c r="R37" s="431"/>
      <c r="S37" s="431"/>
      <c r="T37" s="432"/>
      <c r="U37" s="128"/>
      <c r="V37" s="128"/>
    </row>
    <row r="38" spans="4:22">
      <c r="N38" s="130">
        <f>E47</f>
        <v>1042213.0017719698</v>
      </c>
      <c r="O38" s="125">
        <v>250</v>
      </c>
      <c r="P38" s="125">
        <v>300</v>
      </c>
      <c r="Q38" s="125">
        <v>350</v>
      </c>
      <c r="R38" s="125">
        <v>400</v>
      </c>
      <c r="S38" s="125">
        <v>450</v>
      </c>
      <c r="T38" s="125">
        <v>500</v>
      </c>
    </row>
    <row r="39" spans="4:22">
      <c r="D39" s="46" t="s">
        <v>113</v>
      </c>
      <c r="E39" s="46"/>
      <c r="I39" s="112" t="s">
        <v>96</v>
      </c>
      <c r="J39" s="112" t="s">
        <v>14</v>
      </c>
      <c r="M39" s="445" t="s">
        <v>122</v>
      </c>
      <c r="N39" s="126">
        <v>250</v>
      </c>
      <c r="O39" s="127">
        <f t="dataTable" ref="O39:T74" dt2D="1" dtr="1" r1="E40" r2="E41" ca="1"/>
        <v>0</v>
      </c>
      <c r="P39" s="127">
        <v>-780579.75339725427</v>
      </c>
      <c r="Q39" s="127">
        <v>-1561159.5067945095</v>
      </c>
      <c r="R39" s="127">
        <v>-2341739.2601917638</v>
      </c>
      <c r="S39" s="127">
        <v>-3122319.013589018</v>
      </c>
      <c r="T39" s="127">
        <v>-3902898.7669862732</v>
      </c>
    </row>
    <row r="40" spans="4:22">
      <c r="D40" s="46" t="s">
        <v>112</v>
      </c>
      <c r="E40" s="106">
        <v>250</v>
      </c>
      <c r="F40" t="s">
        <v>124</v>
      </c>
      <c r="I40" s="113"/>
      <c r="J40" s="124">
        <f>E47</f>
        <v>1042213.0017719698</v>
      </c>
      <c r="M40" s="446"/>
      <c r="N40" s="126">
        <v>260</v>
      </c>
      <c r="O40" s="127">
        <v>144859.72842847556</v>
      </c>
      <c r="P40" s="127">
        <v>-579438.91371390224</v>
      </c>
      <c r="Q40" s="127">
        <v>-1303737.5558562791</v>
      </c>
      <c r="R40" s="127">
        <v>-2028036.1979986569</v>
      </c>
      <c r="S40" s="127">
        <v>-2752334.8401410338</v>
      </c>
      <c r="T40" s="127">
        <v>-3476633.4822834115</v>
      </c>
    </row>
    <row r="41" spans="4:22">
      <c r="D41" s="46" t="s">
        <v>114</v>
      </c>
      <c r="E41" s="232">
        <v>530</v>
      </c>
      <c r="F41" s="441" t="s">
        <v>115</v>
      </c>
      <c r="G41" s="441"/>
      <c r="I41" s="123">
        <v>250</v>
      </c>
      <c r="J41" s="123">
        <f t="dataTable" ref="J41:J71" dt2D="0" dtr="0" r1="E41"/>
        <v>0</v>
      </c>
      <c r="M41" s="446"/>
      <c r="N41" s="126">
        <v>270</v>
      </c>
      <c r="O41" s="127">
        <v>269590.60184817808</v>
      </c>
      <c r="P41" s="127">
        <v>-404385.90277226688</v>
      </c>
      <c r="Q41" s="127">
        <v>-1078362.4073927123</v>
      </c>
      <c r="R41" s="127">
        <v>-1752338.9120131573</v>
      </c>
      <c r="S41" s="127">
        <v>-2426315.4166336022</v>
      </c>
      <c r="T41" s="127">
        <v>-3100291.9212540481</v>
      </c>
    </row>
    <row r="42" spans="4:22">
      <c r="D42" s="46" t="s">
        <v>116</v>
      </c>
      <c r="E42" s="54">
        <f>I17*E41^I18</f>
        <v>37.221892920427493</v>
      </c>
      <c r="F42" t="str">
        <f ca="1">_xlfn.FORMULATEXT(E42)</f>
        <v>=I17*E41^I18</v>
      </c>
      <c r="I42" s="123">
        <v>260</v>
      </c>
      <c r="J42" s="123">
        <v>144859.72842847556</v>
      </c>
      <c r="K42" t="str">
        <f ca="1">_xlfn.FORMULATEXT(J42)</f>
        <v>{=TABLE(;E41)}</v>
      </c>
      <c r="M42" s="446"/>
      <c r="N42" s="126">
        <v>280</v>
      </c>
      <c r="O42" s="127">
        <v>377277.18719872413</v>
      </c>
      <c r="P42" s="127">
        <v>-251518.12479914958</v>
      </c>
      <c r="Q42" s="127">
        <v>-880313.43679702282</v>
      </c>
      <c r="R42" s="127">
        <v>-1509108.7487948965</v>
      </c>
      <c r="S42" s="127">
        <v>-2137904.0607927702</v>
      </c>
      <c r="T42" s="127">
        <v>-2766699.3727906439</v>
      </c>
    </row>
    <row r="43" spans="4:22">
      <c r="D43" s="46" t="s">
        <v>117</v>
      </c>
      <c r="E43" s="54">
        <f>E42*100</f>
        <v>3722.1892920427495</v>
      </c>
      <c r="F43" t="str">
        <f ca="1">_xlfn.FORMULATEXT(E43)</f>
        <v>=E42*100</v>
      </c>
      <c r="I43" s="123">
        <v>270</v>
      </c>
      <c r="J43" s="123">
        <v>269590.60184817808</v>
      </c>
      <c r="M43" s="446"/>
      <c r="N43" s="126">
        <v>290</v>
      </c>
      <c r="O43" s="127">
        <v>470458.61526328744</v>
      </c>
      <c r="P43" s="127">
        <v>-117614.65381582174</v>
      </c>
      <c r="Q43" s="127">
        <v>-705687.9228949314</v>
      </c>
      <c r="R43" s="127">
        <v>-1293761.1919740411</v>
      </c>
      <c r="S43" s="127">
        <v>-1881834.4610531498</v>
      </c>
      <c r="T43" s="127">
        <v>-2469907.7301322594</v>
      </c>
    </row>
    <row r="44" spans="4:22">
      <c r="D44" s="46"/>
      <c r="E44" s="46"/>
      <c r="I44" s="123">
        <v>280</v>
      </c>
      <c r="J44" s="123">
        <v>377277.18719872413</v>
      </c>
      <c r="M44" s="446"/>
      <c r="N44" s="126">
        <v>300</v>
      </c>
      <c r="O44" s="127">
        <v>551238.40185229108</v>
      </c>
      <c r="P44" s="127">
        <v>0</v>
      </c>
      <c r="Q44" s="127">
        <v>-551238.40185229108</v>
      </c>
      <c r="R44" s="127">
        <v>-1102476.8037045817</v>
      </c>
      <c r="S44" s="127">
        <v>-1653715.2055568728</v>
      </c>
      <c r="T44" s="127">
        <v>-2204953.6074091638</v>
      </c>
    </row>
    <row r="45" spans="4:22">
      <c r="D45" s="46" t="s">
        <v>118</v>
      </c>
      <c r="E45" s="106">
        <f>E43*E40</f>
        <v>930547.32301068737</v>
      </c>
      <c r="F45" t="str">
        <f ca="1">_xlfn.FORMULATEXT(E45)</f>
        <v>=E43*E40</v>
      </c>
      <c r="I45" s="123">
        <v>290</v>
      </c>
      <c r="J45" s="123">
        <v>470458.61526328744</v>
      </c>
      <c r="M45" s="446"/>
      <c r="N45" s="126">
        <v>310</v>
      </c>
      <c r="O45" s="127">
        <v>621369.53021456813</v>
      </c>
      <c r="P45" s="127">
        <v>103561.58836909477</v>
      </c>
      <c r="Q45" s="127">
        <v>-414246.3534763786</v>
      </c>
      <c r="R45" s="127">
        <v>-932054.2953218515</v>
      </c>
      <c r="S45" s="127">
        <v>-1449862.2371673249</v>
      </c>
      <c r="T45" s="127">
        <v>-1967670.1790127978</v>
      </c>
    </row>
    <row r="46" spans="4:22">
      <c r="D46" s="46" t="s">
        <v>119</v>
      </c>
      <c r="E46" s="106">
        <f>E43*E41</f>
        <v>1972760.3247826572</v>
      </c>
      <c r="F46" t="str">
        <f ca="1">_xlfn.FORMULATEXT(E46)</f>
        <v>=E43*E41</v>
      </c>
      <c r="I46" s="123">
        <v>300</v>
      </c>
      <c r="J46" s="123">
        <v>551238.40185229108</v>
      </c>
      <c r="M46" s="446"/>
      <c r="N46" s="126">
        <v>320</v>
      </c>
      <c r="O46" s="127">
        <v>682320.93416212313</v>
      </c>
      <c r="P46" s="127">
        <v>194948.83833203511</v>
      </c>
      <c r="Q46" s="127">
        <v>-292423.2574980529</v>
      </c>
      <c r="R46" s="127">
        <v>-779795.35332814092</v>
      </c>
      <c r="S46" s="127">
        <v>-1267167.4491582289</v>
      </c>
      <c r="T46" s="127">
        <v>-1754539.5449883174</v>
      </c>
    </row>
    <row r="47" spans="4:22">
      <c r="D47" s="50" t="s">
        <v>61</v>
      </c>
      <c r="E47" s="134">
        <f>E46-E45</f>
        <v>1042213.0017719698</v>
      </c>
      <c r="F47" t="str">
        <f ca="1">_xlfn.FORMULATEXT(E47)</f>
        <v>=E46-E45</v>
      </c>
      <c r="I47" s="123">
        <v>310</v>
      </c>
      <c r="J47" s="123">
        <v>621369.53021456813</v>
      </c>
      <c r="M47" s="446"/>
      <c r="N47" s="126">
        <v>330</v>
      </c>
      <c r="O47" s="127">
        <v>735329.86392835062</v>
      </c>
      <c r="P47" s="127">
        <v>275748.69897313137</v>
      </c>
      <c r="Q47" s="127">
        <v>-183832.46598208742</v>
      </c>
      <c r="R47" s="127">
        <v>-643413.63093730668</v>
      </c>
      <c r="S47" s="127">
        <v>-1102994.7958925259</v>
      </c>
      <c r="T47" s="127">
        <v>-1562575.9608477447</v>
      </c>
    </row>
    <row r="48" spans="4:22">
      <c r="I48" s="123">
        <v>320</v>
      </c>
      <c r="J48" s="123">
        <v>682320.93416212313</v>
      </c>
      <c r="M48" s="446"/>
      <c r="N48" s="126">
        <v>340</v>
      </c>
      <c r="O48" s="127">
        <v>781443.44106265297</v>
      </c>
      <c r="P48" s="127">
        <v>347308.19602784561</v>
      </c>
      <c r="Q48" s="127">
        <v>-86827.049006961286</v>
      </c>
      <c r="R48" s="127">
        <v>-520962.29404176865</v>
      </c>
      <c r="S48" s="127">
        <v>-955097.53907657554</v>
      </c>
      <c r="T48" s="127">
        <v>-1389232.7841113824</v>
      </c>
    </row>
    <row r="49" spans="1:20">
      <c r="I49" s="123">
        <v>330</v>
      </c>
      <c r="J49" s="123">
        <v>735329.86392835062</v>
      </c>
      <c r="M49" s="446"/>
      <c r="N49" s="126">
        <v>350</v>
      </c>
      <c r="O49" s="127">
        <v>821551.86522268457</v>
      </c>
      <c r="P49" s="127">
        <v>410775.93261134205</v>
      </c>
      <c r="Q49" s="127">
        <v>0</v>
      </c>
      <c r="R49" s="127">
        <v>-410775.93261134205</v>
      </c>
      <c r="S49" s="127">
        <v>-821551.86522268457</v>
      </c>
      <c r="T49" s="127">
        <v>-1232327.7978340266</v>
      </c>
    </row>
    <row r="50" spans="1:20">
      <c r="I50" s="123">
        <v>340</v>
      </c>
      <c r="J50" s="123">
        <v>781443.44106265297</v>
      </c>
      <c r="M50" s="446"/>
      <c r="N50" s="126">
        <v>360</v>
      </c>
      <c r="O50" s="127">
        <v>856415.12424477958</v>
      </c>
      <c r="P50" s="127">
        <v>467135.52231533453</v>
      </c>
      <c r="Q50" s="127">
        <v>77855.920385889243</v>
      </c>
      <c r="R50" s="127">
        <v>-311423.68154355604</v>
      </c>
      <c r="S50" s="127">
        <v>-700703.28347300133</v>
      </c>
      <c r="T50" s="127">
        <v>-1089982.8854024466</v>
      </c>
    </row>
    <row r="51" spans="1:20">
      <c r="A51" s="433"/>
      <c r="B51" s="433"/>
      <c r="C51" s="433"/>
      <c r="D51" s="433"/>
      <c r="E51" s="433"/>
      <c r="F51" s="433"/>
      <c r="G51" s="434"/>
      <c r="I51" s="123">
        <v>350</v>
      </c>
      <c r="J51" s="123">
        <v>821551.86522268457</v>
      </c>
      <c r="M51" s="446"/>
      <c r="N51" s="126">
        <v>370</v>
      </c>
      <c r="O51" s="127">
        <v>886684.61116254725</v>
      </c>
      <c r="P51" s="127">
        <v>517232.68984481925</v>
      </c>
      <c r="Q51" s="127">
        <v>147780.76852709148</v>
      </c>
      <c r="R51" s="127">
        <v>-221671.15279063676</v>
      </c>
      <c r="S51" s="127">
        <v>-591123.07410836453</v>
      </c>
      <c r="T51" s="127">
        <v>-960574.9954260923</v>
      </c>
    </row>
    <row r="52" spans="1:20" ht="15" customHeight="1">
      <c r="A52" s="433"/>
      <c r="B52" s="433"/>
      <c r="C52" s="433"/>
      <c r="D52" s="433"/>
      <c r="E52" s="433"/>
      <c r="F52" s="433"/>
      <c r="G52" s="434"/>
      <c r="I52" s="123">
        <v>360</v>
      </c>
      <c r="J52" s="123">
        <v>856415.12424477958</v>
      </c>
      <c r="M52" s="446"/>
      <c r="N52" s="126">
        <v>380</v>
      </c>
      <c r="O52" s="127">
        <v>912920.72098907013</v>
      </c>
      <c r="P52" s="127">
        <v>561797.36676250491</v>
      </c>
      <c r="Q52" s="127">
        <v>210674.01253593946</v>
      </c>
      <c r="R52" s="127">
        <v>-140449.341690626</v>
      </c>
      <c r="S52" s="127">
        <v>-491572.69591719145</v>
      </c>
      <c r="T52" s="127">
        <v>-842696.05014375644</v>
      </c>
    </row>
    <row r="53" spans="1:20">
      <c r="A53" s="26"/>
      <c r="B53" s="26"/>
      <c r="C53" s="26"/>
      <c r="D53" s="26"/>
      <c r="E53" s="26"/>
      <c r="F53" s="26"/>
      <c r="I53" s="123">
        <v>370</v>
      </c>
      <c r="J53" s="123">
        <v>886684.61116254725</v>
      </c>
      <c r="M53" s="446"/>
      <c r="N53" s="126">
        <v>390</v>
      </c>
      <c r="O53" s="127">
        <v>935607.253438466</v>
      </c>
      <c r="P53" s="127">
        <v>601461.80578187108</v>
      </c>
      <c r="Q53" s="127">
        <v>267316.35812527593</v>
      </c>
      <c r="R53" s="127">
        <v>-66829.08953131875</v>
      </c>
      <c r="S53" s="127">
        <v>-400974.5371879139</v>
      </c>
      <c r="T53" s="127">
        <v>-735119.98484450858</v>
      </c>
    </row>
    <row r="54" spans="1:20">
      <c r="I54" s="123">
        <v>380</v>
      </c>
      <c r="J54" s="123">
        <v>912920.72098907013</v>
      </c>
      <c r="M54" s="446"/>
      <c r="N54" s="126">
        <v>400</v>
      </c>
      <c r="O54" s="127">
        <v>955163.26238462282</v>
      </c>
      <c r="P54" s="127">
        <v>636775.50825641514</v>
      </c>
      <c r="Q54" s="127">
        <v>318387.75412820745</v>
      </c>
      <c r="R54" s="127">
        <v>0</v>
      </c>
      <c r="S54" s="127">
        <v>-318387.75412820745</v>
      </c>
      <c r="T54" s="127">
        <v>-636775.50825641491</v>
      </c>
    </row>
    <row r="55" spans="1:20">
      <c r="I55" s="123">
        <v>390</v>
      </c>
      <c r="J55" s="123">
        <v>935607.253438466</v>
      </c>
      <c r="M55" s="446"/>
      <c r="N55" s="126">
        <v>410</v>
      </c>
      <c r="O55" s="127">
        <v>971952.85243747453</v>
      </c>
      <c r="P55" s="127">
        <v>668217.58605076349</v>
      </c>
      <c r="Q55" s="127">
        <v>364482.31966405269</v>
      </c>
      <c r="R55" s="127">
        <v>60747.053277342115</v>
      </c>
      <c r="S55" s="127">
        <v>-242988.21310936892</v>
      </c>
      <c r="T55" s="127">
        <v>-546723.4794960795</v>
      </c>
    </row>
    <row r="56" spans="1:20">
      <c r="I56" s="123">
        <v>400</v>
      </c>
      <c r="J56" s="123">
        <v>955163.26238462282</v>
      </c>
      <c r="M56" s="446"/>
      <c r="N56" s="126">
        <v>420</v>
      </c>
      <c r="O56" s="127">
        <v>986293.31587235699</v>
      </c>
      <c r="P56" s="127">
        <v>696207.04649813427</v>
      </c>
      <c r="Q56" s="127">
        <v>406120.77712391177</v>
      </c>
      <c r="R56" s="127">
        <v>116034.50774968928</v>
      </c>
      <c r="S56" s="127">
        <v>-174051.76162453368</v>
      </c>
      <c r="T56" s="127">
        <v>-464138.03099875618</v>
      </c>
    </row>
    <row r="57" spans="1:20">
      <c r="I57" s="123">
        <v>410</v>
      </c>
      <c r="J57" s="123">
        <v>971952.85243747453</v>
      </c>
      <c r="M57" s="446"/>
      <c r="N57" s="126">
        <v>430</v>
      </c>
      <c r="O57" s="127">
        <v>998461.92082203622</v>
      </c>
      <c r="P57" s="127">
        <v>721111.38726035948</v>
      </c>
      <c r="Q57" s="127">
        <v>443760.85369868297</v>
      </c>
      <c r="R57" s="127">
        <v>166410.32013700623</v>
      </c>
      <c r="S57" s="127">
        <v>-110940.21342467051</v>
      </c>
      <c r="T57" s="127">
        <v>-388290.74698634725</v>
      </c>
    </row>
    <row r="58" spans="1:20">
      <c r="I58" s="123">
        <v>420</v>
      </c>
      <c r="J58" s="123">
        <v>986293.31587235699</v>
      </c>
      <c r="M58" s="446"/>
      <c r="N58" s="126">
        <v>440</v>
      </c>
      <c r="O58" s="127">
        <v>1008701.5979665397</v>
      </c>
      <c r="P58" s="127">
        <v>743253.80902797659</v>
      </c>
      <c r="Q58" s="127">
        <v>477806.02008941351</v>
      </c>
      <c r="R58" s="127">
        <v>212358.23115085065</v>
      </c>
      <c r="S58" s="127">
        <v>-53089.557787712663</v>
      </c>
      <c r="T58" s="127">
        <v>-318537.34672627551</v>
      </c>
    </row>
    <row r="59" spans="1:20">
      <c r="I59" s="123">
        <v>430</v>
      </c>
      <c r="J59" s="123">
        <v>998461.92082203622</v>
      </c>
      <c r="M59" s="446"/>
      <c r="N59" s="126">
        <v>450</v>
      </c>
      <c r="O59" s="127">
        <v>1017225.7233983984</v>
      </c>
      <c r="P59" s="127">
        <v>762919.29254879872</v>
      </c>
      <c r="Q59" s="127">
        <v>508612.86169919907</v>
      </c>
      <c r="R59" s="127">
        <v>254306.43084959942</v>
      </c>
      <c r="S59" s="127">
        <v>0</v>
      </c>
      <c r="T59" s="127">
        <v>-254306.43084959965</v>
      </c>
    </row>
    <row r="60" spans="1:20">
      <c r="I60" s="123">
        <v>440</v>
      </c>
      <c r="J60" s="123">
        <v>1008701.5979665397</v>
      </c>
      <c r="M60" s="446"/>
      <c r="N60" s="126">
        <v>460</v>
      </c>
      <c r="O60" s="127">
        <v>1024222.1565401531</v>
      </c>
      <c r="P60" s="127">
        <v>780359.73831630708</v>
      </c>
      <c r="Q60" s="127">
        <v>536497.3200924613</v>
      </c>
      <c r="R60" s="127">
        <v>292634.9018686153</v>
      </c>
      <c r="S60" s="127">
        <v>48772.483644769527</v>
      </c>
      <c r="T60" s="127">
        <v>-195089.93457907671</v>
      </c>
    </row>
    <row r="61" spans="1:20">
      <c r="I61" s="123">
        <v>450</v>
      </c>
      <c r="J61" s="123">
        <v>1017225.7233983984</v>
      </c>
      <c r="M61" s="446"/>
      <c r="N61" s="126">
        <v>470</v>
      </c>
      <c r="O61" s="127">
        <v>1029856.6614397548</v>
      </c>
      <c r="P61" s="127">
        <v>795798.32929435605</v>
      </c>
      <c r="Q61" s="127">
        <v>561739.9971489571</v>
      </c>
      <c r="R61" s="127">
        <v>327681.66500355839</v>
      </c>
      <c r="S61" s="127">
        <v>93623.332858159672</v>
      </c>
      <c r="T61" s="127">
        <v>-140434.99928723928</v>
      </c>
    </row>
    <row r="62" spans="1:20">
      <c r="I62" s="123">
        <v>460</v>
      </c>
      <c r="J62" s="123">
        <v>1024222.1565401531</v>
      </c>
      <c r="M62" s="446"/>
      <c r="N62" s="126">
        <v>480</v>
      </c>
      <c r="O62" s="127">
        <v>1034275.8155834542</v>
      </c>
      <c r="P62" s="127">
        <v>809433.24697835557</v>
      </c>
      <c r="Q62" s="127">
        <v>584590.67837325693</v>
      </c>
      <c r="R62" s="127">
        <v>359748.10976815806</v>
      </c>
      <c r="S62" s="127">
        <v>134905.54116305942</v>
      </c>
      <c r="T62" s="127">
        <v>-89937.027442039456</v>
      </c>
    </row>
    <row r="63" spans="1:20">
      <c r="I63" s="123">
        <v>470</v>
      </c>
      <c r="J63" s="123">
        <v>1029856.6614397548</v>
      </c>
      <c r="M63" s="446"/>
      <c r="N63" s="126">
        <v>490</v>
      </c>
      <c r="O63" s="127">
        <v>1037609.4911199291</v>
      </c>
      <c r="P63" s="127">
        <v>821440.84713661065</v>
      </c>
      <c r="Q63" s="127">
        <v>605272.20315329218</v>
      </c>
      <c r="R63" s="127">
        <v>389103.55916997371</v>
      </c>
      <c r="S63" s="127">
        <v>172934.91518665501</v>
      </c>
      <c r="T63" s="127">
        <v>-43233.728796663694</v>
      </c>
    </row>
    <row r="64" spans="1:20">
      <c r="I64" s="123">
        <v>480</v>
      </c>
      <c r="J64" s="123">
        <v>1034275.8155834542</v>
      </c>
      <c r="M64" s="446"/>
      <c r="N64" s="126">
        <v>500</v>
      </c>
      <c r="O64" s="127">
        <v>1039972.9779989794</v>
      </c>
      <c r="P64" s="127">
        <v>831978.3823991837</v>
      </c>
      <c r="Q64" s="127">
        <v>623983.78679938777</v>
      </c>
      <c r="R64" s="127">
        <v>415989.19119959185</v>
      </c>
      <c r="S64" s="127">
        <v>207994.59559979592</v>
      </c>
      <c r="T64" s="127">
        <v>0</v>
      </c>
    </row>
    <row r="65" spans="7:20">
      <c r="I65" s="123">
        <v>490</v>
      </c>
      <c r="J65" s="123">
        <v>1037609.4911199291</v>
      </c>
      <c r="M65" s="446"/>
      <c r="N65" s="126">
        <v>510</v>
      </c>
      <c r="O65" s="127">
        <v>1041468.8061629091</v>
      </c>
      <c r="P65" s="127">
        <v>841186.34343927284</v>
      </c>
      <c r="Q65" s="127">
        <v>640903.8807156363</v>
      </c>
      <c r="R65" s="127">
        <v>440621.417992</v>
      </c>
      <c r="S65" s="127">
        <v>240338.9552683637</v>
      </c>
      <c r="T65" s="127">
        <v>40056.4925447274</v>
      </c>
    </row>
    <row r="66" spans="7:20">
      <c r="I66" s="123">
        <v>500</v>
      </c>
      <c r="J66" s="123">
        <v>1039972.9779989794</v>
      </c>
      <c r="M66" s="446"/>
      <c r="N66" s="126">
        <v>520</v>
      </c>
      <c r="O66" s="127">
        <v>1042188.3139489595</v>
      </c>
      <c r="P66" s="127">
        <v>849190.47803248558</v>
      </c>
      <c r="Q66" s="127">
        <v>656192.64211601159</v>
      </c>
      <c r="R66" s="127">
        <v>463194.80619953759</v>
      </c>
      <c r="S66" s="127">
        <v>270196.97028306359</v>
      </c>
      <c r="T66" s="127">
        <v>77199.134366589598</v>
      </c>
    </row>
    <row r="67" spans="7:20">
      <c r="I67" s="123">
        <v>510</v>
      </c>
      <c r="J67" s="123">
        <v>1041468.8061629091</v>
      </c>
      <c r="M67" s="446"/>
      <c r="N67" s="126">
        <v>530</v>
      </c>
      <c r="O67" s="135">
        <v>1042213.0017719698</v>
      </c>
      <c r="P67" s="127">
        <v>856103.53716983227</v>
      </c>
      <c r="Q67" s="127">
        <v>669994.07256769482</v>
      </c>
      <c r="R67" s="127">
        <v>483884.60796555737</v>
      </c>
      <c r="S67" s="127">
        <v>297775.14336341992</v>
      </c>
      <c r="T67" s="127">
        <v>111665.67876128247</v>
      </c>
    </row>
    <row r="68" spans="7:20">
      <c r="I68" s="123">
        <v>520</v>
      </c>
      <c r="J68" s="123">
        <v>1042188.3139489595</v>
      </c>
      <c r="M68" s="446"/>
      <c r="N68" s="126">
        <v>540</v>
      </c>
      <c r="O68" s="127">
        <v>1041615.7035724644</v>
      </c>
      <c r="P68" s="127">
        <v>862026.78916341881</v>
      </c>
      <c r="Q68" s="127">
        <v>682437.87475437322</v>
      </c>
      <c r="R68" s="127">
        <v>502848.96034532762</v>
      </c>
      <c r="S68" s="127">
        <v>323260.04593628203</v>
      </c>
      <c r="T68" s="127">
        <v>143671.13152723666</v>
      </c>
    </row>
    <row r="69" spans="7:20">
      <c r="G69" s="442" t="s">
        <v>121</v>
      </c>
      <c r="H69" s="443"/>
      <c r="I69" s="123">
        <v>530</v>
      </c>
      <c r="J69" s="129">
        <v>1042213.0017719698</v>
      </c>
      <c r="K69" s="444" t="s">
        <v>120</v>
      </c>
      <c r="L69" s="441"/>
      <c r="M69" s="447"/>
      <c r="N69" s="126">
        <v>550</v>
      </c>
      <c r="O69" s="127">
        <v>1040461.6031350964</v>
      </c>
      <c r="P69" s="127">
        <v>867051.33594591368</v>
      </c>
      <c r="Q69" s="127">
        <v>693641.06875673099</v>
      </c>
      <c r="R69" s="127">
        <v>520230.80156754819</v>
      </c>
      <c r="S69" s="127">
        <v>346820.53437836538</v>
      </c>
      <c r="T69" s="127">
        <v>173410.26718918281</v>
      </c>
    </row>
    <row r="70" spans="7:20">
      <c r="I70" s="123">
        <v>540</v>
      </c>
      <c r="J70" s="123">
        <v>1041615.7035724644</v>
      </c>
      <c r="N70" s="126">
        <v>560</v>
      </c>
      <c r="O70" s="106">
        <v>1038809.1179690239</v>
      </c>
      <c r="P70" s="106">
        <v>871259.26023208455</v>
      </c>
      <c r="Q70" s="106">
        <v>703709.4024951451</v>
      </c>
      <c r="R70" s="106">
        <v>536159.544758206</v>
      </c>
      <c r="S70" s="106">
        <v>368609.68702126667</v>
      </c>
      <c r="T70" s="106">
        <v>201059.82928432734</v>
      </c>
    </row>
    <row r="71" spans="7:20">
      <c r="I71" s="123">
        <v>550</v>
      </c>
      <c r="J71" s="123">
        <v>1040461.6031350964</v>
      </c>
      <c r="N71" s="126">
        <v>570</v>
      </c>
      <c r="O71" s="106">
        <v>1036710.669808225</v>
      </c>
      <c r="P71" s="106">
        <v>874724.6276506898</v>
      </c>
      <c r="Q71" s="106">
        <v>712738.58549315459</v>
      </c>
      <c r="R71" s="106">
        <v>550752.54333561938</v>
      </c>
      <c r="S71" s="106">
        <v>388766.50117808441</v>
      </c>
      <c r="T71" s="106">
        <v>226780.4590205492</v>
      </c>
    </row>
    <row r="72" spans="7:20">
      <c r="N72" s="126">
        <v>580</v>
      </c>
      <c r="O72" s="106">
        <v>1034213.3577876764</v>
      </c>
      <c r="P72" s="106">
        <v>877514.36418348295</v>
      </c>
      <c r="Q72" s="106">
        <v>720815.37057928951</v>
      </c>
      <c r="R72" s="106">
        <v>564116.37697509606</v>
      </c>
      <c r="S72" s="106">
        <v>407417.38337090285</v>
      </c>
      <c r="T72" s="106">
        <v>250718.38976670941</v>
      </c>
    </row>
    <row r="73" spans="7:20">
      <c r="N73" s="126">
        <v>590</v>
      </c>
      <c r="O73" s="106">
        <v>1031359.5478624469</v>
      </c>
      <c r="P73" s="106">
        <v>879689.02611796942</v>
      </c>
      <c r="Q73" s="106">
        <v>728018.50437349197</v>
      </c>
      <c r="R73" s="106">
        <v>576347.98262901441</v>
      </c>
      <c r="S73" s="106">
        <v>424677.46088453708</v>
      </c>
      <c r="T73" s="106">
        <v>273006.93914005952</v>
      </c>
    </row>
    <row r="74" spans="7:20">
      <c r="N74" s="126">
        <v>600</v>
      </c>
      <c r="O74" s="106">
        <v>1028187.3899667513</v>
      </c>
      <c r="P74" s="106">
        <v>881303.47711435833</v>
      </c>
      <c r="Q74" s="106">
        <v>734419.56426196522</v>
      </c>
      <c r="R74" s="106">
        <v>587535.65140957222</v>
      </c>
      <c r="S74" s="106">
        <v>440651.73855717899</v>
      </c>
      <c r="T74" s="106">
        <v>293767.825704786</v>
      </c>
    </row>
  </sheetData>
  <mergeCells count="13">
    <mergeCell ref="G69:H69"/>
    <mergeCell ref="K69:L69"/>
    <mergeCell ref="M39:M69"/>
    <mergeCell ref="B2:K13"/>
    <mergeCell ref="H16:I16"/>
    <mergeCell ref="J16:K16"/>
    <mergeCell ref="F16:G16"/>
    <mergeCell ref="O37:T37"/>
    <mergeCell ref="A51:F52"/>
    <mergeCell ref="G51:G52"/>
    <mergeCell ref="K21:M21"/>
    <mergeCell ref="F21:J21"/>
    <mergeCell ref="F41:G41"/>
  </mergeCells>
  <conditionalFormatting sqref="J41:J71">
    <cfRule type="top10" dxfId="18" priority="15" rank="1"/>
  </conditionalFormatting>
  <conditionalFormatting sqref="O39:O74">
    <cfRule type="top10" dxfId="17" priority="6" rank="1"/>
  </conditionalFormatting>
  <conditionalFormatting sqref="P39:P74">
    <cfRule type="top10" dxfId="16" priority="5" rank="1"/>
  </conditionalFormatting>
  <conditionalFormatting sqref="Q39:Q74">
    <cfRule type="top10" dxfId="15" priority="4" rank="1"/>
  </conditionalFormatting>
  <conditionalFormatting sqref="R39:R74">
    <cfRule type="top10" dxfId="14" priority="3" rank="1"/>
  </conditionalFormatting>
  <conditionalFormatting sqref="S39:S74">
    <cfRule type="top10" dxfId="13" priority="2" rank="1"/>
  </conditionalFormatting>
  <conditionalFormatting sqref="T39:T74">
    <cfRule type="top10" dxfId="12" priority="1" rank="1"/>
  </conditionalFormatting>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C222E-0E75-4C13-9C01-1C377EBF3658}">
  <dimension ref="A2:P25"/>
  <sheetViews>
    <sheetView zoomScale="112" zoomScaleNormal="112" workbookViewId="0">
      <selection activeCell="A2" sqref="A2:H14"/>
    </sheetView>
  </sheetViews>
  <sheetFormatPr defaultRowHeight="15"/>
  <cols>
    <col min="3" max="3" width="15.28515625" customWidth="1"/>
    <col min="4" max="4" width="13.28515625" customWidth="1"/>
    <col min="5" max="5" width="11.7109375" customWidth="1"/>
    <col min="6" max="6" width="10.5703125" bestFit="1" customWidth="1"/>
    <col min="7" max="7" width="13.140625" customWidth="1"/>
    <col min="8" max="8" width="11.7109375" customWidth="1"/>
  </cols>
  <sheetData>
    <row r="2" spans="1:13" ht="15" customHeight="1">
      <c r="A2" s="455" t="s">
        <v>135</v>
      </c>
      <c r="B2" s="456"/>
      <c r="C2" s="456"/>
      <c r="D2" s="456"/>
      <c r="E2" s="456"/>
      <c r="F2" s="456"/>
      <c r="G2" s="456"/>
      <c r="H2" s="457"/>
    </row>
    <row r="3" spans="1:13">
      <c r="A3" s="458"/>
      <c r="B3" s="459"/>
      <c r="C3" s="459"/>
      <c r="D3" s="459"/>
      <c r="E3" s="459"/>
      <c r="F3" s="459"/>
      <c r="G3" s="459"/>
      <c r="H3" s="460"/>
      <c r="J3" s="453" t="s">
        <v>131</v>
      </c>
      <c r="K3" s="454"/>
      <c r="L3" s="453" t="s">
        <v>134</v>
      </c>
      <c r="M3" s="454"/>
    </row>
    <row r="4" spans="1:13">
      <c r="A4" s="458"/>
      <c r="B4" s="459"/>
      <c r="C4" s="459"/>
      <c r="D4" s="459"/>
      <c r="E4" s="459"/>
      <c r="F4" s="459"/>
      <c r="G4" s="459"/>
      <c r="H4" s="460"/>
      <c r="J4" s="138" t="s">
        <v>132</v>
      </c>
      <c r="K4" s="35">
        <v>135.80000000000001</v>
      </c>
      <c r="L4" s="138" t="s">
        <v>132</v>
      </c>
      <c r="M4" s="35">
        <v>173.94</v>
      </c>
    </row>
    <row r="5" spans="1:13">
      <c r="A5" s="458"/>
      <c r="B5" s="459"/>
      <c r="C5" s="459"/>
      <c r="D5" s="459"/>
      <c r="E5" s="459"/>
      <c r="F5" s="459"/>
      <c r="G5" s="459"/>
      <c r="H5" s="460"/>
      <c r="J5" s="138" t="s">
        <v>133</v>
      </c>
      <c r="K5" s="141">
        <v>0.6099</v>
      </c>
      <c r="L5" s="138" t="s">
        <v>133</v>
      </c>
      <c r="M5" s="141">
        <v>1.7209000000000001</v>
      </c>
    </row>
    <row r="6" spans="1:13">
      <c r="A6" s="458"/>
      <c r="B6" s="459"/>
      <c r="C6" s="459"/>
      <c r="D6" s="459"/>
      <c r="E6" s="459"/>
      <c r="F6" s="459"/>
      <c r="G6" s="459"/>
      <c r="H6" s="460"/>
      <c r="J6" s="149"/>
      <c r="K6" s="152"/>
      <c r="L6" s="149"/>
      <c r="M6" s="152"/>
    </row>
    <row r="7" spans="1:13">
      <c r="A7" s="458"/>
      <c r="B7" s="459"/>
      <c r="C7" s="459"/>
      <c r="D7" s="459"/>
      <c r="E7" s="459"/>
      <c r="F7" s="459"/>
      <c r="G7" s="459"/>
      <c r="H7" s="460"/>
      <c r="J7" s="149"/>
      <c r="K7" s="152"/>
      <c r="L7" s="149"/>
      <c r="M7" s="152"/>
    </row>
    <row r="8" spans="1:13">
      <c r="A8" s="458"/>
      <c r="B8" s="459"/>
      <c r="C8" s="459"/>
      <c r="D8" s="459"/>
      <c r="E8" s="459"/>
      <c r="F8" s="459"/>
      <c r="G8" s="459"/>
      <c r="H8" s="460"/>
      <c r="J8" s="149"/>
      <c r="K8" s="152"/>
      <c r="L8" s="149"/>
      <c r="M8" s="152"/>
    </row>
    <row r="9" spans="1:13">
      <c r="A9" s="458"/>
      <c r="B9" s="459"/>
      <c r="C9" s="459"/>
      <c r="D9" s="459"/>
      <c r="E9" s="459"/>
      <c r="F9" s="459"/>
      <c r="G9" s="459"/>
      <c r="H9" s="460"/>
      <c r="J9" s="149"/>
      <c r="K9" s="152"/>
      <c r="L9" s="149"/>
      <c r="M9" s="152"/>
    </row>
    <row r="10" spans="1:13">
      <c r="A10" s="458"/>
      <c r="B10" s="459"/>
      <c r="C10" s="459"/>
      <c r="D10" s="459"/>
      <c r="E10" s="459"/>
      <c r="F10" s="459"/>
      <c r="G10" s="459"/>
      <c r="H10" s="460"/>
      <c r="J10" s="149"/>
      <c r="K10" s="152"/>
      <c r="L10" s="149"/>
      <c r="M10" s="152"/>
    </row>
    <row r="11" spans="1:13">
      <c r="A11" s="458"/>
      <c r="B11" s="459"/>
      <c r="C11" s="459"/>
      <c r="D11" s="459"/>
      <c r="E11" s="459"/>
      <c r="F11" s="459"/>
      <c r="G11" s="459"/>
      <c r="H11" s="460"/>
      <c r="J11" s="149"/>
      <c r="K11" s="152"/>
      <c r="L11" s="149"/>
      <c r="M11" s="152"/>
    </row>
    <row r="12" spans="1:13">
      <c r="A12" s="458"/>
      <c r="B12" s="459"/>
      <c r="C12" s="459"/>
      <c r="D12" s="459"/>
      <c r="E12" s="459"/>
      <c r="F12" s="459"/>
      <c r="G12" s="459"/>
      <c r="H12" s="460"/>
      <c r="J12" s="149"/>
      <c r="K12" s="152"/>
      <c r="L12" s="149"/>
      <c r="M12" s="152"/>
    </row>
    <row r="13" spans="1:13">
      <c r="A13" s="458"/>
      <c r="B13" s="459"/>
      <c r="C13" s="459"/>
      <c r="D13" s="459"/>
      <c r="E13" s="459"/>
      <c r="F13" s="459"/>
      <c r="G13" s="459"/>
      <c r="H13" s="460"/>
      <c r="J13" s="149"/>
      <c r="K13" s="152"/>
      <c r="L13" s="149"/>
      <c r="M13" s="152"/>
    </row>
    <row r="14" spans="1:13">
      <c r="A14" s="461"/>
      <c r="B14" s="462"/>
      <c r="C14" s="462"/>
      <c r="D14" s="462"/>
      <c r="E14" s="462"/>
      <c r="F14" s="462"/>
      <c r="G14" s="462"/>
      <c r="H14" s="463"/>
    </row>
    <row r="15" spans="1:13">
      <c r="A15" s="154"/>
      <c r="B15" s="154"/>
      <c r="C15" s="154"/>
      <c r="D15" s="154"/>
      <c r="E15" s="155"/>
      <c r="F15" s="155"/>
      <c r="G15" s="155"/>
      <c r="H15" s="156"/>
    </row>
    <row r="16" spans="1:13">
      <c r="A16" s="99"/>
      <c r="B16" s="99"/>
      <c r="C16" s="99"/>
      <c r="D16" s="99"/>
      <c r="E16" s="451" t="s">
        <v>130</v>
      </c>
      <c r="F16" s="451"/>
      <c r="G16" s="452" t="s">
        <v>129</v>
      </c>
      <c r="H16" s="452"/>
    </row>
    <row r="17" spans="1:16" ht="45">
      <c r="A17" s="99"/>
      <c r="B17" s="137" t="s">
        <v>126</v>
      </c>
      <c r="C17" s="137" t="s">
        <v>128</v>
      </c>
      <c r="D17" s="136" t="s">
        <v>127</v>
      </c>
      <c r="E17" s="136" t="s">
        <v>108</v>
      </c>
      <c r="F17" s="136" t="s">
        <v>107</v>
      </c>
      <c r="G17" s="136" t="s">
        <v>108</v>
      </c>
      <c r="H17" s="136" t="s">
        <v>107</v>
      </c>
    </row>
    <row r="18" spans="1:16" ht="29.25" customHeight="1">
      <c r="A18" s="99"/>
      <c r="B18" s="137">
        <v>2017</v>
      </c>
      <c r="C18" s="142">
        <v>1</v>
      </c>
      <c r="D18" s="119">
        <v>218.6</v>
      </c>
      <c r="E18" s="143">
        <f>$K$4*EXP($K$5*C18)</f>
        <v>249.9055921457622</v>
      </c>
      <c r="F18" s="143">
        <f>$M$4*C18^$M$5</f>
        <v>173.94</v>
      </c>
      <c r="G18" s="144">
        <f>ABS(E18-D18)/D18</f>
        <v>0.14320947916634127</v>
      </c>
      <c r="H18" s="144">
        <f>ABS(F18-D18)/D18</f>
        <v>0.20430009149130832</v>
      </c>
    </row>
    <row r="19" spans="1:16">
      <c r="A19" s="99"/>
      <c r="B19" s="137">
        <v>2018</v>
      </c>
      <c r="C19" s="142">
        <v>2</v>
      </c>
      <c r="D19" s="119">
        <v>435</v>
      </c>
      <c r="E19" s="143">
        <f t="shared" ref="E19:E23" si="0">$K$4*EXP($K$5*C19)</f>
        <v>459.88810740592078</v>
      </c>
      <c r="F19" s="143">
        <f t="shared" ref="F19:F23" si="1">$M$4*C19^$M$5</f>
        <v>573.3792672273787</v>
      </c>
      <c r="G19" s="144">
        <f t="shared" ref="G19:G22" si="2">ABS(E19-D19)/D19</f>
        <v>5.7214040013610981E-2</v>
      </c>
      <c r="H19" s="144">
        <f t="shared" ref="H19:H22" si="3">ABS(F19-D19)/D19</f>
        <v>0.31811325799397405</v>
      </c>
    </row>
    <row r="20" spans="1:16">
      <c r="B20" s="137">
        <v>2019</v>
      </c>
      <c r="C20" s="142">
        <v>3</v>
      </c>
      <c r="D20" s="119">
        <v>915</v>
      </c>
      <c r="E20" s="143">
        <f t="shared" si="0"/>
        <v>846.30787777666035</v>
      </c>
      <c r="F20" s="143">
        <f t="shared" si="1"/>
        <v>1152.0661940645791</v>
      </c>
      <c r="G20" s="144">
        <f t="shared" si="2"/>
        <v>7.5073357621136233E-2</v>
      </c>
      <c r="H20" s="144">
        <f t="shared" si="3"/>
        <v>0.25908873668260013</v>
      </c>
    </row>
    <row r="21" spans="1:16">
      <c r="B21" s="137">
        <v>2020</v>
      </c>
      <c r="C21" s="142">
        <v>4</v>
      </c>
      <c r="D21" s="119">
        <v>1825.9</v>
      </c>
      <c r="E21" s="143">
        <f t="shared" si="0"/>
        <v>1557.415841924887</v>
      </c>
      <c r="F21" s="143">
        <f t="shared" si="1"/>
        <v>1890.0987931827399</v>
      </c>
      <c r="G21" s="144">
        <f t="shared" si="2"/>
        <v>0.14704209325544285</v>
      </c>
      <c r="H21" s="144">
        <f t="shared" si="3"/>
        <v>3.5160081703674781E-2</v>
      </c>
    </row>
    <row r="22" spans="1:16" ht="27.75" customHeight="1">
      <c r="B22" s="137">
        <v>2021</v>
      </c>
      <c r="C22" s="142">
        <v>5</v>
      </c>
      <c r="D22" s="119">
        <v>4021.8</v>
      </c>
      <c r="E22" s="143">
        <f t="shared" si="0"/>
        <v>2866.0303990679654</v>
      </c>
      <c r="F22" s="143">
        <f t="shared" si="1"/>
        <v>2774.9613986002573</v>
      </c>
      <c r="G22" s="144">
        <f t="shared" si="2"/>
        <v>0.28737619994331759</v>
      </c>
      <c r="H22" s="144">
        <f t="shared" si="3"/>
        <v>0.31002004112580012</v>
      </c>
      <c r="P22" s="140"/>
    </row>
    <row r="23" spans="1:16">
      <c r="B23" s="139">
        <v>2022</v>
      </c>
      <c r="C23" s="146">
        <v>6</v>
      </c>
      <c r="D23" s="35">
        <v>3582.1</v>
      </c>
      <c r="E23" s="143">
        <f t="shared" si="0"/>
        <v>5274.2048894464997</v>
      </c>
      <c r="F23" s="151">
        <f t="shared" si="1"/>
        <v>3797.6938608151286</v>
      </c>
      <c r="G23" s="144">
        <f>ABS(E23-D23)/D23</f>
        <v>0.47237790386826156</v>
      </c>
      <c r="H23" s="144">
        <f>ABS(F23-D23)/D23</f>
        <v>6.0186443933761949E-2</v>
      </c>
      <c r="P23" s="140"/>
    </row>
    <row r="24" spans="1:16">
      <c r="B24" s="147"/>
      <c r="C24" s="148"/>
      <c r="D24" s="149"/>
      <c r="E24" s="150"/>
      <c r="F24" s="150"/>
      <c r="G24" s="153">
        <f>AVERAGE(G18:G23)</f>
        <v>0.19704884564468508</v>
      </c>
      <c r="H24" s="145">
        <f>AVERAGE(H18:H23)</f>
        <v>0.19781144215518656</v>
      </c>
    </row>
    <row r="25" spans="1:16">
      <c r="B25" s="147"/>
      <c r="C25" s="148"/>
      <c r="D25" s="149"/>
      <c r="E25" s="150"/>
      <c r="F25" s="150"/>
    </row>
  </sheetData>
  <mergeCells count="5">
    <mergeCell ref="E16:F16"/>
    <mergeCell ref="G16:H16"/>
    <mergeCell ref="J3:K3"/>
    <mergeCell ref="L3:M3"/>
    <mergeCell ref="A2:H14"/>
  </mergeCells>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49E0A-74FC-42AB-A148-DF9D99C8358A}">
  <dimension ref="B2:U31"/>
  <sheetViews>
    <sheetView workbookViewId="0">
      <selection activeCell="M24" sqref="M24"/>
    </sheetView>
  </sheetViews>
  <sheetFormatPr defaultRowHeight="15"/>
  <cols>
    <col min="14" max="14" width="23.28515625" bestFit="1" customWidth="1"/>
    <col min="19" max="20" width="9.140625" style="1"/>
    <col min="21" max="21" width="16.85546875" customWidth="1"/>
  </cols>
  <sheetData>
    <row r="2" spans="2:21">
      <c r="B2" s="464" t="s">
        <v>136</v>
      </c>
      <c r="C2" s="465"/>
      <c r="D2" s="465"/>
      <c r="E2" s="465"/>
      <c r="F2" s="465"/>
      <c r="G2" s="465"/>
      <c r="H2" s="465"/>
      <c r="I2" s="465"/>
      <c r="J2" s="465"/>
      <c r="K2" s="465"/>
      <c r="L2" s="466"/>
      <c r="S2" s="427" t="s">
        <v>146</v>
      </c>
      <c r="T2" s="427"/>
    </row>
    <row r="3" spans="2:21">
      <c r="B3" s="467"/>
      <c r="C3" s="468"/>
      <c r="D3" s="468"/>
      <c r="E3" s="468"/>
      <c r="F3" s="468"/>
      <c r="G3" s="468"/>
      <c r="H3" s="468"/>
      <c r="I3" s="468"/>
      <c r="J3" s="468"/>
      <c r="K3" s="468"/>
      <c r="L3" s="469"/>
      <c r="N3" s="46" t="s">
        <v>138</v>
      </c>
      <c r="O3" s="158">
        <v>9.3000000000000007</v>
      </c>
      <c r="P3" t="s">
        <v>137</v>
      </c>
      <c r="S3" s="157" t="s">
        <v>126</v>
      </c>
      <c r="T3" s="157" t="s">
        <v>147</v>
      </c>
    </row>
    <row r="4" spans="2:21">
      <c r="B4" s="467"/>
      <c r="C4" s="468"/>
      <c r="D4" s="468"/>
      <c r="E4" s="468"/>
      <c r="F4" s="468"/>
      <c r="G4" s="468"/>
      <c r="H4" s="468"/>
      <c r="I4" s="468"/>
      <c r="J4" s="468"/>
      <c r="K4" s="468"/>
      <c r="L4" s="469"/>
      <c r="N4" s="46" t="s">
        <v>140</v>
      </c>
      <c r="O4" s="46">
        <v>20</v>
      </c>
      <c r="P4" t="s">
        <v>139</v>
      </c>
      <c r="S4" s="33">
        <v>1</v>
      </c>
      <c r="T4" s="30">
        <f>O5</f>
        <v>1.2</v>
      </c>
    </row>
    <row r="5" spans="2:21">
      <c r="B5" s="467"/>
      <c r="C5" s="468"/>
      <c r="D5" s="468"/>
      <c r="E5" s="468"/>
      <c r="F5" s="468"/>
      <c r="G5" s="468"/>
      <c r="H5" s="468"/>
      <c r="I5" s="468"/>
      <c r="J5" s="468"/>
      <c r="K5" s="468"/>
      <c r="L5" s="469"/>
      <c r="N5" s="46" t="s">
        <v>141</v>
      </c>
      <c r="O5" s="158">
        <v>1.2</v>
      </c>
      <c r="P5" t="s">
        <v>137</v>
      </c>
      <c r="R5" s="20"/>
      <c r="S5" s="33">
        <v>2</v>
      </c>
      <c r="T5" s="30">
        <f>IF(S5&lt;=$O$7,T4+T4*$O$6,T4-T4*$O$8)</f>
        <v>1.3199999999999998</v>
      </c>
      <c r="U5" t="str">
        <f ca="1">_xlfn.FORMULATEXT(T5)</f>
        <v>=IF(S5&lt;=$O$7;T4+T4*$O$6;T4-T4*$O$8)</v>
      </c>
    </row>
    <row r="6" spans="2:21">
      <c r="B6" s="467"/>
      <c r="C6" s="468"/>
      <c r="D6" s="468"/>
      <c r="E6" s="468"/>
      <c r="F6" s="468"/>
      <c r="G6" s="468"/>
      <c r="H6" s="468"/>
      <c r="I6" s="468"/>
      <c r="J6" s="468"/>
      <c r="K6" s="468"/>
      <c r="L6" s="469"/>
      <c r="N6" s="46" t="s">
        <v>142</v>
      </c>
      <c r="O6" s="52">
        <v>0.1</v>
      </c>
      <c r="R6" s="20"/>
      <c r="S6" s="33">
        <v>3</v>
      </c>
      <c r="T6" s="30">
        <f t="shared" ref="T6:T23" si="0">IF(S6&lt;=$O$7,T5+T5*$O$6,T5-T5*$O$8)</f>
        <v>1.4519999999999997</v>
      </c>
      <c r="U6" t="str">
        <f t="shared" ref="U6:U23" ca="1" si="1">_xlfn.FORMULATEXT(T6)</f>
        <v>=IF(S6&lt;=$O$7;T5+T5*$O$6;T5-T5*$O$8)</v>
      </c>
    </row>
    <row r="7" spans="2:21">
      <c r="B7" s="467"/>
      <c r="C7" s="468"/>
      <c r="D7" s="468"/>
      <c r="E7" s="468"/>
      <c r="F7" s="468"/>
      <c r="G7" s="468"/>
      <c r="H7" s="468"/>
      <c r="I7" s="468"/>
      <c r="J7" s="468"/>
      <c r="K7" s="468"/>
      <c r="L7" s="469"/>
      <c r="N7" s="46" t="s">
        <v>143</v>
      </c>
      <c r="O7" s="46">
        <v>8</v>
      </c>
      <c r="R7" s="20"/>
      <c r="S7" s="33">
        <v>4</v>
      </c>
      <c r="T7" s="30">
        <f t="shared" si="0"/>
        <v>1.5971999999999997</v>
      </c>
      <c r="U7" t="str">
        <f t="shared" ca="1" si="1"/>
        <v>=IF(S7&lt;=$O$7;T6+T6*$O$6;T6-T6*$O$8)</v>
      </c>
    </row>
    <row r="8" spans="2:21">
      <c r="B8" s="467"/>
      <c r="C8" s="468"/>
      <c r="D8" s="468"/>
      <c r="E8" s="468"/>
      <c r="F8" s="468"/>
      <c r="G8" s="468"/>
      <c r="H8" s="468"/>
      <c r="I8" s="468"/>
      <c r="J8" s="468"/>
      <c r="K8" s="468"/>
      <c r="L8" s="469"/>
      <c r="N8" s="46" t="s">
        <v>144</v>
      </c>
      <c r="O8" s="52">
        <v>0.05</v>
      </c>
      <c r="R8" s="20"/>
      <c r="S8" s="33">
        <v>5</v>
      </c>
      <c r="T8" s="30">
        <f t="shared" si="0"/>
        <v>1.7569199999999996</v>
      </c>
      <c r="U8" t="str">
        <f t="shared" ca="1" si="1"/>
        <v>=IF(S8&lt;=$O$7;T7+T7*$O$6;T7-T7*$O$8)</v>
      </c>
    </row>
    <row r="9" spans="2:21">
      <c r="B9" s="467"/>
      <c r="C9" s="468"/>
      <c r="D9" s="468"/>
      <c r="E9" s="468"/>
      <c r="F9" s="468"/>
      <c r="G9" s="468"/>
      <c r="H9" s="468"/>
      <c r="I9" s="468"/>
      <c r="J9" s="468"/>
      <c r="K9" s="468"/>
      <c r="L9" s="469"/>
      <c r="N9" s="46" t="s">
        <v>145</v>
      </c>
      <c r="O9" s="52">
        <v>0.12</v>
      </c>
      <c r="R9" s="20"/>
      <c r="S9" s="33">
        <v>6</v>
      </c>
      <c r="T9" s="30">
        <f t="shared" si="0"/>
        <v>1.9326119999999996</v>
      </c>
      <c r="U9" t="str">
        <f t="shared" ca="1" si="1"/>
        <v>=IF(S9&lt;=$O$7;T8+T8*$O$6;T8-T8*$O$8)</v>
      </c>
    </row>
    <row r="10" spans="2:21">
      <c r="B10" s="467"/>
      <c r="C10" s="468"/>
      <c r="D10" s="468"/>
      <c r="E10" s="468"/>
      <c r="F10" s="468"/>
      <c r="G10" s="468"/>
      <c r="H10" s="468"/>
      <c r="I10" s="468"/>
      <c r="J10" s="468"/>
      <c r="K10" s="468"/>
      <c r="L10" s="469"/>
      <c r="R10" s="20"/>
      <c r="S10" s="33">
        <v>7</v>
      </c>
      <c r="T10" s="30">
        <f t="shared" si="0"/>
        <v>2.1258731999999996</v>
      </c>
      <c r="U10" t="str">
        <f t="shared" ca="1" si="1"/>
        <v>=IF(S10&lt;=$O$7;T9+T9*$O$6;T9-T9*$O$8)</v>
      </c>
    </row>
    <row r="11" spans="2:21">
      <c r="B11" s="467"/>
      <c r="C11" s="468"/>
      <c r="D11" s="468"/>
      <c r="E11" s="468"/>
      <c r="F11" s="468"/>
      <c r="G11" s="468"/>
      <c r="H11" s="468"/>
      <c r="I11" s="468"/>
      <c r="J11" s="468"/>
      <c r="K11" s="468"/>
      <c r="L11" s="469"/>
      <c r="R11" s="20"/>
      <c r="S11" s="33">
        <v>8</v>
      </c>
      <c r="T11" s="30">
        <f t="shared" si="0"/>
        <v>2.3384605199999995</v>
      </c>
      <c r="U11" t="str">
        <f t="shared" ca="1" si="1"/>
        <v>=IF(S11&lt;=$O$7;T10+T10*$O$6;T10-T10*$O$8)</v>
      </c>
    </row>
    <row r="12" spans="2:21">
      <c r="B12" s="467"/>
      <c r="C12" s="468"/>
      <c r="D12" s="468"/>
      <c r="E12" s="468"/>
      <c r="F12" s="468"/>
      <c r="G12" s="468"/>
      <c r="H12" s="468"/>
      <c r="I12" s="468"/>
      <c r="J12" s="468"/>
      <c r="K12" s="468"/>
      <c r="L12" s="469"/>
      <c r="N12" s="46" t="s">
        <v>148</v>
      </c>
      <c r="O12" s="48">
        <f>NPV(O9,T4:T23)</f>
        <v>12.600290735832383</v>
      </c>
      <c r="P12" t="str">
        <f ca="1">_xlfn.FORMULATEXT(O12)</f>
        <v>=NPV(O9;T4:T23)</v>
      </c>
      <c r="S12" s="33">
        <v>9</v>
      </c>
      <c r="T12" s="30">
        <f t="shared" si="0"/>
        <v>2.2215374939999997</v>
      </c>
      <c r="U12" t="str">
        <f t="shared" ca="1" si="1"/>
        <v>=IF(S12&lt;=$O$7;T11+T11*$O$6;T11-T11*$O$8)</v>
      </c>
    </row>
    <row r="13" spans="2:21">
      <c r="B13" s="467"/>
      <c r="C13" s="468"/>
      <c r="D13" s="468"/>
      <c r="E13" s="468"/>
      <c r="F13" s="468"/>
      <c r="G13" s="468"/>
      <c r="H13" s="468"/>
      <c r="I13" s="468"/>
      <c r="J13" s="468"/>
      <c r="K13" s="468"/>
      <c r="L13" s="469"/>
      <c r="N13" s="46" t="s">
        <v>138</v>
      </c>
      <c r="O13" s="158">
        <v>9.3000000000000007</v>
      </c>
      <c r="S13" s="33">
        <v>10</v>
      </c>
      <c r="T13" s="30">
        <f t="shared" si="0"/>
        <v>2.1104606192999995</v>
      </c>
      <c r="U13" t="str">
        <f t="shared" ca="1" si="1"/>
        <v>=IF(S13&lt;=$O$7;T12+T12*$O$6;T12-T12*$O$8)</v>
      </c>
    </row>
    <row r="14" spans="2:21">
      <c r="B14" s="470"/>
      <c r="C14" s="471"/>
      <c r="D14" s="471"/>
      <c r="E14" s="471"/>
      <c r="F14" s="471"/>
      <c r="G14" s="471"/>
      <c r="H14" s="471"/>
      <c r="I14" s="471"/>
      <c r="J14" s="471"/>
      <c r="K14" s="471"/>
      <c r="L14" s="472"/>
      <c r="N14" s="160" t="s">
        <v>149</v>
      </c>
      <c r="O14" s="161">
        <f>O12-O13</f>
        <v>3.3002907358323821</v>
      </c>
      <c r="P14" t="str">
        <f ca="1">_xlfn.FORMULATEXT(O14)</f>
        <v>=O12-O13</v>
      </c>
      <c r="S14" s="33">
        <v>11</v>
      </c>
      <c r="T14" s="30">
        <f t="shared" si="0"/>
        <v>2.0049375883349994</v>
      </c>
      <c r="U14" t="str">
        <f t="shared" ca="1" si="1"/>
        <v>=IF(S14&lt;=$O$7;T13+T13*$O$6;T13-T13*$O$8)</v>
      </c>
    </row>
    <row r="15" spans="2:21">
      <c r="S15" s="33">
        <v>12</v>
      </c>
      <c r="T15" s="30">
        <f t="shared" si="0"/>
        <v>1.9046907089182494</v>
      </c>
      <c r="U15" t="str">
        <f t="shared" ca="1" si="1"/>
        <v>=IF(S15&lt;=$O$7;T14+T14*$O$6;T14-T14*$O$8)</v>
      </c>
    </row>
    <row r="16" spans="2:21">
      <c r="B16" s="99"/>
      <c r="C16" s="159"/>
      <c r="D16" s="159"/>
      <c r="E16" s="159"/>
      <c r="F16" s="159"/>
      <c r="G16" s="159"/>
      <c r="H16" s="159"/>
      <c r="I16" s="159"/>
      <c r="J16" s="159"/>
      <c r="K16" s="159"/>
      <c r="L16" s="159"/>
      <c r="S16" s="33">
        <v>13</v>
      </c>
      <c r="T16" s="30">
        <f t="shared" si="0"/>
        <v>1.8094561734723369</v>
      </c>
      <c r="U16" t="str">
        <f t="shared" ca="1" si="1"/>
        <v>=IF(S16&lt;=$O$7;T15+T15*$O$6;T15-T15*$O$8)</v>
      </c>
    </row>
    <row r="17" spans="2:21">
      <c r="B17" s="159"/>
      <c r="C17" s="159"/>
      <c r="D17" s="159"/>
      <c r="E17" s="159"/>
      <c r="F17" s="159"/>
      <c r="G17" s="159"/>
      <c r="H17" s="159"/>
      <c r="I17" s="159"/>
      <c r="J17" s="159"/>
      <c r="K17" s="159"/>
      <c r="L17" s="159"/>
      <c r="S17" s="33">
        <v>14</v>
      </c>
      <c r="T17" s="30">
        <f t="shared" si="0"/>
        <v>1.71898336479872</v>
      </c>
      <c r="U17" t="str">
        <f t="shared" ca="1" si="1"/>
        <v>=IF(S17&lt;=$O$7;T16+T16*$O$6;T16-T16*$O$8)</v>
      </c>
    </row>
    <row r="18" spans="2:21">
      <c r="B18" s="159"/>
      <c r="C18" s="159"/>
      <c r="D18" s="159"/>
      <c r="E18" s="159"/>
      <c r="F18" s="159"/>
      <c r="G18" s="159"/>
      <c r="H18" s="159"/>
      <c r="I18" s="159"/>
      <c r="J18" s="159"/>
      <c r="K18" s="159"/>
      <c r="L18" s="159"/>
      <c r="S18" s="33">
        <v>15</v>
      </c>
      <c r="T18" s="30">
        <f t="shared" si="0"/>
        <v>1.633034196558784</v>
      </c>
      <c r="U18" t="str">
        <f t="shared" ca="1" si="1"/>
        <v>=IF(S18&lt;=$O$7;T17+T17*$O$6;T17-T17*$O$8)</v>
      </c>
    </row>
    <row r="19" spans="2:21">
      <c r="B19" s="159"/>
      <c r="C19" s="159"/>
      <c r="D19" s="159"/>
      <c r="E19" s="159"/>
      <c r="F19" s="159"/>
      <c r="G19" s="159"/>
      <c r="H19" s="159"/>
      <c r="I19" s="159"/>
      <c r="J19" s="159"/>
      <c r="K19" s="159"/>
      <c r="L19" s="159"/>
      <c r="S19" s="33">
        <v>16</v>
      </c>
      <c r="T19" s="30">
        <f t="shared" si="0"/>
        <v>1.5513824867308448</v>
      </c>
      <c r="U19" t="str">
        <f t="shared" ca="1" si="1"/>
        <v>=IF(S19&lt;=$O$7;T18+T18*$O$6;T18-T18*$O$8)</v>
      </c>
    </row>
    <row r="20" spans="2:21">
      <c r="B20" s="159"/>
      <c r="C20" s="159"/>
      <c r="D20" s="159"/>
      <c r="E20" s="159"/>
      <c r="F20" s="159"/>
      <c r="G20" s="159"/>
      <c r="H20" s="159"/>
      <c r="I20" s="159"/>
      <c r="J20" s="159"/>
      <c r="K20" s="159"/>
      <c r="L20" s="159"/>
      <c r="S20" s="33">
        <v>17</v>
      </c>
      <c r="T20" s="30">
        <f t="shared" si="0"/>
        <v>1.4738133623943026</v>
      </c>
      <c r="U20" t="str">
        <f t="shared" ca="1" si="1"/>
        <v>=IF(S20&lt;=$O$7;T19+T19*$O$6;T19-T19*$O$8)</v>
      </c>
    </row>
    <row r="21" spans="2:21">
      <c r="B21" s="159"/>
      <c r="C21" s="159"/>
      <c r="D21" s="159"/>
      <c r="E21" s="159"/>
      <c r="F21" s="159"/>
      <c r="G21" s="159"/>
      <c r="H21" s="159"/>
      <c r="I21" s="159"/>
      <c r="J21" s="159"/>
      <c r="K21" s="159"/>
      <c r="L21" s="159"/>
      <c r="S21" s="33">
        <v>18</v>
      </c>
      <c r="T21" s="30">
        <f t="shared" si="0"/>
        <v>1.4001226942745875</v>
      </c>
      <c r="U21" t="str">
        <f t="shared" ca="1" si="1"/>
        <v>=IF(S21&lt;=$O$7;T20+T20*$O$6;T20-T20*$O$8)</v>
      </c>
    </row>
    <row r="22" spans="2:21">
      <c r="B22" s="159"/>
      <c r="C22" s="159"/>
      <c r="D22" s="159"/>
      <c r="E22" s="159"/>
      <c r="F22" s="159"/>
      <c r="G22" s="159"/>
      <c r="H22" s="159"/>
      <c r="I22" s="159"/>
      <c r="J22" s="159"/>
      <c r="K22" s="159"/>
      <c r="L22" s="159"/>
      <c r="S22" s="33">
        <v>19</v>
      </c>
      <c r="T22" s="30">
        <f t="shared" si="0"/>
        <v>1.3301165595608582</v>
      </c>
      <c r="U22" t="str">
        <f t="shared" ca="1" si="1"/>
        <v>=IF(S22&lt;=$O$7;T21+T21*$O$6;T21-T21*$O$8)</v>
      </c>
    </row>
    <row r="23" spans="2:21">
      <c r="B23" s="159"/>
      <c r="C23" s="159"/>
      <c r="D23" s="159"/>
      <c r="E23" s="159"/>
      <c r="F23" s="159"/>
      <c r="G23" s="159"/>
      <c r="H23" s="159"/>
      <c r="I23" s="159"/>
      <c r="J23" s="159"/>
      <c r="K23" s="159"/>
      <c r="L23" s="159"/>
      <c r="S23" s="33">
        <v>20</v>
      </c>
      <c r="T23" s="30">
        <f t="shared" si="0"/>
        <v>1.2636107315828153</v>
      </c>
      <c r="U23" t="str">
        <f t="shared" ca="1" si="1"/>
        <v>=IF(S23&lt;=$O$7;T22+T22*$O$6;T22-T22*$O$8)</v>
      </c>
    </row>
    <row r="24" spans="2:21">
      <c r="B24" s="159"/>
      <c r="C24" s="159"/>
      <c r="D24" s="159"/>
      <c r="E24" s="159"/>
      <c r="F24" s="159"/>
      <c r="G24" s="159"/>
      <c r="H24" s="159"/>
      <c r="I24" s="159"/>
      <c r="J24" s="159"/>
      <c r="K24" s="159"/>
      <c r="L24" s="159"/>
    </row>
    <row r="25" spans="2:21">
      <c r="B25" s="159"/>
      <c r="C25" s="159"/>
      <c r="D25" s="159"/>
      <c r="E25" s="159"/>
      <c r="F25" s="159"/>
      <c r="G25" s="159"/>
      <c r="H25" s="159"/>
      <c r="I25" s="159"/>
      <c r="J25" s="159"/>
      <c r="K25" s="159"/>
      <c r="L25" s="159"/>
    </row>
    <row r="26" spans="2:21">
      <c r="B26" s="159"/>
      <c r="C26" s="159"/>
      <c r="D26" s="159"/>
      <c r="E26" s="159"/>
      <c r="F26" s="159"/>
      <c r="G26" s="159"/>
      <c r="H26" s="159"/>
      <c r="I26" s="159"/>
      <c r="J26" s="159"/>
      <c r="K26" s="159"/>
      <c r="L26" s="159"/>
    </row>
    <row r="27" spans="2:21">
      <c r="B27" s="159"/>
      <c r="C27" s="159"/>
      <c r="D27" s="159"/>
      <c r="E27" s="159"/>
      <c r="F27" s="159"/>
      <c r="G27" s="159"/>
      <c r="H27" s="159"/>
      <c r="I27" s="159"/>
      <c r="J27" s="159"/>
      <c r="K27" s="159"/>
      <c r="L27" s="159"/>
    </row>
    <row r="28" spans="2:21">
      <c r="B28" s="159"/>
      <c r="C28" s="159"/>
      <c r="D28" s="159"/>
      <c r="E28" s="159"/>
      <c r="F28" s="159"/>
      <c r="G28" s="159"/>
      <c r="H28" s="159"/>
      <c r="I28" s="159"/>
      <c r="J28" s="159"/>
      <c r="K28" s="159"/>
      <c r="L28" s="159"/>
    </row>
    <row r="29" spans="2:21">
      <c r="B29" s="159"/>
      <c r="C29" s="159"/>
      <c r="D29" s="159"/>
      <c r="E29" s="159"/>
      <c r="F29" s="159"/>
      <c r="G29" s="159"/>
      <c r="H29" s="159"/>
      <c r="I29" s="159"/>
      <c r="J29" s="159"/>
      <c r="K29" s="159"/>
      <c r="L29" s="159"/>
    </row>
    <row r="30" spans="2:21">
      <c r="B30" s="159"/>
      <c r="C30" s="159"/>
      <c r="D30" s="159"/>
      <c r="E30" s="159"/>
      <c r="F30" s="159"/>
      <c r="G30" s="159"/>
      <c r="H30" s="159"/>
      <c r="I30" s="159"/>
      <c r="J30" s="159"/>
      <c r="K30" s="159"/>
      <c r="L30" s="159"/>
    </row>
    <row r="31" spans="2:21">
      <c r="B31" s="159"/>
      <c r="C31" s="159"/>
      <c r="D31" s="159"/>
      <c r="E31" s="159"/>
      <c r="F31" s="159"/>
      <c r="G31" s="159"/>
      <c r="H31" s="159"/>
      <c r="I31" s="159"/>
      <c r="J31" s="159"/>
      <c r="K31" s="159"/>
      <c r="L31" s="159"/>
    </row>
  </sheetData>
  <mergeCells count="2">
    <mergeCell ref="B2:L14"/>
    <mergeCell ref="S2:T2"/>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A1B2B-DB3E-4EC0-B650-3AD7FDC60902}">
  <dimension ref="A1:R81"/>
  <sheetViews>
    <sheetView topLeftCell="A37" zoomScaleNormal="100" workbookViewId="0">
      <selection activeCell="O42" sqref="O42"/>
    </sheetView>
  </sheetViews>
  <sheetFormatPr defaultRowHeight="15"/>
  <cols>
    <col min="1" max="2" width="10.7109375" style="1" customWidth="1"/>
    <col min="3" max="3" width="34.7109375" style="167" bestFit="1" customWidth="1"/>
    <col min="4" max="4" width="9.140625" style="1"/>
    <col min="5" max="5" width="13.7109375" bestFit="1" customWidth="1"/>
    <col min="10" max="10" width="16.85546875" customWidth="1"/>
    <col min="11" max="11" width="16.140625" customWidth="1"/>
    <col min="12" max="12" width="19" customWidth="1"/>
  </cols>
  <sheetData>
    <row r="1" spans="1:9" ht="15" customHeight="1">
      <c r="A1" s="474" t="s">
        <v>155</v>
      </c>
      <c r="B1" s="474"/>
      <c r="C1" s="474"/>
      <c r="D1" s="474"/>
      <c r="E1" s="474"/>
      <c r="F1" s="474"/>
      <c r="G1" s="474"/>
      <c r="H1" s="474"/>
      <c r="I1" s="474"/>
    </row>
    <row r="2" spans="1:9">
      <c r="A2" s="474"/>
      <c r="B2" s="474"/>
      <c r="C2" s="474"/>
      <c r="D2" s="474"/>
      <c r="E2" s="474"/>
      <c r="F2" s="474"/>
      <c r="G2" s="474"/>
      <c r="H2" s="474"/>
      <c r="I2" s="474"/>
    </row>
    <row r="3" spans="1:9">
      <c r="A3" s="474"/>
      <c r="B3" s="474"/>
      <c r="C3" s="474"/>
      <c r="D3" s="474"/>
      <c r="E3" s="474"/>
      <c r="F3" s="474"/>
      <c r="G3" s="474"/>
      <c r="H3" s="474"/>
      <c r="I3" s="474"/>
    </row>
    <row r="4" spans="1:9">
      <c r="A4" s="474"/>
      <c r="B4" s="474"/>
      <c r="C4" s="474"/>
      <c r="D4" s="474"/>
      <c r="E4" s="474"/>
      <c r="F4" s="474"/>
      <c r="G4" s="474"/>
      <c r="H4" s="474"/>
      <c r="I4" s="474"/>
    </row>
    <row r="5" spans="1:9">
      <c r="A5" s="474"/>
      <c r="B5" s="474"/>
      <c r="C5" s="474"/>
      <c r="D5" s="474"/>
      <c r="E5" s="474"/>
      <c r="F5" s="474"/>
      <c r="G5" s="474"/>
      <c r="H5" s="474"/>
      <c r="I5" s="474"/>
    </row>
    <row r="6" spans="1:9">
      <c r="A6" s="474"/>
      <c r="B6" s="474"/>
      <c r="C6" s="474"/>
      <c r="D6" s="474"/>
      <c r="E6" s="474"/>
      <c r="F6" s="474"/>
      <c r="G6" s="474"/>
      <c r="H6" s="474"/>
      <c r="I6" s="474"/>
    </row>
    <row r="7" spans="1:9">
      <c r="A7" s="474"/>
      <c r="B7" s="474"/>
      <c r="C7" s="474"/>
      <c r="D7" s="474"/>
      <c r="E7" s="474"/>
      <c r="F7" s="474"/>
      <c r="G7" s="474"/>
      <c r="H7" s="474"/>
      <c r="I7" s="474"/>
    </row>
    <row r="8" spans="1:9">
      <c r="A8" s="474"/>
      <c r="B8" s="474"/>
      <c r="C8" s="474"/>
      <c r="D8" s="474"/>
      <c r="E8" s="474"/>
      <c r="F8" s="474"/>
      <c r="G8" s="474"/>
      <c r="H8" s="474"/>
      <c r="I8" s="474"/>
    </row>
    <row r="9" spans="1:9">
      <c r="A9" s="474"/>
      <c r="B9" s="474"/>
      <c r="C9" s="474"/>
      <c r="D9" s="474"/>
      <c r="E9" s="474"/>
      <c r="F9" s="474"/>
      <c r="G9" s="474"/>
      <c r="H9" s="474"/>
      <c r="I9" s="474"/>
    </row>
    <row r="10" spans="1:9">
      <c r="A10" s="474"/>
      <c r="B10" s="474"/>
      <c r="C10" s="474"/>
      <c r="D10" s="474"/>
      <c r="E10" s="474"/>
      <c r="F10" s="474"/>
      <c r="G10" s="474"/>
      <c r="H10" s="474"/>
      <c r="I10" s="474"/>
    </row>
    <row r="11" spans="1:9">
      <c r="A11" s="474"/>
      <c r="B11" s="474"/>
      <c r="C11" s="474"/>
      <c r="D11" s="474"/>
      <c r="E11" s="474"/>
      <c r="F11" s="474"/>
      <c r="G11" s="474"/>
      <c r="H11" s="474"/>
      <c r="I11" s="474"/>
    </row>
    <row r="12" spans="1:9">
      <c r="A12" s="474"/>
      <c r="B12" s="474"/>
      <c r="C12" s="474"/>
      <c r="D12" s="474"/>
      <c r="E12" s="474"/>
      <c r="F12" s="474"/>
      <c r="G12" s="474"/>
      <c r="H12" s="474"/>
      <c r="I12" s="474"/>
    </row>
    <row r="13" spans="1:9">
      <c r="A13" s="474"/>
      <c r="B13" s="474"/>
      <c r="C13" s="474"/>
      <c r="D13" s="474"/>
      <c r="E13" s="474"/>
      <c r="F13" s="474"/>
      <c r="G13" s="474"/>
      <c r="H13" s="474"/>
      <c r="I13" s="474"/>
    </row>
    <row r="14" spans="1:9">
      <c r="A14" s="474"/>
      <c r="B14" s="474"/>
      <c r="C14" s="474"/>
      <c r="D14" s="474"/>
      <c r="E14" s="474"/>
      <c r="F14" s="474"/>
      <c r="G14" s="474"/>
      <c r="H14" s="474"/>
      <c r="I14" s="474"/>
    </row>
    <row r="15" spans="1:9">
      <c r="A15" s="474"/>
      <c r="B15" s="474"/>
      <c r="C15" s="474"/>
      <c r="D15" s="474"/>
      <c r="E15" s="474"/>
      <c r="F15" s="474"/>
      <c r="G15" s="474"/>
      <c r="H15" s="474"/>
      <c r="I15" s="474"/>
    </row>
    <row r="16" spans="1:9">
      <c r="A16" s="474"/>
      <c r="B16" s="474"/>
      <c r="C16" s="474"/>
      <c r="D16" s="474"/>
      <c r="E16" s="474"/>
      <c r="F16" s="474"/>
      <c r="G16" s="474"/>
      <c r="H16" s="474"/>
      <c r="I16" s="474"/>
    </row>
    <row r="17" spans="1:12">
      <c r="A17" s="474"/>
      <c r="B17" s="474"/>
      <c r="C17" s="474"/>
      <c r="D17" s="474"/>
      <c r="E17" s="474"/>
      <c r="F17" s="474"/>
      <c r="G17" s="474"/>
      <c r="H17" s="474"/>
      <c r="I17" s="474"/>
    </row>
    <row r="18" spans="1:12">
      <c r="A18" s="474"/>
      <c r="B18" s="474"/>
      <c r="C18" s="474"/>
      <c r="D18" s="474"/>
      <c r="E18" s="474"/>
      <c r="F18" s="474"/>
      <c r="G18" s="474"/>
      <c r="H18" s="474"/>
      <c r="I18" s="474"/>
    </row>
    <row r="19" spans="1:12">
      <c r="A19" s="474"/>
      <c r="B19" s="474"/>
      <c r="C19" s="474"/>
      <c r="D19" s="474"/>
      <c r="E19" s="474"/>
      <c r="F19" s="474"/>
      <c r="G19" s="474"/>
      <c r="H19" s="474"/>
      <c r="I19" s="474"/>
      <c r="L19" s="147"/>
    </row>
    <row r="20" spans="1:12" ht="17.25" customHeight="1">
      <c r="A20" s="175"/>
      <c r="B20" s="175"/>
      <c r="C20" s="175"/>
      <c r="D20" s="175"/>
      <c r="E20" s="473" t="s">
        <v>103</v>
      </c>
      <c r="F20" s="473"/>
      <c r="G20" s="175"/>
      <c r="H20" s="175"/>
      <c r="L20" s="147"/>
    </row>
    <row r="21" spans="1:12">
      <c r="E21" s="165" t="s">
        <v>100</v>
      </c>
      <c r="F21" s="165">
        <v>158193</v>
      </c>
    </row>
    <row r="22" spans="1:12">
      <c r="A22" s="178" t="s">
        <v>126</v>
      </c>
      <c r="B22" s="178"/>
      <c r="C22" s="179" t="s">
        <v>150</v>
      </c>
      <c r="D22" s="163" t="s">
        <v>151</v>
      </c>
      <c r="E22" s="165" t="s">
        <v>101</v>
      </c>
      <c r="F22" s="165">
        <v>4.2999999999999997E-2</v>
      </c>
    </row>
    <row r="23" spans="1:12">
      <c r="A23" s="33">
        <v>1992</v>
      </c>
      <c r="B23" s="46">
        <v>1</v>
      </c>
      <c r="C23" s="168">
        <v>150781.16666666666</v>
      </c>
      <c r="D23" s="120"/>
      <c r="E23" s="48">
        <f t="shared" ref="E23:E37" si="0">$F$21*EXP($F$22*B23)</f>
        <v>165143.66740010298</v>
      </c>
      <c r="F23" s="173">
        <f t="shared" ref="F23:F37" si="1">ABS((E23-C23)/C23)</f>
        <v>9.5253943519270107E-2</v>
      </c>
    </row>
    <row r="24" spans="1:12">
      <c r="A24" s="163">
        <v>1993</v>
      </c>
      <c r="B24" s="46">
        <v>2</v>
      </c>
      <c r="C24" s="168">
        <v>161696.25</v>
      </c>
      <c r="D24" s="120">
        <f>(C24-C23)/C23</f>
        <v>7.2390229991146179E-2</v>
      </c>
      <c r="E24" s="48">
        <f t="shared" si="0"/>
        <v>172399.73249357322</v>
      </c>
      <c r="F24" s="173">
        <f t="shared" si="1"/>
        <v>6.6194995205969331E-2</v>
      </c>
    </row>
    <row r="25" spans="1:12">
      <c r="A25" s="163">
        <v>1994</v>
      </c>
      <c r="B25" s="46">
        <v>3</v>
      </c>
      <c r="C25" s="168">
        <v>175688.83333333334</v>
      </c>
      <c r="D25" s="120">
        <f t="shared" ref="D25:D42" si="2">(C25-C24)/C24</f>
        <v>8.6536226618325052E-2</v>
      </c>
      <c r="E25" s="48">
        <f t="shared" si="0"/>
        <v>179974.61381214956</v>
      </c>
      <c r="F25" s="173">
        <f t="shared" si="1"/>
        <v>2.4394154127512661E-2</v>
      </c>
    </row>
    <row r="26" spans="1:12">
      <c r="A26" s="163">
        <v>1995</v>
      </c>
      <c r="B26" s="46">
        <v>4</v>
      </c>
      <c r="C26" s="168">
        <v>185437.25</v>
      </c>
      <c r="D26" s="120">
        <f t="shared" si="2"/>
        <v>5.5486831358092327E-2</v>
      </c>
      <c r="E26" s="48">
        <f t="shared" si="0"/>
        <v>187882.31946960744</v>
      </c>
      <c r="F26" s="173">
        <f t="shared" si="1"/>
        <v>1.3185427790842644E-2</v>
      </c>
    </row>
    <row r="27" spans="1:12">
      <c r="A27" s="163">
        <v>1996</v>
      </c>
      <c r="B27" s="46">
        <v>5</v>
      </c>
      <c r="C27" s="168">
        <v>196728.16666666666</v>
      </c>
      <c r="D27" s="120">
        <f t="shared" si="2"/>
        <v>6.0888072200524203E-2</v>
      </c>
      <c r="E27" s="48">
        <f t="shared" si="0"/>
        <v>196137.47306675219</v>
      </c>
      <c r="F27" s="173">
        <f t="shared" si="1"/>
        <v>3.0025878343863449E-3</v>
      </c>
    </row>
    <row r="28" spans="1:12">
      <c r="A28" s="163">
        <v>1997</v>
      </c>
      <c r="B28" s="46">
        <v>6</v>
      </c>
      <c r="C28" s="168">
        <v>206334.08333333334</v>
      </c>
      <c r="D28" s="120">
        <f t="shared" si="2"/>
        <v>4.8828374855659648E-2</v>
      </c>
      <c r="E28" s="48">
        <f t="shared" si="0"/>
        <v>204755.34073462404</v>
      </c>
      <c r="F28" s="173">
        <f t="shared" si="1"/>
        <v>7.6513902754439152E-3</v>
      </c>
    </row>
    <row r="29" spans="1:12">
      <c r="A29" s="163">
        <v>1998</v>
      </c>
      <c r="B29" s="46">
        <v>7</v>
      </c>
      <c r="C29" s="168">
        <v>215657.66666666666</v>
      </c>
      <c r="D29" s="120">
        <f t="shared" si="2"/>
        <v>4.5186830904087892E-2</v>
      </c>
      <c r="E29" s="48">
        <f t="shared" si="0"/>
        <v>213751.8593659233</v>
      </c>
      <c r="F29" s="173">
        <f t="shared" si="1"/>
        <v>8.8371877995373337E-3</v>
      </c>
    </row>
    <row r="30" spans="1:12">
      <c r="A30" s="163">
        <v>1999</v>
      </c>
      <c r="B30" s="46">
        <v>8</v>
      </c>
      <c r="C30" s="168">
        <v>233872</v>
      </c>
      <c r="D30" s="120">
        <f t="shared" si="2"/>
        <v>8.4459475124927977E-2</v>
      </c>
      <c r="E30" s="48">
        <f t="shared" si="0"/>
        <v>223143.66608686617</v>
      </c>
      <c r="F30" s="173">
        <f t="shared" si="1"/>
        <v>4.5872673569875101E-2</v>
      </c>
    </row>
    <row r="31" spans="1:12">
      <c r="A31" s="163">
        <v>2000</v>
      </c>
      <c r="B31" s="46">
        <v>9</v>
      </c>
      <c r="C31" s="168">
        <v>248748.25</v>
      </c>
      <c r="D31" s="120">
        <f t="shared" si="2"/>
        <v>6.3608512348635154E-2</v>
      </c>
      <c r="E31" s="48">
        <f t="shared" si="0"/>
        <v>232948.12902397109</v>
      </c>
      <c r="F31" s="173">
        <f t="shared" si="1"/>
        <v>6.3518521139460909E-2</v>
      </c>
    </row>
    <row r="32" spans="1:12">
      <c r="A32" s="163">
        <v>2001</v>
      </c>
      <c r="B32" s="46">
        <v>10</v>
      </c>
      <c r="C32" s="168">
        <v>255663.75</v>
      </c>
      <c r="D32" s="120">
        <f t="shared" si="2"/>
        <v>2.7801200611461588E-2</v>
      </c>
      <c r="E32" s="48">
        <f t="shared" si="0"/>
        <v>243183.37942267326</v>
      </c>
      <c r="F32" s="173">
        <f t="shared" si="1"/>
        <v>4.88155656690741E-2</v>
      </c>
    </row>
    <row r="33" spans="1:18">
      <c r="A33" s="163">
        <v>2002</v>
      </c>
      <c r="B33" s="46">
        <v>11</v>
      </c>
      <c r="C33" s="168">
        <v>261272.41666666666</v>
      </c>
      <c r="D33" s="120">
        <f t="shared" si="2"/>
        <v>2.1937668780445632E-2</v>
      </c>
      <c r="E33" s="48">
        <f t="shared" si="0"/>
        <v>253868.34517716331</v>
      </c>
      <c r="F33" s="173">
        <f t="shared" si="1"/>
        <v>2.833851190250028E-2</v>
      </c>
    </row>
    <row r="34" spans="1:18">
      <c r="A34" s="163">
        <v>2003</v>
      </c>
      <c r="B34" s="46">
        <v>12</v>
      </c>
      <c r="C34" s="168">
        <v>272232.5</v>
      </c>
      <c r="D34" s="120">
        <f t="shared" si="2"/>
        <v>4.1948872648567039E-2</v>
      </c>
      <c r="E34" s="48">
        <f t="shared" si="0"/>
        <v>265022.78583345655</v>
      </c>
      <c r="F34" s="173">
        <f t="shared" si="1"/>
        <v>2.6483664391810113E-2</v>
      </c>
    </row>
    <row r="35" spans="1:18">
      <c r="A35" s="163">
        <v>2004</v>
      </c>
      <c r="B35" s="46">
        <v>13</v>
      </c>
      <c r="C35" s="168">
        <v>288987.5</v>
      </c>
      <c r="D35" s="120">
        <f t="shared" si="2"/>
        <v>6.154665589156328E-2</v>
      </c>
      <c r="E35" s="48">
        <f t="shared" si="0"/>
        <v>276667.32913042337</v>
      </c>
      <c r="F35" s="173">
        <f t="shared" si="1"/>
        <v>4.2632192982660591E-2</v>
      </c>
    </row>
    <row r="36" spans="1:18">
      <c r="A36" s="163">
        <v>2005</v>
      </c>
      <c r="B36" s="46">
        <v>14</v>
      </c>
      <c r="C36" s="168">
        <v>307826.08333333331</v>
      </c>
      <c r="D36" s="120">
        <f t="shared" si="2"/>
        <v>6.5188229017979368E-2</v>
      </c>
      <c r="E36" s="48">
        <f t="shared" si="0"/>
        <v>288823.50914635573</v>
      </c>
      <c r="F36" s="173">
        <f t="shared" si="1"/>
        <v>6.1731527040222924E-2</v>
      </c>
    </row>
    <row r="37" spans="1:18">
      <c r="A37" s="163">
        <v>2006</v>
      </c>
      <c r="B37" s="46">
        <v>15</v>
      </c>
      <c r="C37" s="168">
        <v>323823.08333333331</v>
      </c>
      <c r="D37" s="120">
        <f t="shared" si="2"/>
        <v>5.1967655978903675E-2</v>
      </c>
      <c r="E37" s="48">
        <f t="shared" si="0"/>
        <v>301513.80612161325</v>
      </c>
      <c r="F37" s="173">
        <f t="shared" si="1"/>
        <v>6.8893412359845876E-2</v>
      </c>
      <c r="N37" s="63"/>
      <c r="O37" s="63"/>
      <c r="P37" s="63"/>
      <c r="Q37" s="63"/>
      <c r="R37" s="63"/>
    </row>
    <row r="38" spans="1:18">
      <c r="A38" s="163">
        <v>2007</v>
      </c>
      <c r="B38" s="46">
        <v>16</v>
      </c>
      <c r="C38" s="168">
        <v>334008</v>
      </c>
      <c r="D38" s="120">
        <f t="shared" si="2"/>
        <v>3.1452102060873323E-2</v>
      </c>
      <c r="E38" s="48">
        <f t="shared" ref="E38:E78" si="3">$F$21*EXP($F$22*B41)</f>
        <v>358101.26393859531</v>
      </c>
      <c r="F38" s="173">
        <f>ABS((E38-C41)/C41)</f>
        <v>0.10537306524722216</v>
      </c>
    </row>
    <row r="39" spans="1:18">
      <c r="A39" s="163">
        <v>2008</v>
      </c>
      <c r="B39" s="46">
        <v>17</v>
      </c>
      <c r="C39" s="168">
        <v>328780.33333333331</v>
      </c>
      <c r="D39" s="120">
        <f t="shared" si="2"/>
        <v>-1.5651321724829005E-2</v>
      </c>
      <c r="E39" s="48">
        <f t="shared" si="3"/>
        <v>373835.47961940081</v>
      </c>
      <c r="F39" s="173">
        <f>ABS((E39-C42)/C42)</f>
        <v>6.8963412979183375E-2</v>
      </c>
    </row>
    <row r="40" spans="1:18">
      <c r="A40" s="163">
        <v>2009</v>
      </c>
      <c r="B40" s="46">
        <v>18</v>
      </c>
      <c r="C40" s="168">
        <v>303288.91666666669</v>
      </c>
      <c r="D40" s="120">
        <f t="shared" si="2"/>
        <v>-7.7533277030965853E-2</v>
      </c>
      <c r="E40" s="48">
        <f t="shared" si="3"/>
        <v>390261.02361434634</v>
      </c>
      <c r="F40" s="173">
        <f>ABS((E40-C40)/C40)</f>
        <v>0.28676322202458648</v>
      </c>
    </row>
    <row r="41" spans="1:18">
      <c r="A41" s="163">
        <v>2010</v>
      </c>
      <c r="B41" s="46">
        <v>19</v>
      </c>
      <c r="C41" s="168">
        <v>323964.16666666669</v>
      </c>
      <c r="D41" s="120">
        <f t="shared" si="2"/>
        <v>6.8170146892388359E-2</v>
      </c>
      <c r="E41" s="48">
        <f t="shared" si="3"/>
        <v>407408.27143420593</v>
      </c>
      <c r="F41" s="173">
        <f>ABS((E41-C41)/C41)</f>
        <v>0.25757201985056755</v>
      </c>
    </row>
    <row r="42" spans="1:18">
      <c r="A42" s="163">
        <v>2011</v>
      </c>
      <c r="B42" s="46">
        <v>20</v>
      </c>
      <c r="C42" s="168">
        <v>349717.75</v>
      </c>
      <c r="D42" s="120">
        <f t="shared" si="2"/>
        <v>7.949516021576454E-2</v>
      </c>
      <c r="E42" s="48">
        <f t="shared" si="3"/>
        <v>425308.93322575185</v>
      </c>
      <c r="F42" s="173">
        <f>ABS((E42-C42)/C42)</f>
        <v>0.21614911804091114</v>
      </c>
    </row>
    <row r="43" spans="1:18">
      <c r="A43" s="163">
        <v>2012</v>
      </c>
      <c r="B43" s="46">
        <v>21</v>
      </c>
      <c r="D43" s="176">
        <f>AVERAGE(D23:D42)</f>
        <v>4.5984612986502658E-2</v>
      </c>
      <c r="E43" s="48">
        <f t="shared" si="3"/>
        <v>443996.1124128513</v>
      </c>
      <c r="F43" s="177">
        <f>AVERAGE(F23:F42)</f>
        <v>7.6981329687544148E-2</v>
      </c>
    </row>
    <row r="44" spans="1:18">
      <c r="A44" s="163">
        <v>2013</v>
      </c>
      <c r="B44" s="46">
        <v>22</v>
      </c>
      <c r="C44" s="174"/>
      <c r="D44" s="63"/>
      <c r="E44" s="48">
        <f t="shared" si="3"/>
        <v>463504.36691412784</v>
      </c>
    </row>
    <row r="45" spans="1:18">
      <c r="A45" s="163">
        <v>2014</v>
      </c>
      <c r="B45" s="46">
        <v>23</v>
      </c>
      <c r="E45" s="48">
        <f t="shared" si="3"/>
        <v>483869.77305040054</v>
      </c>
    </row>
    <row r="46" spans="1:18">
      <c r="A46" s="163">
        <v>2015</v>
      </c>
      <c r="B46" s="46">
        <v>24</v>
      </c>
      <c r="E46" s="48">
        <f t="shared" si="3"/>
        <v>505129.99226007872</v>
      </c>
    </row>
    <row r="47" spans="1:18">
      <c r="A47" s="163">
        <v>2016</v>
      </c>
      <c r="B47" s="46">
        <v>25</v>
      </c>
      <c r="E47" s="48">
        <f t="shared" si="3"/>
        <v>527324.34074589284</v>
      </c>
    </row>
    <row r="48" spans="1:18">
      <c r="A48" s="163">
        <v>2017</v>
      </c>
      <c r="B48" s="46">
        <v>26</v>
      </c>
      <c r="E48" s="48">
        <f t="shared" si="3"/>
        <v>550493.86218175455</v>
      </c>
    </row>
    <row r="49" spans="1:6">
      <c r="A49" s="163">
        <v>2018</v>
      </c>
      <c r="B49" s="46">
        <v>27</v>
      </c>
      <c r="E49" s="48">
        <f t="shared" si="3"/>
        <v>574681.40361420403</v>
      </c>
    </row>
    <row r="50" spans="1:6">
      <c r="A50" s="163">
        <v>2019</v>
      </c>
      <c r="B50" s="46">
        <v>28</v>
      </c>
      <c r="E50" s="48">
        <f t="shared" si="3"/>
        <v>599931.69469880743</v>
      </c>
    </row>
    <row r="51" spans="1:6">
      <c r="A51" s="163">
        <v>2020</v>
      </c>
      <c r="B51" s="46">
        <v>29</v>
      </c>
      <c r="E51" s="48">
        <f t="shared" si="3"/>
        <v>626291.43041803339</v>
      </c>
    </row>
    <row r="52" spans="1:6">
      <c r="A52" s="163">
        <v>2021</v>
      </c>
      <c r="B52" s="46">
        <v>30</v>
      </c>
      <c r="E52" s="48">
        <f t="shared" si="3"/>
        <v>653809.35743358068</v>
      </c>
    </row>
    <row r="53" spans="1:6">
      <c r="A53" s="163">
        <v>2022</v>
      </c>
      <c r="B53" s="46">
        <v>31</v>
      </c>
      <c r="E53" s="180">
        <f t="shared" si="3"/>
        <v>682536.36423284397</v>
      </c>
      <c r="F53" t="s">
        <v>153</v>
      </c>
    </row>
    <row r="54" spans="1:6">
      <c r="A54" s="163">
        <v>2023</v>
      </c>
      <c r="B54" s="46">
        <v>32</v>
      </c>
      <c r="E54" s="48">
        <f t="shared" si="3"/>
        <v>712525.57523622608</v>
      </c>
    </row>
    <row r="55" spans="1:6">
      <c r="A55" s="163">
        <v>2024</v>
      </c>
      <c r="B55" s="46">
        <v>33</v>
      </c>
      <c r="E55" s="48">
        <f t="shared" si="3"/>
        <v>743832.44903932756</v>
      </c>
    </row>
    <row r="56" spans="1:6">
      <c r="A56" s="163">
        <v>2025</v>
      </c>
      <c r="B56" s="46">
        <v>34</v>
      </c>
      <c r="E56" s="48">
        <f t="shared" si="3"/>
        <v>776514.88097169134</v>
      </c>
    </row>
    <row r="57" spans="1:6">
      <c r="A57" s="163">
        <v>2026</v>
      </c>
      <c r="B57" s="46">
        <v>35</v>
      </c>
      <c r="E57" s="48">
        <f t="shared" si="3"/>
        <v>810633.31016176147</v>
      </c>
    </row>
    <row r="58" spans="1:6">
      <c r="A58" s="163">
        <v>2027</v>
      </c>
      <c r="B58" s="46">
        <v>36</v>
      </c>
      <c r="E58" s="48">
        <f t="shared" si="3"/>
        <v>846250.83130605274</v>
      </c>
    </row>
    <row r="59" spans="1:6">
      <c r="A59" s="163">
        <v>2028</v>
      </c>
      <c r="B59" s="46">
        <v>37</v>
      </c>
      <c r="E59" s="48">
        <f t="shared" si="3"/>
        <v>883433.31134922162</v>
      </c>
    </row>
    <row r="60" spans="1:6">
      <c r="A60" s="163">
        <v>2029</v>
      </c>
      <c r="B60" s="46">
        <v>38</v>
      </c>
      <c r="E60" s="48">
        <f t="shared" si="3"/>
        <v>922249.5112908124</v>
      </c>
    </row>
    <row r="61" spans="1:6">
      <c r="A61" s="163">
        <v>2030</v>
      </c>
      <c r="B61" s="46">
        <v>39</v>
      </c>
      <c r="E61" s="48">
        <f t="shared" si="3"/>
        <v>962771.21334393672</v>
      </c>
    </row>
    <row r="62" spans="1:6">
      <c r="A62" s="163">
        <v>2031</v>
      </c>
      <c r="B62" s="46">
        <v>40</v>
      </c>
      <c r="E62" s="48">
        <f t="shared" si="3"/>
        <v>1005073.3536810393</v>
      </c>
    </row>
    <row r="63" spans="1:6">
      <c r="A63" s="163">
        <v>2032</v>
      </c>
      <c r="B63" s="46">
        <v>41</v>
      </c>
      <c r="E63" s="48">
        <f t="shared" si="3"/>
        <v>1049234.1610122295</v>
      </c>
    </row>
    <row r="64" spans="1:6">
      <c r="A64" s="163">
        <v>2033</v>
      </c>
      <c r="B64" s="46">
        <v>42</v>
      </c>
      <c r="E64" s="48">
        <f t="shared" si="3"/>
        <v>1095335.3012524555</v>
      </c>
    </row>
    <row r="65" spans="1:6">
      <c r="A65" s="163">
        <v>2034</v>
      </c>
      <c r="B65" s="46">
        <v>43</v>
      </c>
      <c r="E65" s="48">
        <f t="shared" si="3"/>
        <v>1143462.02854505</v>
      </c>
    </row>
    <row r="66" spans="1:6">
      <c r="A66" s="163">
        <v>2035</v>
      </c>
      <c r="B66" s="46">
        <v>44</v>
      </c>
      <c r="E66" s="48">
        <f t="shared" si="3"/>
        <v>1193703.3429209306</v>
      </c>
    </row>
    <row r="67" spans="1:6">
      <c r="A67" s="163">
        <v>2036</v>
      </c>
      <c r="B67" s="46">
        <v>45</v>
      </c>
      <c r="E67" s="48">
        <f t="shared" si="3"/>
        <v>1246152.1548850155</v>
      </c>
    </row>
    <row r="68" spans="1:6">
      <c r="A68" s="163">
        <v>2037</v>
      </c>
      <c r="B68" s="46">
        <v>46</v>
      </c>
      <c r="E68" s="48">
        <f t="shared" si="3"/>
        <v>1300905.4572342171</v>
      </c>
    </row>
    <row r="69" spans="1:6">
      <c r="A69" s="163">
        <v>2038</v>
      </c>
      <c r="B69" s="46">
        <v>47</v>
      </c>
      <c r="E69" s="48">
        <f t="shared" si="3"/>
        <v>1358064.5044247624</v>
      </c>
    </row>
    <row r="70" spans="1:6">
      <c r="A70" s="163">
        <v>2039</v>
      </c>
      <c r="B70" s="46">
        <v>48</v>
      </c>
      <c r="E70" s="48">
        <f t="shared" si="3"/>
        <v>1417734.9998205265</v>
      </c>
    </row>
    <row r="71" spans="1:6">
      <c r="A71" s="163">
        <v>2040</v>
      </c>
      <c r="B71" s="46">
        <v>49</v>
      </c>
      <c r="E71" s="48">
        <f t="shared" si="3"/>
        <v>1480027.2911686744</v>
      </c>
    </row>
    <row r="72" spans="1:6">
      <c r="A72" s="163">
        <v>2041</v>
      </c>
      <c r="B72" s="46">
        <v>50</v>
      </c>
      <c r="E72" s="48">
        <f t="shared" si="3"/>
        <v>1545056.5746640807</v>
      </c>
    </row>
    <row r="73" spans="1:6">
      <c r="A73" s="163">
        <v>2042</v>
      </c>
      <c r="B73" s="46">
        <v>51</v>
      </c>
      <c r="E73" s="48">
        <f t="shared" si="3"/>
        <v>1612943.1079799184</v>
      </c>
    </row>
    <row r="74" spans="1:6">
      <c r="A74" s="163">
        <v>2043</v>
      </c>
      <c r="B74" s="46">
        <v>52</v>
      </c>
      <c r="E74" s="48">
        <f t="shared" si="3"/>
        <v>1683812.4326583603</v>
      </c>
    </row>
    <row r="75" spans="1:6">
      <c r="A75" s="163">
        <v>2044</v>
      </c>
      <c r="B75" s="46">
        <v>53</v>
      </c>
      <c r="E75" s="48">
        <f t="shared" si="3"/>
        <v>1757795.6062726579</v>
      </c>
    </row>
    <row r="76" spans="1:6">
      <c r="A76" s="163">
        <v>2045</v>
      </c>
      <c r="B76" s="46">
        <v>54</v>
      </c>
      <c r="E76" s="48">
        <f t="shared" si="3"/>
        <v>1835029.4447899342</v>
      </c>
    </row>
    <row r="77" spans="1:6">
      <c r="A77" s="163">
        <v>2046</v>
      </c>
      <c r="B77" s="46">
        <v>55</v>
      </c>
      <c r="E77" s="48">
        <f t="shared" si="3"/>
        <v>1915656.7755828928</v>
      </c>
    </row>
    <row r="78" spans="1:6">
      <c r="A78" s="163">
        <v>2047</v>
      </c>
      <c r="B78" s="46">
        <v>56</v>
      </c>
      <c r="E78" s="181">
        <f t="shared" si="3"/>
        <v>1999826.7015583178</v>
      </c>
      <c r="F78" t="s">
        <v>154</v>
      </c>
    </row>
    <row r="79" spans="1:6">
      <c r="A79" s="163">
        <v>2048</v>
      </c>
      <c r="B79" s="46">
        <v>57</v>
      </c>
    </row>
    <row r="80" spans="1:6">
      <c r="A80" s="163">
        <v>2049</v>
      </c>
      <c r="B80" s="46">
        <v>58</v>
      </c>
    </row>
    <row r="81" spans="1:2">
      <c r="A81" s="163">
        <v>2050</v>
      </c>
      <c r="B81" s="46">
        <v>59</v>
      </c>
    </row>
  </sheetData>
  <mergeCells count="2">
    <mergeCell ref="E20:F20"/>
    <mergeCell ref="A1:I19"/>
  </mergeCells>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40C-B591-49B1-A7B3-B21F0595B4FA}">
  <dimension ref="A1:Z32"/>
  <sheetViews>
    <sheetView workbookViewId="0">
      <selection activeCell="O22" sqref="O22"/>
    </sheetView>
  </sheetViews>
  <sheetFormatPr defaultRowHeight="15"/>
  <cols>
    <col min="11" max="11" width="3.85546875" customWidth="1"/>
    <col min="12" max="12" width="17" bestFit="1" customWidth="1"/>
    <col min="13" max="13" width="13.7109375" bestFit="1" customWidth="1"/>
    <col min="14" max="14" width="3.5703125" customWidth="1"/>
    <col min="15" max="15" width="9.140625" style="1"/>
    <col min="16" max="16" width="12.140625" style="1" bestFit="1" customWidth="1"/>
    <col min="17" max="17" width="12" style="1" customWidth="1"/>
    <col min="18" max="18" width="14.28515625" style="1" customWidth="1"/>
    <col min="19" max="19" width="15.42578125" style="1" customWidth="1"/>
    <col min="20" max="20" width="9.140625" style="1"/>
    <col min="21" max="21" width="13.28515625" style="1" customWidth="1"/>
    <col min="22" max="22" width="13.7109375" bestFit="1" customWidth="1"/>
    <col min="23" max="23" width="15.140625" customWidth="1"/>
    <col min="24" max="24" width="14.7109375" bestFit="1" customWidth="1"/>
    <col min="25" max="25" width="16" customWidth="1"/>
    <col min="26" max="26" width="14.5703125" customWidth="1"/>
  </cols>
  <sheetData>
    <row r="1" spans="1:26" ht="15" customHeight="1">
      <c r="A1" s="477" t="s">
        <v>193</v>
      </c>
      <c r="B1" s="478"/>
      <c r="C1" s="478"/>
      <c r="D1" s="478"/>
      <c r="E1" s="478"/>
      <c r="F1" s="478"/>
      <c r="G1" s="478"/>
      <c r="H1" s="478"/>
      <c r="I1" s="478"/>
      <c r="J1" s="479"/>
      <c r="T1" s="8"/>
      <c r="U1" s="8"/>
      <c r="V1" s="63"/>
      <c r="W1" s="63"/>
    </row>
    <row r="2" spans="1:26">
      <c r="A2" s="480"/>
      <c r="B2" s="481"/>
      <c r="C2" s="481"/>
      <c r="D2" s="481"/>
      <c r="E2" s="481"/>
      <c r="F2" s="481"/>
      <c r="G2" s="481"/>
      <c r="H2" s="481"/>
      <c r="I2" s="481"/>
      <c r="J2" s="482"/>
      <c r="T2" s="476" t="s">
        <v>76</v>
      </c>
      <c r="U2" s="476"/>
      <c r="V2" s="476"/>
      <c r="W2" s="183"/>
    </row>
    <row r="3" spans="1:26">
      <c r="A3" s="480"/>
      <c r="B3" s="481"/>
      <c r="C3" s="481"/>
      <c r="D3" s="481"/>
      <c r="E3" s="481"/>
      <c r="F3" s="481"/>
      <c r="G3" s="481"/>
      <c r="H3" s="481"/>
      <c r="I3" s="481"/>
      <c r="J3" s="482"/>
      <c r="L3" s="164" t="s">
        <v>156</v>
      </c>
      <c r="M3" s="162">
        <v>4000000</v>
      </c>
      <c r="O3" s="163" t="s">
        <v>157</v>
      </c>
      <c r="P3" s="163" t="s">
        <v>158</v>
      </c>
      <c r="Q3" s="163" t="s">
        <v>159</v>
      </c>
      <c r="R3" s="163" t="s">
        <v>162</v>
      </c>
      <c r="S3" s="163" t="s">
        <v>160</v>
      </c>
      <c r="T3" s="183" t="s">
        <v>163</v>
      </c>
      <c r="U3" s="183" t="s">
        <v>164</v>
      </c>
      <c r="V3" s="183" t="s">
        <v>152</v>
      </c>
      <c r="W3" s="183" t="s">
        <v>161</v>
      </c>
      <c r="X3" s="183" t="s">
        <v>44</v>
      </c>
    </row>
    <row r="4" spans="1:26">
      <c r="A4" s="480"/>
      <c r="B4" s="481"/>
      <c r="C4" s="481"/>
      <c r="D4" s="481"/>
      <c r="E4" s="481"/>
      <c r="F4" s="481"/>
      <c r="G4" s="481"/>
      <c r="H4" s="481"/>
      <c r="I4" s="481"/>
      <c r="J4" s="482"/>
      <c r="L4" s="164" t="s">
        <v>90</v>
      </c>
      <c r="M4" s="20">
        <f>X9</f>
        <v>4004192.8843907593</v>
      </c>
      <c r="O4" s="163">
        <v>1</v>
      </c>
      <c r="P4" s="33">
        <v>80000</v>
      </c>
      <c r="Q4" s="30">
        <v>25</v>
      </c>
      <c r="R4" s="30">
        <f>P4*$Q$4</f>
        <v>2000000</v>
      </c>
      <c r="S4" s="186">
        <v>0.48899999999999999</v>
      </c>
      <c r="T4" s="185">
        <v>0.4</v>
      </c>
      <c r="U4" s="184">
        <f>R4*T4</f>
        <v>800000</v>
      </c>
      <c r="V4" s="184">
        <f>R4/2</f>
        <v>1000000</v>
      </c>
      <c r="W4" s="184">
        <f>U4+V4</f>
        <v>1800000</v>
      </c>
      <c r="X4" s="48">
        <f>R4-W4</f>
        <v>200000</v>
      </c>
    </row>
    <row r="5" spans="1:26">
      <c r="A5" s="480"/>
      <c r="B5" s="481"/>
      <c r="C5" s="481"/>
      <c r="D5" s="481"/>
      <c r="E5" s="481"/>
      <c r="F5" s="481"/>
      <c r="G5" s="481"/>
      <c r="H5" s="481"/>
      <c r="I5" s="481"/>
      <c r="J5" s="482"/>
      <c r="L5" s="164" t="s">
        <v>165</v>
      </c>
      <c r="M5" s="20">
        <f>M4-M3</f>
        <v>4192.8843907592818</v>
      </c>
      <c r="O5" s="163">
        <v>2</v>
      </c>
      <c r="P5" s="33">
        <f>P4+P4*$S$4</f>
        <v>119120</v>
      </c>
      <c r="Q5" s="163"/>
      <c r="R5" s="30">
        <f t="shared" ref="R5:R8" si="0">P5*$Q$4</f>
        <v>2978000</v>
      </c>
      <c r="S5" s="163"/>
      <c r="T5" s="185">
        <f>T4-2%</f>
        <v>0.38</v>
      </c>
      <c r="U5" s="184">
        <f t="shared" ref="U5:U8" si="1">R5*T5</f>
        <v>1131640</v>
      </c>
      <c r="V5" s="184">
        <f t="shared" ref="V5:V8" si="2">R5/2</f>
        <v>1489000</v>
      </c>
      <c r="W5" s="184">
        <f t="shared" ref="W5:W8" si="3">U5+V5</f>
        <v>2620640</v>
      </c>
      <c r="X5" s="48">
        <f t="shared" ref="X5:X8" si="4">R5-W5</f>
        <v>357360</v>
      </c>
      <c r="Z5" s="20"/>
    </row>
    <row r="6" spans="1:26">
      <c r="A6" s="480"/>
      <c r="B6" s="481"/>
      <c r="C6" s="481"/>
      <c r="D6" s="481"/>
      <c r="E6" s="481"/>
      <c r="F6" s="481"/>
      <c r="G6" s="481"/>
      <c r="H6" s="481"/>
      <c r="I6" s="481"/>
      <c r="J6" s="482"/>
      <c r="O6" s="163">
        <v>3</v>
      </c>
      <c r="P6" s="33">
        <f t="shared" ref="P6:P8" si="5">P5+P5*$S$4</f>
        <v>177369.68</v>
      </c>
      <c r="Q6" s="163"/>
      <c r="R6" s="30">
        <f t="shared" si="0"/>
        <v>4434242</v>
      </c>
      <c r="S6" s="163"/>
      <c r="T6" s="185">
        <v>0.36</v>
      </c>
      <c r="U6" s="184">
        <f t="shared" si="1"/>
        <v>1596327.1199999999</v>
      </c>
      <c r="V6" s="184">
        <f t="shared" si="2"/>
        <v>2217121</v>
      </c>
      <c r="W6" s="184">
        <f t="shared" si="3"/>
        <v>3813448.12</v>
      </c>
      <c r="X6" s="48">
        <f t="shared" si="4"/>
        <v>620793.87999999989</v>
      </c>
      <c r="Z6" s="20"/>
    </row>
    <row r="7" spans="1:26">
      <c r="A7" s="480"/>
      <c r="B7" s="481"/>
      <c r="C7" s="481"/>
      <c r="D7" s="481"/>
      <c r="E7" s="481"/>
      <c r="F7" s="481"/>
      <c r="G7" s="481"/>
      <c r="H7" s="481"/>
      <c r="I7" s="481"/>
      <c r="J7" s="482"/>
      <c r="O7" s="163">
        <v>4</v>
      </c>
      <c r="P7" s="33">
        <f t="shared" si="5"/>
        <v>264103.45351999998</v>
      </c>
      <c r="Q7" s="163"/>
      <c r="R7" s="30">
        <f t="shared" si="0"/>
        <v>6602586.3379999995</v>
      </c>
      <c r="S7" s="163"/>
      <c r="T7" s="185">
        <v>0.34</v>
      </c>
      <c r="U7" s="184">
        <f t="shared" si="1"/>
        <v>2244879.3549199998</v>
      </c>
      <c r="V7" s="184">
        <f t="shared" si="2"/>
        <v>3301293.1689999998</v>
      </c>
      <c r="W7" s="184">
        <f t="shared" si="3"/>
        <v>5546172.5239199996</v>
      </c>
      <c r="X7" s="48">
        <f t="shared" si="4"/>
        <v>1056413.8140799999</v>
      </c>
      <c r="Z7" s="20"/>
    </row>
    <row r="8" spans="1:26">
      <c r="A8" s="480"/>
      <c r="B8" s="481"/>
      <c r="C8" s="481"/>
      <c r="D8" s="481"/>
      <c r="E8" s="481"/>
      <c r="F8" s="481"/>
      <c r="G8" s="481"/>
      <c r="H8" s="481"/>
      <c r="I8" s="481"/>
      <c r="J8" s="482"/>
      <c r="L8" s="164" t="s">
        <v>145</v>
      </c>
      <c r="M8" s="188">
        <v>0.05</v>
      </c>
      <c r="O8" s="163">
        <v>5</v>
      </c>
      <c r="P8" s="33">
        <f t="shared" si="5"/>
        <v>393250.04229128</v>
      </c>
      <c r="Q8" s="163"/>
      <c r="R8" s="30">
        <f t="shared" si="0"/>
        <v>9831251.0572820008</v>
      </c>
      <c r="S8" s="163"/>
      <c r="T8" s="185">
        <v>0.32</v>
      </c>
      <c r="U8" s="184">
        <f t="shared" si="1"/>
        <v>3146000.3383302405</v>
      </c>
      <c r="V8" s="184">
        <f t="shared" si="2"/>
        <v>4915625.5286410004</v>
      </c>
      <c r="W8" s="184">
        <f t="shared" si="3"/>
        <v>8061625.8669712413</v>
      </c>
      <c r="X8" s="48">
        <f t="shared" si="4"/>
        <v>1769625.1903107595</v>
      </c>
      <c r="Z8" s="20"/>
    </row>
    <row r="9" spans="1:26">
      <c r="A9" s="480"/>
      <c r="B9" s="481"/>
      <c r="C9" s="481"/>
      <c r="D9" s="481"/>
      <c r="E9" s="481"/>
      <c r="F9" s="481"/>
      <c r="G9" s="481"/>
      <c r="H9" s="481"/>
      <c r="I9" s="481"/>
      <c r="J9" s="482"/>
      <c r="T9" s="8"/>
      <c r="U9" s="8"/>
      <c r="V9" s="63"/>
      <c r="W9" s="63"/>
      <c r="X9" s="48">
        <f>SUM(X4:X8)</f>
        <v>4004192.8843907593</v>
      </c>
      <c r="Z9" s="20"/>
    </row>
    <row r="10" spans="1:26">
      <c r="A10" s="480"/>
      <c r="B10" s="481"/>
      <c r="C10" s="481"/>
      <c r="D10" s="481"/>
      <c r="E10" s="481"/>
      <c r="F10" s="481"/>
      <c r="G10" s="481"/>
      <c r="H10" s="481"/>
      <c r="I10" s="481"/>
      <c r="J10" s="482"/>
      <c r="Z10" s="20"/>
    </row>
    <row r="11" spans="1:26">
      <c r="A11" s="480"/>
      <c r="B11" s="481"/>
      <c r="C11" s="481"/>
      <c r="D11" s="481"/>
      <c r="E11" s="481"/>
      <c r="F11" s="481"/>
      <c r="G11" s="481"/>
      <c r="H11" s="481"/>
      <c r="I11" s="481"/>
      <c r="J11" s="482"/>
    </row>
    <row r="12" spans="1:26">
      <c r="A12" s="480"/>
      <c r="B12" s="481"/>
      <c r="C12" s="481"/>
      <c r="D12" s="481"/>
      <c r="E12" s="481"/>
      <c r="F12" s="481"/>
      <c r="G12" s="481"/>
      <c r="H12" s="481"/>
      <c r="I12" s="481"/>
      <c r="J12" s="482"/>
      <c r="L12" s="41" t="s">
        <v>166</v>
      </c>
      <c r="M12" s="48">
        <f>NPV(M8,X4:X8)</f>
        <v>3306539.2400783496</v>
      </c>
      <c r="N12" t="str">
        <f ca="1">_xlfn.FORMULATEXT(M12)</f>
        <v>=NPV(M8;X4:X8)</v>
      </c>
    </row>
    <row r="13" spans="1:26">
      <c r="A13" s="480"/>
      <c r="B13" s="481"/>
      <c r="C13" s="481"/>
      <c r="D13" s="481"/>
      <c r="E13" s="481"/>
      <c r="F13" s="481"/>
      <c r="G13" s="481"/>
      <c r="H13" s="481"/>
      <c r="I13" s="481"/>
      <c r="J13" s="482"/>
    </row>
    <row r="14" spans="1:26">
      <c r="A14" s="480"/>
      <c r="B14" s="481"/>
      <c r="C14" s="481"/>
      <c r="D14" s="481"/>
      <c r="E14" s="481"/>
      <c r="F14" s="481"/>
      <c r="G14" s="481"/>
      <c r="H14" s="481"/>
      <c r="I14" s="481"/>
      <c r="J14" s="482"/>
      <c r="M14" s="194">
        <f>M12-M3</f>
        <v>-693460.7599216504</v>
      </c>
      <c r="N14" t="s">
        <v>167</v>
      </c>
    </row>
    <row r="15" spans="1:26">
      <c r="A15" s="480"/>
      <c r="B15" s="481"/>
      <c r="C15" s="481"/>
      <c r="D15" s="481"/>
      <c r="E15" s="481"/>
      <c r="F15" s="481"/>
      <c r="G15" s="481"/>
      <c r="H15" s="481"/>
      <c r="I15" s="481"/>
      <c r="J15" s="482"/>
      <c r="M15" t="str">
        <f ca="1">_xlfn.FORMULATEXT(M14)</f>
        <v>=M12-M3</v>
      </c>
    </row>
    <row r="16" spans="1:26">
      <c r="A16" s="480"/>
      <c r="B16" s="481"/>
      <c r="C16" s="481"/>
      <c r="D16" s="481"/>
      <c r="E16" s="481"/>
      <c r="F16" s="481"/>
      <c r="G16" s="481"/>
      <c r="H16" s="481"/>
      <c r="I16" s="481"/>
      <c r="J16" s="482"/>
    </row>
    <row r="17" spans="1:25">
      <c r="A17" s="480"/>
      <c r="B17" s="481"/>
      <c r="C17" s="481"/>
      <c r="D17" s="481"/>
      <c r="E17" s="481"/>
      <c r="F17" s="481"/>
      <c r="G17" s="481"/>
      <c r="H17" s="481"/>
      <c r="I17" s="481"/>
      <c r="J17" s="482"/>
    </row>
    <row r="18" spans="1:25">
      <c r="A18" s="480"/>
      <c r="B18" s="481"/>
      <c r="C18" s="481"/>
      <c r="D18" s="481"/>
      <c r="E18" s="481"/>
      <c r="F18" s="481"/>
      <c r="G18" s="481"/>
      <c r="H18" s="481"/>
      <c r="I18" s="481"/>
      <c r="J18" s="482"/>
      <c r="O18" s="187"/>
    </row>
    <row r="19" spans="1:25">
      <c r="A19" s="480"/>
      <c r="B19" s="481"/>
      <c r="C19" s="481"/>
      <c r="D19" s="481"/>
      <c r="E19" s="481"/>
      <c r="F19" s="481"/>
      <c r="G19" s="481"/>
      <c r="H19" s="481"/>
      <c r="I19" s="481"/>
      <c r="J19" s="482"/>
    </row>
    <row r="20" spans="1:25">
      <c r="A20" s="480"/>
      <c r="B20" s="481"/>
      <c r="C20" s="481"/>
      <c r="D20" s="481"/>
      <c r="E20" s="481"/>
      <c r="F20" s="481"/>
      <c r="G20" s="481"/>
      <c r="H20" s="481"/>
      <c r="I20" s="481"/>
      <c r="J20" s="482"/>
    </row>
    <row r="21" spans="1:25">
      <c r="A21" s="480"/>
      <c r="B21" s="481"/>
      <c r="C21" s="481"/>
      <c r="D21" s="481"/>
      <c r="E21" s="481"/>
      <c r="F21" s="481"/>
      <c r="G21" s="481"/>
      <c r="H21" s="481"/>
      <c r="I21" s="481"/>
      <c r="J21" s="482"/>
      <c r="L21" s="20"/>
    </row>
    <row r="22" spans="1:25">
      <c r="A22" s="480"/>
      <c r="B22" s="481"/>
      <c r="C22" s="481"/>
      <c r="D22" s="481"/>
      <c r="E22" s="481"/>
      <c r="F22" s="481"/>
      <c r="G22" s="481"/>
      <c r="H22" s="481"/>
      <c r="I22" s="481"/>
      <c r="J22" s="482"/>
      <c r="L22" s="20"/>
    </row>
    <row r="23" spans="1:25">
      <c r="A23" s="480"/>
      <c r="B23" s="481"/>
      <c r="C23" s="481"/>
      <c r="D23" s="481"/>
      <c r="E23" s="481"/>
      <c r="F23" s="481"/>
      <c r="G23" s="481"/>
      <c r="H23" s="481"/>
      <c r="I23" s="481"/>
      <c r="J23" s="482"/>
      <c r="L23" s="20"/>
      <c r="T23" s="475"/>
      <c r="U23" s="475"/>
      <c r="V23" s="475"/>
      <c r="W23" s="169"/>
      <c r="X23" s="169"/>
    </row>
    <row r="24" spans="1:25">
      <c r="A24" s="480"/>
      <c r="B24" s="481"/>
      <c r="C24" s="481"/>
      <c r="D24" s="481"/>
      <c r="E24" s="481"/>
      <c r="F24" s="481"/>
      <c r="G24" s="481"/>
      <c r="H24" s="481"/>
      <c r="I24" s="481"/>
      <c r="J24" s="482"/>
      <c r="P24" s="172"/>
      <c r="Q24" s="6"/>
      <c r="R24" s="6"/>
      <c r="S24" s="6"/>
      <c r="T24" s="182"/>
      <c r="U24" s="182"/>
      <c r="V24" s="171"/>
      <c r="W24" s="170"/>
      <c r="X24" s="170"/>
      <c r="Y24" s="20"/>
    </row>
    <row r="25" spans="1:25">
      <c r="A25" s="480"/>
      <c r="B25" s="481"/>
      <c r="C25" s="481"/>
      <c r="D25" s="481"/>
      <c r="E25" s="481"/>
      <c r="F25" s="481"/>
      <c r="G25" s="481"/>
      <c r="H25" s="481"/>
      <c r="I25" s="481"/>
      <c r="J25" s="482"/>
      <c r="P25" s="166"/>
      <c r="Q25" s="6"/>
      <c r="R25" s="6"/>
      <c r="S25" s="6"/>
      <c r="T25" s="182"/>
      <c r="U25" s="182"/>
      <c r="V25" s="171"/>
      <c r="W25" s="170"/>
      <c r="X25" s="170"/>
      <c r="Y25" s="20"/>
    </row>
    <row r="26" spans="1:25">
      <c r="A26" s="480"/>
      <c r="B26" s="481"/>
      <c r="C26" s="481"/>
      <c r="D26" s="481"/>
      <c r="E26" s="481"/>
      <c r="F26" s="481"/>
      <c r="G26" s="481"/>
      <c r="H26" s="481"/>
      <c r="I26" s="481"/>
      <c r="J26" s="482"/>
      <c r="P26" s="166"/>
      <c r="Q26" s="6"/>
      <c r="R26" s="6"/>
      <c r="S26" s="6"/>
      <c r="T26" s="182"/>
      <c r="U26" s="182"/>
      <c r="V26" s="171"/>
      <c r="W26" s="170"/>
      <c r="X26" s="170"/>
      <c r="Y26" s="20"/>
    </row>
    <row r="27" spans="1:25">
      <c r="A27" s="480"/>
      <c r="B27" s="481"/>
      <c r="C27" s="481"/>
      <c r="D27" s="481"/>
      <c r="E27" s="481"/>
      <c r="F27" s="481"/>
      <c r="G27" s="481"/>
      <c r="H27" s="481"/>
      <c r="I27" s="481"/>
      <c r="J27" s="482"/>
      <c r="P27" s="166"/>
      <c r="Q27" s="6"/>
      <c r="R27" s="6"/>
      <c r="S27" s="6"/>
      <c r="T27" s="182"/>
      <c r="U27" s="182"/>
      <c r="V27" s="171"/>
      <c r="W27" s="170"/>
      <c r="X27" s="170"/>
      <c r="Y27" s="20"/>
    </row>
    <row r="28" spans="1:25">
      <c r="A28" s="480"/>
      <c r="B28" s="481"/>
      <c r="C28" s="481"/>
      <c r="D28" s="481"/>
      <c r="E28" s="481"/>
      <c r="F28" s="481"/>
      <c r="G28" s="481"/>
      <c r="H28" s="481"/>
      <c r="I28" s="481"/>
      <c r="J28" s="482"/>
      <c r="P28" s="166"/>
      <c r="Q28" s="6"/>
      <c r="R28" s="6"/>
      <c r="S28" s="6"/>
      <c r="T28" s="182"/>
      <c r="U28" s="182"/>
      <c r="V28" s="171"/>
      <c r="W28" s="170"/>
      <c r="X28" s="170"/>
      <c r="Y28" s="20"/>
    </row>
    <row r="29" spans="1:25">
      <c r="A29" s="483"/>
      <c r="B29" s="484"/>
      <c r="C29" s="484"/>
      <c r="D29" s="484"/>
      <c r="E29" s="484"/>
      <c r="F29" s="484"/>
      <c r="G29" s="484"/>
      <c r="H29" s="484"/>
      <c r="I29" s="484"/>
      <c r="J29" s="485"/>
      <c r="Y29" s="20"/>
    </row>
    <row r="32" spans="1:25">
      <c r="S32" s="6"/>
    </row>
  </sheetData>
  <mergeCells count="3">
    <mergeCell ref="T23:V23"/>
    <mergeCell ref="T2:V2"/>
    <mergeCell ref="A1:J29"/>
  </mergeCell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A6A2E-F102-4531-A754-A9032076756B}">
  <dimension ref="A1:AB50"/>
  <sheetViews>
    <sheetView topLeftCell="I52" zoomScale="106" zoomScaleNormal="106" workbookViewId="0">
      <selection sqref="A1:L50"/>
    </sheetView>
  </sheetViews>
  <sheetFormatPr defaultRowHeight="15"/>
  <cols>
    <col min="14" max="14" width="14.42578125" customWidth="1"/>
    <col min="15" max="15" width="19.28515625" bestFit="1" customWidth="1"/>
    <col min="16" max="16" width="22.7109375" customWidth="1"/>
    <col min="17" max="19" width="12.28515625" bestFit="1" customWidth="1"/>
    <col min="20" max="20" width="11.85546875" customWidth="1"/>
    <col min="21" max="21" width="10.42578125" customWidth="1"/>
    <col min="22" max="22" width="13" customWidth="1"/>
    <col min="23" max="23" width="11" customWidth="1"/>
  </cols>
  <sheetData>
    <row r="1" spans="1:28" ht="15.75" customHeight="1" thickBot="1">
      <c r="A1" s="490" t="s">
        <v>187</v>
      </c>
      <c r="B1" s="491"/>
      <c r="C1" s="491"/>
      <c r="D1" s="491"/>
      <c r="E1" s="491"/>
      <c r="F1" s="491"/>
      <c r="G1" s="491"/>
      <c r="H1" s="491"/>
      <c r="I1" s="491"/>
      <c r="J1" s="491"/>
      <c r="K1" s="491"/>
      <c r="L1" s="491"/>
    </row>
    <row r="2" spans="1:28" ht="15.75" thickBot="1">
      <c r="A2" s="491"/>
      <c r="B2" s="491"/>
      <c r="C2" s="491"/>
      <c r="D2" s="491"/>
      <c r="E2" s="491"/>
      <c r="F2" s="491"/>
      <c r="G2" s="491"/>
      <c r="H2" s="491"/>
      <c r="I2" s="491"/>
      <c r="J2" s="491"/>
      <c r="K2" s="491"/>
      <c r="L2" s="491"/>
      <c r="N2" s="488" t="s">
        <v>168</v>
      </c>
      <c r="O2" s="489"/>
      <c r="P2" s="489"/>
      <c r="Q2" s="489"/>
      <c r="R2" s="489"/>
      <c r="S2" s="489"/>
      <c r="T2" s="489"/>
      <c r="U2" s="492" t="s">
        <v>188</v>
      </c>
      <c r="V2" s="195"/>
      <c r="W2" s="486" t="s">
        <v>189</v>
      </c>
    </row>
    <row r="3" spans="1:28" ht="15.75" thickBot="1">
      <c r="A3" s="491"/>
      <c r="B3" s="491"/>
      <c r="C3" s="491"/>
      <c r="D3" s="491"/>
      <c r="E3" s="491"/>
      <c r="F3" s="491"/>
      <c r="G3" s="491"/>
      <c r="H3" s="491"/>
      <c r="I3" s="491"/>
      <c r="J3" s="491"/>
      <c r="K3" s="491"/>
      <c r="L3" s="491"/>
      <c r="N3" s="191" t="s">
        <v>169</v>
      </c>
      <c r="O3" s="192" t="s">
        <v>170</v>
      </c>
      <c r="P3" s="192" t="s">
        <v>171</v>
      </c>
      <c r="Q3" s="192" t="s">
        <v>172</v>
      </c>
      <c r="R3" s="192" t="s">
        <v>173</v>
      </c>
      <c r="S3" s="192" t="s">
        <v>174</v>
      </c>
      <c r="T3" s="199" t="s">
        <v>175</v>
      </c>
      <c r="U3" s="492"/>
      <c r="V3" s="229" t="s">
        <v>183</v>
      </c>
      <c r="W3" s="486"/>
      <c r="X3" s="200" t="s">
        <v>180</v>
      </c>
      <c r="Y3" s="178" t="s">
        <v>181</v>
      </c>
      <c r="Z3" s="178" t="s">
        <v>182</v>
      </c>
    </row>
    <row r="4" spans="1:28" ht="15.75" thickTop="1">
      <c r="A4" s="491"/>
      <c r="B4" s="491"/>
      <c r="C4" s="491"/>
      <c r="D4" s="491"/>
      <c r="E4" s="491"/>
      <c r="F4" s="491"/>
      <c r="G4" s="491"/>
      <c r="H4" s="491"/>
      <c r="I4" s="491"/>
      <c r="J4" s="491"/>
      <c r="K4" s="491"/>
      <c r="L4" s="491"/>
      <c r="N4" s="201">
        <v>1</v>
      </c>
      <c r="O4" s="202" t="s">
        <v>176</v>
      </c>
      <c r="P4" s="203">
        <v>1</v>
      </c>
      <c r="Q4" s="202">
        <v>250</v>
      </c>
      <c r="R4" s="202">
        <v>100</v>
      </c>
      <c r="S4" s="202">
        <v>100</v>
      </c>
      <c r="T4" s="204">
        <v>60</v>
      </c>
      <c r="U4" s="205">
        <f>T4-(T4*$O$18)</f>
        <v>52.8</v>
      </c>
      <c r="V4" s="206" t="str">
        <f>IF(W4=0,"",U4/SUM(Q4:S4))</f>
        <v/>
      </c>
      <c r="W4" s="230">
        <v>0</v>
      </c>
      <c r="X4" s="208">
        <f>IF($W$4=1,Q4*$P$4,0)</f>
        <v>0</v>
      </c>
      <c r="Y4" s="208">
        <f t="shared" ref="Y4:Z4" si="0">IF($W$4=1,R4*$P$4,0)</f>
        <v>0</v>
      </c>
      <c r="Z4" s="208">
        <f t="shared" si="0"/>
        <v>0</v>
      </c>
      <c r="AA4" t="str">
        <f ca="1">_xlfn.FORMULATEXT(Z4)</f>
        <v>=IF($W$4=1;S4*$P$4;0)</v>
      </c>
    </row>
    <row r="5" spans="1:28">
      <c r="A5" s="491"/>
      <c r="B5" s="491"/>
      <c r="C5" s="491"/>
      <c r="D5" s="491"/>
      <c r="E5" s="491"/>
      <c r="F5" s="491"/>
      <c r="G5" s="491"/>
      <c r="H5" s="491"/>
      <c r="I5" s="491"/>
      <c r="J5" s="491"/>
      <c r="K5" s="491"/>
      <c r="L5" s="491"/>
      <c r="N5" s="207">
        <v>2</v>
      </c>
      <c r="O5" s="208" t="s">
        <v>176</v>
      </c>
      <c r="P5" s="209">
        <v>0.33</v>
      </c>
      <c r="Q5" s="208">
        <v>500</v>
      </c>
      <c r="R5" s="208">
        <v>300</v>
      </c>
      <c r="S5" s="208">
        <v>300</v>
      </c>
      <c r="T5" s="210">
        <v>180</v>
      </c>
      <c r="U5" s="205">
        <f t="shared" ref="U5:U15" si="1">T5-(T5*$O$18)</f>
        <v>158.4</v>
      </c>
      <c r="V5" s="206" t="str">
        <f t="shared" ref="V5:V15" si="2">IF(W5=0,"",U5/SUM(Q5:S5))</f>
        <v/>
      </c>
      <c r="W5" s="230">
        <v>0</v>
      </c>
      <c r="X5" s="208">
        <f>IF($W$5=1,Q5*$P$5,0)</f>
        <v>0</v>
      </c>
      <c r="Y5" s="208">
        <f t="shared" ref="Y5:Z5" si="3">IF($W$5=1,R5*$P$5,0)</f>
        <v>0</v>
      </c>
      <c r="Z5" s="208">
        <f t="shared" si="3"/>
        <v>0</v>
      </c>
    </row>
    <row r="6" spans="1:28">
      <c r="A6" s="491"/>
      <c r="B6" s="491"/>
      <c r="C6" s="491"/>
      <c r="D6" s="491"/>
      <c r="E6" s="491"/>
      <c r="F6" s="491"/>
      <c r="G6" s="491"/>
      <c r="H6" s="491"/>
      <c r="I6" s="491"/>
      <c r="J6" s="491"/>
      <c r="K6" s="491"/>
      <c r="L6" s="491"/>
      <c r="N6" s="207">
        <v>3</v>
      </c>
      <c r="O6" s="208" t="s">
        <v>176</v>
      </c>
      <c r="P6" s="209">
        <v>0.5</v>
      </c>
      <c r="Q6" s="208">
        <v>100</v>
      </c>
      <c r="R6" s="208">
        <v>200</v>
      </c>
      <c r="S6" s="208">
        <v>400</v>
      </c>
      <c r="T6" s="210">
        <v>80</v>
      </c>
      <c r="U6" s="205">
        <f t="shared" si="1"/>
        <v>70.400000000000006</v>
      </c>
      <c r="V6" s="206">
        <f t="shared" si="2"/>
        <v>0.10057142857142858</v>
      </c>
      <c r="W6" s="230">
        <v>1</v>
      </c>
      <c r="X6" s="208">
        <f>IF($W$6=1,Q6*$P$6,0)</f>
        <v>50</v>
      </c>
      <c r="Y6" s="208">
        <f t="shared" ref="Y6:Z6" si="4">IF($W$6=1,R6*$P$6,0)</f>
        <v>100</v>
      </c>
      <c r="Z6" s="208">
        <f t="shared" si="4"/>
        <v>200</v>
      </c>
    </row>
    <row r="7" spans="1:28">
      <c r="A7" s="491"/>
      <c r="B7" s="491"/>
      <c r="C7" s="491"/>
      <c r="D7" s="491"/>
      <c r="E7" s="491"/>
      <c r="F7" s="491"/>
      <c r="G7" s="491"/>
      <c r="H7" s="491"/>
      <c r="I7" s="491"/>
      <c r="J7" s="491"/>
      <c r="K7" s="491"/>
      <c r="L7" s="491"/>
      <c r="N7" s="207">
        <v>4</v>
      </c>
      <c r="O7" s="208" t="s">
        <v>176</v>
      </c>
      <c r="P7" s="209">
        <v>1</v>
      </c>
      <c r="Q7" s="208">
        <v>750</v>
      </c>
      <c r="R7" s="208">
        <v>500</v>
      </c>
      <c r="S7" s="208">
        <v>300</v>
      </c>
      <c r="T7" s="210">
        <v>310</v>
      </c>
      <c r="U7" s="205">
        <f t="shared" si="1"/>
        <v>272.8</v>
      </c>
      <c r="V7" s="206" t="str">
        <f t="shared" si="2"/>
        <v/>
      </c>
      <c r="W7" s="230">
        <v>0</v>
      </c>
      <c r="X7" s="208">
        <f>IF($W$7=1,Q7*$P$7,0)</f>
        <v>0</v>
      </c>
      <c r="Y7" s="208">
        <f t="shared" ref="Y7:Z7" si="5">IF($W$7=1,R7*$P$7,0)</f>
        <v>0</v>
      </c>
      <c r="Z7" s="208">
        <f t="shared" si="5"/>
        <v>0</v>
      </c>
    </row>
    <row r="8" spans="1:28">
      <c r="A8" s="491"/>
      <c r="B8" s="491"/>
      <c r="C8" s="491"/>
      <c r="D8" s="491"/>
      <c r="E8" s="491"/>
      <c r="F8" s="491"/>
      <c r="G8" s="491"/>
      <c r="H8" s="491"/>
      <c r="I8" s="491"/>
      <c r="J8" s="491"/>
      <c r="K8" s="491"/>
      <c r="L8" s="491"/>
      <c r="N8" s="207">
        <v>5</v>
      </c>
      <c r="O8" s="208" t="s">
        <v>176</v>
      </c>
      <c r="P8" s="209">
        <v>0.75</v>
      </c>
      <c r="Q8" s="208">
        <v>200</v>
      </c>
      <c r="R8" s="208">
        <v>400</v>
      </c>
      <c r="S8" s="208">
        <v>800</v>
      </c>
      <c r="T8" s="210">
        <v>220</v>
      </c>
      <c r="U8" s="205">
        <f t="shared" si="1"/>
        <v>193.6</v>
      </c>
      <c r="V8" s="206">
        <f t="shared" si="2"/>
        <v>0.13828571428571429</v>
      </c>
      <c r="W8" s="230">
        <v>1</v>
      </c>
      <c r="X8" s="208">
        <f>IF($W$8=1,Q8*$P$8,0)</f>
        <v>150</v>
      </c>
      <c r="Y8" s="208">
        <f t="shared" ref="Y8:Z8" si="6">IF($W$8=1,R8*$P$8,0)</f>
        <v>300</v>
      </c>
      <c r="Z8" s="208">
        <f t="shared" si="6"/>
        <v>600</v>
      </c>
    </row>
    <row r="9" spans="1:28">
      <c r="A9" s="491"/>
      <c r="B9" s="491"/>
      <c r="C9" s="491"/>
      <c r="D9" s="491"/>
      <c r="E9" s="491"/>
      <c r="F9" s="491"/>
      <c r="G9" s="491"/>
      <c r="H9" s="491"/>
      <c r="I9" s="491"/>
      <c r="J9" s="491"/>
      <c r="K9" s="491"/>
      <c r="L9" s="491"/>
      <c r="N9" s="211">
        <v>6</v>
      </c>
      <c r="O9" s="189" t="s">
        <v>177</v>
      </c>
      <c r="P9" s="212">
        <v>0.5</v>
      </c>
      <c r="Q9" s="189">
        <v>1000</v>
      </c>
      <c r="R9" s="189">
        <v>300</v>
      </c>
      <c r="S9" s="189">
        <v>300</v>
      </c>
      <c r="T9" s="213">
        <v>180</v>
      </c>
      <c r="U9" s="214">
        <f t="shared" si="1"/>
        <v>158.4</v>
      </c>
      <c r="V9" s="215">
        <f t="shared" si="2"/>
        <v>9.9000000000000005E-2</v>
      </c>
      <c r="W9" s="230">
        <v>1</v>
      </c>
      <c r="X9" s="189">
        <f>IF($W$9=1,Q9*$P$9,0)</f>
        <v>500</v>
      </c>
      <c r="Y9" s="189">
        <f t="shared" ref="Y9:Z9" si="7">IF($W$9=1,R9*$P$9,0)</f>
        <v>150</v>
      </c>
      <c r="Z9" s="189">
        <f t="shared" si="7"/>
        <v>150</v>
      </c>
    </row>
    <row r="10" spans="1:28">
      <c r="A10" s="491"/>
      <c r="B10" s="491"/>
      <c r="C10" s="491"/>
      <c r="D10" s="491"/>
      <c r="E10" s="491"/>
      <c r="F10" s="491"/>
      <c r="G10" s="491"/>
      <c r="H10" s="491"/>
      <c r="I10" s="491"/>
      <c r="J10" s="491"/>
      <c r="K10" s="491"/>
      <c r="L10" s="491"/>
      <c r="N10" s="211">
        <v>7</v>
      </c>
      <c r="O10" s="189" t="s">
        <v>177</v>
      </c>
      <c r="P10" s="212">
        <v>1</v>
      </c>
      <c r="Q10" s="189">
        <v>750</v>
      </c>
      <c r="R10" s="189">
        <v>750</v>
      </c>
      <c r="S10" s="189">
        <v>300</v>
      </c>
      <c r="T10" s="213">
        <v>410</v>
      </c>
      <c r="U10" s="214">
        <f t="shared" si="1"/>
        <v>360.8</v>
      </c>
      <c r="V10" s="215">
        <f t="shared" si="2"/>
        <v>0.20044444444444445</v>
      </c>
      <c r="W10" s="230">
        <v>1</v>
      </c>
      <c r="X10" s="189">
        <f>IF($W$10=1,Q10*$P$10,0)</f>
        <v>750</v>
      </c>
      <c r="Y10" s="189">
        <f t="shared" ref="Y10:Z10" si="8">IF($W$10=1,R10*$P$10,0)</f>
        <v>750</v>
      </c>
      <c r="Z10" s="189">
        <f t="shared" si="8"/>
        <v>300</v>
      </c>
    </row>
    <row r="11" spans="1:28">
      <c r="A11" s="491"/>
      <c r="B11" s="491"/>
      <c r="C11" s="491"/>
      <c r="D11" s="491"/>
      <c r="E11" s="491"/>
      <c r="F11" s="491"/>
      <c r="G11" s="491"/>
      <c r="H11" s="491"/>
      <c r="I11" s="491"/>
      <c r="J11" s="491"/>
      <c r="K11" s="491"/>
      <c r="L11" s="491"/>
      <c r="N11" s="211">
        <v>8</v>
      </c>
      <c r="O11" s="189" t="s">
        <v>177</v>
      </c>
      <c r="P11" s="212">
        <v>1</v>
      </c>
      <c r="Q11" s="189">
        <v>800</v>
      </c>
      <c r="R11" s="189">
        <v>700</v>
      </c>
      <c r="S11" s="189">
        <v>600</v>
      </c>
      <c r="T11" s="213">
        <v>280</v>
      </c>
      <c r="U11" s="214">
        <f t="shared" si="1"/>
        <v>246.4</v>
      </c>
      <c r="V11" s="215" t="str">
        <f t="shared" si="2"/>
        <v/>
      </c>
      <c r="W11" s="230">
        <v>0</v>
      </c>
      <c r="X11" s="189">
        <f>IF($W$11=1,Q11*$P$11,0)</f>
        <v>0</v>
      </c>
      <c r="Y11" s="189">
        <f t="shared" ref="Y11:Z11" si="9">IF($W$11=1,R11*$P$11,0)</f>
        <v>0</v>
      </c>
      <c r="Z11" s="189">
        <f t="shared" si="9"/>
        <v>0</v>
      </c>
    </row>
    <row r="12" spans="1:28">
      <c r="A12" s="491"/>
      <c r="B12" s="491"/>
      <c r="C12" s="491"/>
      <c r="D12" s="491"/>
      <c r="E12" s="491"/>
      <c r="F12" s="491"/>
      <c r="G12" s="491"/>
      <c r="H12" s="491"/>
      <c r="I12" s="491"/>
      <c r="J12" s="491"/>
      <c r="K12" s="491"/>
      <c r="L12" s="491"/>
      <c r="N12" s="211">
        <v>9</v>
      </c>
      <c r="O12" s="189" t="s">
        <v>177</v>
      </c>
      <c r="P12" s="212">
        <v>0.67</v>
      </c>
      <c r="Q12" s="189">
        <v>400</v>
      </c>
      <c r="R12" s="189">
        <v>600</v>
      </c>
      <c r="S12" s="189">
        <v>800</v>
      </c>
      <c r="T12" s="213">
        <v>380</v>
      </c>
      <c r="U12" s="214">
        <f t="shared" si="1"/>
        <v>334.4</v>
      </c>
      <c r="V12" s="215">
        <f t="shared" si="2"/>
        <v>0.18577777777777776</v>
      </c>
      <c r="W12" s="230">
        <v>1</v>
      </c>
      <c r="X12" s="189">
        <f>IF($W$12=1,Q12*$P$12,0)</f>
        <v>268</v>
      </c>
      <c r="Y12" s="189">
        <f t="shared" ref="Y12:Z12" si="10">IF($W$12=1,R12*$P$12,0)</f>
        <v>402</v>
      </c>
      <c r="Z12" s="189">
        <f t="shared" si="10"/>
        <v>536</v>
      </c>
    </row>
    <row r="13" spans="1:28">
      <c r="A13" s="491"/>
      <c r="B13" s="491"/>
      <c r="C13" s="491"/>
      <c r="D13" s="491"/>
      <c r="E13" s="491"/>
      <c r="F13" s="491"/>
      <c r="G13" s="491"/>
      <c r="H13" s="491"/>
      <c r="I13" s="491"/>
      <c r="J13" s="491"/>
      <c r="K13" s="491"/>
      <c r="L13" s="491"/>
      <c r="N13" s="216">
        <v>10</v>
      </c>
      <c r="O13" s="92" t="s">
        <v>178</v>
      </c>
      <c r="P13" s="217">
        <v>1</v>
      </c>
      <c r="Q13" s="92">
        <v>100</v>
      </c>
      <c r="R13" s="92">
        <v>200</v>
      </c>
      <c r="S13" s="92">
        <v>400</v>
      </c>
      <c r="T13" s="218">
        <v>100</v>
      </c>
      <c r="U13" s="219">
        <f t="shared" si="1"/>
        <v>88</v>
      </c>
      <c r="V13" s="220" t="str">
        <f t="shared" si="2"/>
        <v/>
      </c>
      <c r="W13" s="230">
        <v>0</v>
      </c>
      <c r="X13" s="92">
        <f>IF($W$13=1,Q13*$P$13,0)</f>
        <v>0</v>
      </c>
      <c r="Y13" s="92">
        <f t="shared" ref="Y13:Z13" si="11">IF($W$13=1,R13*$P$13,0)</f>
        <v>0</v>
      </c>
      <c r="Z13" s="92">
        <f t="shared" si="11"/>
        <v>0</v>
      </c>
    </row>
    <row r="14" spans="1:28">
      <c r="A14" s="491"/>
      <c r="B14" s="491"/>
      <c r="C14" s="491"/>
      <c r="D14" s="491"/>
      <c r="E14" s="491"/>
      <c r="F14" s="491"/>
      <c r="G14" s="491"/>
      <c r="H14" s="491"/>
      <c r="I14" s="491"/>
      <c r="J14" s="491"/>
      <c r="K14" s="491"/>
      <c r="L14" s="491"/>
      <c r="N14" s="216">
        <v>11</v>
      </c>
      <c r="O14" s="92" t="s">
        <v>178</v>
      </c>
      <c r="P14" s="217">
        <v>0.5</v>
      </c>
      <c r="Q14" s="92">
        <v>700</v>
      </c>
      <c r="R14" s="92">
        <v>500</v>
      </c>
      <c r="S14" s="92">
        <v>300</v>
      </c>
      <c r="T14" s="218">
        <v>260</v>
      </c>
      <c r="U14" s="219">
        <f t="shared" si="1"/>
        <v>228.8</v>
      </c>
      <c r="V14" s="220">
        <f t="shared" si="2"/>
        <v>0.15253333333333335</v>
      </c>
      <c r="W14" s="230">
        <v>1</v>
      </c>
      <c r="X14" s="92">
        <f>IF($W$14=1,Q14*$P$14,0)</f>
        <v>350</v>
      </c>
      <c r="Y14" s="92">
        <f t="shared" ref="Y14:Z14" si="12">IF($W$14=1,R14*$P$14,0)</f>
        <v>250</v>
      </c>
      <c r="Z14" s="92">
        <f t="shared" si="12"/>
        <v>150</v>
      </c>
    </row>
    <row r="15" spans="1:28" ht="15.75" thickBot="1">
      <c r="A15" s="491"/>
      <c r="B15" s="491"/>
      <c r="C15" s="491"/>
      <c r="D15" s="491"/>
      <c r="E15" s="491"/>
      <c r="F15" s="491"/>
      <c r="G15" s="491"/>
      <c r="H15" s="491"/>
      <c r="I15" s="491"/>
      <c r="J15" s="491"/>
      <c r="K15" s="491"/>
      <c r="L15" s="491"/>
      <c r="N15" s="221">
        <v>12</v>
      </c>
      <c r="O15" s="222" t="s">
        <v>178</v>
      </c>
      <c r="P15" s="223">
        <v>1</v>
      </c>
      <c r="Q15" s="222">
        <v>1500</v>
      </c>
      <c r="R15" s="222">
        <v>400</v>
      </c>
      <c r="S15" s="222">
        <v>400</v>
      </c>
      <c r="T15" s="224">
        <v>340</v>
      </c>
      <c r="U15" s="219">
        <f t="shared" si="1"/>
        <v>299.2</v>
      </c>
      <c r="V15" s="220">
        <f t="shared" si="2"/>
        <v>0.13008695652173913</v>
      </c>
      <c r="W15" s="230">
        <v>1</v>
      </c>
      <c r="X15" s="225">
        <f>IF($W$15=1,Q15*$P$15,0)</f>
        <v>1500</v>
      </c>
      <c r="Y15" s="225">
        <f t="shared" ref="Y15:Z15" si="13">IF($W$15=1,R15*$P$15,0)</f>
        <v>400</v>
      </c>
      <c r="Z15" s="225">
        <f t="shared" si="13"/>
        <v>400</v>
      </c>
    </row>
    <row r="16" spans="1:28">
      <c r="A16" s="491"/>
      <c r="B16" s="491"/>
      <c r="C16" s="491"/>
      <c r="D16" s="491"/>
      <c r="E16" s="491"/>
      <c r="F16" s="491"/>
      <c r="G16" s="491"/>
      <c r="H16" s="491"/>
      <c r="I16" s="491"/>
      <c r="J16" s="491"/>
      <c r="K16" s="491"/>
      <c r="L16" s="491"/>
      <c r="Q16" s="1"/>
      <c r="R16" s="442" t="s">
        <v>192</v>
      </c>
      <c r="S16" s="442"/>
      <c r="T16" s="442"/>
      <c r="U16" s="442"/>
      <c r="V16" s="442"/>
      <c r="W16" s="443"/>
      <c r="X16" s="190">
        <f>IF(SUM(X4:X15)&lt;=4000,1,0)</f>
        <v>1</v>
      </c>
      <c r="Y16" s="190">
        <f t="shared" ref="Y16:Z16" si="14">IF(SUM(Y4:Y15)&lt;=4000,1,0)</f>
        <v>1</v>
      </c>
      <c r="Z16" s="190">
        <f t="shared" si="14"/>
        <v>1</v>
      </c>
      <c r="AA16" s="190">
        <f>IF(SUM(X4:Z15)&lt;=10000,1,0)</f>
        <v>1</v>
      </c>
      <c r="AB16" t="s">
        <v>191</v>
      </c>
    </row>
    <row r="17" spans="1:27">
      <c r="A17" s="491"/>
      <c r="B17" s="491"/>
      <c r="C17" s="491"/>
      <c r="D17" s="491"/>
      <c r="E17" s="491"/>
      <c r="F17" s="491"/>
      <c r="G17" s="491"/>
      <c r="H17" s="491"/>
      <c r="I17" s="491"/>
      <c r="J17" s="491"/>
      <c r="K17" s="491"/>
      <c r="L17" s="491"/>
      <c r="X17" s="149"/>
      <c r="Y17" s="149"/>
      <c r="Z17" s="149"/>
      <c r="AA17" s="149"/>
    </row>
    <row r="18" spans="1:27">
      <c r="A18" s="491"/>
      <c r="B18" s="491"/>
      <c r="C18" s="491"/>
      <c r="D18" s="491"/>
      <c r="E18" s="491"/>
      <c r="F18" s="491"/>
      <c r="G18" s="491"/>
      <c r="H18" s="491"/>
      <c r="I18" s="491"/>
      <c r="J18" s="491"/>
      <c r="K18" s="491"/>
      <c r="L18" s="491"/>
      <c r="N18" s="46" t="s">
        <v>179</v>
      </c>
      <c r="O18" s="231">
        <v>0.12</v>
      </c>
      <c r="Q18" s="453" t="s">
        <v>183</v>
      </c>
      <c r="R18" s="487"/>
      <c r="S18" s="487"/>
      <c r="T18" s="454"/>
      <c r="W18" s="190" t="s">
        <v>176</v>
      </c>
      <c r="X18" s="190">
        <f>SUM(X4:X8)</f>
        <v>200</v>
      </c>
      <c r="Y18" s="190">
        <f>SUM(Y4:Y8)</f>
        <v>400</v>
      </c>
      <c r="Z18" s="190">
        <f>SUM(Z4:Z8)</f>
        <v>800</v>
      </c>
      <c r="AA18" s="228">
        <f>SUM(X18:Z18)</f>
        <v>1400</v>
      </c>
    </row>
    <row r="19" spans="1:27">
      <c r="A19" s="491"/>
      <c r="B19" s="491"/>
      <c r="C19" s="491"/>
      <c r="D19" s="491"/>
      <c r="E19" s="491"/>
      <c r="F19" s="491"/>
      <c r="G19" s="491"/>
      <c r="H19" s="491"/>
      <c r="I19" s="491"/>
      <c r="J19" s="491"/>
      <c r="K19" s="491"/>
      <c r="L19" s="491"/>
      <c r="Q19" s="190"/>
      <c r="R19" s="190" t="s">
        <v>184</v>
      </c>
      <c r="S19" s="190" t="s">
        <v>185</v>
      </c>
      <c r="T19" s="190" t="s">
        <v>186</v>
      </c>
      <c r="W19" s="190" t="s">
        <v>177</v>
      </c>
      <c r="X19" s="190">
        <f>SUM(X9:X12)</f>
        <v>1518</v>
      </c>
      <c r="Y19" s="190">
        <f>SUM(Y9:Y12)</f>
        <v>1302</v>
      </c>
      <c r="Z19" s="190">
        <f>SUM(Z9:Z12)</f>
        <v>986</v>
      </c>
      <c r="AA19" s="228">
        <f t="shared" ref="AA19:AA20" si="15">SUM(X19:Z19)</f>
        <v>3806</v>
      </c>
    </row>
    <row r="20" spans="1:27">
      <c r="A20" s="491"/>
      <c r="B20" s="491"/>
      <c r="C20" s="491"/>
      <c r="D20" s="491"/>
      <c r="E20" s="491"/>
      <c r="F20" s="491"/>
      <c r="G20" s="491"/>
      <c r="H20" s="491"/>
      <c r="I20" s="491"/>
      <c r="J20" s="491"/>
      <c r="K20" s="491"/>
      <c r="L20" s="491"/>
      <c r="N20" s="190" t="s">
        <v>176</v>
      </c>
      <c r="O20" s="190">
        <f>IF(SUM(W4:W8)&gt;0,1,0)</f>
        <v>1</v>
      </c>
      <c r="Q20" s="190"/>
      <c r="R20" s="197">
        <f>AVERAGE(V4:V15)</f>
        <v>0.14381423641920538</v>
      </c>
      <c r="S20" s="198">
        <f>MIN(V4:V15)</f>
        <v>9.9000000000000005E-2</v>
      </c>
      <c r="T20" s="198">
        <f>MAX(V4:V15)</f>
        <v>0.20044444444444445</v>
      </c>
      <c r="W20" s="227" t="s">
        <v>178</v>
      </c>
      <c r="X20" s="227">
        <f>SUM(X13:X15)</f>
        <v>1850</v>
      </c>
      <c r="Y20" s="227">
        <f>SUM(Y13:Y15)</f>
        <v>650</v>
      </c>
      <c r="Z20" s="227">
        <f>SUM(Z13:Z15)</f>
        <v>550</v>
      </c>
      <c r="AA20" s="228">
        <f t="shared" si="15"/>
        <v>3050</v>
      </c>
    </row>
    <row r="21" spans="1:27">
      <c r="A21" s="491"/>
      <c r="B21" s="491"/>
      <c r="C21" s="491"/>
      <c r="D21" s="491"/>
      <c r="E21" s="491"/>
      <c r="F21" s="491"/>
      <c r="G21" s="491"/>
      <c r="H21" s="491"/>
      <c r="I21" s="491"/>
      <c r="J21" s="491"/>
      <c r="K21" s="491"/>
      <c r="L21" s="491"/>
      <c r="N21" s="190" t="s">
        <v>177</v>
      </c>
      <c r="O21" s="190">
        <f>IF(SUM(W9:W12)&gt;0,1,0)</f>
        <v>1</v>
      </c>
      <c r="Q21" s="110">
        <v>0</v>
      </c>
      <c r="R21" s="196">
        <f t="dataTable" ref="R21:T27" dt2D="0" dtr="0" r1="O18"/>
        <v>0.16342526865818791</v>
      </c>
      <c r="S21" s="193">
        <v>0.1125</v>
      </c>
      <c r="T21" s="193">
        <v>0.22777777777777777</v>
      </c>
      <c r="W21" s="190" t="s">
        <v>190</v>
      </c>
      <c r="X21" s="228">
        <f>SUM(X4:X15)</f>
        <v>3568</v>
      </c>
      <c r="Y21" s="228">
        <f>SUM(Y4:Y15)</f>
        <v>2352</v>
      </c>
      <c r="Z21" s="228">
        <f>SUM(Z4:Z15)</f>
        <v>2336</v>
      </c>
      <c r="AA21" s="40"/>
    </row>
    <row r="22" spans="1:27">
      <c r="A22" s="491"/>
      <c r="B22" s="491"/>
      <c r="C22" s="491"/>
      <c r="D22" s="491"/>
      <c r="E22" s="491"/>
      <c r="F22" s="491"/>
      <c r="G22" s="491"/>
      <c r="H22" s="491"/>
      <c r="I22" s="491"/>
      <c r="J22" s="491"/>
      <c r="K22" s="491"/>
      <c r="L22" s="491"/>
      <c r="N22" s="190" t="s">
        <v>178</v>
      </c>
      <c r="O22" s="190">
        <f>IF(SUM(W13:W15)&gt;0,1,0)</f>
        <v>1</v>
      </c>
      <c r="P22" s="72"/>
      <c r="Q22" s="110">
        <v>0.05</v>
      </c>
      <c r="R22" s="196">
        <v>0.15525400522527852</v>
      </c>
      <c r="S22" s="193">
        <v>0.106875</v>
      </c>
      <c r="T22" s="193">
        <v>0.21638888888888888</v>
      </c>
      <c r="W22" s="226"/>
    </row>
    <row r="23" spans="1:27">
      <c r="A23" s="491"/>
      <c r="B23" s="491"/>
      <c r="C23" s="491"/>
      <c r="D23" s="491"/>
      <c r="E23" s="491"/>
      <c r="F23" s="491"/>
      <c r="G23" s="491"/>
      <c r="H23" s="491"/>
      <c r="I23" s="491"/>
      <c r="J23" s="491"/>
      <c r="K23" s="491"/>
      <c r="L23" s="491"/>
      <c r="P23" s="72"/>
      <c r="Q23" s="110">
        <v>0.1</v>
      </c>
      <c r="R23" s="196">
        <v>0.1470827417923691</v>
      </c>
      <c r="S23" s="193">
        <v>0.10125000000000001</v>
      </c>
      <c r="T23" s="193">
        <v>0.20499999999999999</v>
      </c>
      <c r="W23" s="226"/>
    </row>
    <row r="24" spans="1:27">
      <c r="A24" s="491"/>
      <c r="B24" s="491"/>
      <c r="C24" s="491"/>
      <c r="D24" s="491"/>
      <c r="E24" s="491"/>
      <c r="F24" s="491"/>
      <c r="G24" s="491"/>
      <c r="H24" s="491"/>
      <c r="I24" s="491"/>
      <c r="J24" s="491"/>
      <c r="K24" s="491"/>
      <c r="L24" s="491"/>
      <c r="P24" s="72"/>
      <c r="Q24" s="110">
        <v>0.15</v>
      </c>
      <c r="R24" s="196">
        <v>0.13891147835945974</v>
      </c>
      <c r="S24" s="193">
        <v>9.5625000000000002E-2</v>
      </c>
      <c r="T24" s="193">
        <v>0.19361111111111112</v>
      </c>
    </row>
    <row r="25" spans="1:27">
      <c r="A25" s="491"/>
      <c r="B25" s="491"/>
      <c r="C25" s="491"/>
      <c r="D25" s="491"/>
      <c r="E25" s="491"/>
      <c r="F25" s="491"/>
      <c r="G25" s="491"/>
      <c r="H25" s="491"/>
      <c r="I25" s="491"/>
      <c r="J25" s="491"/>
      <c r="K25" s="491"/>
      <c r="L25" s="491"/>
      <c r="P25" s="72"/>
      <c r="Q25" s="110">
        <v>0.2</v>
      </c>
      <c r="R25" s="196">
        <v>0.13074021492655036</v>
      </c>
      <c r="S25" s="193">
        <v>0.09</v>
      </c>
      <c r="T25" s="193">
        <v>0.18222222222222223</v>
      </c>
    </row>
    <row r="26" spans="1:27">
      <c r="A26" s="491"/>
      <c r="B26" s="491"/>
      <c r="C26" s="491"/>
      <c r="D26" s="491"/>
      <c r="E26" s="491"/>
      <c r="F26" s="491"/>
      <c r="G26" s="491"/>
      <c r="H26" s="491"/>
      <c r="I26" s="491"/>
      <c r="J26" s="491"/>
      <c r="K26" s="491"/>
      <c r="L26" s="491"/>
      <c r="P26" s="226"/>
      <c r="Q26" s="110">
        <v>0.25</v>
      </c>
      <c r="R26" s="196">
        <v>0.12256895149364093</v>
      </c>
      <c r="S26" s="193">
        <v>8.4375000000000006E-2</v>
      </c>
      <c r="T26" s="193">
        <v>0.17083333333333334</v>
      </c>
    </row>
    <row r="27" spans="1:27">
      <c r="A27" s="491"/>
      <c r="B27" s="491"/>
      <c r="C27" s="491"/>
      <c r="D27" s="491"/>
      <c r="E27" s="491"/>
      <c r="F27" s="491"/>
      <c r="G27" s="491"/>
      <c r="H27" s="491"/>
      <c r="I27" s="491"/>
      <c r="J27" s="491"/>
      <c r="K27" s="491"/>
      <c r="L27" s="491"/>
      <c r="P27" s="226"/>
      <c r="Q27" s="110">
        <v>0.3</v>
      </c>
      <c r="R27" s="196">
        <v>0.11439768806073154</v>
      </c>
      <c r="S27" s="193">
        <v>7.8750000000000001E-2</v>
      </c>
      <c r="T27" s="193">
        <v>0.15944444444444444</v>
      </c>
    </row>
    <row r="28" spans="1:27">
      <c r="A28" s="491"/>
      <c r="B28" s="491"/>
      <c r="C28" s="491"/>
      <c r="D28" s="491"/>
      <c r="E28" s="491"/>
      <c r="F28" s="491"/>
      <c r="G28" s="491"/>
      <c r="H28" s="491"/>
      <c r="I28" s="491"/>
      <c r="J28" s="491"/>
      <c r="K28" s="491"/>
      <c r="L28" s="491"/>
      <c r="P28" s="226"/>
      <c r="Q28" s="72"/>
    </row>
    <row r="29" spans="1:27">
      <c r="A29" s="491"/>
      <c r="B29" s="491"/>
      <c r="C29" s="491"/>
      <c r="D29" s="491"/>
      <c r="E29" s="491"/>
      <c r="F29" s="491"/>
      <c r="G29" s="491"/>
      <c r="H29" s="491"/>
      <c r="I29" s="491"/>
      <c r="J29" s="491"/>
      <c r="K29" s="491"/>
      <c r="L29" s="491"/>
      <c r="P29" s="226"/>
      <c r="Q29" s="72"/>
    </row>
    <row r="30" spans="1:27">
      <c r="A30" s="491"/>
      <c r="B30" s="491"/>
      <c r="C30" s="491"/>
      <c r="D30" s="491"/>
      <c r="E30" s="491"/>
      <c r="F30" s="491"/>
      <c r="G30" s="491"/>
      <c r="H30" s="491"/>
      <c r="I30" s="491"/>
      <c r="J30" s="491"/>
      <c r="K30" s="491"/>
      <c r="L30" s="491"/>
      <c r="P30" s="226"/>
      <c r="Q30" s="72"/>
    </row>
    <row r="31" spans="1:27">
      <c r="A31" s="491"/>
      <c r="B31" s="491"/>
      <c r="C31" s="491"/>
      <c r="D31" s="491"/>
      <c r="E31" s="491"/>
      <c r="F31" s="491"/>
      <c r="G31" s="491"/>
      <c r="H31" s="491"/>
      <c r="I31" s="491"/>
      <c r="J31" s="491"/>
      <c r="K31" s="491"/>
      <c r="L31" s="491"/>
      <c r="P31" s="72"/>
      <c r="Q31" s="72"/>
    </row>
    <row r="32" spans="1:27">
      <c r="A32" s="491"/>
      <c r="B32" s="491"/>
      <c r="C32" s="491"/>
      <c r="D32" s="491"/>
      <c r="E32" s="491"/>
      <c r="F32" s="491"/>
      <c r="G32" s="491"/>
      <c r="H32" s="491"/>
      <c r="I32" s="491"/>
      <c r="J32" s="491"/>
      <c r="K32" s="491"/>
      <c r="L32" s="491"/>
    </row>
    <row r="33" spans="1:17">
      <c r="A33" s="491"/>
      <c r="B33" s="491"/>
      <c r="C33" s="491"/>
      <c r="D33" s="491"/>
      <c r="E33" s="491"/>
      <c r="F33" s="491"/>
      <c r="G33" s="491"/>
      <c r="H33" s="491"/>
      <c r="I33" s="491"/>
      <c r="J33" s="491"/>
      <c r="K33" s="491"/>
      <c r="L33" s="491"/>
      <c r="N33" s="1"/>
      <c r="O33" s="1"/>
      <c r="P33" s="1"/>
      <c r="Q33" s="1"/>
    </row>
    <row r="34" spans="1:17">
      <c r="A34" s="491"/>
      <c r="B34" s="491"/>
      <c r="C34" s="491"/>
      <c r="D34" s="491"/>
      <c r="E34" s="491"/>
      <c r="F34" s="491"/>
      <c r="G34" s="491"/>
      <c r="H34" s="491"/>
      <c r="I34" s="491"/>
      <c r="J34" s="491"/>
      <c r="K34" s="491"/>
      <c r="L34" s="491"/>
      <c r="N34" s="1"/>
      <c r="O34" s="1"/>
      <c r="P34" s="1"/>
      <c r="Q34" s="1"/>
    </row>
    <row r="35" spans="1:17">
      <c r="A35" s="491"/>
      <c r="B35" s="491"/>
      <c r="C35" s="491"/>
      <c r="D35" s="491"/>
      <c r="E35" s="491"/>
      <c r="F35" s="491"/>
      <c r="G35" s="491"/>
      <c r="H35" s="491"/>
      <c r="I35" s="491"/>
      <c r="J35" s="491"/>
      <c r="K35" s="491"/>
      <c r="L35" s="491"/>
      <c r="N35" s="1"/>
      <c r="O35" s="1"/>
      <c r="P35" s="1"/>
      <c r="Q35" s="1"/>
    </row>
    <row r="36" spans="1:17">
      <c r="A36" s="491"/>
      <c r="B36" s="491"/>
      <c r="C36" s="491"/>
      <c r="D36" s="491"/>
      <c r="E36" s="491"/>
      <c r="F36" s="491"/>
      <c r="G36" s="491"/>
      <c r="H36" s="491"/>
      <c r="I36" s="491"/>
      <c r="J36" s="491"/>
      <c r="K36" s="491"/>
      <c r="L36" s="491"/>
      <c r="N36" s="1"/>
      <c r="O36" s="1"/>
      <c r="P36" s="1"/>
      <c r="Q36" s="1"/>
    </row>
    <row r="37" spans="1:17">
      <c r="A37" s="491"/>
      <c r="B37" s="491"/>
      <c r="C37" s="491"/>
      <c r="D37" s="491"/>
      <c r="E37" s="491"/>
      <c r="F37" s="491"/>
      <c r="G37" s="491"/>
      <c r="H37" s="491"/>
      <c r="I37" s="491"/>
      <c r="J37" s="491"/>
      <c r="K37" s="491"/>
      <c r="L37" s="491"/>
      <c r="N37" s="1"/>
      <c r="O37" s="1"/>
      <c r="P37" s="1"/>
      <c r="Q37" s="1"/>
    </row>
    <row r="38" spans="1:17">
      <c r="A38" s="491"/>
      <c r="B38" s="491"/>
      <c r="C38" s="491"/>
      <c r="D38" s="491"/>
      <c r="E38" s="491"/>
      <c r="F38" s="491"/>
      <c r="G38" s="491"/>
      <c r="H38" s="491"/>
      <c r="I38" s="491"/>
      <c r="J38" s="491"/>
      <c r="K38" s="491"/>
      <c r="L38" s="491"/>
    </row>
    <row r="39" spans="1:17">
      <c r="A39" s="491"/>
      <c r="B39" s="491"/>
      <c r="C39" s="491"/>
      <c r="D39" s="491"/>
      <c r="E39" s="491"/>
      <c r="F39" s="491"/>
      <c r="G39" s="491"/>
      <c r="H39" s="491"/>
      <c r="I39" s="491"/>
      <c r="J39" s="491"/>
      <c r="K39" s="491"/>
      <c r="L39" s="491"/>
    </row>
    <row r="40" spans="1:17">
      <c r="A40" s="491"/>
      <c r="B40" s="491"/>
      <c r="C40" s="491"/>
      <c r="D40" s="491"/>
      <c r="E40" s="491"/>
      <c r="F40" s="491"/>
      <c r="G40" s="491"/>
      <c r="H40" s="491"/>
      <c r="I40" s="491"/>
      <c r="J40" s="491"/>
      <c r="K40" s="491"/>
      <c r="L40" s="491"/>
    </row>
    <row r="41" spans="1:17">
      <c r="A41" s="491"/>
      <c r="B41" s="491"/>
      <c r="C41" s="491"/>
      <c r="D41" s="491"/>
      <c r="E41" s="491"/>
      <c r="F41" s="491"/>
      <c r="G41" s="491"/>
      <c r="H41" s="491"/>
      <c r="I41" s="491"/>
      <c r="J41" s="491"/>
      <c r="K41" s="491"/>
      <c r="L41" s="491"/>
    </row>
    <row r="42" spans="1:17">
      <c r="A42" s="491"/>
      <c r="B42" s="491"/>
      <c r="C42" s="491"/>
      <c r="D42" s="491"/>
      <c r="E42" s="491"/>
      <c r="F42" s="491"/>
      <c r="G42" s="491"/>
      <c r="H42" s="491"/>
      <c r="I42" s="491"/>
      <c r="J42" s="491"/>
      <c r="K42" s="491"/>
      <c r="L42" s="491"/>
    </row>
    <row r="43" spans="1:17">
      <c r="A43" s="491"/>
      <c r="B43" s="491"/>
      <c r="C43" s="491"/>
      <c r="D43" s="491"/>
      <c r="E43" s="491"/>
      <c r="F43" s="491"/>
      <c r="G43" s="491"/>
      <c r="H43" s="491"/>
      <c r="I43" s="491"/>
      <c r="J43" s="491"/>
      <c r="K43" s="491"/>
      <c r="L43" s="491"/>
    </row>
    <row r="44" spans="1:17">
      <c r="A44" s="491"/>
      <c r="B44" s="491"/>
      <c r="C44" s="491"/>
      <c r="D44" s="491"/>
      <c r="E44" s="491"/>
      <c r="F44" s="491"/>
      <c r="G44" s="491"/>
      <c r="H44" s="491"/>
      <c r="I44" s="491"/>
      <c r="J44" s="491"/>
      <c r="K44" s="491"/>
      <c r="L44" s="491"/>
    </row>
    <row r="45" spans="1:17">
      <c r="A45" s="491"/>
      <c r="B45" s="491"/>
      <c r="C45" s="491"/>
      <c r="D45" s="491"/>
      <c r="E45" s="491"/>
      <c r="F45" s="491"/>
      <c r="G45" s="491"/>
      <c r="H45" s="491"/>
      <c r="I45" s="491"/>
      <c r="J45" s="491"/>
      <c r="K45" s="491"/>
      <c r="L45" s="491"/>
    </row>
    <row r="46" spans="1:17">
      <c r="A46" s="491"/>
      <c r="B46" s="491"/>
      <c r="C46" s="491"/>
      <c r="D46" s="491"/>
      <c r="E46" s="491"/>
      <c r="F46" s="491"/>
      <c r="G46" s="491"/>
      <c r="H46" s="491"/>
      <c r="I46" s="491"/>
      <c r="J46" s="491"/>
      <c r="K46" s="491"/>
      <c r="L46" s="491"/>
    </row>
    <row r="47" spans="1:17">
      <c r="A47" s="491"/>
      <c r="B47" s="491"/>
      <c r="C47" s="491"/>
      <c r="D47" s="491"/>
      <c r="E47" s="491"/>
      <c r="F47" s="491"/>
      <c r="G47" s="491"/>
      <c r="H47" s="491"/>
      <c r="I47" s="491"/>
      <c r="J47" s="491"/>
      <c r="K47" s="491"/>
      <c r="L47" s="491"/>
    </row>
    <row r="48" spans="1:17">
      <c r="A48" s="491"/>
      <c r="B48" s="491"/>
      <c r="C48" s="491"/>
      <c r="D48" s="491"/>
      <c r="E48" s="491"/>
      <c r="F48" s="491"/>
      <c r="G48" s="491"/>
      <c r="H48" s="491"/>
      <c r="I48" s="491"/>
      <c r="J48" s="491"/>
      <c r="K48" s="491"/>
      <c r="L48" s="491"/>
    </row>
    <row r="49" spans="1:12">
      <c r="A49" s="491"/>
      <c r="B49" s="491"/>
      <c r="C49" s="491"/>
      <c r="D49" s="491"/>
      <c r="E49" s="491"/>
      <c r="F49" s="491"/>
      <c r="G49" s="491"/>
      <c r="H49" s="491"/>
      <c r="I49" s="491"/>
      <c r="J49" s="491"/>
      <c r="K49" s="491"/>
      <c r="L49" s="491"/>
    </row>
    <row r="50" spans="1:12">
      <c r="A50" s="491"/>
      <c r="B50" s="491"/>
      <c r="C50" s="491"/>
      <c r="D50" s="491"/>
      <c r="E50" s="491"/>
      <c r="F50" s="491"/>
      <c r="G50" s="491"/>
      <c r="H50" s="491"/>
      <c r="I50" s="491"/>
      <c r="J50" s="491"/>
      <c r="K50" s="491"/>
      <c r="L50" s="491"/>
    </row>
  </sheetData>
  <mergeCells count="6">
    <mergeCell ref="W2:W3"/>
    <mergeCell ref="R16:W16"/>
    <mergeCell ref="Q18:T18"/>
    <mergeCell ref="N2:T2"/>
    <mergeCell ref="A1:L50"/>
    <mergeCell ref="U2:U3"/>
  </mergeCells>
  <phoneticPr fontId="39" type="noConversion"/>
  <conditionalFormatting sqref="X16:AA17">
    <cfRule type="iconSet" priority="1">
      <iconSet iconSet="3Symbols2" showValue="0">
        <cfvo type="percent" val="0"/>
        <cfvo type="percent" val="33"/>
        <cfvo type="percent" val="67"/>
      </iconSet>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815CB-53E3-4807-B180-4B45C298EDA1}">
  <dimension ref="A13:I24"/>
  <sheetViews>
    <sheetView topLeftCell="B1" workbookViewId="0">
      <selection activeCell="L10" sqref="L10"/>
    </sheetView>
  </sheetViews>
  <sheetFormatPr defaultRowHeight="15"/>
  <cols>
    <col min="3" max="3" width="23.7109375" customWidth="1"/>
    <col min="4" max="4" width="12" customWidth="1"/>
    <col min="5" max="5" width="13.5703125" customWidth="1"/>
    <col min="8" max="8" width="17.28515625" customWidth="1"/>
  </cols>
  <sheetData>
    <row r="13" spans="1:5">
      <c r="D13" s="235" t="s">
        <v>194</v>
      </c>
      <c r="E13" s="235" t="s">
        <v>195</v>
      </c>
    </row>
    <row r="14" spans="1:5">
      <c r="D14" s="236">
        <v>175</v>
      </c>
      <c r="E14" s="236">
        <v>10.000000000000007</v>
      </c>
    </row>
    <row r="15" spans="1:5">
      <c r="A15" s="442" t="s">
        <v>197</v>
      </c>
      <c r="B15" s="442"/>
      <c r="C15" s="442"/>
      <c r="D15" s="1">
        <v>3000</v>
      </c>
      <c r="E15" s="1">
        <v>7000</v>
      </c>
    </row>
    <row r="16" spans="1:5">
      <c r="D16" s="1"/>
      <c r="E16" s="1"/>
    </row>
    <row r="18" spans="2:9">
      <c r="B18" s="442" t="s">
        <v>196</v>
      </c>
      <c r="C18" s="442"/>
      <c r="D18" s="237">
        <f>SUMPRODUCT(D14:E14,D15:E15)</f>
        <v>595000</v>
      </c>
    </row>
    <row r="20" spans="2:9">
      <c r="B20" s="72"/>
      <c r="C20" s="46"/>
      <c r="D20" s="235"/>
      <c r="E20" s="235"/>
      <c r="F20" s="235"/>
      <c r="G20" s="453" t="s">
        <v>204</v>
      </c>
      <c r="H20" s="454"/>
      <c r="I20" s="72"/>
    </row>
    <row r="21" spans="2:9">
      <c r="B21" s="72"/>
      <c r="C21" s="235" t="s">
        <v>198</v>
      </c>
      <c r="D21" s="235">
        <v>200</v>
      </c>
      <c r="E21" s="235">
        <v>500</v>
      </c>
      <c r="F21" s="235">
        <f>SUMPRODUCT($D$14:$E$14,D21:E21)</f>
        <v>40000</v>
      </c>
      <c r="G21" s="235" t="s">
        <v>199</v>
      </c>
      <c r="H21" s="235">
        <v>40000</v>
      </c>
      <c r="I21" s="72" t="str">
        <f ca="1">_xlfn.FORMULATEXT(F21)</f>
        <v>=SUMPRODUCT($D$14:$E$14;D21:E21)</v>
      </c>
    </row>
    <row r="22" spans="2:9">
      <c r="B22" s="72"/>
      <c r="C22" s="235" t="s">
        <v>200</v>
      </c>
      <c r="D22" s="235">
        <v>1</v>
      </c>
      <c r="E22" s="235"/>
      <c r="F22" s="235">
        <f t="shared" ref="F22:F24" si="0">SUMPRODUCT($D$14:$E$14,D22:E22)</f>
        <v>175</v>
      </c>
      <c r="G22" s="235" t="s">
        <v>203</v>
      </c>
      <c r="H22" s="235">
        <v>10</v>
      </c>
      <c r="I22" s="72" t="str">
        <f t="shared" ref="I22:I24" ca="1" si="1">_xlfn.FORMULATEXT(F22)</f>
        <v>=SUMPRODUCT($D$14:$E$14;D22:E22)</v>
      </c>
    </row>
    <row r="23" spans="2:9">
      <c r="B23" s="72"/>
      <c r="C23" s="235" t="s">
        <v>201</v>
      </c>
      <c r="D23" s="235"/>
      <c r="E23" s="235">
        <v>1</v>
      </c>
      <c r="F23" s="235">
        <f t="shared" si="0"/>
        <v>10.000000000000007</v>
      </c>
      <c r="G23" s="235" t="s">
        <v>203</v>
      </c>
      <c r="H23" s="235">
        <v>10</v>
      </c>
      <c r="I23" s="72" t="str">
        <f t="shared" ca="1" si="1"/>
        <v>=SUMPRODUCT($D$14:$E$14;D23:E23)</v>
      </c>
    </row>
    <row r="24" spans="2:9">
      <c r="B24" s="72"/>
      <c r="C24" s="235" t="s">
        <v>202</v>
      </c>
      <c r="D24" s="235">
        <v>1</v>
      </c>
      <c r="E24" s="235">
        <v>-1</v>
      </c>
      <c r="F24" s="235">
        <f t="shared" si="0"/>
        <v>165</v>
      </c>
      <c r="G24" s="235" t="s">
        <v>203</v>
      </c>
      <c r="H24" s="235">
        <v>0</v>
      </c>
      <c r="I24" s="72" t="str">
        <f t="shared" ca="1" si="1"/>
        <v>=SUMPRODUCT($D$14:$E$14;D24:E24)</v>
      </c>
    </row>
  </sheetData>
  <mergeCells count="3">
    <mergeCell ref="A15:C15"/>
    <mergeCell ref="B18:C18"/>
    <mergeCell ref="G20:H2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45E9-E0F0-4A9A-83BB-99340899C2E6}">
  <dimension ref="B2:G15"/>
  <sheetViews>
    <sheetView workbookViewId="0">
      <selection activeCell="B12" sqref="B12"/>
    </sheetView>
  </sheetViews>
  <sheetFormatPr defaultRowHeight="15"/>
  <cols>
    <col min="2" max="2" width="16" customWidth="1"/>
    <col min="3" max="3" width="11.85546875" style="1" customWidth="1"/>
    <col min="4" max="4" width="10.85546875" style="1" customWidth="1"/>
  </cols>
  <sheetData>
    <row r="2" spans="2:7">
      <c r="C2" s="238" t="s">
        <v>206</v>
      </c>
      <c r="D2" s="238" t="s">
        <v>207</v>
      </c>
    </row>
    <row r="3" spans="2:7">
      <c r="B3" s="41" t="s">
        <v>205</v>
      </c>
      <c r="C3" s="241">
        <v>29.999999999999996</v>
      </c>
      <c r="D3" s="241">
        <v>60</v>
      </c>
    </row>
    <row r="4" spans="2:7">
      <c r="B4" s="41" t="s">
        <v>208</v>
      </c>
      <c r="C4" s="238">
        <v>5</v>
      </c>
      <c r="D4" s="238">
        <v>6</v>
      </c>
    </row>
    <row r="7" spans="2:7">
      <c r="B7" s="41" t="s">
        <v>61</v>
      </c>
      <c r="C7" s="242">
        <f>SUMPRODUCT(C3:D3,C4:D4)</f>
        <v>510</v>
      </c>
      <c r="D7" s="243" t="str">
        <f ca="1">_xlfn.FORMULATEXT(C7)</f>
        <v>=SUMPRODUCT(C3:D3;C4:D4)</v>
      </c>
      <c r="E7" s="21"/>
    </row>
    <row r="11" spans="2:7">
      <c r="B11" s="238" t="s">
        <v>256</v>
      </c>
      <c r="C11" s="238" t="s">
        <v>214</v>
      </c>
      <c r="D11" s="238" t="s">
        <v>215</v>
      </c>
      <c r="E11" s="238" t="s">
        <v>209</v>
      </c>
      <c r="F11" s="238" t="s">
        <v>210</v>
      </c>
      <c r="G11" s="238" t="s">
        <v>211</v>
      </c>
    </row>
    <row r="12" spans="2:7">
      <c r="B12" s="238" t="s">
        <v>212</v>
      </c>
      <c r="C12" s="238">
        <v>2</v>
      </c>
      <c r="D12" s="238">
        <v>1</v>
      </c>
      <c r="E12" s="238">
        <f>SUMPRODUCT($C$3:$D$3,C12:D12)</f>
        <v>120</v>
      </c>
      <c r="F12" s="238" t="s">
        <v>199</v>
      </c>
      <c r="G12" s="238">
        <v>120</v>
      </c>
    </row>
    <row r="13" spans="2:7">
      <c r="B13" s="238" t="s">
        <v>213</v>
      </c>
      <c r="C13" s="238">
        <v>2</v>
      </c>
      <c r="D13" s="238">
        <v>3</v>
      </c>
      <c r="E13" s="238">
        <f>SUMPRODUCT($C$3:$D$3,C13:D13)</f>
        <v>240</v>
      </c>
      <c r="F13" s="238" t="s">
        <v>199</v>
      </c>
      <c r="G13" s="238">
        <v>240</v>
      </c>
    </row>
    <row r="14" spans="2:7">
      <c r="B14" s="238" t="s">
        <v>214</v>
      </c>
      <c r="C14" s="238">
        <v>1</v>
      </c>
      <c r="D14" s="238"/>
      <c r="E14" s="238">
        <f t="shared" ref="E14:E15" si="0">SUMPRODUCT($C$3:$D$3,C14:D14)</f>
        <v>29.999999999999996</v>
      </c>
      <c r="F14" s="238" t="s">
        <v>203</v>
      </c>
      <c r="G14" s="238">
        <v>0</v>
      </c>
    </row>
    <row r="15" spans="2:7">
      <c r="B15" s="238" t="s">
        <v>215</v>
      </c>
      <c r="C15" s="238"/>
      <c r="D15" s="238">
        <v>1</v>
      </c>
      <c r="E15" s="238">
        <f t="shared" si="0"/>
        <v>60</v>
      </c>
      <c r="F15" s="238" t="s">
        <v>203</v>
      </c>
      <c r="G15" s="238">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21D75-F10D-4EA5-AAEE-AFAE421A69E2}">
  <dimension ref="B2:U36"/>
  <sheetViews>
    <sheetView workbookViewId="0">
      <selection activeCell="J20" sqref="J20"/>
    </sheetView>
  </sheetViews>
  <sheetFormatPr defaultRowHeight="15"/>
  <cols>
    <col min="3" max="3" width="17.85546875" customWidth="1"/>
    <col min="4" max="5" width="12.7109375" style="1" customWidth="1"/>
    <col min="7" max="7" width="9.5703125" bestFit="1" customWidth="1"/>
    <col min="9" max="9" width="12.28515625" customWidth="1"/>
    <col min="10" max="10" width="11.140625" bestFit="1" customWidth="1"/>
    <col min="11" max="12" width="9.5703125" bestFit="1" customWidth="1"/>
  </cols>
  <sheetData>
    <row r="2" spans="2:21">
      <c r="N2" s="428" t="s">
        <v>227</v>
      </c>
      <c r="O2" s="429"/>
    </row>
    <row r="3" spans="2:21">
      <c r="N3" s="494" t="s">
        <v>232</v>
      </c>
      <c r="O3" s="495"/>
      <c r="P3" s="495"/>
      <c r="Q3" s="495"/>
      <c r="R3" s="495"/>
      <c r="S3" s="495"/>
      <c r="T3" s="495"/>
      <c r="U3" s="496"/>
    </row>
    <row r="13" spans="2:21">
      <c r="D13" s="244" t="s">
        <v>216</v>
      </c>
      <c r="E13" s="244" t="s">
        <v>217</v>
      </c>
    </row>
    <row r="14" spans="2:21">
      <c r="D14" s="236">
        <v>560</v>
      </c>
      <c r="E14" s="236">
        <v>1200</v>
      </c>
    </row>
    <row r="15" spans="2:21">
      <c r="B15" s="499" t="s">
        <v>159</v>
      </c>
      <c r="C15" s="499"/>
      <c r="D15" s="123">
        <v>300</v>
      </c>
      <c r="E15" s="123">
        <v>450</v>
      </c>
      <c r="I15" s="41" t="s">
        <v>221</v>
      </c>
      <c r="J15" s="106">
        <f>D14*D15+E14*E15</f>
        <v>708000</v>
      </c>
      <c r="K15" s="162"/>
      <c r="L15" s="248"/>
    </row>
    <row r="16" spans="2:21">
      <c r="B16" s="497" t="s">
        <v>223</v>
      </c>
      <c r="C16" s="498"/>
      <c r="D16" s="123">
        <v>150</v>
      </c>
      <c r="E16" s="123">
        <v>225</v>
      </c>
      <c r="I16" s="252" t="s">
        <v>222</v>
      </c>
      <c r="J16" s="46"/>
    </row>
    <row r="17" spans="2:11">
      <c r="C17" s="240"/>
      <c r="G17" s="499" t="s">
        <v>228</v>
      </c>
      <c r="H17" s="499"/>
      <c r="I17" s="499"/>
      <c r="J17" s="106">
        <f>D14*D16+E14*E16</f>
        <v>354000</v>
      </c>
      <c r="K17" t="str">
        <f ca="1">_xlfn.FORMULATEXT(J17)</f>
        <v>=D14*D16+E14*E16</v>
      </c>
    </row>
    <row r="18" spans="2:11">
      <c r="C18" s="41"/>
      <c r="D18" s="33" t="s">
        <v>224</v>
      </c>
      <c r="E18" s="33" t="s">
        <v>225</v>
      </c>
      <c r="G18" s="499" t="s">
        <v>229</v>
      </c>
      <c r="H18" s="499"/>
      <c r="I18" s="499"/>
      <c r="J18" s="106">
        <f>SUM(G31:G32)</f>
        <v>154400</v>
      </c>
      <c r="K18" t="str">
        <f ca="1">_xlfn.FORMULATEXT(J18)</f>
        <v>=SUM(G31:G32)</v>
      </c>
    </row>
    <row r="19" spans="2:11">
      <c r="C19" s="41" t="s">
        <v>122</v>
      </c>
      <c r="D19" s="123">
        <v>11</v>
      </c>
      <c r="E19" s="123">
        <v>15</v>
      </c>
      <c r="F19" s="250"/>
      <c r="I19" s="246"/>
    </row>
    <row r="20" spans="2:11">
      <c r="C20" s="41" t="s">
        <v>226</v>
      </c>
      <c r="D20" s="33">
        <v>5</v>
      </c>
      <c r="E20" s="33">
        <v>1</v>
      </c>
      <c r="F20" s="250"/>
      <c r="I20" s="41" t="s">
        <v>90</v>
      </c>
      <c r="J20" s="251">
        <f>J15-J17-J18</f>
        <v>199600</v>
      </c>
      <c r="K20" t="str">
        <f ca="1">_xlfn.FORMULATEXT(J20)</f>
        <v>=J15-J17-J18</v>
      </c>
    </row>
    <row r="21" spans="2:11">
      <c r="C21" s="240"/>
    </row>
    <row r="22" spans="2:11">
      <c r="C22" s="240"/>
    </row>
    <row r="23" spans="2:11">
      <c r="C23" s="240"/>
    </row>
    <row r="24" spans="2:11">
      <c r="C24" s="41" t="s">
        <v>255</v>
      </c>
      <c r="D24" s="239"/>
      <c r="E24" s="239"/>
      <c r="F24" s="239" t="s">
        <v>209</v>
      </c>
      <c r="G24" s="239" t="s">
        <v>220</v>
      </c>
      <c r="H24" s="239" t="s">
        <v>211</v>
      </c>
    </row>
    <row r="25" spans="2:11">
      <c r="C25" s="41" t="s">
        <v>230</v>
      </c>
      <c r="D25" s="239">
        <v>5</v>
      </c>
      <c r="E25" s="239">
        <v>6</v>
      </c>
      <c r="F25" s="245">
        <f>SUMPRODUCT($D$14:$E$14,D25:E25)</f>
        <v>10000</v>
      </c>
      <c r="G25" s="239" t="s">
        <v>199</v>
      </c>
      <c r="H25" s="239">
        <v>10000</v>
      </c>
    </row>
    <row r="26" spans="2:11">
      <c r="C26" s="41" t="s">
        <v>231</v>
      </c>
      <c r="D26" s="239">
        <v>1</v>
      </c>
      <c r="E26" s="239">
        <v>2</v>
      </c>
      <c r="F26" s="245">
        <f>SUMPRODUCT($D$14:$E$14,D26:E26)</f>
        <v>2960</v>
      </c>
      <c r="G26" s="239" t="s">
        <v>199</v>
      </c>
      <c r="H26" s="239">
        <v>3000</v>
      </c>
    </row>
    <row r="27" spans="2:11">
      <c r="C27" s="247" t="s">
        <v>218</v>
      </c>
      <c r="D27" s="239">
        <v>1</v>
      </c>
      <c r="E27" s="239"/>
      <c r="F27" s="245">
        <f>SUMPRODUCT($D$14:$E$14,D27:E27)</f>
        <v>560</v>
      </c>
      <c r="G27" s="245" t="s">
        <v>199</v>
      </c>
      <c r="H27" s="245">
        <v>600</v>
      </c>
    </row>
    <row r="28" spans="2:11">
      <c r="C28" s="247" t="s">
        <v>219</v>
      </c>
      <c r="D28" s="239"/>
      <c r="E28" s="239">
        <v>1</v>
      </c>
      <c r="F28" s="249">
        <f>SUMPRODUCT($D$14:$E$14,D28:E28)</f>
        <v>1200</v>
      </c>
      <c r="G28" s="249" t="s">
        <v>199</v>
      </c>
      <c r="H28" s="249">
        <v>1200</v>
      </c>
    </row>
    <row r="29" spans="2:11">
      <c r="F29" s="149"/>
      <c r="G29" s="149"/>
      <c r="H29" s="149"/>
    </row>
    <row r="31" spans="2:11">
      <c r="B31" s="493" t="s">
        <v>233</v>
      </c>
      <c r="C31" s="493"/>
      <c r="D31" s="249">
        <v>5</v>
      </c>
      <c r="E31" s="249">
        <v>6</v>
      </c>
      <c r="F31" s="46">
        <f>SUMPRODUCT($D$14:$E$14,D31:E31)</f>
        <v>10000</v>
      </c>
      <c r="G31" s="106">
        <f>F31*D19</f>
        <v>110000</v>
      </c>
    </row>
    <row r="32" spans="2:11">
      <c r="B32" s="493" t="s">
        <v>234</v>
      </c>
      <c r="C32" s="493"/>
      <c r="D32" s="249">
        <v>1</v>
      </c>
      <c r="E32" s="249">
        <v>2</v>
      </c>
      <c r="F32" s="46">
        <f>SUMPRODUCT($D$14:$E$14,D32:E32)</f>
        <v>2960</v>
      </c>
      <c r="G32" s="106">
        <f>F32*E19</f>
        <v>44400</v>
      </c>
    </row>
    <row r="33" spans="4:10">
      <c r="D33" s="149"/>
      <c r="E33" s="253"/>
      <c r="F33" s="253"/>
      <c r="G33" s="72"/>
      <c r="H33" s="72"/>
      <c r="I33" s="72"/>
      <c r="J33" s="72"/>
    </row>
    <row r="34" spans="4:10">
      <c r="D34" s="149"/>
      <c r="E34" s="149"/>
      <c r="F34" s="149"/>
      <c r="G34" s="250"/>
      <c r="H34" s="72"/>
      <c r="I34" s="72"/>
      <c r="J34" s="72"/>
    </row>
    <row r="35" spans="4:10">
      <c r="D35" s="149"/>
      <c r="E35" s="149"/>
      <c r="F35" s="149"/>
      <c r="G35" s="250"/>
      <c r="H35" s="72"/>
      <c r="I35" s="72"/>
      <c r="J35" s="72"/>
    </row>
    <row r="36" spans="4:10">
      <c r="D36" s="149"/>
      <c r="E36" s="149"/>
      <c r="F36" s="72"/>
      <c r="G36" s="72"/>
      <c r="H36" s="72"/>
      <c r="I36" s="72"/>
      <c r="J36" s="72"/>
    </row>
  </sheetData>
  <mergeCells count="8">
    <mergeCell ref="B32:C32"/>
    <mergeCell ref="N2:O2"/>
    <mergeCell ref="N3:U3"/>
    <mergeCell ref="B16:C16"/>
    <mergeCell ref="B15:C15"/>
    <mergeCell ref="G17:I17"/>
    <mergeCell ref="G18:I18"/>
    <mergeCell ref="B31:C31"/>
  </mergeCells>
  <pageMargins left="0.7" right="0.7" top="0.75" bottom="0.75" header="0.3" footer="0.3"/>
  <pageSetup paperSize="9" orientation="portrait" horizontalDpi="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718A2-3437-4CCE-98AB-EA20D4AF4184}">
  <dimension ref="B14:Q32"/>
  <sheetViews>
    <sheetView workbookViewId="0">
      <selection activeCell="O24" sqref="O24"/>
    </sheetView>
  </sheetViews>
  <sheetFormatPr defaultRowHeight="15"/>
  <cols>
    <col min="2" max="2" width="7.42578125" customWidth="1"/>
    <col min="3" max="3" width="16.7109375" customWidth="1"/>
    <col min="9" max="9" width="10.140625" bestFit="1" customWidth="1"/>
    <col min="17" max="17" width="10.140625" bestFit="1" customWidth="1"/>
  </cols>
  <sheetData>
    <row r="14" spans="3:17">
      <c r="D14" s="1"/>
      <c r="E14" s="1"/>
      <c r="F14" s="1"/>
      <c r="J14" s="500" t="s">
        <v>280</v>
      </c>
      <c r="K14" s="500"/>
      <c r="L14" s="500"/>
      <c r="M14" s="500"/>
      <c r="N14" s="500"/>
      <c r="O14" s="500"/>
      <c r="P14" s="500"/>
      <c r="Q14" s="268">
        <v>3820</v>
      </c>
    </row>
    <row r="15" spans="3:17">
      <c r="D15" s="1" t="s">
        <v>236</v>
      </c>
      <c r="E15" s="1" t="s">
        <v>237</v>
      </c>
      <c r="F15" s="1"/>
    </row>
    <row r="16" spans="3:17">
      <c r="C16" s="255" t="s">
        <v>238</v>
      </c>
      <c r="D16" s="241">
        <v>259.99999809861191</v>
      </c>
      <c r="E16" s="241">
        <v>35.000001267592069</v>
      </c>
    </row>
    <row r="17" spans="2:13">
      <c r="C17" s="255" t="s">
        <v>239</v>
      </c>
      <c r="D17" s="254">
        <v>12</v>
      </c>
      <c r="E17" s="254">
        <v>20</v>
      </c>
      <c r="F17" s="1"/>
      <c r="G17" s="46"/>
      <c r="H17" s="257" t="s">
        <v>240</v>
      </c>
      <c r="I17" s="106">
        <f>SUMPRODUCT(D16:E16,D17:E17)</f>
        <v>3820.0000025351842</v>
      </c>
      <c r="J17" s="46" t="str">
        <f ca="1">_xlfn.FORMULATEXT(I17)</f>
        <v>=SUMPRODUCT(D16:E16;D17:E17)</v>
      </c>
      <c r="K17" s="46"/>
      <c r="L17" s="46"/>
      <c r="M17" s="46"/>
    </row>
    <row r="18" spans="2:13">
      <c r="D18" s="1"/>
      <c r="E18" s="1"/>
      <c r="F18" s="1"/>
    </row>
    <row r="19" spans="2:13">
      <c r="D19" s="1"/>
      <c r="E19" s="1"/>
      <c r="F19" s="1"/>
    </row>
    <row r="20" spans="2:13">
      <c r="D20" s="1"/>
      <c r="E20" s="1"/>
      <c r="F20" s="1"/>
    </row>
    <row r="21" spans="2:13">
      <c r="B21" s="499" t="s">
        <v>255</v>
      </c>
      <c r="C21" s="499"/>
      <c r="D21" s="254"/>
      <c r="E21" s="254"/>
      <c r="F21" s="254" t="s">
        <v>209</v>
      </c>
      <c r="G21" s="254" t="s">
        <v>220</v>
      </c>
      <c r="H21" s="254" t="s">
        <v>211</v>
      </c>
    </row>
    <row r="22" spans="2:13">
      <c r="B22" s="499" t="s">
        <v>241</v>
      </c>
      <c r="C22" s="499"/>
      <c r="D22" s="254">
        <v>4</v>
      </c>
      <c r="E22" s="254">
        <v>6</v>
      </c>
      <c r="F22" s="254">
        <f>SUMPRODUCT($D$16:$E$16,D22:E22)</f>
        <v>1250</v>
      </c>
      <c r="G22" s="254" t="s">
        <v>199</v>
      </c>
      <c r="H22" s="254">
        <v>1250</v>
      </c>
    </row>
    <row r="23" spans="2:13">
      <c r="B23" s="499" t="s">
        <v>242</v>
      </c>
      <c r="C23" s="499"/>
      <c r="D23" s="254">
        <v>9</v>
      </c>
      <c r="E23" s="254">
        <v>36</v>
      </c>
      <c r="F23" s="254">
        <f>SUMPRODUCT($D$16:$E$16,D23:E23)</f>
        <v>3600.0000285208216</v>
      </c>
      <c r="G23" s="254" t="s">
        <v>235</v>
      </c>
      <c r="H23" s="254">
        <v>3600</v>
      </c>
    </row>
    <row r="24" spans="2:13">
      <c r="D24" s="1"/>
      <c r="E24" s="1"/>
      <c r="F24" t="str">
        <f ca="1">_xlfn.FORMULATEXT(F23)</f>
        <v>=SUMPRODUCT($D$16:$E$16;D23:E23)</v>
      </c>
    </row>
    <row r="25" spans="2:13">
      <c r="D25" s="1"/>
      <c r="E25" s="1"/>
    </row>
    <row r="26" spans="2:13">
      <c r="D26" s="1"/>
      <c r="E26" s="1"/>
      <c r="F26" s="1"/>
      <c r="G26" s="1"/>
      <c r="H26" s="1"/>
    </row>
    <row r="27" spans="2:13">
      <c r="D27" s="1"/>
      <c r="E27" s="1"/>
      <c r="F27" s="1"/>
      <c r="G27" s="1"/>
      <c r="H27" s="1"/>
    </row>
    <row r="28" spans="2:13">
      <c r="D28" s="1"/>
      <c r="E28" s="1"/>
      <c r="F28" s="1"/>
    </row>
    <row r="29" spans="2:13">
      <c r="D29" s="1"/>
      <c r="E29" s="1"/>
      <c r="F29" s="1"/>
    </row>
    <row r="30" spans="2:13">
      <c r="D30" s="1"/>
      <c r="E30" s="1"/>
      <c r="F30" s="1"/>
    </row>
    <row r="31" spans="2:13">
      <c r="F31" s="1"/>
    </row>
    <row r="32" spans="2:13">
      <c r="F32" s="1"/>
    </row>
  </sheetData>
  <mergeCells count="4">
    <mergeCell ref="B22:C22"/>
    <mergeCell ref="B23:C23"/>
    <mergeCell ref="B21:C21"/>
    <mergeCell ref="J14:P1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68D34-A39A-4DE4-B23F-9BFA2E6CB7CB}">
  <dimension ref="B3:U19"/>
  <sheetViews>
    <sheetView workbookViewId="0">
      <selection activeCell="U16" sqref="U16"/>
    </sheetView>
  </sheetViews>
  <sheetFormatPr defaultRowHeight="15"/>
  <cols>
    <col min="2" max="2" width="22" customWidth="1"/>
    <col min="3" max="3" width="13.42578125" customWidth="1"/>
    <col min="6" max="6" width="11.28515625" customWidth="1"/>
    <col min="7" max="7" width="12.42578125" customWidth="1"/>
    <col min="10" max="10" width="12.140625" bestFit="1" customWidth="1"/>
    <col min="18" max="18" width="27.140625" bestFit="1" customWidth="1"/>
  </cols>
  <sheetData>
    <row r="3" spans="2:20">
      <c r="B3" s="46"/>
      <c r="C3" s="256" t="s">
        <v>248</v>
      </c>
      <c r="D3" s="256" t="s">
        <v>249</v>
      </c>
      <c r="E3" s="256" t="s">
        <v>250</v>
      </c>
      <c r="F3" s="256" t="s">
        <v>251</v>
      </c>
      <c r="G3" s="256" t="s">
        <v>252</v>
      </c>
    </row>
    <row r="4" spans="2:20">
      <c r="B4" s="257" t="s">
        <v>205</v>
      </c>
      <c r="C4" s="270">
        <v>50000</v>
      </c>
      <c r="D4" s="270">
        <v>0</v>
      </c>
      <c r="E4" s="270">
        <v>0</v>
      </c>
      <c r="F4" s="270">
        <v>175000</v>
      </c>
      <c r="G4" s="270">
        <v>25000</v>
      </c>
    </row>
    <row r="5" spans="2:20">
      <c r="B5" s="46"/>
      <c r="C5" s="120">
        <v>5.2999999999999999E-2</v>
      </c>
      <c r="D5" s="120">
        <v>6.8000000000000005E-2</v>
      </c>
      <c r="E5" s="120">
        <v>4.9000000000000002E-2</v>
      </c>
      <c r="F5" s="120">
        <v>8.4000000000000005E-2</v>
      </c>
      <c r="G5" s="120">
        <v>0.11799999999999999</v>
      </c>
    </row>
    <row r="6" spans="2:20">
      <c r="B6" s="46"/>
      <c r="C6" s="46"/>
      <c r="D6" s="46"/>
      <c r="E6" s="46"/>
      <c r="F6" s="46"/>
      <c r="G6" s="46"/>
    </row>
    <row r="9" spans="2:20">
      <c r="B9" s="257" t="s">
        <v>254</v>
      </c>
      <c r="C9" s="269">
        <f>SUMPRODUCT(C4:G4,C5:G5)</f>
        <v>20300</v>
      </c>
      <c r="D9" s="46" t="str">
        <f ca="1">_xlfn.FORMULATEXT(C9)</f>
        <v>=SUMPRODUCT(C4:G4;C5:G5)</v>
      </c>
      <c r="E9" s="46"/>
      <c r="F9" s="46"/>
    </row>
    <row r="10" spans="2:20">
      <c r="Q10" s="256" t="s">
        <v>248</v>
      </c>
      <c r="R10" s="254" t="s">
        <v>243</v>
      </c>
      <c r="S10" s="259">
        <v>5.3</v>
      </c>
      <c r="T10" s="46"/>
    </row>
    <row r="11" spans="2:20">
      <c r="Q11" s="256" t="s">
        <v>249</v>
      </c>
      <c r="R11" s="254" t="s">
        <v>244</v>
      </c>
      <c r="S11" s="259">
        <v>6.8</v>
      </c>
      <c r="T11" s="256" t="s">
        <v>253</v>
      </c>
    </row>
    <row r="12" spans="2:20">
      <c r="Q12" s="256" t="s">
        <v>250</v>
      </c>
      <c r="R12" s="254" t="s">
        <v>245</v>
      </c>
      <c r="S12" s="259">
        <v>4.9000000000000004</v>
      </c>
      <c r="T12" s="256" t="s">
        <v>253</v>
      </c>
    </row>
    <row r="13" spans="2:20">
      <c r="Q13" s="256" t="s">
        <v>251</v>
      </c>
      <c r="R13" s="254" t="s">
        <v>246</v>
      </c>
      <c r="S13" s="259">
        <v>8.4</v>
      </c>
      <c r="T13" s="256" t="s">
        <v>253</v>
      </c>
    </row>
    <row r="14" spans="2:20">
      <c r="B14" s="46" t="s">
        <v>255</v>
      </c>
      <c r="C14" s="254"/>
      <c r="D14" s="254"/>
      <c r="E14" s="254"/>
      <c r="F14" s="254"/>
      <c r="G14" s="254"/>
      <c r="H14" s="254" t="s">
        <v>209</v>
      </c>
      <c r="I14" s="254" t="s">
        <v>220</v>
      </c>
      <c r="J14" s="254" t="s">
        <v>211</v>
      </c>
      <c r="Q14" s="256" t="s">
        <v>252</v>
      </c>
      <c r="R14" s="254" t="s">
        <v>247</v>
      </c>
      <c r="S14" s="259">
        <v>11.8</v>
      </c>
      <c r="T14" s="46"/>
    </row>
    <row r="15" spans="2:20">
      <c r="B15" s="46" t="s">
        <v>198</v>
      </c>
      <c r="C15" s="254">
        <v>1</v>
      </c>
      <c r="D15" s="254">
        <v>1</v>
      </c>
      <c r="E15" s="254">
        <v>1</v>
      </c>
      <c r="F15" s="254">
        <v>1</v>
      </c>
      <c r="G15" s="254">
        <v>1</v>
      </c>
      <c r="H15" s="254">
        <f>SUMPRODUCT($C$4:$G$4,C15:G15)</f>
        <v>250000</v>
      </c>
      <c r="I15" s="254" t="s">
        <v>199</v>
      </c>
      <c r="J15" s="123">
        <v>250000</v>
      </c>
    </row>
    <row r="16" spans="2:20">
      <c r="B16" s="46" t="s">
        <v>259</v>
      </c>
      <c r="C16" s="254">
        <v>1</v>
      </c>
      <c r="D16" s="254"/>
      <c r="E16" s="254"/>
      <c r="F16" s="254"/>
      <c r="G16" s="254"/>
      <c r="H16" s="254">
        <f>SUMPRODUCT($C$4:$G$4,C16:G16)</f>
        <v>50000</v>
      </c>
      <c r="I16" s="254" t="s">
        <v>203</v>
      </c>
      <c r="J16" s="123">
        <f>20%*J15</f>
        <v>50000</v>
      </c>
    </row>
    <row r="17" spans="2:21">
      <c r="B17" s="46" t="s">
        <v>257</v>
      </c>
      <c r="C17" s="254"/>
      <c r="D17" s="254">
        <v>1</v>
      </c>
      <c r="E17" s="254">
        <v>1</v>
      </c>
      <c r="F17" s="254">
        <v>1</v>
      </c>
      <c r="G17" s="254"/>
      <c r="H17" s="254">
        <f>SUMPRODUCT($C$4:$G$4,C17:G17)</f>
        <v>175000</v>
      </c>
      <c r="I17" s="254" t="s">
        <v>203</v>
      </c>
      <c r="J17" s="123">
        <f>40%*J15</f>
        <v>100000</v>
      </c>
    </row>
    <row r="18" spans="2:21">
      <c r="B18" s="46" t="s">
        <v>258</v>
      </c>
      <c r="C18" s="193"/>
      <c r="D18" s="254"/>
      <c r="E18" s="254"/>
      <c r="F18" s="254"/>
      <c r="G18" s="254">
        <v>1</v>
      </c>
      <c r="H18" s="254">
        <f>SUMPRODUCT($C$4:$G$4,C18:G18)</f>
        <v>25000</v>
      </c>
      <c r="I18" s="254" t="s">
        <v>199</v>
      </c>
      <c r="J18" s="123">
        <f>50%*C4</f>
        <v>25000</v>
      </c>
    </row>
    <row r="19" spans="2:21">
      <c r="U19" s="258"/>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6F1F8-E464-45EA-B55E-B3067926B4F5}">
  <dimension ref="B13:M34"/>
  <sheetViews>
    <sheetView topLeftCell="A4" workbookViewId="0">
      <selection activeCell="C33" sqref="C33:K34"/>
    </sheetView>
  </sheetViews>
  <sheetFormatPr defaultRowHeight="15"/>
  <cols>
    <col min="1" max="1" width="3.5703125" customWidth="1"/>
    <col min="2" max="5" width="13.140625" customWidth="1"/>
    <col min="6" max="6" width="11.28515625" customWidth="1"/>
    <col min="7" max="7" width="8.5703125" customWidth="1"/>
    <col min="8" max="8" width="16.85546875" customWidth="1"/>
    <col min="9" max="9" width="14" bestFit="1" customWidth="1"/>
    <col min="10" max="10" width="15.28515625" bestFit="1" customWidth="1"/>
    <col min="12" max="12" width="10.140625" customWidth="1"/>
    <col min="16" max="16" width="9" customWidth="1"/>
  </cols>
  <sheetData>
    <row r="13" spans="2:12" ht="54">
      <c r="B13" s="260" t="s">
        <v>260</v>
      </c>
      <c r="C13" s="260" t="s">
        <v>261</v>
      </c>
      <c r="D13" s="260" t="s">
        <v>262</v>
      </c>
      <c r="E13" s="260" t="s">
        <v>263</v>
      </c>
      <c r="F13" s="260" t="s">
        <v>264</v>
      </c>
      <c r="H13" s="265"/>
      <c r="I13" s="265"/>
      <c r="J13" s="265"/>
      <c r="K13" s="265"/>
      <c r="L13" s="265"/>
    </row>
    <row r="14" spans="2:12">
      <c r="B14" s="260" t="s">
        <v>265</v>
      </c>
      <c r="C14" s="262">
        <v>3</v>
      </c>
      <c r="D14" s="262">
        <v>4</v>
      </c>
      <c r="E14" s="262">
        <v>2</v>
      </c>
      <c r="F14" s="262">
        <v>5</v>
      </c>
      <c r="H14" s="256" t="s">
        <v>275</v>
      </c>
      <c r="I14" s="256" t="s">
        <v>276</v>
      </c>
      <c r="J14" s="256" t="s">
        <v>277</v>
      </c>
      <c r="K14" s="149"/>
      <c r="L14" s="149"/>
    </row>
    <row r="15" spans="2:12">
      <c r="B15" s="260" t="s">
        <v>266</v>
      </c>
      <c r="C15" s="262">
        <v>0.5</v>
      </c>
      <c r="D15" s="262">
        <v>1</v>
      </c>
      <c r="E15" s="262">
        <v>1</v>
      </c>
      <c r="F15" s="262">
        <v>2</v>
      </c>
      <c r="H15" s="236">
        <v>0.25</v>
      </c>
      <c r="I15" s="236">
        <v>4.4999999999999991</v>
      </c>
      <c r="J15" s="236">
        <v>0</v>
      </c>
      <c r="K15" s="72" t="s">
        <v>274</v>
      </c>
      <c r="L15" s="72"/>
    </row>
    <row r="16" spans="2:12">
      <c r="B16" s="260" t="s">
        <v>267</v>
      </c>
      <c r="C16" s="262">
        <v>4</v>
      </c>
      <c r="D16" s="262">
        <v>2</v>
      </c>
      <c r="E16" s="262">
        <v>6</v>
      </c>
      <c r="F16" s="262">
        <v>10</v>
      </c>
      <c r="K16" s="72"/>
      <c r="L16" s="72"/>
    </row>
    <row r="17" spans="2:13">
      <c r="B17" s="260" t="s">
        <v>268</v>
      </c>
      <c r="C17" s="262">
        <v>1</v>
      </c>
      <c r="D17" s="262">
        <v>1.5</v>
      </c>
      <c r="E17" s="262">
        <v>2</v>
      </c>
      <c r="F17" s="262">
        <v>7</v>
      </c>
      <c r="H17" s="72"/>
      <c r="I17" s="72"/>
      <c r="J17" s="72"/>
      <c r="K17" s="72"/>
      <c r="L17" s="72"/>
    </row>
    <row r="18" spans="2:13">
      <c r="B18" s="260" t="s">
        <v>269</v>
      </c>
      <c r="C18" s="262">
        <v>0.5</v>
      </c>
      <c r="D18" s="262">
        <v>1.5</v>
      </c>
      <c r="E18" s="262">
        <v>0.5</v>
      </c>
      <c r="F18" s="262">
        <v>6</v>
      </c>
    </row>
    <row r="19" spans="2:13">
      <c r="B19" s="260" t="s">
        <v>270</v>
      </c>
      <c r="C19" s="263">
        <v>0.09</v>
      </c>
      <c r="D19" s="263">
        <v>0.12</v>
      </c>
      <c r="E19" s="263">
        <v>0.18</v>
      </c>
      <c r="F19" s="261"/>
    </row>
    <row r="20" spans="2:13">
      <c r="B20" s="267"/>
      <c r="C20" s="264"/>
      <c r="D20" s="264"/>
      <c r="E20" s="264"/>
    </row>
    <row r="22" spans="2:13">
      <c r="C22" s="1"/>
      <c r="D22" s="1"/>
      <c r="E22" s="1"/>
      <c r="J22" s="271">
        <f>SUMPRODUCT(H15:J15,C19:E19)</f>
        <v>0.56249999999999989</v>
      </c>
      <c r="K22" s="272" t="s">
        <v>278</v>
      </c>
      <c r="L22" s="272"/>
      <c r="M22" s="272"/>
    </row>
    <row r="23" spans="2:13">
      <c r="B23" s="46" t="s">
        <v>255</v>
      </c>
      <c r="C23" s="256" t="s">
        <v>272</v>
      </c>
      <c r="D23" s="256" t="s">
        <v>269</v>
      </c>
      <c r="E23" s="256" t="s">
        <v>273</v>
      </c>
      <c r="F23" s="256" t="s">
        <v>209</v>
      </c>
      <c r="G23" s="256" t="s">
        <v>220</v>
      </c>
      <c r="H23" s="256" t="s">
        <v>211</v>
      </c>
      <c r="J23" t="str">
        <f ca="1">_xlfn.FORMULATEXT(J22)</f>
        <v>=SUMPRODUCT(H15:J15;C19:E19)</v>
      </c>
    </row>
    <row r="24" spans="2:13">
      <c r="B24" s="256" t="s">
        <v>271</v>
      </c>
      <c r="C24" s="262">
        <v>1</v>
      </c>
      <c r="D24" s="262">
        <v>1</v>
      </c>
      <c r="E24" s="262">
        <v>1</v>
      </c>
      <c r="F24" s="266">
        <f>SUM(C24:E24)</f>
        <v>3</v>
      </c>
      <c r="G24" s="256" t="s">
        <v>199</v>
      </c>
      <c r="H24" s="256">
        <v>6</v>
      </c>
      <c r="I24" s="1"/>
    </row>
    <row r="25" spans="2:13">
      <c r="B25" s="256" t="s">
        <v>265</v>
      </c>
      <c r="C25" s="256">
        <v>3</v>
      </c>
      <c r="D25" s="256">
        <v>4</v>
      </c>
      <c r="E25" s="256">
        <v>2</v>
      </c>
      <c r="F25" s="256">
        <f>SUMPRODUCT(C25:E25,$H$15:$J$15)</f>
        <v>18.749999999999996</v>
      </c>
      <c r="G25" s="256" t="s">
        <v>203</v>
      </c>
      <c r="H25" s="266">
        <f>F14</f>
        <v>5</v>
      </c>
      <c r="I25" s="1"/>
    </row>
    <row r="26" spans="2:13">
      <c r="B26" s="256" t="s">
        <v>266</v>
      </c>
      <c r="C26" s="256">
        <v>0.5</v>
      </c>
      <c r="D26" s="256">
        <v>1</v>
      </c>
      <c r="E26" s="256">
        <v>1</v>
      </c>
      <c r="F26" s="256">
        <f t="shared" ref="F26:F29" si="0">SUMPRODUCT(C26:E26,$H$15:$J$15)</f>
        <v>4.6249999999999991</v>
      </c>
      <c r="G26" s="256" t="s">
        <v>203</v>
      </c>
      <c r="H26" s="266">
        <f>F15</f>
        <v>2</v>
      </c>
      <c r="I26" s="1"/>
    </row>
    <row r="27" spans="2:13">
      <c r="B27" s="256" t="s">
        <v>267</v>
      </c>
      <c r="C27" s="256">
        <v>4</v>
      </c>
      <c r="D27" s="256">
        <v>2</v>
      </c>
      <c r="E27" s="256">
        <v>6</v>
      </c>
      <c r="F27" s="256">
        <f t="shared" si="0"/>
        <v>9.9999999999999982</v>
      </c>
      <c r="G27" s="256" t="s">
        <v>203</v>
      </c>
      <c r="H27" s="266">
        <f>F16</f>
        <v>10</v>
      </c>
      <c r="I27" s="1"/>
    </row>
    <row r="28" spans="2:13">
      <c r="B28" s="256" t="s">
        <v>268</v>
      </c>
      <c r="C28" s="256">
        <v>1</v>
      </c>
      <c r="D28" s="256">
        <v>1.5</v>
      </c>
      <c r="E28" s="256">
        <v>2</v>
      </c>
      <c r="F28" s="256">
        <f t="shared" si="0"/>
        <v>6.9999999999999982</v>
      </c>
      <c r="G28" s="256" t="s">
        <v>203</v>
      </c>
      <c r="H28" s="266">
        <f>F17</f>
        <v>7</v>
      </c>
      <c r="I28" s="1"/>
    </row>
    <row r="29" spans="2:13">
      <c r="B29" s="256" t="s">
        <v>269</v>
      </c>
      <c r="C29" s="256">
        <v>0.5</v>
      </c>
      <c r="D29" s="256">
        <v>1.5</v>
      </c>
      <c r="E29" s="256">
        <v>0.5</v>
      </c>
      <c r="F29" s="256">
        <f t="shared" si="0"/>
        <v>6.8749999999999982</v>
      </c>
      <c r="G29" s="256" t="s">
        <v>203</v>
      </c>
      <c r="H29" s="266">
        <f>F18</f>
        <v>6</v>
      </c>
    </row>
    <row r="33" spans="3:11">
      <c r="C33" s="494" t="s">
        <v>279</v>
      </c>
      <c r="D33" s="495"/>
      <c r="E33" s="495"/>
      <c r="F33" s="495"/>
      <c r="G33" s="495"/>
      <c r="H33" s="495"/>
      <c r="I33" s="495"/>
      <c r="J33" s="495"/>
      <c r="K33" s="496"/>
    </row>
    <row r="34" spans="3:11">
      <c r="C34" s="494" t="s">
        <v>281</v>
      </c>
      <c r="D34" s="495"/>
      <c r="E34" s="495"/>
      <c r="F34" s="495"/>
      <c r="G34" s="495"/>
      <c r="H34" s="495"/>
      <c r="I34" s="495"/>
      <c r="J34" s="495"/>
      <c r="K34" s="496"/>
    </row>
  </sheetData>
  <mergeCells count="2">
    <mergeCell ref="C33:K33"/>
    <mergeCell ref="C34:K3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D1247-570D-4AC1-8233-C5A501032118}">
  <dimension ref="B15:U37"/>
  <sheetViews>
    <sheetView workbookViewId="0">
      <selection activeCell="S29" sqref="S29"/>
    </sheetView>
  </sheetViews>
  <sheetFormatPr defaultRowHeight="15"/>
  <cols>
    <col min="2" max="2" width="8.5703125" bestFit="1" customWidth="1"/>
    <col min="3" max="3" width="16.42578125" customWidth="1"/>
    <col min="4" max="4" width="14.42578125" customWidth="1"/>
    <col min="5" max="5" width="16.42578125" customWidth="1"/>
    <col min="6" max="6" width="12.5703125" bestFit="1" customWidth="1"/>
  </cols>
  <sheetData>
    <row r="15" spans="2:6" ht="37.5" customHeight="1">
      <c r="B15" s="274" t="s">
        <v>282</v>
      </c>
      <c r="C15" s="274" t="s">
        <v>283</v>
      </c>
      <c r="D15" s="274" t="s">
        <v>284</v>
      </c>
      <c r="E15" s="274" t="s">
        <v>285</v>
      </c>
      <c r="F15" s="274" t="s">
        <v>286</v>
      </c>
    </row>
    <row r="16" spans="2:6" ht="15.75">
      <c r="B16" s="273" t="s">
        <v>265</v>
      </c>
      <c r="C16" s="273">
        <v>5</v>
      </c>
      <c r="D16" s="273">
        <v>8</v>
      </c>
      <c r="E16" s="273">
        <v>6</v>
      </c>
      <c r="F16" s="273">
        <v>700</v>
      </c>
    </row>
    <row r="17" spans="2:21" ht="15.75">
      <c r="B17" s="273" t="s">
        <v>266</v>
      </c>
      <c r="C17" s="273">
        <v>0</v>
      </c>
      <c r="D17" s="273">
        <v>4</v>
      </c>
      <c r="E17" s="273">
        <v>12</v>
      </c>
      <c r="F17" s="273">
        <v>500</v>
      </c>
    </row>
    <row r="18" spans="2:21" ht="15.75">
      <c r="B18" s="273" t="s">
        <v>267</v>
      </c>
      <c r="C18" s="273">
        <v>4</v>
      </c>
      <c r="D18" s="273">
        <v>0</v>
      </c>
      <c r="E18" s="273">
        <v>7</v>
      </c>
      <c r="F18" s="273">
        <v>100</v>
      </c>
    </row>
    <row r="19" spans="2:21" ht="15.75">
      <c r="B19" s="273" t="s">
        <v>268</v>
      </c>
      <c r="C19" s="273">
        <v>7</v>
      </c>
      <c r="D19" s="273">
        <v>2</v>
      </c>
      <c r="E19" s="273">
        <v>5</v>
      </c>
      <c r="F19" s="273">
        <v>800</v>
      </c>
    </row>
    <row r="20" spans="2:21" ht="15.75">
      <c r="B20" s="273" t="s">
        <v>269</v>
      </c>
      <c r="C20" s="273">
        <v>12</v>
      </c>
      <c r="D20" s="273">
        <v>7</v>
      </c>
      <c r="E20" s="273">
        <v>0</v>
      </c>
      <c r="F20" s="273">
        <v>400</v>
      </c>
    </row>
    <row r="21" spans="2:21">
      <c r="C21" s="275" t="s">
        <v>205</v>
      </c>
      <c r="D21" s="256" t="s">
        <v>287</v>
      </c>
      <c r="E21" s="256" t="s">
        <v>288</v>
      </c>
      <c r="F21" s="256" t="s">
        <v>289</v>
      </c>
      <c r="G21" s="256" t="s">
        <v>290</v>
      </c>
      <c r="H21" s="256" t="s">
        <v>291</v>
      </c>
      <c r="I21" s="256" t="s">
        <v>292</v>
      </c>
      <c r="J21" s="256" t="s">
        <v>293</v>
      </c>
      <c r="K21" s="256" t="s">
        <v>294</v>
      </c>
      <c r="L21" s="256" t="s">
        <v>295</v>
      </c>
      <c r="M21" s="256" t="s">
        <v>296</v>
      </c>
      <c r="N21" s="256" t="s">
        <v>297</v>
      </c>
      <c r="O21" s="256" t="s">
        <v>298</v>
      </c>
      <c r="P21" s="256" t="s">
        <v>299</v>
      </c>
      <c r="Q21" s="256" t="s">
        <v>300</v>
      </c>
      <c r="R21" s="256" t="s">
        <v>301</v>
      </c>
    </row>
    <row r="22" spans="2:21">
      <c r="D22" s="236">
        <v>400</v>
      </c>
      <c r="E22" s="236">
        <v>0</v>
      </c>
      <c r="F22" s="236">
        <v>300</v>
      </c>
      <c r="G22" s="236">
        <v>500</v>
      </c>
      <c r="H22" s="236">
        <v>0</v>
      </c>
      <c r="I22" s="236">
        <v>0</v>
      </c>
      <c r="J22" s="236">
        <v>0</v>
      </c>
      <c r="K22" s="236">
        <v>100</v>
      </c>
      <c r="L22" s="236">
        <v>0</v>
      </c>
      <c r="M22" s="236">
        <v>0</v>
      </c>
      <c r="N22" s="236">
        <v>800</v>
      </c>
      <c r="O22" s="236">
        <v>0</v>
      </c>
      <c r="P22" s="236">
        <v>0</v>
      </c>
      <c r="Q22" s="236">
        <v>0</v>
      </c>
      <c r="R22" s="236">
        <v>400</v>
      </c>
    </row>
    <row r="23" spans="2:21">
      <c r="D23" s="256">
        <v>5</v>
      </c>
      <c r="E23" s="256">
        <v>8</v>
      </c>
      <c r="F23" s="256">
        <v>6</v>
      </c>
      <c r="G23" s="256">
        <v>0</v>
      </c>
      <c r="H23" s="256">
        <v>4</v>
      </c>
      <c r="I23" s="256">
        <v>12</v>
      </c>
      <c r="J23" s="256">
        <v>4</v>
      </c>
      <c r="K23" s="256">
        <v>0</v>
      </c>
      <c r="L23" s="256">
        <v>7</v>
      </c>
      <c r="M23" s="256">
        <v>7</v>
      </c>
      <c r="N23" s="256">
        <v>2</v>
      </c>
      <c r="O23" s="256">
        <v>5</v>
      </c>
      <c r="P23" s="256">
        <v>12</v>
      </c>
      <c r="Q23" s="256">
        <v>7</v>
      </c>
      <c r="R23" s="256">
        <v>0</v>
      </c>
      <c r="S23" t="s">
        <v>303</v>
      </c>
    </row>
    <row r="26" spans="2:21">
      <c r="C26" s="46" t="s">
        <v>302</v>
      </c>
      <c r="D26" s="242">
        <f>SUMPRODUCT(D22:R22,D23:R23)</f>
        <v>5400</v>
      </c>
      <c r="E26" t="str">
        <f ca="1">_xlfn.FORMULATEXT(D26)</f>
        <v>=SUMPRODUCT(D22:R22;D23:R23)</v>
      </c>
    </row>
    <row r="27" spans="2:21">
      <c r="S27" t="str">
        <f ca="1">_xlfn.FORMULATEXT(S29)</f>
        <v>=SUMPRODUCT($D$22:$R$22;D29:R29)</v>
      </c>
    </row>
    <row r="28" spans="2:21">
      <c r="C28" s="46" t="s">
        <v>255</v>
      </c>
      <c r="D28" s="256"/>
      <c r="E28" s="256"/>
      <c r="F28" s="256"/>
      <c r="G28" s="256"/>
      <c r="H28" s="256"/>
      <c r="I28" s="256"/>
      <c r="J28" s="256"/>
      <c r="K28" s="256"/>
      <c r="L28" s="256"/>
      <c r="M28" s="256"/>
      <c r="N28" s="256"/>
      <c r="O28" s="256"/>
      <c r="P28" s="256"/>
      <c r="Q28" s="256"/>
      <c r="R28" s="256"/>
      <c r="S28" s="256" t="s">
        <v>209</v>
      </c>
      <c r="T28" s="256" t="s">
        <v>220</v>
      </c>
      <c r="U28" s="256" t="s">
        <v>211</v>
      </c>
    </row>
    <row r="29" spans="2:21">
      <c r="C29" s="256" t="s">
        <v>304</v>
      </c>
      <c r="D29" s="256">
        <v>1</v>
      </c>
      <c r="E29" s="256"/>
      <c r="F29" s="256"/>
      <c r="G29" s="256">
        <v>1</v>
      </c>
      <c r="H29" s="256"/>
      <c r="I29" s="256"/>
      <c r="J29" s="256">
        <v>1</v>
      </c>
      <c r="K29" s="256"/>
      <c r="L29" s="256"/>
      <c r="M29" s="256">
        <v>1</v>
      </c>
      <c r="N29" s="256"/>
      <c r="O29" s="256"/>
      <c r="P29" s="256">
        <v>1</v>
      </c>
      <c r="Q29" s="256"/>
      <c r="R29" s="256"/>
      <c r="S29" s="256">
        <f>SUMPRODUCT($D$22:$R$22,D29:R29)</f>
        <v>900</v>
      </c>
      <c r="T29" s="256" t="s">
        <v>199</v>
      </c>
      <c r="U29" s="256">
        <v>900</v>
      </c>
    </row>
    <row r="30" spans="2:21">
      <c r="C30" s="256" t="s">
        <v>305</v>
      </c>
      <c r="D30" s="256"/>
      <c r="E30" s="256">
        <v>1</v>
      </c>
      <c r="F30" s="256"/>
      <c r="G30" s="256"/>
      <c r="H30" s="256">
        <v>1</v>
      </c>
      <c r="I30" s="256"/>
      <c r="J30" s="256"/>
      <c r="K30" s="256">
        <v>1</v>
      </c>
      <c r="L30" s="256"/>
      <c r="M30" s="256"/>
      <c r="N30" s="256">
        <v>1</v>
      </c>
      <c r="O30" s="256"/>
      <c r="P30" s="256"/>
      <c r="Q30" s="256">
        <v>1</v>
      </c>
      <c r="R30" s="256"/>
      <c r="S30" s="256">
        <f t="shared" ref="S30:S31" si="0">SUMPRODUCT($D$22:$R$22,D30:R30)</f>
        <v>900</v>
      </c>
      <c r="T30" s="256" t="s">
        <v>199</v>
      </c>
      <c r="U30" s="256">
        <v>900</v>
      </c>
    </row>
    <row r="31" spans="2:21">
      <c r="C31" s="256" t="s">
        <v>306</v>
      </c>
      <c r="D31" s="256"/>
      <c r="E31" s="256"/>
      <c r="F31" s="256">
        <v>1</v>
      </c>
      <c r="G31" s="256"/>
      <c r="H31" s="256"/>
      <c r="I31" s="256">
        <v>1</v>
      </c>
      <c r="J31" s="256"/>
      <c r="K31" s="256"/>
      <c r="L31" s="256">
        <v>1</v>
      </c>
      <c r="M31" s="256"/>
      <c r="N31" s="256"/>
      <c r="O31" s="256">
        <v>1</v>
      </c>
      <c r="P31" s="256"/>
      <c r="Q31" s="256"/>
      <c r="R31" s="256">
        <v>1</v>
      </c>
      <c r="S31" s="256">
        <f t="shared" si="0"/>
        <v>700</v>
      </c>
      <c r="T31" s="256" t="s">
        <v>199</v>
      </c>
      <c r="U31" s="256">
        <v>900</v>
      </c>
    </row>
    <row r="32" spans="2:21">
      <c r="C32" s="256" t="s">
        <v>307</v>
      </c>
      <c r="D32" s="256">
        <v>1</v>
      </c>
      <c r="E32" s="256">
        <v>1</v>
      </c>
      <c r="F32" s="256">
        <v>1</v>
      </c>
      <c r="G32" s="256"/>
      <c r="H32" s="256"/>
      <c r="I32" s="256"/>
      <c r="J32" s="256"/>
      <c r="K32" s="256"/>
      <c r="L32" s="256"/>
      <c r="M32" s="256"/>
      <c r="N32" s="256"/>
      <c r="O32" s="256"/>
      <c r="P32" s="256"/>
      <c r="Q32" s="256"/>
      <c r="R32" s="256"/>
      <c r="S32" s="256">
        <f>SUMPRODUCT($D$22:$R$22,D32:R32)</f>
        <v>700</v>
      </c>
      <c r="T32" s="256" t="s">
        <v>312</v>
      </c>
      <c r="U32" s="256">
        <v>700</v>
      </c>
    </row>
    <row r="33" spans="3:21">
      <c r="C33" s="256" t="s">
        <v>308</v>
      </c>
      <c r="D33" s="256"/>
      <c r="E33" s="256"/>
      <c r="F33" s="256"/>
      <c r="G33" s="256">
        <v>1</v>
      </c>
      <c r="H33" s="256">
        <v>1</v>
      </c>
      <c r="I33" s="256">
        <v>1</v>
      </c>
      <c r="J33" s="256"/>
      <c r="K33" s="256"/>
      <c r="L33" s="256"/>
      <c r="M33" s="256"/>
      <c r="N33" s="256"/>
      <c r="O33" s="256"/>
      <c r="P33" s="256"/>
      <c r="Q33" s="256"/>
      <c r="R33" s="256"/>
      <c r="S33" s="256">
        <f t="shared" ref="S33:S36" si="1">SUMPRODUCT($D$22:$R$22,D33:R33)</f>
        <v>500</v>
      </c>
      <c r="T33" s="256" t="s">
        <v>312</v>
      </c>
      <c r="U33" s="256">
        <v>500</v>
      </c>
    </row>
    <row r="34" spans="3:21">
      <c r="C34" s="256" t="s">
        <v>309</v>
      </c>
      <c r="D34" s="256"/>
      <c r="E34" s="256"/>
      <c r="F34" s="256"/>
      <c r="G34" s="256"/>
      <c r="H34" s="256"/>
      <c r="I34" s="256"/>
      <c r="J34" s="256">
        <v>1</v>
      </c>
      <c r="K34" s="256">
        <v>1</v>
      </c>
      <c r="L34" s="256">
        <v>1</v>
      </c>
      <c r="M34" s="256"/>
      <c r="N34" s="256"/>
      <c r="O34" s="256"/>
      <c r="P34" s="256"/>
      <c r="Q34" s="256"/>
      <c r="R34" s="256"/>
      <c r="S34" s="256">
        <f t="shared" si="1"/>
        <v>100</v>
      </c>
      <c r="T34" s="256" t="s">
        <v>312</v>
      </c>
      <c r="U34" s="256">
        <v>100</v>
      </c>
    </row>
    <row r="35" spans="3:21">
      <c r="C35" s="256" t="s">
        <v>310</v>
      </c>
      <c r="D35" s="256"/>
      <c r="E35" s="256"/>
      <c r="F35" s="256"/>
      <c r="G35" s="256"/>
      <c r="H35" s="256"/>
      <c r="I35" s="256"/>
      <c r="J35" s="256"/>
      <c r="K35" s="256"/>
      <c r="L35" s="256"/>
      <c r="M35" s="256">
        <v>1</v>
      </c>
      <c r="N35" s="256">
        <v>1</v>
      </c>
      <c r="O35" s="256">
        <v>1</v>
      </c>
      <c r="P35" s="256"/>
      <c r="Q35" s="256"/>
      <c r="R35" s="256"/>
      <c r="S35" s="256">
        <f t="shared" si="1"/>
        <v>800</v>
      </c>
      <c r="T35" s="256" t="s">
        <v>312</v>
      </c>
      <c r="U35" s="256">
        <v>800</v>
      </c>
    </row>
    <row r="36" spans="3:21">
      <c r="C36" s="256" t="s">
        <v>311</v>
      </c>
      <c r="D36" s="256"/>
      <c r="E36" s="256"/>
      <c r="F36" s="256"/>
      <c r="G36" s="256"/>
      <c r="H36" s="256"/>
      <c r="I36" s="256"/>
      <c r="J36" s="256"/>
      <c r="K36" s="256"/>
      <c r="L36" s="256"/>
      <c r="M36" s="256"/>
      <c r="N36" s="256"/>
      <c r="O36" s="256"/>
      <c r="P36" s="256">
        <v>1</v>
      </c>
      <c r="Q36" s="256">
        <v>1</v>
      </c>
      <c r="R36" s="256">
        <v>1</v>
      </c>
      <c r="S36" s="256">
        <f t="shared" si="1"/>
        <v>400</v>
      </c>
      <c r="T36" s="256" t="s">
        <v>312</v>
      </c>
      <c r="U36" s="256">
        <v>400</v>
      </c>
    </row>
    <row r="37" spans="3:21">
      <c r="S37" s="276" t="str">
        <f ca="1">_xlfn.FORMULATEXT(S36)</f>
        <v>=SUMPRODUCT($D$22:$R$22;D36:R36)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E65AF-7B71-4479-8B3D-9656D14D2D8E}">
  <dimension ref="A12:O32"/>
  <sheetViews>
    <sheetView workbookViewId="0">
      <selection activeCell="O22" sqref="O22"/>
    </sheetView>
  </sheetViews>
  <sheetFormatPr defaultRowHeight="15"/>
  <cols>
    <col min="3" max="3" width="9.42578125" customWidth="1"/>
    <col min="4" max="4" width="11.5703125" customWidth="1"/>
    <col min="5" max="5" width="10.42578125" customWidth="1"/>
    <col min="6" max="6" width="10.140625" customWidth="1"/>
    <col min="7" max="7" width="10.5703125" customWidth="1"/>
    <col min="11" max="11" width="13.85546875" customWidth="1"/>
    <col min="12" max="12" width="14.28515625" customWidth="1"/>
  </cols>
  <sheetData>
    <row r="12" spans="1:13">
      <c r="A12" s="279"/>
      <c r="B12" s="279"/>
      <c r="C12" s="279"/>
      <c r="D12" s="279"/>
      <c r="E12" s="279"/>
      <c r="F12" s="279"/>
      <c r="G12" s="279"/>
      <c r="H12" s="279"/>
      <c r="I12" s="279"/>
      <c r="J12" s="279"/>
      <c r="K12" s="279"/>
      <c r="L12" s="279"/>
      <c r="M12" s="279"/>
    </row>
    <row r="13" spans="1:13">
      <c r="A13" s="279"/>
      <c r="B13" s="279"/>
      <c r="C13" s="279"/>
      <c r="D13" s="279"/>
      <c r="E13" s="279"/>
      <c r="F13" s="279"/>
      <c r="G13" s="279"/>
      <c r="H13" s="279"/>
      <c r="I13" s="279"/>
      <c r="J13" s="279"/>
      <c r="K13" s="279"/>
      <c r="L13" s="279"/>
      <c r="M13" s="279"/>
    </row>
    <row r="14" spans="1:13">
      <c r="A14" s="279"/>
      <c r="B14" s="279"/>
      <c r="C14" s="279"/>
      <c r="D14" s="279"/>
      <c r="E14" s="279"/>
      <c r="F14" s="279"/>
      <c r="G14" s="279"/>
      <c r="H14" s="279"/>
      <c r="I14" s="279"/>
      <c r="J14" s="279"/>
      <c r="K14" s="279"/>
      <c r="L14" s="279"/>
      <c r="M14" s="279"/>
    </row>
    <row r="15" spans="1:13">
      <c r="A15" s="279"/>
      <c r="B15" s="279"/>
      <c r="C15" s="279"/>
      <c r="D15" s="279"/>
      <c r="E15" s="279"/>
      <c r="F15" s="279"/>
      <c r="G15" s="279"/>
      <c r="H15" s="279"/>
      <c r="I15" s="279"/>
      <c r="J15" s="279"/>
      <c r="K15" s="279"/>
      <c r="L15" s="279"/>
      <c r="M15" s="279"/>
    </row>
    <row r="16" spans="1:13">
      <c r="A16" s="279"/>
      <c r="B16" s="279"/>
      <c r="C16" s="279"/>
      <c r="D16" s="279"/>
      <c r="E16" s="279"/>
      <c r="F16" s="279"/>
      <c r="G16" s="279"/>
      <c r="H16" s="279"/>
      <c r="I16" s="279"/>
      <c r="J16" s="279"/>
      <c r="K16" s="279"/>
      <c r="L16" s="279"/>
      <c r="M16" s="279"/>
    </row>
    <row r="17" spans="1:15">
      <c r="A17" s="279"/>
      <c r="B17" s="279"/>
      <c r="E17" s="278" t="s">
        <v>313</v>
      </c>
      <c r="F17" s="278" t="s">
        <v>314</v>
      </c>
      <c r="G17" s="278" t="s">
        <v>315</v>
      </c>
      <c r="H17" s="278" t="s">
        <v>316</v>
      </c>
      <c r="I17" s="278" t="s">
        <v>317</v>
      </c>
      <c r="J17" s="278" t="s">
        <v>318</v>
      </c>
      <c r="K17" s="278" t="s">
        <v>319</v>
      </c>
      <c r="L17" s="278" t="s">
        <v>320</v>
      </c>
      <c r="M17" s="278" t="s">
        <v>321</v>
      </c>
      <c r="N17" s="278" t="s">
        <v>322</v>
      </c>
    </row>
    <row r="18" spans="1:15">
      <c r="A18" s="279"/>
      <c r="B18" s="279"/>
      <c r="E18" s="236">
        <v>10</v>
      </c>
      <c r="F18" s="236">
        <v>0</v>
      </c>
      <c r="G18" s="236">
        <v>10</v>
      </c>
      <c r="H18" s="236">
        <v>0</v>
      </c>
      <c r="I18" s="236">
        <v>0</v>
      </c>
      <c r="J18" s="236">
        <v>20</v>
      </c>
      <c r="K18" s="236">
        <v>15</v>
      </c>
      <c r="L18" s="236">
        <v>0</v>
      </c>
      <c r="M18" s="236">
        <v>10</v>
      </c>
      <c r="N18" s="236">
        <v>0</v>
      </c>
      <c r="O18" t="s">
        <v>326</v>
      </c>
    </row>
    <row r="19" spans="1:15">
      <c r="A19" s="279"/>
      <c r="B19" s="279"/>
      <c r="C19" s="279"/>
      <c r="D19" s="279"/>
      <c r="E19" s="279"/>
      <c r="F19" s="279"/>
      <c r="G19" s="279"/>
      <c r="H19" s="279"/>
      <c r="I19" s="279"/>
      <c r="J19" s="279"/>
      <c r="K19" s="279"/>
      <c r="L19" s="279"/>
      <c r="M19" s="279"/>
    </row>
    <row r="20" spans="1:15">
      <c r="A20" s="279"/>
      <c r="B20" s="279"/>
      <c r="C20" s="279"/>
      <c r="D20" s="279"/>
      <c r="E20" s="279"/>
      <c r="F20" s="279"/>
      <c r="G20" s="279"/>
      <c r="H20" s="279"/>
      <c r="I20" s="279"/>
      <c r="J20" s="279"/>
      <c r="K20" s="279"/>
      <c r="L20" s="279"/>
      <c r="M20" s="279"/>
    </row>
    <row r="21" spans="1:15">
      <c r="A21" s="501" t="s">
        <v>323</v>
      </c>
      <c r="B21" s="501"/>
      <c r="C21" s="279">
        <f>4000*(E18+G18+I18+K18+M18)</f>
        <v>180000</v>
      </c>
      <c r="D21" s="279" t="str">
        <f ca="1">_xlfn.FORMULATEXT(C21)</f>
        <v>=4000*(E18+G18+I18+K18+M18)</v>
      </c>
      <c r="E21" s="279"/>
      <c r="F21" s="279"/>
      <c r="G21" s="279"/>
      <c r="H21" s="279"/>
      <c r="I21" s="279"/>
      <c r="J21" s="279"/>
      <c r="K21" s="279"/>
      <c r="L21" s="279"/>
      <c r="M21" s="279"/>
    </row>
    <row r="22" spans="1:15">
      <c r="A22" s="501" t="s">
        <v>324</v>
      </c>
      <c r="B22" s="501"/>
      <c r="C22" s="279">
        <f>2000*(F18+H18+J18+L18+N18)</f>
        <v>40000</v>
      </c>
      <c r="D22" s="279" t="str">
        <f ca="1">_xlfn.FORMULATEXT(C22)</f>
        <v>=2000*(F18+H18+J18+L18+N18)</v>
      </c>
      <c r="E22" s="279"/>
      <c r="F22" s="279"/>
      <c r="G22" s="279"/>
      <c r="H22" s="279"/>
      <c r="I22" s="279"/>
      <c r="J22" s="279"/>
      <c r="K22" s="279"/>
      <c r="L22" s="279"/>
      <c r="M22" s="279"/>
    </row>
    <row r="23" spans="1:15">
      <c r="A23" s="501" t="s">
        <v>325</v>
      </c>
      <c r="B23" s="501"/>
      <c r="D23" s="279"/>
      <c r="E23" s="279"/>
      <c r="F23" s="279"/>
      <c r="G23" s="279"/>
      <c r="H23" s="279"/>
      <c r="I23" s="279"/>
      <c r="J23" s="279"/>
      <c r="K23" s="279"/>
      <c r="L23" s="279"/>
      <c r="M23" s="279"/>
    </row>
    <row r="24" spans="1:15">
      <c r="A24" s="279"/>
      <c r="B24" s="279">
        <v>1</v>
      </c>
      <c r="C24" s="282">
        <f>50+E18-F18</f>
        <v>60</v>
      </c>
      <c r="D24" s="279">
        <f>C24*10000</f>
        <v>600000</v>
      </c>
      <c r="E24" s="80"/>
      <c r="F24" s="277" t="s">
        <v>209</v>
      </c>
      <c r="G24" s="277" t="s">
        <v>220</v>
      </c>
      <c r="H24" s="277" t="s">
        <v>211</v>
      </c>
      <c r="I24" s="80"/>
      <c r="J24" s="80"/>
      <c r="K24" s="80"/>
      <c r="L24" s="280" t="str">
        <f ca="1">_xlfn.FORMULATEXT(C24)</f>
        <v>=50+E18-F18</v>
      </c>
      <c r="M24" s="80"/>
      <c r="N24" s="149"/>
    </row>
    <row r="25" spans="1:15">
      <c r="A25" s="279"/>
      <c r="B25" s="279">
        <v>2</v>
      </c>
      <c r="C25" s="283">
        <f>C24+G18-H18</f>
        <v>70</v>
      </c>
      <c r="D25" s="279">
        <f t="shared" ref="D25:D28" si="0">C25*10000</f>
        <v>700000</v>
      </c>
      <c r="E25" s="80"/>
      <c r="F25" s="277">
        <f>C24</f>
        <v>60</v>
      </c>
      <c r="G25" s="277" t="s">
        <v>203</v>
      </c>
      <c r="H25" s="277">
        <v>60</v>
      </c>
      <c r="I25" s="80"/>
      <c r="J25" s="80"/>
      <c r="K25" s="80"/>
      <c r="L25" s="276" t="str">
        <f t="shared" ref="L25:L28" ca="1" si="1">_xlfn.FORMULATEXT(C25)</f>
        <v>=C24+G18-H18</v>
      </c>
      <c r="M25" s="80"/>
      <c r="N25" s="149"/>
    </row>
    <row r="26" spans="1:15">
      <c r="A26" s="279"/>
      <c r="B26" s="279">
        <v>3</v>
      </c>
      <c r="C26" s="283">
        <f>C25+I18-J18</f>
        <v>50</v>
      </c>
      <c r="D26" s="279">
        <f t="shared" si="0"/>
        <v>500000</v>
      </c>
      <c r="E26" s="80"/>
      <c r="F26" s="277">
        <f>C25</f>
        <v>70</v>
      </c>
      <c r="G26" s="277" t="s">
        <v>203</v>
      </c>
      <c r="H26" s="277">
        <v>70</v>
      </c>
      <c r="I26" s="80"/>
      <c r="J26" s="80"/>
      <c r="K26" s="80"/>
      <c r="L26" s="276" t="str">
        <f t="shared" ca="1" si="1"/>
        <v>=C25+I18-J18</v>
      </c>
      <c r="M26" s="80"/>
      <c r="N26" s="149"/>
    </row>
    <row r="27" spans="1:15">
      <c r="A27" s="279"/>
      <c r="B27" s="279">
        <v>4</v>
      </c>
      <c r="C27" s="283">
        <f>C26+K18-L18</f>
        <v>65</v>
      </c>
      <c r="D27" s="279">
        <f t="shared" si="0"/>
        <v>650000</v>
      </c>
      <c r="E27" s="80"/>
      <c r="F27" s="277">
        <f>C27</f>
        <v>65</v>
      </c>
      <c r="G27" s="277" t="s">
        <v>203</v>
      </c>
      <c r="H27" s="277">
        <v>50</v>
      </c>
      <c r="I27" s="80"/>
      <c r="J27" s="80"/>
      <c r="K27" s="80"/>
      <c r="L27" s="276" t="str">
        <f t="shared" ca="1" si="1"/>
        <v>=C26+K18-L18</v>
      </c>
      <c r="M27" s="80"/>
      <c r="N27" s="149"/>
    </row>
    <row r="28" spans="1:15">
      <c r="A28" s="279"/>
      <c r="B28" s="279">
        <v>5</v>
      </c>
      <c r="C28" s="284">
        <f>C27+M18-N18</f>
        <v>75</v>
      </c>
      <c r="D28" s="279">
        <f t="shared" si="0"/>
        <v>750000</v>
      </c>
      <c r="E28" s="80"/>
      <c r="F28" s="277">
        <f>C27</f>
        <v>65</v>
      </c>
      <c r="G28" s="277" t="s">
        <v>203</v>
      </c>
      <c r="H28" s="277">
        <v>65</v>
      </c>
      <c r="I28" s="80"/>
      <c r="J28" s="80"/>
      <c r="K28" s="80"/>
      <c r="L28" s="281" t="str">
        <f t="shared" ca="1" si="1"/>
        <v>=C27+M18-N18</v>
      </c>
      <c r="M28" s="80"/>
      <c r="N28" s="149"/>
    </row>
    <row r="29" spans="1:15">
      <c r="A29" s="279"/>
      <c r="B29" s="279"/>
      <c r="C29" s="279"/>
      <c r="D29" s="279">
        <f>SUM(D24:D28)</f>
        <v>3200000</v>
      </c>
      <c r="E29" s="279"/>
      <c r="F29" s="277">
        <f>C28</f>
        <v>75</v>
      </c>
      <c r="G29" s="277" t="s">
        <v>203</v>
      </c>
      <c r="H29" s="277">
        <v>75</v>
      </c>
      <c r="I29" s="279"/>
      <c r="J29" s="279"/>
      <c r="K29" s="279"/>
      <c r="L29" s="279"/>
      <c r="M29" s="279"/>
    </row>
    <row r="30" spans="1:15">
      <c r="A30" s="279"/>
      <c r="B30" s="279"/>
      <c r="C30" s="279"/>
      <c r="D30" s="279"/>
      <c r="E30" s="279"/>
      <c r="F30" s="279"/>
      <c r="G30" s="279"/>
      <c r="H30" s="279"/>
      <c r="I30" s="279"/>
      <c r="J30" s="279"/>
      <c r="K30" s="279"/>
      <c r="L30" s="279"/>
      <c r="M30" s="279"/>
    </row>
    <row r="31" spans="1:15">
      <c r="A31" s="279"/>
      <c r="B31" s="279"/>
      <c r="C31" s="279"/>
      <c r="D31" s="279"/>
      <c r="E31" s="279"/>
      <c r="F31" s="279"/>
      <c r="G31" s="279"/>
      <c r="H31" s="279"/>
      <c r="I31" s="279"/>
      <c r="J31" s="279"/>
      <c r="K31" s="279"/>
      <c r="L31" s="279"/>
      <c r="M31" s="279"/>
    </row>
    <row r="32" spans="1:15">
      <c r="D32" t="s">
        <v>60</v>
      </c>
      <c r="E32" s="291">
        <f>C21+C22+D29</f>
        <v>3420000</v>
      </c>
      <c r="F32" t="str">
        <f ca="1">_xlfn.FORMULATEXT(E32)</f>
        <v>=C21+C22+D29</v>
      </c>
    </row>
  </sheetData>
  <mergeCells count="3">
    <mergeCell ref="A21:B21"/>
    <mergeCell ref="A22:B22"/>
    <mergeCell ref="A23:B2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3BEA8-256B-4182-AAD9-3138D8EFC251}">
  <dimension ref="B13:K33"/>
  <sheetViews>
    <sheetView workbookViewId="0">
      <selection activeCell="AA14" sqref="AA14"/>
    </sheetView>
  </sheetViews>
  <sheetFormatPr defaultRowHeight="15"/>
  <cols>
    <col min="2" max="2" width="8.140625" customWidth="1"/>
    <col min="3" max="3" width="9.85546875" customWidth="1"/>
    <col min="4" max="4" width="16.42578125" customWidth="1"/>
    <col min="5" max="5" width="12.7109375" customWidth="1"/>
    <col min="6" max="6" width="11.7109375" customWidth="1"/>
    <col min="7" max="7" width="11.140625" customWidth="1"/>
    <col min="8" max="8" width="12.42578125" customWidth="1"/>
    <col min="11" max="11" width="11.42578125" customWidth="1"/>
  </cols>
  <sheetData>
    <row r="13" spans="4:10">
      <c r="E13" s="285" t="s">
        <v>329</v>
      </c>
      <c r="F13" s="285" t="s">
        <v>330</v>
      </c>
    </row>
    <row r="14" spans="4:10">
      <c r="E14" s="292">
        <v>4</v>
      </c>
      <c r="F14" s="292">
        <v>12</v>
      </c>
      <c r="G14" t="s">
        <v>333</v>
      </c>
    </row>
    <row r="16" spans="4:10">
      <c r="D16" s="80"/>
      <c r="E16" s="502"/>
      <c r="F16" s="502"/>
      <c r="I16" s="502"/>
      <c r="J16" s="502"/>
    </row>
    <row r="17" spans="2:11">
      <c r="D17" s="286" t="s">
        <v>255</v>
      </c>
      <c r="E17" s="286"/>
      <c r="F17" s="286"/>
      <c r="G17" s="285" t="s">
        <v>209</v>
      </c>
      <c r="H17" s="285" t="s">
        <v>220</v>
      </c>
      <c r="I17" s="285" t="s">
        <v>211</v>
      </c>
    </row>
    <row r="18" spans="2:11">
      <c r="D18" s="285" t="s">
        <v>327</v>
      </c>
      <c r="E18" s="286">
        <v>1.5</v>
      </c>
      <c r="F18" s="286">
        <v>3</v>
      </c>
      <c r="G18" s="285">
        <f>SUMPRODUCT(E18:F18,E14:F14)</f>
        <v>42</v>
      </c>
      <c r="H18" s="285" t="s">
        <v>199</v>
      </c>
      <c r="I18" s="285">
        <v>42</v>
      </c>
    </row>
    <row r="19" spans="2:11">
      <c r="D19" s="285" t="s">
        <v>331</v>
      </c>
      <c r="E19" s="285">
        <v>3</v>
      </c>
      <c r="F19" s="285">
        <v>1</v>
      </c>
      <c r="G19" s="33">
        <f>SUMPRODUCT(E19:F19,E14:F14)</f>
        <v>24</v>
      </c>
      <c r="H19" s="285" t="s">
        <v>199</v>
      </c>
      <c r="I19" s="285">
        <v>24</v>
      </c>
    </row>
    <row r="20" spans="2:11">
      <c r="D20" s="1"/>
      <c r="E20" s="1"/>
      <c r="F20" s="1"/>
      <c r="H20" s="1" t="str">
        <f ca="1">_xlfn.FORMULATEXT(G19)</f>
        <v>=SUMPRODUCT(E19:F19;E14:F14)</v>
      </c>
    </row>
    <row r="21" spans="2:11">
      <c r="D21" s="1"/>
      <c r="E21" s="149"/>
      <c r="F21" s="149"/>
      <c r="G21" s="1"/>
      <c r="H21" s="1"/>
    </row>
    <row r="22" spans="2:11">
      <c r="D22" s="1"/>
      <c r="E22" s="1"/>
      <c r="F22" s="1"/>
      <c r="G22" s="1"/>
      <c r="H22" s="1"/>
    </row>
    <row r="23" spans="2:11">
      <c r="E23" s="285"/>
      <c r="F23" s="285" t="s">
        <v>329</v>
      </c>
      <c r="G23" s="285" t="s">
        <v>330</v>
      </c>
    </row>
    <row r="24" spans="2:11">
      <c r="B24" s="1"/>
      <c r="C24" s="1"/>
      <c r="D24" s="1"/>
      <c r="E24" s="285" t="s">
        <v>90</v>
      </c>
      <c r="F24" s="285">
        <v>20</v>
      </c>
      <c r="G24" s="285">
        <v>10</v>
      </c>
    </row>
    <row r="25" spans="2:11">
      <c r="C25" s="1"/>
      <c r="D25" s="1"/>
      <c r="E25" s="50" t="s">
        <v>332</v>
      </c>
      <c r="F25" s="507">
        <f>SUMPRODUCT(E14:F14,F24:G24)</f>
        <v>200</v>
      </c>
      <c r="G25" s="508"/>
      <c r="H25" t="str">
        <f ca="1">_xlfn.FORMULATEXT(F25)</f>
        <v>=SUMPRODUCT(E14:F14;F24:G24)</v>
      </c>
    </row>
    <row r="26" spans="2:11">
      <c r="C26" s="1"/>
      <c r="D26" s="1"/>
    </row>
    <row r="27" spans="2:11">
      <c r="B27" s="1"/>
      <c r="C27" s="1"/>
      <c r="D27" s="1"/>
      <c r="E27" s="1"/>
      <c r="F27" s="1"/>
      <c r="G27" s="1"/>
      <c r="H27" s="1"/>
    </row>
    <row r="28" spans="2:11">
      <c r="B28" s="1"/>
      <c r="C28" s="1"/>
      <c r="D28" s="1"/>
      <c r="E28" s="1"/>
      <c r="F28" s="1"/>
      <c r="G28" s="1"/>
      <c r="H28" s="1"/>
    </row>
    <row r="29" spans="2:11">
      <c r="B29" s="1"/>
      <c r="C29" s="293" t="s">
        <v>279</v>
      </c>
      <c r="D29" s="293"/>
      <c r="E29" s="504"/>
      <c r="F29" s="505"/>
      <c r="G29" s="505"/>
      <c r="H29" s="505"/>
      <c r="I29" s="505"/>
      <c r="J29" s="505"/>
      <c r="K29" s="506"/>
    </row>
    <row r="30" spans="2:11">
      <c r="B30" s="1"/>
      <c r="C30" s="503" t="s">
        <v>328</v>
      </c>
      <c r="D30" s="503"/>
      <c r="E30" s="503"/>
      <c r="F30" s="503"/>
      <c r="G30" s="503"/>
      <c r="H30" s="503"/>
      <c r="I30" s="503"/>
      <c r="J30" s="503"/>
      <c r="K30" s="503"/>
    </row>
    <row r="31" spans="2:11">
      <c r="B31" s="1"/>
      <c r="C31" s="1"/>
      <c r="D31" s="1"/>
      <c r="E31" s="1"/>
      <c r="F31" s="1"/>
      <c r="G31" s="1"/>
      <c r="H31" s="1"/>
    </row>
    <row r="32" spans="2:11">
      <c r="B32" s="1"/>
      <c r="C32" s="1"/>
      <c r="D32" s="1"/>
      <c r="E32" s="1"/>
      <c r="F32" s="1"/>
      <c r="G32" s="1"/>
      <c r="H32" s="1"/>
    </row>
    <row r="33" spans="2:8">
      <c r="B33" s="1"/>
      <c r="C33" s="1"/>
      <c r="D33" s="1"/>
      <c r="E33" s="1"/>
      <c r="F33" s="1"/>
      <c r="G33" s="1"/>
      <c r="H33" s="1"/>
    </row>
  </sheetData>
  <mergeCells count="5">
    <mergeCell ref="E16:F16"/>
    <mergeCell ref="I16:J16"/>
    <mergeCell ref="C30:K30"/>
    <mergeCell ref="E29:K29"/>
    <mergeCell ref="F25:G2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8B869-DBD7-41BD-97A4-74EBEF8E73CD}">
  <dimension ref="B2:R34"/>
  <sheetViews>
    <sheetView workbookViewId="0">
      <selection activeCell="N30" sqref="N30"/>
    </sheetView>
  </sheetViews>
  <sheetFormatPr defaultRowHeight="15"/>
  <cols>
    <col min="3" max="3" width="14.5703125" customWidth="1"/>
    <col min="4" max="4" width="19" customWidth="1"/>
    <col min="5" max="5" width="13.140625" bestFit="1" customWidth="1"/>
    <col min="7" max="7" width="9.5703125" customWidth="1"/>
    <col min="8" max="8" width="9.85546875" bestFit="1" customWidth="1"/>
    <col min="12" max="12" width="3" style="291" customWidth="1"/>
    <col min="14" max="14" width="18.85546875" customWidth="1"/>
    <col min="15" max="15" width="18.85546875" bestFit="1" customWidth="1"/>
    <col min="16" max="16" width="11.5703125" customWidth="1"/>
    <col min="17" max="17" width="14" customWidth="1"/>
  </cols>
  <sheetData>
    <row r="2" spans="2:17">
      <c r="N2" s="302" t="s">
        <v>358</v>
      </c>
    </row>
    <row r="4" spans="2:17">
      <c r="N4" s="305" t="s">
        <v>346</v>
      </c>
      <c r="O4" s="305" t="s">
        <v>347</v>
      </c>
      <c r="P4" s="305" t="s">
        <v>348</v>
      </c>
      <c r="Q4" s="305" t="s">
        <v>349</v>
      </c>
    </row>
    <row r="5" spans="2:17">
      <c r="N5" s="295" t="s">
        <v>334</v>
      </c>
      <c r="O5" s="295" t="s">
        <v>337</v>
      </c>
      <c r="P5" s="305">
        <v>5</v>
      </c>
      <c r="Q5" s="241">
        <v>100</v>
      </c>
    </row>
    <row r="6" spans="2:17">
      <c r="N6" s="295" t="s">
        <v>334</v>
      </c>
      <c r="O6" s="304" t="s">
        <v>338</v>
      </c>
      <c r="P6" s="305">
        <v>4</v>
      </c>
      <c r="Q6" s="241">
        <v>0</v>
      </c>
    </row>
    <row r="7" spans="2:17">
      <c r="N7" s="295" t="s">
        <v>334</v>
      </c>
      <c r="O7" s="304" t="s">
        <v>339</v>
      </c>
      <c r="P7" s="305">
        <v>3</v>
      </c>
      <c r="Q7" s="241">
        <v>0</v>
      </c>
    </row>
    <row r="8" spans="2:17">
      <c r="N8" s="295" t="s">
        <v>335</v>
      </c>
      <c r="O8" s="295" t="s">
        <v>337</v>
      </c>
      <c r="P8" s="305">
        <v>8</v>
      </c>
      <c r="Q8" s="241">
        <v>0</v>
      </c>
    </row>
    <row r="9" spans="2:17">
      <c r="C9" s="302" t="s">
        <v>357</v>
      </c>
      <c r="N9" s="295" t="s">
        <v>335</v>
      </c>
      <c r="O9" s="304" t="s">
        <v>338</v>
      </c>
      <c r="P9" s="305">
        <v>4</v>
      </c>
      <c r="Q9" s="241">
        <v>200</v>
      </c>
    </row>
    <row r="10" spans="2:17">
      <c r="N10" s="295" t="s">
        <v>335</v>
      </c>
      <c r="O10" s="304" t="s">
        <v>339</v>
      </c>
      <c r="P10" s="305">
        <v>3</v>
      </c>
      <c r="Q10" s="241">
        <v>100</v>
      </c>
    </row>
    <row r="11" spans="2:17">
      <c r="F11" s="511" t="s">
        <v>342</v>
      </c>
      <c r="G11" s="511"/>
      <c r="H11" s="511"/>
      <c r="N11" s="304" t="s">
        <v>336</v>
      </c>
      <c r="O11" s="295" t="s">
        <v>337</v>
      </c>
      <c r="P11" s="305">
        <v>9</v>
      </c>
      <c r="Q11" s="241">
        <v>200</v>
      </c>
    </row>
    <row r="12" spans="2:17">
      <c r="B12" s="441" t="s">
        <v>341</v>
      </c>
      <c r="C12" s="510"/>
      <c r="D12" s="287"/>
      <c r="E12" s="295" t="s">
        <v>337</v>
      </c>
      <c r="F12" s="287" t="s">
        <v>338</v>
      </c>
      <c r="G12" s="288" t="s">
        <v>339</v>
      </c>
      <c r="H12" s="290" t="s">
        <v>343</v>
      </c>
      <c r="N12" s="304" t="s">
        <v>336</v>
      </c>
      <c r="O12" s="304" t="s">
        <v>338</v>
      </c>
      <c r="P12" s="305">
        <v>7</v>
      </c>
      <c r="Q12" s="241">
        <v>0</v>
      </c>
    </row>
    <row r="13" spans="2:17">
      <c r="C13" s="509" t="s">
        <v>340</v>
      </c>
      <c r="D13" s="295" t="s">
        <v>334</v>
      </c>
      <c r="E13" s="287">
        <v>5</v>
      </c>
      <c r="F13" s="287">
        <v>4</v>
      </c>
      <c r="G13" s="288">
        <v>3</v>
      </c>
      <c r="H13" s="289">
        <v>100</v>
      </c>
      <c r="N13" s="304" t="s">
        <v>336</v>
      </c>
      <c r="O13" s="304" t="s">
        <v>339</v>
      </c>
      <c r="P13" s="305">
        <v>5</v>
      </c>
      <c r="Q13" s="241">
        <v>100</v>
      </c>
    </row>
    <row r="14" spans="2:17">
      <c r="C14" s="509"/>
      <c r="D14" s="295" t="s">
        <v>335</v>
      </c>
      <c r="E14" s="287">
        <v>8</v>
      </c>
      <c r="F14" s="287">
        <v>4</v>
      </c>
      <c r="G14" s="288">
        <v>3</v>
      </c>
      <c r="H14" s="289">
        <v>300</v>
      </c>
    </row>
    <row r="15" spans="2:17">
      <c r="C15" s="509"/>
      <c r="D15" s="296" t="s">
        <v>336</v>
      </c>
      <c r="E15" s="296">
        <v>9</v>
      </c>
      <c r="F15" s="296">
        <v>7</v>
      </c>
      <c r="G15" s="297">
        <v>5</v>
      </c>
      <c r="H15" s="289">
        <v>300</v>
      </c>
    </row>
    <row r="16" spans="2:17">
      <c r="D16" s="289" t="s">
        <v>344</v>
      </c>
      <c r="E16" s="289">
        <v>300</v>
      </c>
      <c r="F16" s="289">
        <v>200</v>
      </c>
      <c r="G16" s="289">
        <v>200</v>
      </c>
      <c r="H16" s="289"/>
      <c r="N16" s="306" t="s">
        <v>350</v>
      </c>
      <c r="O16" s="305"/>
      <c r="P16" s="305"/>
      <c r="Q16" s="305"/>
    </row>
    <row r="17" spans="2:18">
      <c r="N17" s="306" t="s">
        <v>351</v>
      </c>
      <c r="O17" s="305" t="s">
        <v>352</v>
      </c>
      <c r="P17" s="305" t="s">
        <v>220</v>
      </c>
      <c r="Q17" s="305" t="s">
        <v>353</v>
      </c>
    </row>
    <row r="18" spans="2:18">
      <c r="N18" s="295" t="s">
        <v>334</v>
      </c>
      <c r="O18" s="305">
        <f>SUMIF($N$5:$N$13,N18,$Q$5:$Q$13)</f>
        <v>100</v>
      </c>
      <c r="P18" s="305" t="s">
        <v>199</v>
      </c>
      <c r="Q18" s="305">
        <v>100</v>
      </c>
      <c r="R18" t="str">
        <f ca="1">_xlfn.FORMULATEXT(O18)</f>
        <v>=SUMIF($N$5:$N$13;N18;$Q$5:$Q$13)</v>
      </c>
    </row>
    <row r="19" spans="2:18">
      <c r="N19" s="295" t="s">
        <v>335</v>
      </c>
      <c r="O19" s="305">
        <f t="shared" ref="O19:O20" si="0">SUMIF($N$5:$N$13,N19,$Q$5:$Q$13)</f>
        <v>300</v>
      </c>
      <c r="P19" s="305" t="s">
        <v>199</v>
      </c>
      <c r="Q19" s="305">
        <v>300</v>
      </c>
      <c r="R19" t="str">
        <f t="shared" ref="R19:R20" ca="1" si="1">_xlfn.FORMULATEXT(O19)</f>
        <v>=SUMIF($N$5:$N$13;N19;$Q$5:$Q$13)</v>
      </c>
    </row>
    <row r="20" spans="2:18">
      <c r="E20" s="511" t="s">
        <v>342</v>
      </c>
      <c r="F20" s="511"/>
      <c r="G20" s="511"/>
      <c r="N20" s="304" t="s">
        <v>336</v>
      </c>
      <c r="O20" s="305">
        <f t="shared" si="0"/>
        <v>300</v>
      </c>
      <c r="P20" s="305" t="s">
        <v>199</v>
      </c>
      <c r="Q20" s="305">
        <v>300</v>
      </c>
      <c r="R20" t="str">
        <f t="shared" ca="1" si="1"/>
        <v>=SUMIF($N$5:$N$13;N20;$Q$5:$Q$13)</v>
      </c>
    </row>
    <row r="21" spans="2:18">
      <c r="B21" s="441" t="s">
        <v>345</v>
      </c>
      <c r="C21" s="510"/>
      <c r="D21" s="287"/>
      <c r="E21" s="295" t="s">
        <v>337</v>
      </c>
      <c r="F21" s="287" t="s">
        <v>338</v>
      </c>
      <c r="G21" s="288" t="s">
        <v>339</v>
      </c>
      <c r="H21" s="290" t="s">
        <v>343</v>
      </c>
    </row>
    <row r="22" spans="2:18">
      <c r="C22" s="512" t="s">
        <v>340</v>
      </c>
      <c r="D22" s="295" t="s">
        <v>334</v>
      </c>
      <c r="E22" s="298">
        <v>100</v>
      </c>
      <c r="F22" s="298">
        <v>0</v>
      </c>
      <c r="G22" s="299">
        <v>0</v>
      </c>
      <c r="H22" s="289">
        <f>SUM(E22:G22)</f>
        <v>100</v>
      </c>
      <c r="I22" t="str">
        <f ca="1">_xlfn.FORMULATEXT(H22)</f>
        <v>=SUM(E22:G22)</v>
      </c>
      <c r="N22" s="306" t="s">
        <v>354</v>
      </c>
      <c r="O22" s="305"/>
      <c r="P22" s="305"/>
      <c r="Q22" s="305"/>
    </row>
    <row r="23" spans="2:18">
      <c r="C23" s="512"/>
      <c r="D23" s="295" t="s">
        <v>335</v>
      </c>
      <c r="E23" s="298">
        <v>0</v>
      </c>
      <c r="F23" s="298">
        <v>200</v>
      </c>
      <c r="G23" s="299">
        <v>100</v>
      </c>
      <c r="H23" s="294">
        <f t="shared" ref="H23:H24" si="2">SUM(E23:G23)</f>
        <v>300</v>
      </c>
      <c r="I23" t="str">
        <f t="shared" ref="I23:I24" ca="1" si="3">_xlfn.FORMULATEXT(H23)</f>
        <v>=SUM(E23:G23)</v>
      </c>
      <c r="N23" s="306" t="s">
        <v>355</v>
      </c>
      <c r="O23" s="305" t="s">
        <v>356</v>
      </c>
      <c r="P23" s="305" t="s">
        <v>220</v>
      </c>
      <c r="Q23" s="305" t="s">
        <v>8</v>
      </c>
    </row>
    <row r="24" spans="2:18">
      <c r="C24" s="512"/>
      <c r="D24" s="296" t="s">
        <v>336</v>
      </c>
      <c r="E24" s="300">
        <v>200</v>
      </c>
      <c r="F24" s="300">
        <v>0</v>
      </c>
      <c r="G24" s="301">
        <v>100</v>
      </c>
      <c r="H24" s="294">
        <f t="shared" si="2"/>
        <v>300</v>
      </c>
      <c r="I24" t="str">
        <f t="shared" ca="1" si="3"/>
        <v>=SUM(E24:G24)</v>
      </c>
      <c r="N24" s="295" t="s">
        <v>337</v>
      </c>
      <c r="O24" s="305">
        <f>SUMIF($O$5:$O$13,N24,$Q$5:$Q$13)</f>
        <v>300</v>
      </c>
      <c r="P24" s="305" t="s">
        <v>203</v>
      </c>
      <c r="Q24" s="305">
        <v>300</v>
      </c>
      <c r="R24" t="str">
        <f ca="1">_xlfn.FORMULATEXT(O24)</f>
        <v>=SUMIF($O$5:$O$13;N24;$Q$5:$Q$13)</v>
      </c>
    </row>
    <row r="25" spans="2:18">
      <c r="C25" s="512"/>
      <c r="D25" s="289" t="s">
        <v>344</v>
      </c>
      <c r="E25" s="289">
        <f>SUM(E22:E24)</f>
        <v>300</v>
      </c>
      <c r="F25" s="294">
        <f t="shared" ref="F25:G25" si="4">SUM(F22:F24)</f>
        <v>200</v>
      </c>
      <c r="G25" s="294">
        <f t="shared" si="4"/>
        <v>200</v>
      </c>
      <c r="H25" s="289"/>
      <c r="N25" s="304" t="s">
        <v>338</v>
      </c>
      <c r="O25" s="305">
        <f t="shared" ref="O25:O26" si="5">SUMIF($O$5:$O$13,N25,$Q$5:$Q$13)</f>
        <v>200</v>
      </c>
      <c r="P25" s="305" t="s">
        <v>203</v>
      </c>
      <c r="Q25" s="305">
        <v>200</v>
      </c>
      <c r="R25" t="str">
        <f t="shared" ref="R25:R26" ca="1" si="6">_xlfn.FORMULATEXT(O25)</f>
        <v>=SUMIF($O$5:$O$13;N25;$Q$5:$Q$13)</v>
      </c>
    </row>
    <row r="26" spans="2:18">
      <c r="E26" t="str">
        <f ca="1">_xlfn.FORMULATEXT(E25)</f>
        <v>=SUM(E22:E24)</v>
      </c>
      <c r="N26" s="304" t="s">
        <v>339</v>
      </c>
      <c r="O26" s="305">
        <f t="shared" si="5"/>
        <v>200</v>
      </c>
      <c r="P26" s="305" t="s">
        <v>203</v>
      </c>
      <c r="Q26" s="305">
        <v>200</v>
      </c>
      <c r="R26" t="str">
        <f t="shared" ca="1" si="6"/>
        <v>=SUMIF($O$5:$O$13;N26;$Q$5:$Q$13)</v>
      </c>
    </row>
    <row r="29" spans="2:18">
      <c r="B29" s="302" t="s">
        <v>383</v>
      </c>
      <c r="C29" s="302"/>
      <c r="D29" s="303">
        <f>SUMPRODUCT(E13:G15,E22:G24)</f>
        <v>3900</v>
      </c>
      <c r="E29" t="str">
        <f ca="1">_xlfn.FORMULATEXT(D29)</f>
        <v>=SUMPRODUCT(E13:G15;E22:G24)</v>
      </c>
      <c r="N29" s="310" t="s">
        <v>383</v>
      </c>
      <c r="O29" s="303">
        <f>SUMPRODUCT(P5:P13,Q5:Q13)</f>
        <v>3900</v>
      </c>
      <c r="P29" t="str">
        <f ca="1">_xlfn.FORMULATEXT(O29)</f>
        <v>=SUMPRODUCT(P5:P13;Q5:Q13)</v>
      </c>
    </row>
    <row r="34" spans="2:10">
      <c r="B34" s="23"/>
      <c r="C34" s="23"/>
      <c r="D34" s="23"/>
      <c r="E34" s="23"/>
      <c r="F34" s="23"/>
      <c r="G34" s="23"/>
      <c r="H34" s="23"/>
      <c r="I34" s="23"/>
      <c r="J34" s="23"/>
    </row>
  </sheetData>
  <mergeCells count="6">
    <mergeCell ref="C13:C15"/>
    <mergeCell ref="B12:C12"/>
    <mergeCell ref="F11:H11"/>
    <mergeCell ref="E20:G20"/>
    <mergeCell ref="C22:C25"/>
    <mergeCell ref="B21:C2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FF8DB-A995-4614-BCF1-052440374E38}">
  <dimension ref="B6:N30"/>
  <sheetViews>
    <sheetView workbookViewId="0">
      <selection activeCell="D31" sqref="D31"/>
    </sheetView>
  </sheetViews>
  <sheetFormatPr defaultRowHeight="15"/>
  <cols>
    <col min="3" max="4" width="9.140625" style="1"/>
    <col min="5" max="5" width="10.140625" style="1" customWidth="1"/>
    <col min="6" max="6" width="9.140625" style="1"/>
  </cols>
  <sheetData>
    <row r="6" spans="2:14">
      <c r="B6" s="311"/>
      <c r="C6" s="311"/>
      <c r="D6" s="311"/>
      <c r="E6" s="311"/>
      <c r="F6" s="311"/>
    </row>
    <row r="7" spans="2:14">
      <c r="B7" s="515"/>
      <c r="C7" s="514" t="s">
        <v>364</v>
      </c>
      <c r="D7" s="514" t="s">
        <v>365</v>
      </c>
      <c r="E7" s="514" t="s">
        <v>366</v>
      </c>
      <c r="F7" s="514" t="s">
        <v>353</v>
      </c>
    </row>
    <row r="8" spans="2:14">
      <c r="B8" s="516"/>
      <c r="C8" s="514"/>
      <c r="D8" s="514"/>
      <c r="E8" s="514"/>
      <c r="F8" s="514"/>
    </row>
    <row r="9" spans="2:14">
      <c r="B9" s="315" t="s">
        <v>359</v>
      </c>
      <c r="C9" s="316" t="s">
        <v>367</v>
      </c>
      <c r="D9" s="316" t="s">
        <v>368</v>
      </c>
      <c r="E9" s="316" t="s">
        <v>369</v>
      </c>
      <c r="F9" s="316">
        <v>80</v>
      </c>
    </row>
    <row r="10" spans="2:14">
      <c r="B10" s="315" t="s">
        <v>360</v>
      </c>
      <c r="C10" s="316" t="s">
        <v>370</v>
      </c>
      <c r="D10" s="316" t="s">
        <v>371</v>
      </c>
      <c r="E10" s="316" t="s">
        <v>372</v>
      </c>
      <c r="F10" s="316">
        <v>40</v>
      </c>
    </row>
    <row r="11" spans="2:14">
      <c r="B11" s="315" t="s">
        <v>361</v>
      </c>
      <c r="C11" s="316" t="s">
        <v>372</v>
      </c>
      <c r="D11" s="316" t="s">
        <v>369</v>
      </c>
      <c r="E11" s="316" t="s">
        <v>373</v>
      </c>
      <c r="F11" s="316">
        <v>30</v>
      </c>
    </row>
    <row r="12" spans="2:14" ht="22.5">
      <c r="B12" s="315" t="s">
        <v>374</v>
      </c>
      <c r="C12" s="316">
        <v>50</v>
      </c>
      <c r="D12" s="316">
        <v>40</v>
      </c>
      <c r="E12" s="316">
        <v>60</v>
      </c>
      <c r="F12" s="317"/>
    </row>
    <row r="13" spans="2:14" ht="15.75">
      <c r="B13" s="312"/>
      <c r="C13" s="313"/>
      <c r="D13" s="313"/>
      <c r="E13" s="313"/>
      <c r="F13" s="314"/>
      <c r="K13" s="149"/>
      <c r="L13" s="149"/>
      <c r="M13" s="149"/>
      <c r="N13" s="72"/>
    </row>
    <row r="14" spans="2:14" ht="15.75">
      <c r="B14" s="312"/>
      <c r="C14" s="313"/>
      <c r="D14" s="313"/>
      <c r="E14" s="313"/>
      <c r="F14" s="314"/>
      <c r="K14" s="307" t="s">
        <v>362</v>
      </c>
      <c r="L14" s="307" t="s">
        <v>220</v>
      </c>
      <c r="M14" s="307" t="s">
        <v>363</v>
      </c>
    </row>
    <row r="15" spans="2:14">
      <c r="C15" s="307" t="s">
        <v>359</v>
      </c>
      <c r="D15" s="307" t="s">
        <v>265</v>
      </c>
      <c r="E15" s="307">
        <v>10</v>
      </c>
      <c r="F15" s="236">
        <v>40</v>
      </c>
      <c r="J15" s="308" t="s">
        <v>359</v>
      </c>
      <c r="K15" s="307">
        <f>SUMIF($C$15:$C$23,J15,$F$15:$F$23)</f>
        <v>80</v>
      </c>
      <c r="L15" s="307" t="s">
        <v>199</v>
      </c>
      <c r="M15" s="307">
        <v>80</v>
      </c>
      <c r="N15" t="str">
        <f ca="1">_xlfn.FORMULATEXT(K15)</f>
        <v>=SUMIF($C$15:$C$23;J15;$F$15:$F$23)</v>
      </c>
    </row>
    <row r="16" spans="2:14">
      <c r="C16" s="307" t="s">
        <v>359</v>
      </c>
      <c r="D16" s="307" t="s">
        <v>266</v>
      </c>
      <c r="E16" s="307">
        <v>4</v>
      </c>
      <c r="F16" s="236">
        <v>40</v>
      </c>
      <c r="J16" s="308" t="s">
        <v>360</v>
      </c>
      <c r="K16" s="307">
        <f t="shared" ref="K16:K17" si="0">SUMIF($C$15:$C$23,J16,$F$15:$F$23)</f>
        <v>40</v>
      </c>
      <c r="L16" s="307" t="s">
        <v>199</v>
      </c>
      <c r="M16" s="307">
        <v>40</v>
      </c>
      <c r="N16" t="str">
        <f t="shared" ref="N16:N17" ca="1" si="1">_xlfn.FORMULATEXT(K16)</f>
        <v>=SUMIF($C$15:$C$23;J16;$F$15:$F$23)</v>
      </c>
    </row>
    <row r="17" spans="3:14">
      <c r="C17" s="307" t="s">
        <v>359</v>
      </c>
      <c r="D17" s="307" t="s">
        <v>267</v>
      </c>
      <c r="E17" s="307">
        <v>9</v>
      </c>
      <c r="F17" s="236">
        <v>0</v>
      </c>
      <c r="J17" s="308" t="s">
        <v>361</v>
      </c>
      <c r="K17" s="307">
        <f t="shared" si="0"/>
        <v>30</v>
      </c>
      <c r="L17" s="307" t="s">
        <v>199</v>
      </c>
      <c r="M17" s="307">
        <v>30</v>
      </c>
      <c r="N17" t="str">
        <f t="shared" ca="1" si="1"/>
        <v>=SUMIF($C$15:$C$23;J17;$F$15:$F$23)</v>
      </c>
    </row>
    <row r="18" spans="3:14">
      <c r="C18" s="307" t="s">
        <v>360</v>
      </c>
      <c r="D18" s="307" t="s">
        <v>265</v>
      </c>
      <c r="E18" s="307">
        <v>12</v>
      </c>
      <c r="F18" s="236">
        <v>0</v>
      </c>
    </row>
    <row r="19" spans="3:14">
      <c r="C19" s="307" t="s">
        <v>360</v>
      </c>
      <c r="D19" s="307" t="s">
        <v>266</v>
      </c>
      <c r="E19" s="307">
        <v>6</v>
      </c>
      <c r="F19" s="236">
        <v>0</v>
      </c>
    </row>
    <row r="20" spans="3:14">
      <c r="C20" s="307" t="s">
        <v>360</v>
      </c>
      <c r="D20" s="307" t="s">
        <v>267</v>
      </c>
      <c r="E20" s="307">
        <v>8</v>
      </c>
      <c r="F20" s="236">
        <v>40</v>
      </c>
      <c r="J20" s="309" t="s">
        <v>265</v>
      </c>
      <c r="K20" s="307">
        <f>SUMIF($D$15:$D$23,J20,$F$15:$F$23)</f>
        <v>50</v>
      </c>
      <c r="L20" s="309" t="s">
        <v>203</v>
      </c>
      <c r="M20" s="309">
        <v>50</v>
      </c>
      <c r="N20" t="str">
        <f ca="1">_xlfn.FORMULATEXT(K20)</f>
        <v>=SUMIF($D$15:$D$23;J20;$F$15:$F$23)</v>
      </c>
    </row>
    <row r="21" spans="3:14">
      <c r="C21" s="307" t="s">
        <v>361</v>
      </c>
      <c r="D21" s="307" t="s">
        <v>265</v>
      </c>
      <c r="E21" s="307">
        <v>8</v>
      </c>
      <c r="F21" s="236">
        <v>10</v>
      </c>
      <c r="J21" s="309" t="s">
        <v>266</v>
      </c>
      <c r="K21" s="307">
        <f t="shared" ref="K21:K22" si="2">SUMIF($D$15:$D$23,J21,$F$15:$F$23)</f>
        <v>40</v>
      </c>
      <c r="L21" s="309" t="s">
        <v>203</v>
      </c>
      <c r="M21" s="309">
        <v>40</v>
      </c>
      <c r="N21" t="str">
        <f t="shared" ref="N21:N22" ca="1" si="3">_xlfn.FORMULATEXT(K21)</f>
        <v>=SUMIF($D$15:$D$23;J21;$F$15:$F$23)</v>
      </c>
    </row>
    <row r="22" spans="3:14">
      <c r="C22" s="307" t="s">
        <v>361</v>
      </c>
      <c r="D22" s="307" t="s">
        <v>266</v>
      </c>
      <c r="E22" s="307">
        <v>9</v>
      </c>
      <c r="F22" s="236">
        <v>0</v>
      </c>
      <c r="J22" s="309" t="s">
        <v>267</v>
      </c>
      <c r="K22" s="307">
        <f t="shared" si="2"/>
        <v>60</v>
      </c>
      <c r="L22" s="309" t="s">
        <v>203</v>
      </c>
      <c r="M22" s="309">
        <v>60</v>
      </c>
      <c r="N22" t="str">
        <f t="shared" ca="1" si="3"/>
        <v>=SUMIF($D$15:$D$23;J22;$F$15:$F$23)</v>
      </c>
    </row>
    <row r="23" spans="3:14">
      <c r="C23" s="307" t="s">
        <v>361</v>
      </c>
      <c r="D23" s="307" t="s">
        <v>267</v>
      </c>
      <c r="E23" s="307">
        <v>5</v>
      </c>
      <c r="F23" s="236">
        <v>20</v>
      </c>
    </row>
    <row r="30" spans="3:14">
      <c r="D30" s="513" t="s">
        <v>382</v>
      </c>
      <c r="E30" s="513"/>
      <c r="F30" s="242">
        <f>SUMPRODUCT(E15:E23,F15:F23)</f>
        <v>1060</v>
      </c>
      <c r="G30" t="str">
        <f ca="1">_xlfn.FORMULATEXT(F30)</f>
        <v>=SUMPRODUCT(E15:E23;F15:F23)</v>
      </c>
    </row>
  </sheetData>
  <mergeCells count="6">
    <mergeCell ref="D30:E30"/>
    <mergeCell ref="C7:C8"/>
    <mergeCell ref="D7:D8"/>
    <mergeCell ref="F7:F8"/>
    <mergeCell ref="B7:B8"/>
    <mergeCell ref="E7:E8"/>
  </mergeCells>
  <phoneticPr fontId="39"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54DCA-E229-4BA8-A337-74439E79446E}">
  <dimension ref="C8:J29"/>
  <sheetViews>
    <sheetView workbookViewId="0">
      <selection activeCell="V16" sqref="V16"/>
    </sheetView>
  </sheetViews>
  <sheetFormatPr defaultRowHeight="15"/>
  <cols>
    <col min="5" max="7" width="9.7109375" bestFit="1" customWidth="1"/>
  </cols>
  <sheetData>
    <row r="8" spans="3:7">
      <c r="C8" s="322"/>
      <c r="D8" s="517" t="s">
        <v>375</v>
      </c>
      <c r="E8" s="519" t="s">
        <v>376</v>
      </c>
      <c r="F8" s="519" t="s">
        <v>377</v>
      </c>
      <c r="G8" s="519" t="s">
        <v>378</v>
      </c>
    </row>
    <row r="9" spans="3:7">
      <c r="D9" s="518"/>
      <c r="E9" s="519"/>
      <c r="F9" s="519"/>
      <c r="G9" s="519"/>
    </row>
    <row r="10" spans="3:7">
      <c r="C10" s="320" t="s">
        <v>379</v>
      </c>
      <c r="D10" s="324">
        <v>800</v>
      </c>
      <c r="E10" s="324">
        <v>1100</v>
      </c>
      <c r="F10" s="324">
        <v>1200</v>
      </c>
      <c r="G10" s="324">
        <v>1000</v>
      </c>
    </row>
    <row r="11" spans="3:7">
      <c r="C11" s="320" t="s">
        <v>380</v>
      </c>
      <c r="D11" s="325">
        <v>500</v>
      </c>
      <c r="E11" s="325">
        <v>1600</v>
      </c>
      <c r="F11" s="325">
        <v>1300</v>
      </c>
      <c r="G11" s="324">
        <v>800</v>
      </c>
    </row>
    <row r="12" spans="3:7">
      <c r="C12" s="320" t="s">
        <v>381</v>
      </c>
      <c r="D12" s="325">
        <v>500</v>
      </c>
      <c r="E12" s="325">
        <v>1000</v>
      </c>
      <c r="F12" s="325">
        <v>2300</v>
      </c>
      <c r="G12" s="324">
        <v>1500</v>
      </c>
    </row>
    <row r="16" spans="3:7">
      <c r="C16" s="322"/>
      <c r="D16" s="517" t="s">
        <v>375</v>
      </c>
      <c r="E16" s="519" t="s">
        <v>376</v>
      </c>
      <c r="F16" s="519" t="s">
        <v>377</v>
      </c>
      <c r="G16" s="519" t="s">
        <v>378</v>
      </c>
    </row>
    <row r="17" spans="3:10">
      <c r="D17" s="518"/>
      <c r="E17" s="519"/>
      <c r="F17" s="519"/>
      <c r="G17" s="519"/>
      <c r="H17" s="318" t="s">
        <v>384</v>
      </c>
      <c r="I17" s="318" t="s">
        <v>220</v>
      </c>
      <c r="J17" s="319" t="s">
        <v>385</v>
      </c>
    </row>
    <row r="18" spans="3:10">
      <c r="C18" s="320" t="s">
        <v>379</v>
      </c>
      <c r="D18" s="321">
        <v>0</v>
      </c>
      <c r="E18" s="321">
        <v>1</v>
      </c>
      <c r="F18" s="321">
        <v>0</v>
      </c>
      <c r="G18" s="321">
        <v>0</v>
      </c>
      <c r="H18" s="318">
        <f>SUM(D18:G18)</f>
        <v>1</v>
      </c>
      <c r="I18" s="318" t="s">
        <v>312</v>
      </c>
      <c r="J18" s="318">
        <v>1</v>
      </c>
    </row>
    <row r="19" spans="3:10">
      <c r="C19" s="320" t="s">
        <v>380</v>
      </c>
      <c r="D19" s="321">
        <v>0</v>
      </c>
      <c r="E19" s="321">
        <v>0</v>
      </c>
      <c r="F19" s="321">
        <v>0</v>
      </c>
      <c r="G19" s="321">
        <v>1</v>
      </c>
      <c r="H19" s="318">
        <f t="shared" ref="H19:H20" si="0">SUM(D19:G19)</f>
        <v>1</v>
      </c>
      <c r="I19" s="318" t="s">
        <v>312</v>
      </c>
      <c r="J19" s="318">
        <v>1</v>
      </c>
    </row>
    <row r="20" spans="3:10">
      <c r="C20" s="320" t="s">
        <v>381</v>
      </c>
      <c r="D20" s="321">
        <v>1</v>
      </c>
      <c r="E20" s="321">
        <v>0</v>
      </c>
      <c r="F20" s="321">
        <v>0</v>
      </c>
      <c r="G20" s="321">
        <v>0</v>
      </c>
      <c r="H20" s="318">
        <f t="shared" si="0"/>
        <v>1</v>
      </c>
      <c r="I20" s="318" t="s">
        <v>312</v>
      </c>
      <c r="J20" s="318">
        <v>1</v>
      </c>
    </row>
    <row r="21" spans="3:10">
      <c r="D21" s="321">
        <f>SUM(D18:D20)</f>
        <v>1</v>
      </c>
      <c r="E21" s="321">
        <f t="shared" ref="E21:G21" si="1">SUM(E18:E20)</f>
        <v>1</v>
      </c>
      <c r="F21" s="321">
        <f t="shared" si="1"/>
        <v>0</v>
      </c>
      <c r="G21" s="321">
        <f t="shared" si="1"/>
        <v>1</v>
      </c>
    </row>
    <row r="22" spans="3:10">
      <c r="D22" s="321" t="s">
        <v>199</v>
      </c>
      <c r="E22" s="321" t="s">
        <v>199</v>
      </c>
      <c r="F22" s="321" t="s">
        <v>199</v>
      </c>
      <c r="G22" s="321" t="s">
        <v>199</v>
      </c>
    </row>
    <row r="23" spans="3:10">
      <c r="D23" s="318">
        <v>1</v>
      </c>
      <c r="E23" s="318">
        <v>1</v>
      </c>
      <c r="F23" s="318">
        <v>1</v>
      </c>
      <c r="G23" s="318">
        <v>1</v>
      </c>
    </row>
    <row r="29" spans="3:10">
      <c r="D29" s="302" t="s">
        <v>386</v>
      </c>
      <c r="F29" s="291">
        <f>SUMPRODUCT(D10:G12,D18:G20)</f>
        <v>2400</v>
      </c>
    </row>
  </sheetData>
  <mergeCells count="8">
    <mergeCell ref="D8:D9"/>
    <mergeCell ref="E8:E9"/>
    <mergeCell ref="F8:F9"/>
    <mergeCell ref="G8:G9"/>
    <mergeCell ref="D16:D17"/>
    <mergeCell ref="E16:E17"/>
    <mergeCell ref="F16:F17"/>
    <mergeCell ref="G16:G1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2EAF-8166-404A-B4D8-7A3ACE13A4F7}">
  <dimension ref="C11:J33"/>
  <sheetViews>
    <sheetView workbookViewId="0">
      <selection activeCell="N19" sqref="N19"/>
    </sheetView>
  </sheetViews>
  <sheetFormatPr defaultRowHeight="15"/>
  <sheetData>
    <row r="11" spans="3:7" ht="11.25" customHeight="1">
      <c r="C11" s="522"/>
      <c r="D11" s="520" t="s">
        <v>387</v>
      </c>
      <c r="E11" s="523" t="s">
        <v>388</v>
      </c>
      <c r="F11" s="523" t="s">
        <v>389</v>
      </c>
      <c r="G11" s="523" t="s">
        <v>390</v>
      </c>
    </row>
    <row r="12" spans="3:7">
      <c r="C12" s="522"/>
      <c r="D12" s="521"/>
      <c r="E12" s="523"/>
      <c r="F12" s="523"/>
      <c r="G12" s="523"/>
    </row>
    <row r="13" spans="3:7">
      <c r="C13" s="274" t="s">
        <v>391</v>
      </c>
      <c r="D13" s="274">
        <v>1500</v>
      </c>
      <c r="E13" s="274">
        <v>1730</v>
      </c>
      <c r="F13" s="274">
        <v>1940</v>
      </c>
      <c r="G13" s="274">
        <v>2070</v>
      </c>
    </row>
    <row r="14" spans="3:7">
      <c r="C14" s="274" t="s">
        <v>392</v>
      </c>
      <c r="D14" s="274">
        <v>460</v>
      </c>
      <c r="E14" s="274">
        <v>810</v>
      </c>
      <c r="F14" s="274">
        <v>1020</v>
      </c>
      <c r="G14" s="274">
        <v>1270</v>
      </c>
    </row>
    <row r="15" spans="3:7">
      <c r="C15" s="274" t="s">
        <v>393</v>
      </c>
      <c r="D15" s="274">
        <v>1500</v>
      </c>
      <c r="E15" s="274">
        <v>1850</v>
      </c>
      <c r="F15" s="274">
        <v>2080</v>
      </c>
      <c r="G15" s="274" t="s">
        <v>214</v>
      </c>
    </row>
    <row r="16" spans="3:7">
      <c r="C16" s="274" t="s">
        <v>394</v>
      </c>
      <c r="D16" s="274">
        <v>960</v>
      </c>
      <c r="E16" s="274">
        <v>610</v>
      </c>
      <c r="F16" s="274">
        <v>400</v>
      </c>
      <c r="G16" s="274">
        <v>330</v>
      </c>
    </row>
    <row r="20" spans="3:10">
      <c r="C20" s="522"/>
      <c r="D20" s="520" t="s">
        <v>387</v>
      </c>
      <c r="E20" s="523" t="s">
        <v>388</v>
      </c>
      <c r="F20" s="523" t="s">
        <v>389</v>
      </c>
      <c r="G20" s="523" t="s">
        <v>390</v>
      </c>
    </row>
    <row r="21" spans="3:10">
      <c r="C21" s="522"/>
      <c r="D21" s="521"/>
      <c r="E21" s="523"/>
      <c r="F21" s="523"/>
      <c r="G21" s="523"/>
      <c r="H21" s="328"/>
      <c r="I21" s="330" t="str">
        <f ca="1">_xlfn.FORMULATEXT(H22)</f>
        <v>=SUM(D22:G22)</v>
      </c>
      <c r="J21" s="149"/>
    </row>
    <row r="22" spans="3:10">
      <c r="C22" s="274" t="s">
        <v>391</v>
      </c>
      <c r="D22" s="326">
        <v>0</v>
      </c>
      <c r="E22" s="326">
        <v>0</v>
      </c>
      <c r="F22" s="326">
        <v>1</v>
      </c>
      <c r="G22" s="326">
        <v>0</v>
      </c>
      <c r="H22" s="329">
        <f>SUM(D22:G22)</f>
        <v>1</v>
      </c>
      <c r="I22" s="323" t="s">
        <v>312</v>
      </c>
      <c r="J22" s="323">
        <v>1</v>
      </c>
    </row>
    <row r="23" spans="3:10">
      <c r="C23" s="274" t="s">
        <v>392</v>
      </c>
      <c r="D23" s="326">
        <v>0</v>
      </c>
      <c r="E23" s="326">
        <v>1</v>
      </c>
      <c r="F23" s="326">
        <v>0</v>
      </c>
      <c r="G23" s="326">
        <v>0</v>
      </c>
      <c r="H23" s="274">
        <f t="shared" ref="H23:H25" si="0">SUM(D23:G23)</f>
        <v>1</v>
      </c>
      <c r="I23" s="323" t="s">
        <v>312</v>
      </c>
      <c r="J23" s="323">
        <v>1</v>
      </c>
    </row>
    <row r="24" spans="3:10">
      <c r="C24" s="274" t="s">
        <v>393</v>
      </c>
      <c r="D24" s="326">
        <v>1</v>
      </c>
      <c r="E24" s="326">
        <v>0</v>
      </c>
      <c r="F24" s="326">
        <v>0</v>
      </c>
      <c r="G24" s="326">
        <v>0</v>
      </c>
      <c r="H24" s="274">
        <f>SUM(D24:G24)</f>
        <v>1</v>
      </c>
      <c r="I24" s="323" t="s">
        <v>312</v>
      </c>
      <c r="J24" s="323">
        <v>1</v>
      </c>
    </row>
    <row r="25" spans="3:10">
      <c r="C25" s="274" t="s">
        <v>394</v>
      </c>
      <c r="D25" s="326">
        <v>0</v>
      </c>
      <c r="E25" s="326">
        <v>0</v>
      </c>
      <c r="F25" s="326">
        <v>0</v>
      </c>
      <c r="G25" s="326">
        <v>1</v>
      </c>
      <c r="H25" s="274">
        <f t="shared" si="0"/>
        <v>1</v>
      </c>
      <c r="I25" s="323" t="s">
        <v>312</v>
      </c>
      <c r="J25" s="323">
        <v>1</v>
      </c>
    </row>
    <row r="26" spans="3:10" ht="15" customHeight="1">
      <c r="D26" s="323">
        <f>SUM(D22:D25)</f>
        <v>1</v>
      </c>
      <c r="E26" s="323">
        <f t="shared" ref="E26:G26" si="1">SUM(E22:E25)</f>
        <v>1</v>
      </c>
      <c r="F26" s="323">
        <f t="shared" si="1"/>
        <v>1</v>
      </c>
      <c r="G26" s="327">
        <f t="shared" si="1"/>
        <v>1</v>
      </c>
      <c r="H26" s="524" t="str">
        <f ca="1">_xlfn.FORMULATEXT(G26)</f>
        <v>=SUM(G22:G25)</v>
      </c>
      <c r="I26" s="525"/>
    </row>
    <row r="27" spans="3:10">
      <c r="D27" s="323" t="s">
        <v>312</v>
      </c>
      <c r="E27" s="323" t="s">
        <v>312</v>
      </c>
      <c r="F27" s="323" t="s">
        <v>312</v>
      </c>
      <c r="G27" s="323" t="s">
        <v>312</v>
      </c>
    </row>
    <row r="28" spans="3:10">
      <c r="D28" s="323">
        <v>1</v>
      </c>
      <c r="E28" s="323">
        <v>1</v>
      </c>
      <c r="F28" s="323">
        <v>1</v>
      </c>
      <c r="G28" s="323">
        <v>1</v>
      </c>
    </row>
    <row r="33" spans="4:10">
      <c r="D33" s="50" t="s">
        <v>395</v>
      </c>
      <c r="E33" s="50"/>
      <c r="F33" s="331">
        <f>SUMPRODUCT(D13:G16,D22:G25)</f>
        <v>4580</v>
      </c>
      <c r="G33" s="328" t="str">
        <f ca="1">_xlfn.FORMULATEXT(F33)</f>
        <v>=SUMPRODUCT(D13:G16;D22:G25)</v>
      </c>
      <c r="H33" s="328"/>
      <c r="I33" s="328"/>
      <c r="J33" s="328"/>
    </row>
  </sheetData>
  <mergeCells count="11">
    <mergeCell ref="H26:I26"/>
    <mergeCell ref="C20:C21"/>
    <mergeCell ref="D20:D21"/>
    <mergeCell ref="E20:E21"/>
    <mergeCell ref="F20:F21"/>
    <mergeCell ref="G20:G21"/>
    <mergeCell ref="D11:D12"/>
    <mergeCell ref="C11:C12"/>
    <mergeCell ref="E11:E12"/>
    <mergeCell ref="F11:F12"/>
    <mergeCell ref="G11:G1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31AB-5D37-4896-A66F-5C72DD14E540}">
  <dimension ref="C11:L30"/>
  <sheetViews>
    <sheetView workbookViewId="0">
      <selection activeCell="N20" sqref="N20"/>
    </sheetView>
  </sheetViews>
  <sheetFormatPr defaultRowHeight="15"/>
  <cols>
    <col min="5" max="5" width="10" customWidth="1"/>
  </cols>
  <sheetData>
    <row r="11" spans="3:7">
      <c r="C11" s="527"/>
      <c r="D11" s="526" t="s">
        <v>396</v>
      </c>
      <c r="E11" s="526" t="s">
        <v>397</v>
      </c>
      <c r="F11" s="526" t="s">
        <v>398</v>
      </c>
      <c r="G11" s="526" t="s">
        <v>399</v>
      </c>
    </row>
    <row r="12" spans="3:7">
      <c r="C12" s="527"/>
      <c r="D12" s="526"/>
      <c r="E12" s="526"/>
      <c r="F12" s="526"/>
      <c r="G12" s="526"/>
    </row>
    <row r="13" spans="3:7">
      <c r="C13" s="332" t="s">
        <v>400</v>
      </c>
      <c r="D13" s="333">
        <v>80</v>
      </c>
      <c r="E13" s="333">
        <v>85</v>
      </c>
      <c r="F13" s="333">
        <v>95</v>
      </c>
      <c r="G13" s="333">
        <v>40</v>
      </c>
    </row>
    <row r="14" spans="3:7">
      <c r="C14" s="332" t="s">
        <v>401</v>
      </c>
      <c r="D14" s="333">
        <v>85</v>
      </c>
      <c r="E14" s="333">
        <v>30</v>
      </c>
      <c r="F14" s="333">
        <v>75</v>
      </c>
      <c r="G14" s="333">
        <v>65</v>
      </c>
    </row>
    <row r="15" spans="3:7">
      <c r="C15" s="332" t="s">
        <v>402</v>
      </c>
      <c r="D15" s="333">
        <v>90</v>
      </c>
      <c r="E15" s="333">
        <v>55</v>
      </c>
      <c r="F15" s="333">
        <v>80</v>
      </c>
      <c r="G15" s="333">
        <v>70</v>
      </c>
    </row>
    <row r="16" spans="3:7">
      <c r="C16" s="332" t="s">
        <v>403</v>
      </c>
      <c r="D16" s="333">
        <v>55</v>
      </c>
      <c r="E16" s="333">
        <v>80</v>
      </c>
      <c r="F16" s="333">
        <v>65</v>
      </c>
      <c r="G16" s="333">
        <v>50</v>
      </c>
    </row>
    <row r="19" spans="3:12">
      <c r="C19" s="527"/>
      <c r="D19" s="526" t="s">
        <v>396</v>
      </c>
      <c r="E19" s="526" t="s">
        <v>397</v>
      </c>
      <c r="F19" s="526" t="s">
        <v>398</v>
      </c>
      <c r="G19" s="526" t="s">
        <v>399</v>
      </c>
    </row>
    <row r="20" spans="3:12">
      <c r="C20" s="527"/>
      <c r="D20" s="526"/>
      <c r="E20" s="526"/>
      <c r="F20" s="526"/>
      <c r="G20" s="526"/>
      <c r="H20" s="335" t="str">
        <f ca="1">_xlfn.FORMULATEXT(H21)</f>
        <v>=SUM(D21:G21)</v>
      </c>
      <c r="I20" s="328"/>
      <c r="K20" s="1"/>
    </row>
    <row r="21" spans="3:12">
      <c r="C21" s="332" t="s">
        <v>400</v>
      </c>
      <c r="D21" s="334">
        <v>0</v>
      </c>
      <c r="E21" s="334">
        <v>0</v>
      </c>
      <c r="F21" s="334">
        <v>1</v>
      </c>
      <c r="G21" s="334">
        <v>0</v>
      </c>
      <c r="H21" s="327">
        <f>SUM(D21:G21)</f>
        <v>1</v>
      </c>
      <c r="I21" s="323" t="s">
        <v>312</v>
      </c>
      <c r="J21" s="323">
        <v>1</v>
      </c>
    </row>
    <row r="22" spans="3:12">
      <c r="C22" s="332" t="s">
        <v>401</v>
      </c>
      <c r="D22" s="334">
        <v>1</v>
      </c>
      <c r="E22" s="334">
        <v>0</v>
      </c>
      <c r="F22" s="334">
        <v>0</v>
      </c>
      <c r="G22" s="334">
        <v>0</v>
      </c>
      <c r="H22" s="323">
        <f t="shared" ref="H22:H24" si="0">SUM(D22:G22)</f>
        <v>1</v>
      </c>
      <c r="I22" s="323" t="s">
        <v>312</v>
      </c>
      <c r="J22" s="323">
        <v>1</v>
      </c>
    </row>
    <row r="23" spans="3:12">
      <c r="C23" s="332" t="s">
        <v>402</v>
      </c>
      <c r="D23" s="334">
        <v>0</v>
      </c>
      <c r="E23" s="334">
        <v>0</v>
      </c>
      <c r="F23" s="334">
        <v>0</v>
      </c>
      <c r="G23" s="334">
        <v>1</v>
      </c>
      <c r="H23" s="323">
        <f t="shared" si="0"/>
        <v>1</v>
      </c>
      <c r="I23" s="323" t="s">
        <v>312</v>
      </c>
      <c r="J23" s="323">
        <v>1</v>
      </c>
    </row>
    <row r="24" spans="3:12">
      <c r="C24" s="332" t="s">
        <v>403</v>
      </c>
      <c r="D24" s="334">
        <v>0</v>
      </c>
      <c r="E24" s="334">
        <v>1</v>
      </c>
      <c r="F24" s="334">
        <v>0</v>
      </c>
      <c r="G24" s="334">
        <v>0</v>
      </c>
      <c r="H24" s="323">
        <f t="shared" si="0"/>
        <v>1</v>
      </c>
      <c r="I24" s="323" t="s">
        <v>312</v>
      </c>
      <c r="J24" s="323">
        <v>1</v>
      </c>
    </row>
    <row r="25" spans="3:12">
      <c r="D25" s="323">
        <f>SUM(D21:D24)</f>
        <v>1</v>
      </c>
      <c r="E25" s="323">
        <f t="shared" ref="E25:G25" si="1">SUM(E21:E24)</f>
        <v>1</v>
      </c>
      <c r="F25" s="323">
        <f t="shared" si="1"/>
        <v>1</v>
      </c>
      <c r="G25" s="327">
        <f t="shared" si="1"/>
        <v>1</v>
      </c>
      <c r="H25" s="336" t="str">
        <f ca="1">_xlfn.FORMULATEXT(G25)</f>
        <v>=SUM(G21:G24)</v>
      </c>
      <c r="I25" s="328"/>
    </row>
    <row r="26" spans="3:12">
      <c r="D26" s="323" t="s">
        <v>312</v>
      </c>
      <c r="E26" s="323" t="s">
        <v>312</v>
      </c>
      <c r="F26" s="323" t="s">
        <v>312</v>
      </c>
      <c r="G26" s="323" t="s">
        <v>312</v>
      </c>
    </row>
    <row r="27" spans="3:12">
      <c r="D27" s="323">
        <v>1</v>
      </c>
      <c r="E27" s="323">
        <v>1</v>
      </c>
      <c r="F27" s="323">
        <v>1</v>
      </c>
      <c r="G27" s="323">
        <v>1</v>
      </c>
    </row>
    <row r="30" spans="3:12">
      <c r="D30" s="302" t="s">
        <v>404</v>
      </c>
      <c r="E30" s="302"/>
      <c r="F30" s="302"/>
      <c r="G30" s="302"/>
      <c r="H30" s="303">
        <f>SUMPRODUCT(D13:G16,D21:G24)</f>
        <v>330</v>
      </c>
      <c r="I30" s="328" t="str">
        <f ca="1">_xlfn.FORMULATEXT(H30)</f>
        <v>=SUMPRODUCT(D13:G16;D21:G24)</v>
      </c>
      <c r="J30" s="328"/>
      <c r="K30" s="328"/>
      <c r="L30" s="328"/>
    </row>
  </sheetData>
  <mergeCells count="10">
    <mergeCell ref="G19:G20"/>
    <mergeCell ref="D11:D12"/>
    <mergeCell ref="C11:C12"/>
    <mergeCell ref="C19:C20"/>
    <mergeCell ref="D19:D20"/>
    <mergeCell ref="E19:E20"/>
    <mergeCell ref="F19:F20"/>
    <mergeCell ref="E11:E12"/>
    <mergeCell ref="F11:F12"/>
    <mergeCell ref="G11:G12"/>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AB040-3103-4ADB-9DD2-339EF5AD4B24}">
  <dimension ref="B7:U41"/>
  <sheetViews>
    <sheetView workbookViewId="0">
      <selection activeCell="K28" sqref="K28"/>
    </sheetView>
  </sheetViews>
  <sheetFormatPr defaultRowHeight="15"/>
  <cols>
    <col min="3" max="3" width="10.85546875" customWidth="1"/>
    <col min="4" max="4" width="10.140625" bestFit="1" customWidth="1"/>
    <col min="15" max="15" width="15.7109375" customWidth="1"/>
    <col min="16" max="16" width="17.140625" customWidth="1"/>
  </cols>
  <sheetData>
    <row r="7" spans="3:21" ht="36">
      <c r="O7" s="341" t="s">
        <v>415</v>
      </c>
      <c r="P7" s="341" t="s">
        <v>416</v>
      </c>
      <c r="T7" s="341" t="s">
        <v>418</v>
      </c>
      <c r="U7" s="341" t="s">
        <v>419</v>
      </c>
    </row>
    <row r="8" spans="3:21">
      <c r="O8" s="342">
        <v>1</v>
      </c>
      <c r="P8" s="342">
        <v>60</v>
      </c>
      <c r="T8" s="342" t="s">
        <v>265</v>
      </c>
      <c r="U8" s="342">
        <v>45</v>
      </c>
    </row>
    <row r="9" spans="3:21">
      <c r="O9" s="342">
        <v>2</v>
      </c>
      <c r="P9" s="342">
        <v>105</v>
      </c>
      <c r="T9" s="342" t="s">
        <v>266</v>
      </c>
      <c r="U9" s="342">
        <v>90</v>
      </c>
    </row>
    <row r="10" spans="3:21">
      <c r="O10" s="342">
        <v>3</v>
      </c>
      <c r="P10" s="342">
        <v>70</v>
      </c>
      <c r="T10" s="342" t="s">
        <v>267</v>
      </c>
      <c r="U10" s="342">
        <v>35</v>
      </c>
    </row>
    <row r="11" spans="3:21">
      <c r="O11" s="341" t="s">
        <v>417</v>
      </c>
      <c r="P11" s="341">
        <v>235</v>
      </c>
      <c r="T11" s="341" t="s">
        <v>417</v>
      </c>
      <c r="U11" s="341">
        <v>170</v>
      </c>
    </row>
    <row r="15" spans="3:21">
      <c r="C15" s="337"/>
      <c r="D15" s="337" t="s">
        <v>407</v>
      </c>
      <c r="E15" s="337" t="s">
        <v>408</v>
      </c>
      <c r="F15" s="337" t="s">
        <v>409</v>
      </c>
      <c r="G15" s="1"/>
      <c r="H15" s="1"/>
      <c r="I15" s="1"/>
    </row>
    <row r="16" spans="3:21">
      <c r="C16" s="337" t="s">
        <v>405</v>
      </c>
      <c r="D16" s="123">
        <v>22</v>
      </c>
      <c r="E16" s="123">
        <v>14</v>
      </c>
      <c r="F16" s="123">
        <v>30</v>
      </c>
      <c r="G16" s="253"/>
      <c r="H16" s="149"/>
      <c r="I16" s="338"/>
      <c r="K16" s="20"/>
    </row>
    <row r="17" spans="3:20">
      <c r="C17" s="337" t="s">
        <v>406</v>
      </c>
      <c r="D17" s="123">
        <v>16</v>
      </c>
      <c r="E17" s="123">
        <v>20</v>
      </c>
      <c r="F17" s="123">
        <v>24</v>
      </c>
      <c r="G17" s="253"/>
      <c r="H17" s="149"/>
      <c r="I17" s="338"/>
      <c r="K17" s="20"/>
    </row>
    <row r="18" spans="3:20">
      <c r="D18" s="140"/>
      <c r="E18" s="140"/>
      <c r="F18" s="140"/>
      <c r="N18" s="530"/>
      <c r="O18" s="531" t="s">
        <v>420</v>
      </c>
      <c r="P18" s="528"/>
      <c r="Q18" s="343"/>
    </row>
    <row r="19" spans="3:20">
      <c r="D19" s="140"/>
      <c r="E19" s="140"/>
      <c r="F19" s="140"/>
      <c r="H19" t="str">
        <f ca="1">_xlfn.FORMULATEXT(G22)</f>
        <v>=SUM(D22:F22)</v>
      </c>
      <c r="N19" s="530"/>
      <c r="O19" s="531"/>
      <c r="P19" s="528"/>
      <c r="Q19" s="343"/>
    </row>
    <row r="20" spans="3:20">
      <c r="D20" s="140"/>
      <c r="E20" s="140"/>
      <c r="F20" s="140"/>
      <c r="N20" s="341" t="s">
        <v>421</v>
      </c>
      <c r="O20" s="341" t="s">
        <v>265</v>
      </c>
      <c r="P20" s="341" t="s">
        <v>266</v>
      </c>
      <c r="Q20" s="342" t="s">
        <v>267</v>
      </c>
    </row>
    <row r="21" spans="3:20">
      <c r="C21" s="339" t="s">
        <v>255</v>
      </c>
      <c r="D21" s="337" t="s">
        <v>407</v>
      </c>
      <c r="E21" s="337" t="s">
        <v>408</v>
      </c>
      <c r="F21" s="337" t="s">
        <v>409</v>
      </c>
      <c r="G21" s="337" t="s">
        <v>209</v>
      </c>
      <c r="H21" s="337" t="s">
        <v>220</v>
      </c>
      <c r="I21" s="337" t="s">
        <v>211</v>
      </c>
      <c r="N21" s="341">
        <v>1</v>
      </c>
      <c r="O21" s="342">
        <v>5</v>
      </c>
      <c r="P21" s="342">
        <v>8</v>
      </c>
      <c r="Q21" s="342">
        <v>6</v>
      </c>
    </row>
    <row r="22" spans="3:20">
      <c r="C22" s="337" t="s">
        <v>405</v>
      </c>
      <c r="D22" s="292">
        <v>30</v>
      </c>
      <c r="E22" s="292">
        <v>60</v>
      </c>
      <c r="F22" s="292">
        <v>0</v>
      </c>
      <c r="G22" s="33">
        <f>SUM(D22:F22)</f>
        <v>90</v>
      </c>
      <c r="H22" s="33" t="s">
        <v>199</v>
      </c>
      <c r="I22" s="33">
        <v>100</v>
      </c>
      <c r="N22" s="342">
        <v>2</v>
      </c>
      <c r="O22" s="342">
        <v>10</v>
      </c>
      <c r="P22" s="342">
        <v>9</v>
      </c>
      <c r="Q22" s="342">
        <v>12</v>
      </c>
    </row>
    <row r="23" spans="3:20">
      <c r="C23" s="337" t="s">
        <v>406</v>
      </c>
      <c r="D23" s="292">
        <v>50</v>
      </c>
      <c r="E23" s="292">
        <v>0</v>
      </c>
      <c r="F23" s="292">
        <v>70</v>
      </c>
      <c r="G23" s="33">
        <f>SUM(D23:F23)</f>
        <v>120</v>
      </c>
      <c r="H23" s="33" t="s">
        <v>199</v>
      </c>
      <c r="I23" s="33">
        <v>120</v>
      </c>
      <c r="N23" s="342">
        <v>3</v>
      </c>
      <c r="O23" s="342">
        <v>7</v>
      </c>
      <c r="P23" s="342">
        <v>6</v>
      </c>
      <c r="Q23" s="342">
        <v>10</v>
      </c>
    </row>
    <row r="24" spans="3:20">
      <c r="D24" s="33">
        <f>SUM(D22:D23)</f>
        <v>80</v>
      </c>
      <c r="E24" s="33">
        <f t="shared" ref="E24:F24" si="0">SUM(E22:E23)</f>
        <v>60</v>
      </c>
      <c r="F24" s="33">
        <f t="shared" si="0"/>
        <v>70</v>
      </c>
      <c r="H24" t="str">
        <f ca="1">_xlfn.FORMULATEXT(F24)</f>
        <v>=SUM(F22:F23)</v>
      </c>
    </row>
    <row r="25" spans="3:20">
      <c r="D25" s="337" t="s">
        <v>312</v>
      </c>
      <c r="E25" s="337" t="s">
        <v>312</v>
      </c>
      <c r="F25" s="337" t="s">
        <v>312</v>
      </c>
    </row>
    <row r="26" spans="3:20">
      <c r="D26" s="337">
        <v>80</v>
      </c>
      <c r="E26" s="337">
        <v>60</v>
      </c>
      <c r="F26" s="337">
        <v>70</v>
      </c>
    </row>
    <row r="29" spans="3:20">
      <c r="C29" s="427" t="s">
        <v>412</v>
      </c>
      <c r="D29" s="427"/>
      <c r="E29" s="427"/>
      <c r="F29" s="48">
        <v>6</v>
      </c>
    </row>
    <row r="30" spans="3:20">
      <c r="C30" s="427" t="s">
        <v>413</v>
      </c>
      <c r="D30" s="427"/>
      <c r="E30" s="427"/>
      <c r="F30" s="48">
        <v>6.25</v>
      </c>
    </row>
    <row r="31" spans="3:20">
      <c r="N31" s="341"/>
      <c r="O31" s="341" t="s">
        <v>265</v>
      </c>
      <c r="P31" s="341" t="s">
        <v>266</v>
      </c>
      <c r="Q31" s="342" t="s">
        <v>267</v>
      </c>
      <c r="S31" t="str">
        <f ca="1">_xlfn.FORMULATEXT(R32)</f>
        <v>=SUM(O32:Q32)</v>
      </c>
    </row>
    <row r="32" spans="3:20">
      <c r="C32" s="340" t="s">
        <v>410</v>
      </c>
      <c r="D32" s="48">
        <f>SUMPRODUCT(D16:F16,D22:F22)+SUM(D22:F22)*F29</f>
        <v>2040</v>
      </c>
      <c r="E32" t="str">
        <f ca="1">_xlfn.FORMULATEXT(D32)</f>
        <v>=SUMPRODUCT(D16:F16;D22:F22)+SUM(D22:F22)*F29</v>
      </c>
      <c r="N32" s="341">
        <v>1</v>
      </c>
      <c r="O32" s="344">
        <v>0</v>
      </c>
      <c r="P32" s="344">
        <v>60</v>
      </c>
      <c r="Q32" s="344">
        <v>0</v>
      </c>
      <c r="R32" s="337">
        <f>SUM(O32:Q32)</f>
        <v>60</v>
      </c>
      <c r="S32" s="337" t="s">
        <v>199</v>
      </c>
      <c r="T32" s="337">
        <v>60</v>
      </c>
    </row>
    <row r="33" spans="2:20">
      <c r="C33" s="346" t="s">
        <v>411</v>
      </c>
      <c r="D33" s="48">
        <f>SUMPRODUCT(D17:F17,D23:F23)+SUM(D23:F23)*F30</f>
        <v>3230</v>
      </c>
      <c r="E33" t="str">
        <f ca="1">_xlfn.FORMULATEXT(D33)</f>
        <v>=SUMPRODUCT(D17:F17;D23:F23)+SUM(D23:F23)*F30</v>
      </c>
      <c r="N33" s="342">
        <v>2</v>
      </c>
      <c r="O33" s="344">
        <v>45</v>
      </c>
      <c r="P33" s="344">
        <v>30</v>
      </c>
      <c r="Q33" s="344">
        <v>30</v>
      </c>
      <c r="R33" s="337">
        <f t="shared" ref="R33:R34" si="1">SUM(O33:Q33)</f>
        <v>105</v>
      </c>
      <c r="S33" s="337" t="s">
        <v>199</v>
      </c>
      <c r="T33" s="337">
        <v>105</v>
      </c>
    </row>
    <row r="34" spans="2:20">
      <c r="B34" s="422" t="s">
        <v>414</v>
      </c>
      <c r="C34" s="422"/>
      <c r="D34" s="345">
        <f>SUM(D32:D33)</f>
        <v>5270</v>
      </c>
      <c r="E34" t="str">
        <f ca="1">_xlfn.FORMULATEXT(D34)</f>
        <v>=SUM(D32:D33)</v>
      </c>
      <c r="N34" s="342">
        <v>3</v>
      </c>
      <c r="O34" s="344">
        <v>0</v>
      </c>
      <c r="P34" s="344">
        <v>0</v>
      </c>
      <c r="Q34" s="344">
        <v>5</v>
      </c>
      <c r="R34" s="337">
        <f t="shared" si="1"/>
        <v>5</v>
      </c>
      <c r="S34" s="337" t="s">
        <v>199</v>
      </c>
      <c r="T34" s="337">
        <v>70</v>
      </c>
    </row>
    <row r="35" spans="2:20">
      <c r="O35" s="337">
        <f>SUM(O32:O34)</f>
        <v>45</v>
      </c>
      <c r="P35" s="337">
        <f t="shared" ref="P35:Q35" si="2">SUM(P32:P34)</f>
        <v>90</v>
      </c>
      <c r="Q35" s="337">
        <f t="shared" si="2"/>
        <v>35</v>
      </c>
      <c r="S35" t="str">
        <f ca="1">_xlfn.FORMULATEXT(Q35)</f>
        <v>=SUM(Q32:Q34)</v>
      </c>
    </row>
    <row r="36" spans="2:20">
      <c r="O36" s="337" t="s">
        <v>312</v>
      </c>
      <c r="P36" s="337" t="s">
        <v>312</v>
      </c>
      <c r="Q36" s="337" t="s">
        <v>312</v>
      </c>
    </row>
    <row r="37" spans="2:20">
      <c r="O37" s="337">
        <v>45</v>
      </c>
      <c r="P37" s="337">
        <v>90</v>
      </c>
      <c r="Q37" s="337">
        <v>35</v>
      </c>
    </row>
    <row r="41" spans="2:20">
      <c r="N41" s="529" t="s">
        <v>422</v>
      </c>
      <c r="O41" s="529"/>
      <c r="P41" s="529"/>
      <c r="Q41" s="331">
        <f>SUMPRODUCT(O21:Q23,O32:Q34)</f>
        <v>1610</v>
      </c>
      <c r="R41" t="str">
        <f ca="1">_xlfn.FORMULATEXT(Q41)</f>
        <v>=SUMPRODUCT(O21:Q23;O32:Q34)</v>
      </c>
    </row>
  </sheetData>
  <mergeCells count="7">
    <mergeCell ref="P18:P19"/>
    <mergeCell ref="N41:P41"/>
    <mergeCell ref="C29:E29"/>
    <mergeCell ref="C30:E30"/>
    <mergeCell ref="B34:C34"/>
    <mergeCell ref="N18:N19"/>
    <mergeCell ref="O18:O19"/>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B9075-A22A-4483-996B-A4DCD99B3DAF}">
  <dimension ref="C10:K26"/>
  <sheetViews>
    <sheetView workbookViewId="0">
      <selection activeCell="O23" sqref="O23"/>
    </sheetView>
  </sheetViews>
  <sheetFormatPr defaultRowHeight="15"/>
  <sheetData>
    <row r="10" spans="4:11">
      <c r="D10" s="149"/>
      <c r="E10" s="149"/>
      <c r="F10" s="149"/>
      <c r="I10" s="347"/>
      <c r="J10" s="347" t="s">
        <v>424</v>
      </c>
      <c r="K10" s="347" t="s">
        <v>423</v>
      </c>
    </row>
    <row r="11" spans="4:11">
      <c r="D11" s="149"/>
      <c r="E11" s="149"/>
      <c r="F11" s="149"/>
      <c r="I11" s="347" t="s">
        <v>122</v>
      </c>
      <c r="J11" s="347">
        <v>390</v>
      </c>
      <c r="K11" s="347">
        <v>240</v>
      </c>
    </row>
    <row r="12" spans="4:11">
      <c r="D12" s="149"/>
      <c r="E12" s="149"/>
      <c r="F12" s="149"/>
      <c r="I12" s="347" t="s">
        <v>425</v>
      </c>
      <c r="J12" s="347">
        <v>8200</v>
      </c>
      <c r="K12" s="347">
        <v>5100</v>
      </c>
    </row>
    <row r="15" spans="4:11">
      <c r="H15" t="str">
        <f ca="1">_xlfn.FORMULATEXT(G17)</f>
        <v>=SUMPRODUCT(J11:K11;E17:F17)</v>
      </c>
    </row>
    <row r="16" spans="4:11">
      <c r="D16" s="149"/>
      <c r="E16" s="348" t="s">
        <v>424</v>
      </c>
      <c r="F16" s="348" t="s">
        <v>423</v>
      </c>
      <c r="G16" s="347" t="s">
        <v>209</v>
      </c>
      <c r="H16" s="347" t="s">
        <v>220</v>
      </c>
      <c r="I16" s="347" t="s">
        <v>211</v>
      </c>
    </row>
    <row r="17" spans="3:9">
      <c r="D17" s="149"/>
      <c r="E17" s="292">
        <v>4</v>
      </c>
      <c r="F17" s="292">
        <v>1</v>
      </c>
      <c r="G17" s="348">
        <f>SUMPRODUCT(J11:K11,E17:F17)</f>
        <v>1800</v>
      </c>
      <c r="H17" s="348" t="s">
        <v>199</v>
      </c>
      <c r="I17" s="348">
        <v>1800</v>
      </c>
    </row>
    <row r="18" spans="3:9">
      <c r="D18" s="149"/>
      <c r="E18" s="348">
        <f>E17</f>
        <v>4</v>
      </c>
      <c r="F18" s="348">
        <f>F17</f>
        <v>1</v>
      </c>
      <c r="G18" s="149"/>
      <c r="H18" s="149"/>
      <c r="I18" s="149"/>
    </row>
    <row r="19" spans="3:9">
      <c r="D19" s="149"/>
      <c r="E19" s="348" t="s">
        <v>203</v>
      </c>
      <c r="F19" s="348" t="s">
        <v>199</v>
      </c>
      <c r="G19" s="149"/>
      <c r="H19" s="149" t="str">
        <f ca="1">_xlfn.FORMULATEXT(F18)</f>
        <v>=F17</v>
      </c>
      <c r="I19" s="149"/>
    </row>
    <row r="20" spans="3:9">
      <c r="D20" s="149"/>
      <c r="E20" s="348">
        <v>2</v>
      </c>
      <c r="F20" s="348">
        <v>6</v>
      </c>
      <c r="G20" s="149"/>
      <c r="H20" s="149"/>
      <c r="I20" s="149"/>
    </row>
    <row r="21" spans="3:9">
      <c r="D21" s="1"/>
      <c r="E21" s="1"/>
      <c r="F21" s="1"/>
      <c r="G21" s="1"/>
      <c r="H21" s="1"/>
      <c r="I21" s="1"/>
    </row>
    <row r="26" spans="3:9">
      <c r="C26" s="422" t="s">
        <v>426</v>
      </c>
      <c r="D26" s="422"/>
      <c r="E26" s="422"/>
      <c r="F26" s="331">
        <f>SUMPRODUCT(E17:F17,J12:K12)</f>
        <v>37900</v>
      </c>
      <c r="G26" t="str">
        <f ca="1">_xlfn.FORMULATEXT(F26)</f>
        <v>=SUMPRODUCT(E17:F17;J12:K12)</v>
      </c>
    </row>
  </sheetData>
  <mergeCells count="1">
    <mergeCell ref="C26:E26"/>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676EC-C80F-4DA2-B587-6A8D41888AF8}">
  <dimension ref="B12:G32"/>
  <sheetViews>
    <sheetView workbookViewId="0">
      <selection activeCell="L17" sqref="L17"/>
    </sheetView>
  </sheetViews>
  <sheetFormatPr defaultRowHeight="15"/>
  <cols>
    <col min="2" max="2" width="12.42578125" customWidth="1"/>
    <col min="3" max="3" width="16.85546875" customWidth="1"/>
    <col min="4" max="4" width="19" customWidth="1"/>
  </cols>
  <sheetData>
    <row r="12" spans="2:5" ht="36">
      <c r="B12" s="350" t="s">
        <v>427</v>
      </c>
      <c r="C12" s="350" t="s">
        <v>428</v>
      </c>
      <c r="D12" s="350" t="s">
        <v>429</v>
      </c>
      <c r="E12" s="350" t="s">
        <v>430</v>
      </c>
    </row>
    <row r="13" spans="2:5" ht="22.5" customHeight="1">
      <c r="B13" s="350" t="s">
        <v>265</v>
      </c>
      <c r="C13" s="350">
        <v>30</v>
      </c>
      <c r="D13" s="350" t="s">
        <v>431</v>
      </c>
      <c r="E13" s="350">
        <v>2000</v>
      </c>
    </row>
    <row r="14" spans="2:5">
      <c r="B14" s="350" t="s">
        <v>266</v>
      </c>
      <c r="C14" s="350">
        <v>18</v>
      </c>
      <c r="D14" s="350" t="s">
        <v>432</v>
      </c>
      <c r="E14" s="350">
        <v>800</v>
      </c>
    </row>
    <row r="15" spans="2:5">
      <c r="B15" s="350" t="s">
        <v>267</v>
      </c>
      <c r="C15" s="350">
        <v>2</v>
      </c>
      <c r="D15" s="350" t="s">
        <v>433</v>
      </c>
      <c r="E15" s="350">
        <v>200</v>
      </c>
    </row>
    <row r="19" spans="2:7">
      <c r="B19" s="348" t="s">
        <v>205</v>
      </c>
      <c r="C19" s="348" t="s">
        <v>434</v>
      </c>
      <c r="D19" s="348" t="s">
        <v>435</v>
      </c>
    </row>
    <row r="20" spans="2:7">
      <c r="B20" s="348"/>
      <c r="C20" s="236">
        <v>44</v>
      </c>
      <c r="D20" s="236">
        <v>20</v>
      </c>
    </row>
    <row r="21" spans="2:7">
      <c r="C21" s="20">
        <v>85</v>
      </c>
      <c r="D21" s="20">
        <v>1.5</v>
      </c>
    </row>
    <row r="23" spans="2:7">
      <c r="F23" t="str">
        <f ca="1">_xlfn.FORMULATEXT(E25)</f>
        <v>=SUMPRODUCT($C$20:$D$20;C25:D25)</v>
      </c>
    </row>
    <row r="24" spans="2:7">
      <c r="B24" s="348" t="s">
        <v>255</v>
      </c>
      <c r="C24" s="348"/>
      <c r="D24" s="348"/>
      <c r="E24" s="348" t="s">
        <v>209</v>
      </c>
      <c r="F24" s="348" t="s">
        <v>220</v>
      </c>
      <c r="G24" s="348" t="s">
        <v>211</v>
      </c>
    </row>
    <row r="25" spans="2:7">
      <c r="B25" s="348" t="s">
        <v>265</v>
      </c>
      <c r="C25" s="348">
        <v>30</v>
      </c>
      <c r="D25" s="348">
        <v>0.5</v>
      </c>
      <c r="E25" s="348">
        <f>SUMPRODUCT($C$20:$D$20,C25:D25)</f>
        <v>1330</v>
      </c>
      <c r="F25" s="348" t="s">
        <v>199</v>
      </c>
      <c r="G25" s="348">
        <v>2000</v>
      </c>
    </row>
    <row r="26" spans="2:7">
      <c r="B26" s="348" t="s">
        <v>266</v>
      </c>
      <c r="C26" s="348">
        <v>18</v>
      </c>
      <c r="D26" s="348">
        <v>0.4</v>
      </c>
      <c r="E26" s="348">
        <f t="shared" ref="E26:E27" si="0">SUMPRODUCT($C$20:$D$20,C26:D26)</f>
        <v>800</v>
      </c>
      <c r="F26" s="348" t="s">
        <v>199</v>
      </c>
      <c r="G26" s="348">
        <v>800</v>
      </c>
    </row>
    <row r="27" spans="2:7">
      <c r="B27" s="348" t="s">
        <v>267</v>
      </c>
      <c r="C27" s="348">
        <v>2</v>
      </c>
      <c r="D27" s="348">
        <v>0.1</v>
      </c>
      <c r="E27" s="348">
        <f t="shared" si="0"/>
        <v>90</v>
      </c>
      <c r="F27" s="348" t="s">
        <v>199</v>
      </c>
      <c r="G27" s="348">
        <v>200</v>
      </c>
    </row>
    <row r="32" spans="2:7">
      <c r="B32" s="50" t="s">
        <v>61</v>
      </c>
      <c r="C32" s="331">
        <f>SUMPRODUCT(C20:D20,C21:D21)</f>
        <v>3770</v>
      </c>
      <c r="D32" t="str">
        <f ca="1">_xlfn.FORMULATEXT(C32)</f>
        <v>=SUMPRODUCT(C20:D20;C21:D21)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A5F3A-C09A-4665-ACD3-AB947F072A99}">
  <dimension ref="C16:H29"/>
  <sheetViews>
    <sheetView workbookViewId="0">
      <selection activeCell="E30" sqref="E30"/>
    </sheetView>
  </sheetViews>
  <sheetFormatPr defaultRowHeight="15"/>
  <cols>
    <col min="2" max="2" width="9.140625" customWidth="1"/>
    <col min="3" max="3" width="19.7109375" customWidth="1"/>
    <col min="4" max="4" width="13" customWidth="1"/>
    <col min="5" max="5" width="12.7109375" customWidth="1"/>
  </cols>
  <sheetData>
    <row r="16" spans="3:5">
      <c r="C16" s="1"/>
      <c r="D16" s="348" t="s">
        <v>436</v>
      </c>
      <c r="E16" s="348" t="s">
        <v>437</v>
      </c>
    </row>
    <row r="17" spans="3:8">
      <c r="C17" s="348" t="s">
        <v>205</v>
      </c>
      <c r="D17" s="241">
        <v>2</v>
      </c>
      <c r="E17" s="241">
        <v>6</v>
      </c>
    </row>
    <row r="18" spans="3:8">
      <c r="D18" s="20">
        <v>5</v>
      </c>
      <c r="E18" s="20">
        <v>7</v>
      </c>
    </row>
    <row r="20" spans="3:8">
      <c r="G20" t="str">
        <f ca="1">_xlfn.FORMULATEXT(F22)</f>
        <v>=SUMPRODUCT($D$17:$E$17;D22:E22)</v>
      </c>
    </row>
    <row r="21" spans="3:8">
      <c r="C21" s="348" t="s">
        <v>255</v>
      </c>
      <c r="D21" s="348"/>
      <c r="E21" s="348"/>
      <c r="F21" s="348" t="s">
        <v>209</v>
      </c>
      <c r="G21" s="348" t="s">
        <v>220</v>
      </c>
      <c r="H21" s="348" t="s">
        <v>211</v>
      </c>
    </row>
    <row r="22" spans="3:8">
      <c r="C22" s="348" t="s">
        <v>438</v>
      </c>
      <c r="D22" s="348">
        <v>1</v>
      </c>
      <c r="E22" s="348"/>
      <c r="F22" s="348">
        <f>SUMPRODUCT($D$17:$E$17,D22:E22)</f>
        <v>2</v>
      </c>
      <c r="G22" s="348" t="s">
        <v>199</v>
      </c>
      <c r="H22" s="348">
        <v>4</v>
      </c>
    </row>
    <row r="23" spans="3:8">
      <c r="C23" s="348" t="s">
        <v>439</v>
      </c>
      <c r="D23" s="348"/>
      <c r="E23" s="348">
        <v>1</v>
      </c>
      <c r="F23" s="348">
        <f>SUMPRODUCT($D$17:$E$17,D23:E23)</f>
        <v>6</v>
      </c>
      <c r="G23" s="348" t="s">
        <v>199</v>
      </c>
      <c r="H23" s="348">
        <v>6</v>
      </c>
    </row>
    <row r="24" spans="3:8">
      <c r="C24" s="348" t="s">
        <v>440</v>
      </c>
      <c r="D24" s="348">
        <v>3</v>
      </c>
      <c r="E24" s="348">
        <v>1.5</v>
      </c>
      <c r="F24" s="348">
        <f>SUMPRODUCT($D$17:$E$17,D24:E24)</f>
        <v>15</v>
      </c>
      <c r="G24" s="348" t="s">
        <v>199</v>
      </c>
      <c r="H24" s="348">
        <v>15</v>
      </c>
    </row>
    <row r="29" spans="3:8">
      <c r="C29" s="349" t="s">
        <v>90</v>
      </c>
      <c r="D29" s="291">
        <f>SUMPRODUCT(D17:E17,D18:E18)</f>
        <v>52</v>
      </c>
      <c r="E29" t="str">
        <f ca="1">_xlfn.FORMULATEXT(D29)</f>
        <v>=SUMPRODUCT(D17:E17;D18:E18)</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D90AA-AF90-49C2-9A3B-3723F503957F}">
  <dimension ref="A4:X18"/>
  <sheetViews>
    <sheetView workbookViewId="0">
      <selection activeCell="K18" sqref="K18"/>
    </sheetView>
  </sheetViews>
  <sheetFormatPr defaultRowHeight="15"/>
  <cols>
    <col min="3" max="3" width="17" customWidth="1"/>
    <col min="4" max="4" width="17.5703125" customWidth="1"/>
    <col min="5" max="5" width="18.42578125" customWidth="1"/>
    <col min="14" max="14" width="22" customWidth="1"/>
  </cols>
  <sheetData>
    <row r="4" spans="1:24">
      <c r="N4" s="354" t="s">
        <v>205</v>
      </c>
      <c r="O4" s="354" t="s">
        <v>248</v>
      </c>
      <c r="P4" s="354" t="s">
        <v>249</v>
      </c>
      <c r="Q4" s="354" t="s">
        <v>250</v>
      </c>
      <c r="R4" s="354" t="s">
        <v>251</v>
      </c>
      <c r="S4" s="354" t="s">
        <v>252</v>
      </c>
      <c r="T4" s="354" t="s">
        <v>451</v>
      </c>
      <c r="U4" s="354" t="s">
        <v>452</v>
      </c>
    </row>
    <row r="5" spans="1:24">
      <c r="N5" s="532"/>
      <c r="O5" s="241">
        <v>0</v>
      </c>
      <c r="P5" s="241">
        <v>0</v>
      </c>
      <c r="Q5" s="241">
        <v>1</v>
      </c>
      <c r="R5" s="241">
        <v>1</v>
      </c>
      <c r="S5" s="241">
        <v>1</v>
      </c>
      <c r="T5" s="241">
        <v>1</v>
      </c>
      <c r="U5" s="241">
        <v>0</v>
      </c>
    </row>
    <row r="6" spans="1:24">
      <c r="N6" s="452"/>
      <c r="O6" s="354">
        <v>50</v>
      </c>
      <c r="P6" s="354">
        <v>80</v>
      </c>
      <c r="Q6" s="354">
        <v>90</v>
      </c>
      <c r="R6" s="354">
        <v>120</v>
      </c>
      <c r="S6" s="354">
        <v>110</v>
      </c>
      <c r="T6" s="354">
        <v>40</v>
      </c>
      <c r="U6" s="354">
        <v>75</v>
      </c>
    </row>
    <row r="7" spans="1:24">
      <c r="N7" s="1"/>
      <c r="O7" s="1"/>
      <c r="P7" s="1"/>
      <c r="Q7" s="1"/>
      <c r="R7" s="1"/>
      <c r="S7" s="1"/>
      <c r="T7" s="1"/>
      <c r="U7" s="1"/>
    </row>
    <row r="10" spans="1:24">
      <c r="N10" s="352" t="s">
        <v>255</v>
      </c>
      <c r="O10" s="352"/>
      <c r="P10" s="352"/>
      <c r="Q10" s="352"/>
      <c r="R10" s="352"/>
      <c r="S10" s="352"/>
      <c r="T10" s="352"/>
      <c r="U10" s="352"/>
      <c r="V10" s="352" t="s">
        <v>209</v>
      </c>
      <c r="W10" s="352" t="s">
        <v>220</v>
      </c>
      <c r="X10" s="352" t="s">
        <v>211</v>
      </c>
    </row>
    <row r="11" spans="1:24" ht="24">
      <c r="C11" s="358" t="s">
        <v>441</v>
      </c>
      <c r="D11" s="358" t="s">
        <v>442</v>
      </c>
      <c r="E11" s="358" t="s">
        <v>443</v>
      </c>
      <c r="N11" s="352" t="s">
        <v>457</v>
      </c>
      <c r="O11" s="352">
        <v>1</v>
      </c>
      <c r="P11" s="352"/>
      <c r="Q11" s="352"/>
      <c r="R11" s="352">
        <v>1</v>
      </c>
      <c r="S11" s="352">
        <v>1</v>
      </c>
      <c r="T11" s="352"/>
      <c r="U11" s="352"/>
      <c r="V11" s="352">
        <f>SUMPRODUCT($O$5:$U$5,O11:U11)</f>
        <v>2</v>
      </c>
      <c r="W11" s="352" t="s">
        <v>203</v>
      </c>
      <c r="X11" s="352">
        <v>2</v>
      </c>
    </row>
    <row r="12" spans="1:24" ht="45">
      <c r="A12" s="360" t="s">
        <v>248</v>
      </c>
      <c r="B12" s="1" t="s">
        <v>453</v>
      </c>
      <c r="C12" s="274" t="s">
        <v>444</v>
      </c>
      <c r="D12" s="274">
        <v>50</v>
      </c>
      <c r="E12" s="274">
        <v>480</v>
      </c>
      <c r="N12" s="351" t="s">
        <v>455</v>
      </c>
      <c r="O12" s="352"/>
      <c r="P12" s="352">
        <v>1</v>
      </c>
      <c r="Q12" s="352">
        <v>1</v>
      </c>
      <c r="R12" s="352"/>
      <c r="S12" s="352"/>
      <c r="T12" s="352"/>
      <c r="U12" s="352"/>
      <c r="V12" s="352">
        <f t="shared" ref="V12:V14" si="0">SUMPRODUCT($O$5:$U$5,O12:U12)</f>
        <v>1</v>
      </c>
      <c r="W12" s="352" t="s">
        <v>199</v>
      </c>
      <c r="X12" s="352">
        <v>1</v>
      </c>
    </row>
    <row r="13" spans="1:24" ht="24">
      <c r="A13" s="360" t="s">
        <v>249</v>
      </c>
      <c r="B13" s="1"/>
      <c r="C13" s="274" t="s">
        <v>445</v>
      </c>
      <c r="D13" s="274">
        <v>80</v>
      </c>
      <c r="E13" s="274">
        <v>540</v>
      </c>
      <c r="N13" s="352" t="s">
        <v>456</v>
      </c>
      <c r="O13" s="352"/>
      <c r="P13" s="352"/>
      <c r="Q13" s="352"/>
      <c r="R13" s="352"/>
      <c r="S13" s="352"/>
      <c r="T13" s="352">
        <v>1</v>
      </c>
      <c r="U13" s="352">
        <v>1</v>
      </c>
      <c r="V13" s="352">
        <f t="shared" si="0"/>
        <v>1</v>
      </c>
      <c r="W13" s="352" t="s">
        <v>312</v>
      </c>
      <c r="X13" s="352">
        <v>1</v>
      </c>
    </row>
    <row r="14" spans="1:24">
      <c r="A14" s="360" t="s">
        <v>250</v>
      </c>
      <c r="B14" s="1"/>
      <c r="C14" s="274" t="s">
        <v>446</v>
      </c>
      <c r="D14" s="274">
        <v>90</v>
      </c>
      <c r="E14" s="274">
        <v>680</v>
      </c>
      <c r="N14" s="355" t="s">
        <v>198</v>
      </c>
      <c r="O14" s="352">
        <v>480</v>
      </c>
      <c r="P14" s="352">
        <v>540</v>
      </c>
      <c r="Q14" s="352">
        <v>680</v>
      </c>
      <c r="R14" s="352">
        <v>1000</v>
      </c>
      <c r="S14" s="352">
        <v>700</v>
      </c>
      <c r="T14" s="352">
        <v>510</v>
      </c>
      <c r="U14" s="352">
        <v>900</v>
      </c>
      <c r="V14" s="352">
        <f t="shared" si="0"/>
        <v>2890</v>
      </c>
      <c r="W14" s="352" t="s">
        <v>199</v>
      </c>
      <c r="X14" s="352">
        <v>3000</v>
      </c>
    </row>
    <row r="15" spans="1:24">
      <c r="A15" s="360" t="s">
        <v>251</v>
      </c>
      <c r="B15" s="1" t="s">
        <v>453</v>
      </c>
      <c r="C15" s="274" t="s">
        <v>447</v>
      </c>
      <c r="D15" s="274">
        <v>120</v>
      </c>
      <c r="E15" s="274">
        <v>1000</v>
      </c>
      <c r="W15" t="str">
        <f ca="1">_xlfn.FORMULATEXT(V14)</f>
        <v>=SUMPRODUCT($O$5:$U$5;O14:U14)</v>
      </c>
    </row>
    <row r="16" spans="1:24">
      <c r="A16" s="360" t="s">
        <v>252</v>
      </c>
      <c r="B16" s="1" t="s">
        <v>453</v>
      </c>
      <c r="C16" s="274" t="s">
        <v>448</v>
      </c>
      <c r="D16" s="274">
        <v>110</v>
      </c>
      <c r="E16" s="274">
        <v>700</v>
      </c>
      <c r="O16" s="356"/>
    </row>
    <row r="17" spans="1:17">
      <c r="A17" s="360" t="s">
        <v>451</v>
      </c>
      <c r="B17" s="1" t="s">
        <v>454</v>
      </c>
      <c r="C17" s="274" t="s">
        <v>449</v>
      </c>
      <c r="D17" s="274">
        <v>40</v>
      </c>
      <c r="E17" s="274">
        <v>510</v>
      </c>
      <c r="O17" s="356"/>
    </row>
    <row r="18" spans="1:17">
      <c r="A18" s="360" t="s">
        <v>452</v>
      </c>
      <c r="B18" s="1" t="s">
        <v>454</v>
      </c>
      <c r="C18" s="274" t="s">
        <v>450</v>
      </c>
      <c r="D18" s="274">
        <v>75</v>
      </c>
      <c r="E18" s="274">
        <v>900</v>
      </c>
      <c r="N18" s="354" t="s">
        <v>458</v>
      </c>
      <c r="O18" s="242">
        <f>SUMPRODUCT(O5:U5,O6:U6)</f>
        <v>360</v>
      </c>
      <c r="P18" t="s">
        <v>459</v>
      </c>
      <c r="Q18" t="str">
        <f ca="1">_xlfn.FORMULATEXT(O18)</f>
        <v>=SUMPRODUCT(O5:U5;O6:U6)</v>
      </c>
    </row>
  </sheetData>
  <mergeCells count="1">
    <mergeCell ref="N5:N6"/>
  </mergeCells>
  <phoneticPr fontId="39"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51CA6-858F-457C-9359-E5362EA7DEC2}">
  <dimension ref="C6:Z22"/>
  <sheetViews>
    <sheetView workbookViewId="0">
      <selection activeCell="Z24" sqref="Z24"/>
    </sheetView>
  </sheetViews>
  <sheetFormatPr defaultRowHeight="15"/>
  <cols>
    <col min="3" max="3" width="13" customWidth="1"/>
    <col min="4" max="4" width="12" customWidth="1"/>
  </cols>
  <sheetData>
    <row r="6" spans="3:26">
      <c r="D6" s="357" t="s">
        <v>462</v>
      </c>
      <c r="E6" s="357" t="s">
        <v>464</v>
      </c>
      <c r="F6" s="357" t="s">
        <v>466</v>
      </c>
      <c r="G6" s="357" t="s">
        <v>468</v>
      </c>
      <c r="H6" s="357" t="s">
        <v>470</v>
      </c>
      <c r="I6" s="357" t="s">
        <v>472</v>
      </c>
    </row>
    <row r="7" spans="3:26">
      <c r="D7" s="241">
        <v>1</v>
      </c>
      <c r="E7" s="241">
        <v>1</v>
      </c>
      <c r="F7" s="241">
        <v>0</v>
      </c>
      <c r="G7" s="241">
        <v>1</v>
      </c>
      <c r="H7" s="241">
        <v>0</v>
      </c>
      <c r="I7" s="241">
        <v>0</v>
      </c>
    </row>
    <row r="10" spans="3:26" ht="24">
      <c r="D10" s="353" t="s">
        <v>477</v>
      </c>
      <c r="E10" s="363">
        <f>SUM(D7:I7)</f>
        <v>3</v>
      </c>
      <c r="F10" t="str">
        <f ca="1">_xlfn.FORMULATEXT(E10)</f>
        <v>=SUM(D7:I7)</v>
      </c>
      <c r="Y10" s="362" t="s">
        <v>460</v>
      </c>
      <c r="Z10" s="362" t="s">
        <v>461</v>
      </c>
    </row>
    <row r="11" spans="3:26">
      <c r="Y11" s="361" t="s">
        <v>462</v>
      </c>
      <c r="Z11" s="361" t="s">
        <v>463</v>
      </c>
    </row>
    <row r="12" spans="3:26">
      <c r="C12" s="354" t="s">
        <v>255</v>
      </c>
      <c r="D12" s="354"/>
      <c r="E12" s="354"/>
      <c r="F12" s="354"/>
      <c r="G12" s="354"/>
      <c r="H12" s="354"/>
      <c r="I12" s="354"/>
      <c r="J12" s="354" t="s">
        <v>209</v>
      </c>
      <c r="K12" s="354" t="s">
        <v>220</v>
      </c>
      <c r="L12" s="354" t="s">
        <v>211</v>
      </c>
      <c r="Y12" s="361" t="s">
        <v>464</v>
      </c>
      <c r="Z12" s="361" t="s">
        <v>465</v>
      </c>
    </row>
    <row r="13" spans="3:26">
      <c r="C13" s="357" t="s">
        <v>265</v>
      </c>
      <c r="D13" s="352">
        <v>1</v>
      </c>
      <c r="E13" s="352"/>
      <c r="F13" s="352"/>
      <c r="G13" s="352"/>
      <c r="H13" s="352"/>
      <c r="I13" s="352">
        <v>1</v>
      </c>
      <c r="J13" s="352">
        <f>SUMPRODUCT($D$7:$I$7,D13:I13)</f>
        <v>1</v>
      </c>
      <c r="K13" s="352" t="s">
        <v>203</v>
      </c>
      <c r="L13" s="352">
        <v>1</v>
      </c>
      <c r="Y13" s="361" t="s">
        <v>466</v>
      </c>
      <c r="Z13" s="361" t="s">
        <v>467</v>
      </c>
    </row>
    <row r="14" spans="3:26">
      <c r="C14" s="357" t="s">
        <v>266</v>
      </c>
      <c r="D14" s="352"/>
      <c r="E14" s="352">
        <v>1</v>
      </c>
      <c r="F14" s="352">
        <v>1</v>
      </c>
      <c r="G14" s="352"/>
      <c r="H14" s="352"/>
      <c r="I14" s="352"/>
      <c r="J14" s="352">
        <f t="shared" ref="J14:J20" si="0">SUMPRODUCT($D$7:$I$7,D14:I14)</f>
        <v>1</v>
      </c>
      <c r="K14" s="352" t="s">
        <v>203</v>
      </c>
      <c r="L14" s="352">
        <v>1</v>
      </c>
      <c r="Y14" s="361" t="s">
        <v>468</v>
      </c>
      <c r="Z14" s="361" t="s">
        <v>469</v>
      </c>
    </row>
    <row r="15" spans="3:26">
      <c r="C15" s="357" t="s">
        <v>267</v>
      </c>
      <c r="D15" s="352">
        <v>1</v>
      </c>
      <c r="E15" s="352"/>
      <c r="F15" s="352">
        <v>1</v>
      </c>
      <c r="G15" s="352"/>
      <c r="H15" s="352"/>
      <c r="I15" s="352"/>
      <c r="J15" s="352">
        <f t="shared" si="0"/>
        <v>1</v>
      </c>
      <c r="K15" s="352" t="s">
        <v>203</v>
      </c>
      <c r="L15" s="352">
        <v>1</v>
      </c>
      <c r="Y15" s="361" t="s">
        <v>470</v>
      </c>
      <c r="Z15" s="361" t="s">
        <v>471</v>
      </c>
    </row>
    <row r="16" spans="3:26">
      <c r="C16" s="357" t="s">
        <v>268</v>
      </c>
      <c r="D16" s="352">
        <v>1</v>
      </c>
      <c r="E16" s="352">
        <v>1</v>
      </c>
      <c r="F16" s="352"/>
      <c r="G16" s="352"/>
      <c r="H16" s="352">
        <v>1</v>
      </c>
      <c r="I16" s="352">
        <v>1</v>
      </c>
      <c r="J16" s="352">
        <f t="shared" si="0"/>
        <v>2</v>
      </c>
      <c r="K16" s="352" t="s">
        <v>203</v>
      </c>
      <c r="L16" s="352">
        <v>1</v>
      </c>
      <c r="Y16" s="361" t="s">
        <v>472</v>
      </c>
      <c r="Z16" s="361" t="s">
        <v>473</v>
      </c>
    </row>
    <row r="17" spans="3:12">
      <c r="C17" s="357" t="s">
        <v>269</v>
      </c>
      <c r="D17" s="352"/>
      <c r="E17" s="352"/>
      <c r="F17" s="352">
        <v>1</v>
      </c>
      <c r="G17" s="352">
        <v>1</v>
      </c>
      <c r="H17" s="352"/>
      <c r="I17" s="352"/>
      <c r="J17" s="352">
        <f t="shared" si="0"/>
        <v>1</v>
      </c>
      <c r="K17" s="352" t="s">
        <v>203</v>
      </c>
      <c r="L17" s="352">
        <v>1</v>
      </c>
    </row>
    <row r="18" spans="3:12">
      <c r="C18" s="357" t="s">
        <v>474</v>
      </c>
      <c r="D18" s="352"/>
      <c r="E18" s="352"/>
      <c r="F18" s="352">
        <v>1</v>
      </c>
      <c r="G18" s="352">
        <v>1</v>
      </c>
      <c r="H18" s="352"/>
      <c r="I18" s="352">
        <v>1</v>
      </c>
      <c r="J18" s="352">
        <f t="shared" si="0"/>
        <v>1</v>
      </c>
      <c r="K18" s="352" t="s">
        <v>203</v>
      </c>
      <c r="L18" s="352">
        <v>1</v>
      </c>
    </row>
    <row r="19" spans="3:12">
      <c r="C19" s="357" t="s">
        <v>476</v>
      </c>
      <c r="D19" s="352"/>
      <c r="E19" s="352"/>
      <c r="F19" s="352"/>
      <c r="G19" s="352">
        <v>1</v>
      </c>
      <c r="H19" s="352">
        <v>1</v>
      </c>
      <c r="I19" s="352"/>
      <c r="J19" s="352">
        <f t="shared" si="0"/>
        <v>1</v>
      </c>
      <c r="K19" s="352" t="s">
        <v>203</v>
      </c>
      <c r="L19" s="352">
        <v>1</v>
      </c>
    </row>
    <row r="20" spans="3:12">
      <c r="C20" s="357" t="s">
        <v>475</v>
      </c>
      <c r="D20" s="352"/>
      <c r="E20" s="352">
        <v>1</v>
      </c>
      <c r="F20" s="352"/>
      <c r="G20" s="352"/>
      <c r="H20" s="352">
        <v>1</v>
      </c>
      <c r="I20" s="352"/>
      <c r="J20" s="352">
        <f t="shared" si="0"/>
        <v>1</v>
      </c>
      <c r="K20" s="352" t="s">
        <v>203</v>
      </c>
      <c r="L20" s="352">
        <v>1</v>
      </c>
    </row>
    <row r="22" spans="3:12">
      <c r="K22" t="str">
        <f ca="1">_xlfn.FORMULATEXT(J20)</f>
        <v>=SUMPRODUCT($D$7:$I$7;D20:I20)</v>
      </c>
    </row>
  </sheetData>
  <phoneticPr fontId="39"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94C5D-43E3-4E13-B75F-68EACECE706B}">
  <dimension ref="C15:J30"/>
  <sheetViews>
    <sheetView workbookViewId="0">
      <selection activeCell="J24" sqref="J24"/>
    </sheetView>
  </sheetViews>
  <sheetFormatPr defaultRowHeight="15"/>
  <cols>
    <col min="3" max="3" width="11.85546875" customWidth="1"/>
    <col min="9" max="9" width="10.85546875" customWidth="1"/>
  </cols>
  <sheetData>
    <row r="15" spans="4:5">
      <c r="D15" s="359" t="s">
        <v>214</v>
      </c>
      <c r="E15" s="359" t="s">
        <v>215</v>
      </c>
    </row>
    <row r="16" spans="4:5">
      <c r="D16" s="366">
        <v>0.93023255977391406</v>
      </c>
      <c r="E16" s="366">
        <v>6.9767440226094796E-2</v>
      </c>
    </row>
    <row r="21" spans="3:10">
      <c r="C21" s="359" t="s">
        <v>482</v>
      </c>
      <c r="D21" s="359"/>
      <c r="E21" s="359"/>
      <c r="F21" s="359"/>
      <c r="G21" s="1"/>
    </row>
    <row r="22" spans="3:10">
      <c r="C22" s="359"/>
      <c r="D22" s="359" t="s">
        <v>478</v>
      </c>
      <c r="E22" s="359" t="s">
        <v>479</v>
      </c>
      <c r="F22" s="359" t="s">
        <v>480</v>
      </c>
      <c r="G22" s="1"/>
    </row>
    <row r="23" spans="3:10">
      <c r="C23" s="359" t="s">
        <v>481</v>
      </c>
      <c r="D23" s="359">
        <f>D16^2</f>
        <v>0.86533261526352856</v>
      </c>
      <c r="E23" s="359">
        <f>D16*E16</f>
        <v>6.4899944510393701E-2</v>
      </c>
      <c r="F23" s="359">
        <f>E16^2</f>
        <v>4.86749571570171E-3</v>
      </c>
      <c r="G23" s="1"/>
      <c r="H23" s="50" t="s">
        <v>483</v>
      </c>
      <c r="I23" s="331">
        <f>SUMPRODUCT(D23:F23,D25:F25)</f>
        <v>0.15581395348837485</v>
      </c>
      <c r="J23" t="str">
        <f ca="1">_xlfn.FORMULATEXT(I23)</f>
        <v>=SUMPRODUCT(D23:F23;D25:F25)</v>
      </c>
    </row>
    <row r="24" spans="3:10">
      <c r="C24" s="359"/>
      <c r="D24" s="359" t="str">
        <f ca="1">_xlfn.FORMULATEXT(D23)</f>
        <v>=D16^2</v>
      </c>
      <c r="E24" s="359" t="str">
        <f t="shared" ref="E24:F24" ca="1" si="0">_xlfn.FORMULATEXT(E23)</f>
        <v>=D16*E16</v>
      </c>
      <c r="F24" s="359" t="str">
        <f t="shared" ca="1" si="0"/>
        <v>=E16^2</v>
      </c>
      <c r="G24" s="1"/>
    </row>
    <row r="25" spans="3:10">
      <c r="C25" s="359"/>
      <c r="D25" s="359">
        <v>0.16</v>
      </c>
      <c r="E25" s="359">
        <v>0.2</v>
      </c>
      <c r="F25" s="359">
        <v>0.9</v>
      </c>
      <c r="G25" s="1"/>
    </row>
    <row r="27" spans="3:10">
      <c r="G27" t="str">
        <f ca="1">_xlfn.FORMULATEXT(F29)</f>
        <v>=SUMPRODUCT($D$16:$E$16;D29:E29)</v>
      </c>
    </row>
    <row r="28" spans="3:10">
      <c r="C28" s="359" t="s">
        <v>255</v>
      </c>
      <c r="D28" s="359"/>
      <c r="E28" s="359"/>
      <c r="F28" s="359" t="s">
        <v>209</v>
      </c>
      <c r="G28" s="359" t="s">
        <v>220</v>
      </c>
      <c r="H28" s="359" t="s">
        <v>211</v>
      </c>
    </row>
    <row r="29" spans="3:10">
      <c r="C29" s="359" t="s">
        <v>484</v>
      </c>
      <c r="D29" s="359">
        <v>1</v>
      </c>
      <c r="E29" s="359">
        <v>1</v>
      </c>
      <c r="F29" s="110">
        <f>SUMPRODUCT($D$16:$E$16,D29:E29)</f>
        <v>1.0000000000000089</v>
      </c>
      <c r="G29" s="359" t="s">
        <v>312</v>
      </c>
      <c r="H29" s="110">
        <v>1</v>
      </c>
    </row>
    <row r="30" spans="3:10">
      <c r="C30" s="359" t="s">
        <v>485</v>
      </c>
      <c r="D30" s="110">
        <v>0.11</v>
      </c>
      <c r="E30" s="110">
        <v>0.08</v>
      </c>
      <c r="F30" s="110">
        <f>SUMPRODUCT($D$16:$E$16,D30:E30)</f>
        <v>0.10790697679321813</v>
      </c>
      <c r="G30" s="359" t="s">
        <v>203</v>
      </c>
      <c r="H30" s="110">
        <v>0.09</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0AD6D-8CFD-4EA5-87AC-FA2BC7977F0D}">
  <dimension ref="E15:J26"/>
  <sheetViews>
    <sheetView workbookViewId="0">
      <selection activeCell="F26" sqref="F26:G26"/>
    </sheetView>
  </sheetViews>
  <sheetFormatPr defaultRowHeight="15"/>
  <cols>
    <col min="5" max="5" width="14" customWidth="1"/>
  </cols>
  <sheetData>
    <row r="15" spans="6:7">
      <c r="F15" s="365" t="s">
        <v>486</v>
      </c>
      <c r="G15" s="365" t="s">
        <v>487</v>
      </c>
    </row>
    <row r="16" spans="6:7">
      <c r="F16" s="236">
        <v>10</v>
      </c>
      <c r="G16" s="236">
        <v>15</v>
      </c>
    </row>
    <row r="18" spans="5:10">
      <c r="F18" s="1"/>
      <c r="G18" s="1"/>
    </row>
    <row r="19" spans="5:10">
      <c r="E19" s="72"/>
      <c r="F19" s="149"/>
      <c r="G19" s="149"/>
      <c r="H19" s="149"/>
      <c r="I19" s="149"/>
      <c r="J19" s="72"/>
    </row>
    <row r="20" spans="5:10">
      <c r="F20" s="1"/>
      <c r="G20" s="1"/>
      <c r="H20" s="1"/>
      <c r="I20" s="1"/>
    </row>
    <row r="21" spans="5:10">
      <c r="E21" s="365" t="s">
        <v>255</v>
      </c>
      <c r="F21" s="365"/>
      <c r="G21" s="365"/>
      <c r="H21" s="365" t="s">
        <v>209</v>
      </c>
      <c r="I21" s="365" t="s">
        <v>220</v>
      </c>
      <c r="J21" s="365" t="s">
        <v>211</v>
      </c>
    </row>
    <row r="22" spans="5:10">
      <c r="E22" s="365"/>
      <c r="F22" s="365">
        <v>1</v>
      </c>
      <c r="G22" s="365">
        <v>2</v>
      </c>
      <c r="H22" s="365">
        <f>SUMPRODUCT(F16:G16,F22:G22)</f>
        <v>40</v>
      </c>
      <c r="I22" s="365" t="s">
        <v>199</v>
      </c>
      <c r="J22" s="365">
        <v>40</v>
      </c>
    </row>
    <row r="23" spans="5:10">
      <c r="I23" t="str">
        <f ca="1">_xlfn.FORMULATEXT(H22)</f>
        <v>=SUMPRODUCT(F16:G16;F22:G22)</v>
      </c>
    </row>
    <row r="26" spans="5:10">
      <c r="F26" s="364" t="s">
        <v>488</v>
      </c>
      <c r="G26" s="363">
        <f>F16*(4-0.1*F16)+G16*(5-0.02*G16)</f>
        <v>100.5</v>
      </c>
      <c r="H26" t="str">
        <f ca="1">_xlfn.FORMULATEXT(G26)</f>
        <v>=F16*(4-0,1*F16)+G16*(5-0,02*G16)</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37E29-E805-459D-8993-3F8018E72973}">
  <dimension ref="D16:F28"/>
  <sheetViews>
    <sheetView workbookViewId="0">
      <selection activeCell="K22" sqref="K22"/>
    </sheetView>
  </sheetViews>
  <sheetFormatPr defaultRowHeight="15"/>
  <cols>
    <col min="4" max="4" width="15.28515625" customWidth="1"/>
    <col min="5" max="5" width="11.140625" bestFit="1" customWidth="1"/>
  </cols>
  <sheetData>
    <row r="16" spans="4:5">
      <c r="D16" s="367" t="s">
        <v>214</v>
      </c>
      <c r="E16" s="241">
        <v>15999.999999999947</v>
      </c>
    </row>
    <row r="20" spans="4:6">
      <c r="D20" s="46" t="s">
        <v>222</v>
      </c>
      <c r="E20" s="46"/>
    </row>
    <row r="21" spans="4:6">
      <c r="D21" s="368" t="s">
        <v>489</v>
      </c>
      <c r="E21" s="106">
        <v>1500</v>
      </c>
    </row>
    <row r="22" spans="4:6">
      <c r="D22" s="368" t="s">
        <v>490</v>
      </c>
      <c r="E22" s="106">
        <f>E16*0.8</f>
        <v>12799.999999999958</v>
      </c>
      <c r="F22" t="str">
        <f ca="1">_xlfn.FORMULATEXT(E22)</f>
        <v>=E16*0,8</v>
      </c>
    </row>
    <row r="23" spans="4:6">
      <c r="D23" s="46" t="s">
        <v>88</v>
      </c>
      <c r="E23" s="106">
        <f>SUM(E21:E22)</f>
        <v>14299.999999999958</v>
      </c>
      <c r="F23" t="str">
        <f ca="1">_xlfn.FORMULATEXT(E23)</f>
        <v>=SUM(E21:E22)</v>
      </c>
    </row>
    <row r="25" spans="4:6">
      <c r="D25" s="50" t="s">
        <v>491</v>
      </c>
      <c r="E25" s="374">
        <f>(-0.0001)*E16+4</f>
        <v>2.4000000000000052</v>
      </c>
      <c r="F25" t="str">
        <f ca="1">_xlfn.FORMULATEXT(E25)</f>
        <v>=(-0,0001)*E16+4</v>
      </c>
    </row>
    <row r="28" spans="4:6">
      <c r="D28" s="67" t="s">
        <v>90</v>
      </c>
      <c r="E28" s="373">
        <f>E16*E25-E23</f>
        <v>24100</v>
      </c>
      <c r="F28" t="str">
        <f ca="1">_xlfn.FORMULATEXT(E28)</f>
        <v>=E16*E25-E23</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BCEC-EBBD-4143-921E-3A70ED163F15}">
  <dimension ref="B15:G26"/>
  <sheetViews>
    <sheetView workbookViewId="0">
      <selection activeCell="D21" sqref="D21"/>
    </sheetView>
  </sheetViews>
  <sheetFormatPr defaultRowHeight="15"/>
  <cols>
    <col min="2" max="2" width="14.140625" customWidth="1"/>
    <col min="3" max="3" width="12.28515625" customWidth="1"/>
    <col min="4" max="4" width="11.42578125" customWidth="1"/>
  </cols>
  <sheetData>
    <row r="15" spans="3:4">
      <c r="C15" s="370" t="s">
        <v>492</v>
      </c>
      <c r="D15" s="370" t="s">
        <v>493</v>
      </c>
    </row>
    <row r="16" spans="3:4">
      <c r="C16" s="241">
        <v>35</v>
      </c>
      <c r="D16" s="241">
        <v>50</v>
      </c>
    </row>
    <row r="17" spans="2:7">
      <c r="C17" s="376">
        <v>80</v>
      </c>
      <c r="D17" s="376">
        <v>45</v>
      </c>
    </row>
    <row r="18" spans="2:7">
      <c r="C18" s="1"/>
      <c r="D18" s="1"/>
    </row>
    <row r="19" spans="2:7">
      <c r="B19" s="370" t="s">
        <v>494</v>
      </c>
      <c r="C19" s="370"/>
      <c r="D19" s="370"/>
      <c r="E19" s="370" t="s">
        <v>209</v>
      </c>
      <c r="F19" s="370" t="s">
        <v>220</v>
      </c>
      <c r="G19" s="370" t="s">
        <v>211</v>
      </c>
    </row>
    <row r="20" spans="2:7">
      <c r="B20" s="370" t="s">
        <v>495</v>
      </c>
      <c r="C20" s="370">
        <v>3</v>
      </c>
      <c r="D20" s="370">
        <v>5</v>
      </c>
      <c r="E20" s="370">
        <f>SUMPRODUCT(C20:D20,$C$16:$D$16)</f>
        <v>355</v>
      </c>
      <c r="F20" s="370" t="s">
        <v>199</v>
      </c>
      <c r="G20" s="370">
        <v>360</v>
      </c>
    </row>
    <row r="21" spans="2:7">
      <c r="B21" s="370" t="s">
        <v>496</v>
      </c>
      <c r="C21" s="370">
        <v>4</v>
      </c>
      <c r="D21" s="370">
        <v>2</v>
      </c>
      <c r="E21" s="370">
        <f>SUMPRODUCT(C21:D21,$C$16:$D$16)</f>
        <v>240</v>
      </c>
      <c r="F21" s="370" t="s">
        <v>199</v>
      </c>
      <c r="G21" s="370">
        <v>240</v>
      </c>
    </row>
    <row r="26" spans="2:7">
      <c r="B26" s="369" t="s">
        <v>61</v>
      </c>
      <c r="C26" s="377">
        <f>SUMPRODUCT(C16:D16,C17:D17)</f>
        <v>5050</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E842E-0415-4D50-8E2E-3C42E1872D8B}">
  <dimension ref="C14:E25"/>
  <sheetViews>
    <sheetView workbookViewId="0">
      <selection activeCell="L16" sqref="L16"/>
    </sheetView>
  </sheetViews>
  <sheetFormatPr defaultRowHeight="15"/>
  <cols>
    <col min="4" max="4" width="13.85546875" customWidth="1"/>
    <col min="5" max="5" width="14.7109375" bestFit="1" customWidth="1"/>
  </cols>
  <sheetData>
    <row r="14" spans="3:5">
      <c r="C14" s="370" t="s">
        <v>491</v>
      </c>
      <c r="D14" s="378">
        <v>3.7999999920392318</v>
      </c>
      <c r="E14" s="379">
        <f>((-10000)*D14)+70000</f>
        <v>32000.000079607686</v>
      </c>
    </row>
    <row r="17" spans="3:4">
      <c r="C17" s="46" t="s">
        <v>222</v>
      </c>
      <c r="D17" s="46"/>
    </row>
    <row r="18" spans="3:4">
      <c r="C18" s="371" t="s">
        <v>497</v>
      </c>
      <c r="D18" s="106">
        <v>2500</v>
      </c>
    </row>
    <row r="19" spans="3:4">
      <c r="C19" s="371" t="s">
        <v>490</v>
      </c>
      <c r="D19" s="48">
        <v>0.6</v>
      </c>
    </row>
    <row r="20" spans="3:4">
      <c r="C20" s="371" t="s">
        <v>161</v>
      </c>
      <c r="D20" s="48">
        <f>D18+D19*E14</f>
        <v>21700.00004776461</v>
      </c>
    </row>
    <row r="22" spans="3:4">
      <c r="C22" s="372"/>
    </row>
    <row r="25" spans="3:4">
      <c r="C25" t="s">
        <v>61</v>
      </c>
      <c r="D25" s="20">
        <f>D14*E14-D20</f>
        <v>99900.000000000015</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41DC-1FD0-458F-92EC-2CE4D7B3B286}">
  <dimension ref="A1:Q88"/>
  <sheetViews>
    <sheetView tabSelected="1" workbookViewId="0">
      <selection activeCell="K5" sqref="K5"/>
    </sheetView>
  </sheetViews>
  <sheetFormatPr defaultColWidth="10.140625" defaultRowHeight="15"/>
  <cols>
    <col min="1" max="1" width="13.7109375" bestFit="1" customWidth="1"/>
    <col min="2" max="2" width="16" bestFit="1" customWidth="1"/>
    <col min="3" max="3" width="16.42578125" customWidth="1"/>
    <col min="4" max="4" width="20.5703125" customWidth="1"/>
    <col min="5" max="5" width="19.42578125" bestFit="1" customWidth="1"/>
    <col min="6" max="7" width="19.85546875" bestFit="1" customWidth="1"/>
    <col min="8" max="8" width="10.28515625" bestFit="1" customWidth="1"/>
    <col min="9" max="9" width="11.42578125" bestFit="1" customWidth="1"/>
    <col min="10" max="10" width="8.28515625" customWidth="1"/>
    <col min="11" max="11" width="16.85546875" bestFit="1" customWidth="1"/>
    <col min="12" max="12" width="11.140625" customWidth="1"/>
    <col min="13" max="13" width="38.85546875" bestFit="1" customWidth="1"/>
    <col min="14" max="14" width="21.140625" bestFit="1" customWidth="1"/>
    <col min="15" max="15" width="18.85546875" customWidth="1"/>
    <col min="16" max="16" width="16.42578125" customWidth="1"/>
  </cols>
  <sheetData>
    <row r="1" spans="1:16" ht="21">
      <c r="A1" s="533" t="s">
        <v>498</v>
      </c>
      <c r="B1" s="534"/>
      <c r="C1" s="534"/>
      <c r="D1" s="534"/>
      <c r="E1" s="534"/>
      <c r="F1" s="534"/>
      <c r="G1" s="534"/>
      <c r="H1" s="534"/>
      <c r="I1" s="534"/>
      <c r="J1" s="534"/>
      <c r="K1" s="534"/>
      <c r="L1" s="534"/>
    </row>
    <row r="2" spans="1:16" ht="15.75">
      <c r="A2" s="535" t="s">
        <v>499</v>
      </c>
    </row>
    <row r="3" spans="1:16" ht="15.75">
      <c r="B3" s="536" t="s">
        <v>169</v>
      </c>
      <c r="C3" s="537" t="s">
        <v>500</v>
      </c>
      <c r="D3" s="537" t="s">
        <v>501</v>
      </c>
      <c r="E3" s="537" t="s">
        <v>172</v>
      </c>
      <c r="F3" s="537" t="s">
        <v>173</v>
      </c>
      <c r="G3" s="538" t="s">
        <v>174</v>
      </c>
      <c r="H3" s="537" t="s">
        <v>175</v>
      </c>
      <c r="I3" s="535"/>
      <c r="J3" s="535"/>
      <c r="M3" s="539" t="s">
        <v>502</v>
      </c>
      <c r="N3" s="539"/>
    </row>
    <row r="4" spans="1:16" ht="20.25">
      <c r="B4" s="540">
        <v>1</v>
      </c>
      <c r="C4" s="541" t="s">
        <v>503</v>
      </c>
      <c r="D4" s="542">
        <v>1</v>
      </c>
      <c r="E4" s="543">
        <v>250</v>
      </c>
      <c r="F4" s="543">
        <v>100</v>
      </c>
      <c r="G4" s="544">
        <v>100</v>
      </c>
      <c r="H4" s="541">
        <v>60</v>
      </c>
      <c r="M4" s="545" t="s">
        <v>504</v>
      </c>
      <c r="N4" s="546">
        <v>50000</v>
      </c>
      <c r="P4" s="547"/>
    </row>
    <row r="5" spans="1:16" ht="15.75">
      <c r="B5" s="540">
        <v>2</v>
      </c>
      <c r="C5" s="541" t="s">
        <v>503</v>
      </c>
      <c r="D5" s="542">
        <v>0.33</v>
      </c>
      <c r="E5" s="543">
        <v>500</v>
      </c>
      <c r="F5" s="543">
        <v>300</v>
      </c>
      <c r="G5" s="544">
        <v>300</v>
      </c>
      <c r="H5" s="541">
        <v>180</v>
      </c>
      <c r="M5" s="545" t="s">
        <v>505</v>
      </c>
      <c r="N5" s="546">
        <v>10000</v>
      </c>
    </row>
    <row r="6" spans="1:16" ht="15.75">
      <c r="B6" s="540">
        <v>3</v>
      </c>
      <c r="C6" s="541" t="s">
        <v>503</v>
      </c>
      <c r="D6" s="542">
        <v>0.5</v>
      </c>
      <c r="E6" s="543">
        <v>100</v>
      </c>
      <c r="F6" s="543">
        <v>200</v>
      </c>
      <c r="G6" s="544">
        <v>400</v>
      </c>
      <c r="H6" s="541">
        <v>80</v>
      </c>
      <c r="M6" s="545" t="s">
        <v>506</v>
      </c>
      <c r="N6" s="546">
        <v>4000</v>
      </c>
    </row>
    <row r="7" spans="1:16" ht="15.75">
      <c r="B7" s="540">
        <v>4</v>
      </c>
      <c r="C7" s="541" t="s">
        <v>503</v>
      </c>
      <c r="D7" s="542">
        <v>1</v>
      </c>
      <c r="E7" s="543">
        <v>750</v>
      </c>
      <c r="F7" s="543">
        <v>500</v>
      </c>
      <c r="G7" s="544">
        <v>300</v>
      </c>
      <c r="H7" s="541">
        <v>310</v>
      </c>
      <c r="M7" s="545" t="s">
        <v>507</v>
      </c>
      <c r="N7" s="548">
        <v>0.12</v>
      </c>
    </row>
    <row r="8" spans="1:16">
      <c r="B8" s="540">
        <v>5</v>
      </c>
      <c r="C8" s="541" t="s">
        <v>503</v>
      </c>
      <c r="D8" s="542">
        <v>0.75</v>
      </c>
      <c r="E8" s="543">
        <v>200</v>
      </c>
      <c r="F8" s="543">
        <v>400</v>
      </c>
      <c r="G8" s="544">
        <v>800</v>
      </c>
      <c r="H8" s="541">
        <v>220</v>
      </c>
    </row>
    <row r="9" spans="1:16" ht="15.75">
      <c r="B9" s="549">
        <v>6</v>
      </c>
      <c r="C9" s="75" t="s">
        <v>508</v>
      </c>
      <c r="D9" s="550">
        <v>0.5</v>
      </c>
      <c r="E9" s="551">
        <v>1000</v>
      </c>
      <c r="F9" s="551">
        <v>300</v>
      </c>
      <c r="G9" s="552">
        <v>300</v>
      </c>
      <c r="H9" s="75">
        <v>180</v>
      </c>
      <c r="M9" s="553" t="s">
        <v>509</v>
      </c>
      <c r="N9" s="554"/>
    </row>
    <row r="10" spans="1:16">
      <c r="B10" s="549">
        <v>7</v>
      </c>
      <c r="C10" s="75" t="s">
        <v>508</v>
      </c>
      <c r="D10" s="550">
        <v>1</v>
      </c>
      <c r="E10" s="551">
        <v>750</v>
      </c>
      <c r="F10" s="551">
        <v>750</v>
      </c>
      <c r="G10" s="552">
        <v>300</v>
      </c>
      <c r="H10" s="75">
        <v>410</v>
      </c>
      <c r="M10" s="46" t="s">
        <v>510</v>
      </c>
      <c r="N10" s="46">
        <f>IF(D38&lt;4000,1,0)</f>
        <v>1</v>
      </c>
    </row>
    <row r="11" spans="1:16">
      <c r="B11" s="549">
        <v>8</v>
      </c>
      <c r="C11" s="75" t="s">
        <v>508</v>
      </c>
      <c r="D11" s="550">
        <v>1</v>
      </c>
      <c r="E11" s="551">
        <v>800</v>
      </c>
      <c r="F11" s="551">
        <v>700</v>
      </c>
      <c r="G11" s="552">
        <v>600</v>
      </c>
      <c r="H11" s="75">
        <v>280</v>
      </c>
      <c r="M11" s="46" t="s">
        <v>511</v>
      </c>
      <c r="N11" s="46">
        <f>IF(E38&lt;4000,1,0)</f>
        <v>1</v>
      </c>
    </row>
    <row r="12" spans="1:16">
      <c r="B12" s="549">
        <v>9</v>
      </c>
      <c r="C12" s="75" t="s">
        <v>508</v>
      </c>
      <c r="D12" s="550">
        <v>0.67</v>
      </c>
      <c r="E12" s="551">
        <v>400</v>
      </c>
      <c r="F12" s="551">
        <v>600</v>
      </c>
      <c r="G12" s="552">
        <v>800</v>
      </c>
      <c r="H12" s="75">
        <v>380</v>
      </c>
      <c r="M12" s="46" t="s">
        <v>512</v>
      </c>
      <c r="N12" s="46">
        <f>IF(F38&lt;4000,1,0)</f>
        <v>1</v>
      </c>
    </row>
    <row r="13" spans="1:16">
      <c r="B13" s="555">
        <v>10</v>
      </c>
      <c r="C13" s="556" t="s">
        <v>513</v>
      </c>
      <c r="D13" s="557">
        <v>1</v>
      </c>
      <c r="E13" s="558">
        <v>100</v>
      </c>
      <c r="F13" s="558">
        <v>200</v>
      </c>
      <c r="G13" s="559">
        <v>400</v>
      </c>
      <c r="H13" s="556">
        <v>100</v>
      </c>
      <c r="M13" s="46" t="s">
        <v>514</v>
      </c>
      <c r="N13" s="46">
        <f>IF(G38&lt;10000,1,0)</f>
        <v>1</v>
      </c>
    </row>
    <row r="14" spans="1:16">
      <c r="B14" s="555">
        <v>11</v>
      </c>
      <c r="C14" s="556" t="s">
        <v>513</v>
      </c>
      <c r="D14" s="557">
        <v>0.5</v>
      </c>
      <c r="E14" s="558">
        <v>700</v>
      </c>
      <c r="F14" s="558">
        <v>500</v>
      </c>
      <c r="G14" s="559">
        <v>300</v>
      </c>
      <c r="H14" s="556">
        <v>260</v>
      </c>
      <c r="M14" s="46" t="s">
        <v>515</v>
      </c>
      <c r="N14" s="46">
        <f>IF(AND(N15&gt;=1,N16&gt;=1,N17&gt;=1),1,0)</f>
        <v>1</v>
      </c>
      <c r="O14" s="46" t="s">
        <v>515</v>
      </c>
      <c r="P14" s="46"/>
    </row>
    <row r="15" spans="1:16">
      <c r="B15" s="555">
        <v>12</v>
      </c>
      <c r="C15" s="556" t="s">
        <v>513</v>
      </c>
      <c r="D15" s="557">
        <v>1</v>
      </c>
      <c r="E15" s="558">
        <v>1500</v>
      </c>
      <c r="F15" s="558">
        <v>400</v>
      </c>
      <c r="G15" s="559">
        <v>400</v>
      </c>
      <c r="H15" s="556">
        <v>340</v>
      </c>
      <c r="M15" s="46" t="s">
        <v>516</v>
      </c>
      <c r="N15" s="46">
        <f>SUM(K19:K23)</f>
        <v>3</v>
      </c>
      <c r="O15" s="375" t="s">
        <v>203</v>
      </c>
      <c r="P15" s="46">
        <v>1</v>
      </c>
    </row>
    <row r="16" spans="1:16" ht="17.100000000000001" customHeight="1">
      <c r="M16" s="46" t="s">
        <v>517</v>
      </c>
      <c r="N16" s="46">
        <f>SUM(K26:K29)</f>
        <v>4</v>
      </c>
      <c r="O16" s="375" t="s">
        <v>203</v>
      </c>
      <c r="P16" s="46">
        <v>1</v>
      </c>
    </row>
    <row r="17" spans="1:17" ht="15.75">
      <c r="D17" s="560" t="s">
        <v>518</v>
      </c>
      <c r="E17" s="560"/>
      <c r="F17" s="560"/>
      <c r="G17" s="560"/>
      <c r="M17" s="46" t="s">
        <v>519</v>
      </c>
      <c r="N17" s="46">
        <f>SUM(K32:K34)</f>
        <v>1</v>
      </c>
      <c r="O17" s="375" t="s">
        <v>203</v>
      </c>
      <c r="P17" s="46">
        <v>1</v>
      </c>
    </row>
    <row r="18" spans="1:17" ht="15.75">
      <c r="A18" s="561" t="s">
        <v>169</v>
      </c>
      <c r="B18" s="562" t="s">
        <v>500</v>
      </c>
      <c r="C18" s="562" t="s">
        <v>501</v>
      </c>
      <c r="D18" s="562" t="s">
        <v>520</v>
      </c>
      <c r="E18" s="562" t="s">
        <v>521</v>
      </c>
      <c r="F18" s="563" t="s">
        <v>522</v>
      </c>
      <c r="G18" s="562" t="s">
        <v>523</v>
      </c>
      <c r="H18" s="563" t="s">
        <v>175</v>
      </c>
      <c r="I18" s="562" t="s">
        <v>524</v>
      </c>
      <c r="J18" s="562" t="s">
        <v>183</v>
      </c>
      <c r="K18" s="564" t="s">
        <v>525</v>
      </c>
      <c r="L18" s="565" t="s">
        <v>526</v>
      </c>
      <c r="M18" s="46" t="s">
        <v>527</v>
      </c>
      <c r="N18" s="46">
        <f>SUM(N15:N17)</f>
        <v>8</v>
      </c>
      <c r="O18" s="375" t="s">
        <v>203</v>
      </c>
      <c r="P18" s="46">
        <v>1</v>
      </c>
    </row>
    <row r="19" spans="1:17">
      <c r="A19" s="566">
        <v>1</v>
      </c>
      <c r="B19" s="567" t="s">
        <v>503</v>
      </c>
      <c r="C19" s="52">
        <v>1</v>
      </c>
      <c r="D19" s="568">
        <f>E4*C19</f>
        <v>250</v>
      </c>
      <c r="E19" s="568">
        <f>F4*C19</f>
        <v>100</v>
      </c>
      <c r="F19" s="569">
        <f>G4*C19</f>
        <v>100</v>
      </c>
      <c r="G19" s="569">
        <f>SUM(D19,E19,F19)</f>
        <v>450</v>
      </c>
      <c r="H19" s="569">
        <f>H4</f>
        <v>60</v>
      </c>
      <c r="I19" s="568">
        <f>H19*(1-$N$7)</f>
        <v>52.8</v>
      </c>
      <c r="J19" s="52" t="str">
        <f>IF(K19=0,"",I19/SUM(E4:G4))</f>
        <v/>
      </c>
      <c r="K19" s="570">
        <v>0</v>
      </c>
      <c r="L19" s="1" t="e">
        <f>MATCH(1,C71:J71,0)</f>
        <v>#N/A</v>
      </c>
    </row>
    <row r="20" spans="1:17" ht="15.75">
      <c r="A20" s="566">
        <v>2</v>
      </c>
      <c r="B20" s="567" t="s">
        <v>503</v>
      </c>
      <c r="C20" s="52">
        <v>0.33</v>
      </c>
      <c r="D20" s="568">
        <f>E5*C20</f>
        <v>165</v>
      </c>
      <c r="E20" s="568">
        <f>F5*C20</f>
        <v>99</v>
      </c>
      <c r="F20" s="569">
        <f>G5*C20</f>
        <v>99</v>
      </c>
      <c r="G20" s="569">
        <f>SUM(D20,E20,F20)</f>
        <v>363</v>
      </c>
      <c r="H20" s="569">
        <f>H5</f>
        <v>180</v>
      </c>
      <c r="I20" s="568">
        <f>H20*(1-$N$7)</f>
        <v>158.4</v>
      </c>
      <c r="J20" s="52">
        <f>IF(K20=0,"",I20/SUM(E5:G5))</f>
        <v>0.14400000000000002</v>
      </c>
      <c r="K20" s="570">
        <v>1</v>
      </c>
      <c r="L20" s="1">
        <f>_xlfn.XMATCH(1,C72:J72,0)</f>
        <v>4</v>
      </c>
      <c r="M20" s="562" t="s">
        <v>528</v>
      </c>
      <c r="N20" s="537">
        <f>IF(SUM(N10:N14)=5,1,0)</f>
        <v>1</v>
      </c>
    </row>
    <row r="21" spans="1:17">
      <c r="A21" s="566">
        <v>3</v>
      </c>
      <c r="B21" s="567" t="s">
        <v>503</v>
      </c>
      <c r="C21" s="52">
        <v>0.5</v>
      </c>
      <c r="D21" s="568">
        <f>E6*C21</f>
        <v>50</v>
      </c>
      <c r="E21" s="568">
        <f>F6*C21</f>
        <v>100</v>
      </c>
      <c r="F21" s="569">
        <f>G6*C21</f>
        <v>200</v>
      </c>
      <c r="G21" s="569">
        <f t="shared" ref="G21:G34" si="0">SUM(D21,E21,F21)</f>
        <v>350</v>
      </c>
      <c r="H21" s="569">
        <f>H6</f>
        <v>80</v>
      </c>
      <c r="I21" s="568">
        <f>H21*(1-$N$7)</f>
        <v>70.400000000000006</v>
      </c>
      <c r="J21" s="52" t="str">
        <f>IF(K21=0,"",I21/SUM(E6:G6))</f>
        <v/>
      </c>
      <c r="K21" s="570">
        <v>0</v>
      </c>
      <c r="L21" s="1" t="e">
        <f>_xlfn.XMATCH(1,C73:J73,0)</f>
        <v>#N/A</v>
      </c>
    </row>
    <row r="22" spans="1:17">
      <c r="A22" s="566">
        <v>4</v>
      </c>
      <c r="B22" s="567" t="s">
        <v>503</v>
      </c>
      <c r="C22" s="571">
        <v>1</v>
      </c>
      <c r="D22" s="568">
        <f>E7*C22</f>
        <v>750</v>
      </c>
      <c r="E22" s="568">
        <f>F7*C22</f>
        <v>500</v>
      </c>
      <c r="F22" s="569">
        <f>G7*C22</f>
        <v>300</v>
      </c>
      <c r="G22" s="569">
        <f t="shared" si="0"/>
        <v>1550</v>
      </c>
      <c r="H22" s="569">
        <f>H7</f>
        <v>310</v>
      </c>
      <c r="I22" s="568">
        <f>H22*(1-$N$7)</f>
        <v>272.8</v>
      </c>
      <c r="J22" s="52">
        <f>IF(K22=0,"",I22/SUM(E7:G7))</f>
        <v>0.17600000000000002</v>
      </c>
      <c r="K22" s="570">
        <v>1</v>
      </c>
      <c r="L22" s="1">
        <f>_xlfn.XMATCH(1,C74:J74,0)</f>
        <v>1</v>
      </c>
    </row>
    <row r="23" spans="1:17">
      <c r="A23" s="566">
        <v>5</v>
      </c>
      <c r="B23" s="567" t="s">
        <v>503</v>
      </c>
      <c r="C23" s="572">
        <v>0.75</v>
      </c>
      <c r="D23" s="568">
        <f>E8*C23</f>
        <v>150</v>
      </c>
      <c r="E23" s="568">
        <f>F8*C23</f>
        <v>300</v>
      </c>
      <c r="F23" s="569">
        <f>G8*C23</f>
        <v>600</v>
      </c>
      <c r="G23" s="568">
        <f t="shared" si="0"/>
        <v>1050</v>
      </c>
      <c r="H23" s="569">
        <f>H8</f>
        <v>220</v>
      </c>
      <c r="I23" s="568">
        <f>H23*(1-$N$7)</f>
        <v>193.6</v>
      </c>
      <c r="J23" s="52">
        <f>IF(K23=0,"",I23/SUM(E8:G8))</f>
        <v>0.13828571428571429</v>
      </c>
      <c r="K23" s="570">
        <v>1</v>
      </c>
      <c r="L23" s="1">
        <f t="shared" ref="L23" si="1">_xlfn.XMATCH(1,C75:J75,0)</f>
        <v>7</v>
      </c>
    </row>
    <row r="24" spans="1:17" ht="15.75">
      <c r="C24" s="573" t="s">
        <v>529</v>
      </c>
      <c r="D24" s="574">
        <f>SUMPRODUCT(D19:D23,K19:K23)</f>
        <v>1065</v>
      </c>
      <c r="E24" s="574">
        <f>SUMPRODUCT(E19:E23,K19:K23)</f>
        <v>899</v>
      </c>
      <c r="F24" s="574">
        <f>SUMPRODUCT(F19:F23,K19:K23)</f>
        <v>999</v>
      </c>
      <c r="G24" s="574">
        <f t="shared" si="0"/>
        <v>2963</v>
      </c>
      <c r="K24" s="1"/>
      <c r="L24" s="1"/>
      <c r="O24" s="427" t="s">
        <v>530</v>
      </c>
      <c r="P24" s="427"/>
      <c r="Q24" s="427"/>
    </row>
    <row r="25" spans="1:17">
      <c r="K25" s="1"/>
      <c r="L25" s="1"/>
      <c r="N25" s="46"/>
      <c r="O25" s="375" t="s">
        <v>531</v>
      </c>
      <c r="P25" s="375" t="s">
        <v>532</v>
      </c>
      <c r="Q25" s="375" t="s">
        <v>533</v>
      </c>
    </row>
    <row r="26" spans="1:17">
      <c r="A26" s="566">
        <v>6</v>
      </c>
      <c r="B26" s="575" t="s">
        <v>508</v>
      </c>
      <c r="C26" s="52">
        <v>0.5</v>
      </c>
      <c r="D26" s="568">
        <f>E9*C26</f>
        <v>500</v>
      </c>
      <c r="E26" s="568">
        <f>F9*C26</f>
        <v>150</v>
      </c>
      <c r="F26" s="569">
        <f>G9*C26</f>
        <v>150</v>
      </c>
      <c r="G26" s="569">
        <f t="shared" si="0"/>
        <v>800</v>
      </c>
      <c r="H26" s="569">
        <f>H9</f>
        <v>180</v>
      </c>
      <c r="I26" s="568">
        <f>H26*(1-$N$7)</f>
        <v>158.4</v>
      </c>
      <c r="J26" s="52">
        <f>IF(K26=0,"",I26/SUM(E9:G9))</f>
        <v>9.9000000000000005E-2</v>
      </c>
      <c r="K26" s="570">
        <v>1</v>
      </c>
      <c r="L26" s="1">
        <f>_xlfn.XMATCH(1,C76:J76,0)</f>
        <v>6</v>
      </c>
      <c r="M26" s="419" t="s">
        <v>534</v>
      </c>
      <c r="N26" s="375" t="s">
        <v>535</v>
      </c>
      <c r="O26" s="576">
        <f>D24</f>
        <v>1065</v>
      </c>
      <c r="P26" s="576">
        <f>E24</f>
        <v>899</v>
      </c>
      <c r="Q26" s="576">
        <f>F24</f>
        <v>999</v>
      </c>
    </row>
    <row r="27" spans="1:17">
      <c r="A27" s="566">
        <v>7</v>
      </c>
      <c r="B27" s="575" t="s">
        <v>508</v>
      </c>
      <c r="C27" s="52">
        <v>1</v>
      </c>
      <c r="D27" s="568">
        <f>E10*C27</f>
        <v>750</v>
      </c>
      <c r="E27" s="568">
        <f>F10*C27</f>
        <v>750</v>
      </c>
      <c r="F27" s="569">
        <f>G10*C27</f>
        <v>300</v>
      </c>
      <c r="G27" s="569">
        <f t="shared" si="0"/>
        <v>1800</v>
      </c>
      <c r="H27" s="569">
        <f>H10</f>
        <v>410</v>
      </c>
      <c r="I27" s="568">
        <f>H27*(1-$N$7)</f>
        <v>360.8</v>
      </c>
      <c r="J27" s="52">
        <f>IF(K27=0,"",I27/SUM(E10:G10))</f>
        <v>0.20044444444444445</v>
      </c>
      <c r="K27" s="570">
        <v>1</v>
      </c>
      <c r="L27" s="1">
        <f t="shared" ref="L27:L29" si="2">_xlfn.XMATCH(1,C77:J77,0)</f>
        <v>5</v>
      </c>
      <c r="M27" s="419"/>
      <c r="N27" s="375" t="s">
        <v>508</v>
      </c>
      <c r="O27" s="576">
        <f>D30</f>
        <v>2318</v>
      </c>
      <c r="P27" s="576">
        <f>E30</f>
        <v>2002</v>
      </c>
      <c r="Q27" s="576">
        <f>F30</f>
        <v>1586</v>
      </c>
    </row>
    <row r="28" spans="1:17">
      <c r="A28" s="566">
        <v>8</v>
      </c>
      <c r="B28" s="575" t="s">
        <v>508</v>
      </c>
      <c r="C28" s="52">
        <v>1</v>
      </c>
      <c r="D28" s="568">
        <f>E11*C28</f>
        <v>800</v>
      </c>
      <c r="E28" s="568">
        <f>F11*C28</f>
        <v>700</v>
      </c>
      <c r="F28" s="569">
        <f>G11*C28</f>
        <v>600</v>
      </c>
      <c r="G28" s="569">
        <f t="shared" si="0"/>
        <v>2100</v>
      </c>
      <c r="H28" s="569">
        <f>H11</f>
        <v>280</v>
      </c>
      <c r="I28" s="568">
        <f>H28*(1-$N$7)</f>
        <v>246.4</v>
      </c>
      <c r="J28" s="52">
        <f>IF(K28=0,"",I28/SUM(E11:G11))</f>
        <v>0.11733333333333333</v>
      </c>
      <c r="K28" s="570">
        <v>1</v>
      </c>
      <c r="L28" s="1">
        <f t="shared" si="2"/>
        <v>2</v>
      </c>
      <c r="M28" s="419"/>
      <c r="N28" s="375" t="s">
        <v>513</v>
      </c>
      <c r="O28" s="576">
        <f>D35</f>
        <v>350</v>
      </c>
      <c r="P28" s="576">
        <f>E35</f>
        <v>250</v>
      </c>
      <c r="Q28" s="576">
        <f>F35</f>
        <v>150</v>
      </c>
    </row>
    <row r="29" spans="1:17">
      <c r="A29" s="566">
        <v>9</v>
      </c>
      <c r="B29" s="575" t="s">
        <v>508</v>
      </c>
      <c r="C29" s="52">
        <v>0.67</v>
      </c>
      <c r="D29" s="568">
        <f>E12*C29</f>
        <v>268</v>
      </c>
      <c r="E29" s="568">
        <f>F12*C29</f>
        <v>402</v>
      </c>
      <c r="F29" s="569">
        <f>G12*C29</f>
        <v>536</v>
      </c>
      <c r="G29" s="569">
        <f t="shared" si="0"/>
        <v>1206</v>
      </c>
      <c r="H29" s="569">
        <f>H12</f>
        <v>380</v>
      </c>
      <c r="I29" s="568">
        <f>H29*(1-$N$7)</f>
        <v>334.4</v>
      </c>
      <c r="J29" s="52">
        <f>IF(K29=0,"",I29/SUM(E12:G12))</f>
        <v>0.18577777777777776</v>
      </c>
      <c r="K29" s="570">
        <v>1</v>
      </c>
      <c r="L29" s="1">
        <f t="shared" si="2"/>
        <v>3</v>
      </c>
    </row>
    <row r="30" spans="1:17" ht="15.75">
      <c r="C30" s="573" t="s">
        <v>536</v>
      </c>
      <c r="D30" s="574">
        <f>SUMPRODUCT(D26:D29,$K$26:$K$29)</f>
        <v>2318</v>
      </c>
      <c r="E30" s="574">
        <f>SUMPRODUCT(E26:E29,$K$26:$K$29)</f>
        <v>2002</v>
      </c>
      <c r="F30" s="574">
        <f>SUMPRODUCT(F26:F29,$K$26:$K$29)</f>
        <v>1586</v>
      </c>
      <c r="G30" s="576">
        <f>SUM(D30:F30)</f>
        <v>5906</v>
      </c>
      <c r="K30" s="1"/>
      <c r="L30" s="1"/>
    </row>
    <row r="31" spans="1:17">
      <c r="K31" s="1"/>
      <c r="L31" s="1"/>
    </row>
    <row r="32" spans="1:17">
      <c r="A32" s="566">
        <v>10</v>
      </c>
      <c r="B32" s="577" t="s">
        <v>513</v>
      </c>
      <c r="C32" s="52">
        <v>1</v>
      </c>
      <c r="D32" s="568">
        <f>E13*C32</f>
        <v>100</v>
      </c>
      <c r="E32" s="568">
        <f>F13*C32</f>
        <v>200</v>
      </c>
      <c r="F32" s="569">
        <f>G13*C32</f>
        <v>400</v>
      </c>
      <c r="G32" s="569">
        <f t="shared" si="0"/>
        <v>700</v>
      </c>
      <c r="H32" s="578">
        <f>H13</f>
        <v>100</v>
      </c>
      <c r="I32" s="568">
        <f>H32*(1-$N$7)</f>
        <v>88</v>
      </c>
      <c r="J32" s="52" t="str">
        <f>IF(K32=0,"",I32/SUM(E13:G13))</f>
        <v/>
      </c>
      <c r="K32" s="570">
        <v>0</v>
      </c>
      <c r="L32" s="1" t="e">
        <f>_xlfn.XMATCH(1,C80:J80,0)</f>
        <v>#N/A</v>
      </c>
    </row>
    <row r="33" spans="1:12">
      <c r="A33" s="566">
        <v>11</v>
      </c>
      <c r="B33" s="577" t="s">
        <v>513</v>
      </c>
      <c r="C33" s="52">
        <v>0.5</v>
      </c>
      <c r="D33" s="568">
        <f>E14*C33</f>
        <v>350</v>
      </c>
      <c r="E33" s="568">
        <f>F14*C33</f>
        <v>250</v>
      </c>
      <c r="F33" s="569">
        <f>G14*C33</f>
        <v>150</v>
      </c>
      <c r="G33" s="569">
        <f t="shared" si="0"/>
        <v>750</v>
      </c>
      <c r="H33" s="578">
        <f>H14</f>
        <v>260</v>
      </c>
      <c r="I33" s="568">
        <f>H33*(1-$N$7)</f>
        <v>228.8</v>
      </c>
      <c r="J33" s="52">
        <f>IF(K33=0,"",I33/SUM(E14:G14))</f>
        <v>0.15253333333333335</v>
      </c>
      <c r="K33" s="570">
        <v>1</v>
      </c>
      <c r="L33" s="1">
        <f t="shared" ref="L33:L34" si="3">_xlfn.XMATCH(1,C81:J81,0)</f>
        <v>8</v>
      </c>
    </row>
    <row r="34" spans="1:12">
      <c r="A34" s="566">
        <v>12</v>
      </c>
      <c r="B34" s="577" t="s">
        <v>513</v>
      </c>
      <c r="C34" s="52">
        <v>1</v>
      </c>
      <c r="D34" s="568">
        <f>E15*C34</f>
        <v>1500</v>
      </c>
      <c r="E34" s="568">
        <f>F15*C34</f>
        <v>400</v>
      </c>
      <c r="F34" s="569">
        <f>G15*C34</f>
        <v>400</v>
      </c>
      <c r="G34" s="569">
        <f t="shared" si="0"/>
        <v>2300</v>
      </c>
      <c r="H34" s="578">
        <f>H15</f>
        <v>340</v>
      </c>
      <c r="I34" s="568">
        <f>H34*(1-$N$7)</f>
        <v>299.2</v>
      </c>
      <c r="J34" s="52" t="str">
        <f>IF(K34=0,"",I34/SUM(E15:G15))</f>
        <v/>
      </c>
      <c r="K34" s="570">
        <v>0</v>
      </c>
      <c r="L34" s="1" t="e">
        <f t="shared" si="3"/>
        <v>#N/A</v>
      </c>
    </row>
    <row r="35" spans="1:12" ht="15.75">
      <c r="C35" s="573" t="s">
        <v>537</v>
      </c>
      <c r="D35" s="568">
        <f>SUMPRODUCT(D32:D34,$K$32:$K$34)</f>
        <v>350</v>
      </c>
      <c r="E35" s="568">
        <f>SUMPRODUCT(E32:E34,$K$32:$K$34)</f>
        <v>250</v>
      </c>
      <c r="F35" s="568">
        <f>SUMPRODUCT(F32:F34,$K$32:$K$34)</f>
        <v>150</v>
      </c>
      <c r="G35" s="568">
        <f>SUM(D35:F35)</f>
        <v>750</v>
      </c>
    </row>
    <row r="36" spans="1:12">
      <c r="F36" s="579"/>
      <c r="G36" s="579"/>
    </row>
    <row r="37" spans="1:12" ht="15.75">
      <c r="D37" s="562" t="s">
        <v>520</v>
      </c>
      <c r="E37" s="562" t="s">
        <v>521</v>
      </c>
      <c r="F37" s="563" t="s">
        <v>522</v>
      </c>
      <c r="G37" s="562" t="s">
        <v>523</v>
      </c>
      <c r="I37" s="580" t="s">
        <v>538</v>
      </c>
    </row>
    <row r="38" spans="1:12" ht="15.75">
      <c r="C38" s="573" t="s">
        <v>539</v>
      </c>
      <c r="D38" s="581">
        <f>SUMPRODUCT(D19:D23,$K$19:$K$23)+SUMPRODUCT(D26:D29,$K$26:$K$29)+SUMPRODUCT(D32:D34,$K$32:$K$34)</f>
        <v>3733</v>
      </c>
      <c r="E38" s="581">
        <f>SUMPRODUCT(E19:E23,$K$19:$K$23)+SUMPRODUCT(E26:E29,$K$26:$K$29)+SUMPRODUCT(E32:E34,$K$32:$K$34)</f>
        <v>3151</v>
      </c>
      <c r="F38" s="581">
        <f>SUMPRODUCT(F19:F23,$K$19:$K$23)+SUMPRODUCT(F26:F29,$K$26:$K$29)+SUMPRODUCT(F32:F34,$K$32:$K$34)</f>
        <v>2735</v>
      </c>
      <c r="G38" s="581">
        <f>SUM(D38:F38)</f>
        <v>9619</v>
      </c>
      <c r="I38" s="582">
        <f>SUMPRODUCT(I19:I34,K19:K34)</f>
        <v>1953.6000000000001</v>
      </c>
      <c r="J38" t="s">
        <v>540</v>
      </c>
    </row>
    <row r="39" spans="1:12">
      <c r="D39" s="1" t="s">
        <v>199</v>
      </c>
      <c r="E39" s="1" t="s">
        <v>199</v>
      </c>
      <c r="F39" s="1" t="s">
        <v>199</v>
      </c>
      <c r="G39" s="1" t="s">
        <v>199</v>
      </c>
    </row>
    <row r="40" spans="1:12">
      <c r="D40" s="1">
        <v>4000</v>
      </c>
      <c r="E40" s="1">
        <v>4000</v>
      </c>
      <c r="F40" s="1">
        <v>4000</v>
      </c>
      <c r="G40" s="1">
        <v>10000</v>
      </c>
    </row>
    <row r="42" spans="1:12" ht="15.75">
      <c r="E42" s="583" t="s">
        <v>541</v>
      </c>
      <c r="F42" s="583"/>
      <c r="G42" s="583"/>
    </row>
    <row r="43" spans="1:12" ht="15.75">
      <c r="D43" s="562" t="s">
        <v>542</v>
      </c>
      <c r="E43" s="562" t="s">
        <v>543</v>
      </c>
      <c r="F43" s="562" t="s">
        <v>544</v>
      </c>
      <c r="G43" s="562" t="s">
        <v>545</v>
      </c>
    </row>
    <row r="44" spans="1:12" ht="15.75">
      <c r="D44" s="584"/>
      <c r="E44" s="585">
        <f>AVERAGE(J19:J34)</f>
        <v>0.15167182539682542</v>
      </c>
      <c r="F44" s="585">
        <f>MIN(J19:J34)</f>
        <v>9.9000000000000005E-2</v>
      </c>
      <c r="G44" s="585">
        <f>MAX(J19:J34)</f>
        <v>0.20044444444444445</v>
      </c>
    </row>
    <row r="45" spans="1:12">
      <c r="D45" s="52">
        <v>0</v>
      </c>
      <c r="E45" s="52">
        <v>0.17235434704184704</v>
      </c>
      <c r="F45" s="52">
        <v>0.1125</v>
      </c>
      <c r="G45" s="52">
        <v>0.22777777777777777</v>
      </c>
    </row>
    <row r="46" spans="1:12">
      <c r="D46" s="52">
        <v>0.05</v>
      </c>
      <c r="E46" s="52">
        <v>0.16373662968975469</v>
      </c>
      <c r="F46" s="52">
        <v>0.106875</v>
      </c>
      <c r="G46" s="52">
        <v>0.21638888888888888</v>
      </c>
    </row>
    <row r="47" spans="1:12">
      <c r="D47" s="52">
        <v>0.1</v>
      </c>
      <c r="E47" s="52">
        <v>0.15511891233766231</v>
      </c>
      <c r="F47" s="52">
        <v>0.10125000000000001</v>
      </c>
      <c r="G47" s="52">
        <v>0.20499999999999999</v>
      </c>
    </row>
    <row r="48" spans="1:12">
      <c r="D48" s="52">
        <v>0.15</v>
      </c>
      <c r="E48" s="52">
        <v>0.14650119498556999</v>
      </c>
      <c r="F48" s="52">
        <v>9.5625000000000002E-2</v>
      </c>
      <c r="G48" s="52">
        <v>0.19361111111111112</v>
      </c>
    </row>
    <row r="49" spans="1:10">
      <c r="D49" s="52">
        <v>0.2</v>
      </c>
      <c r="E49" s="52">
        <v>0.13788347763347764</v>
      </c>
      <c r="F49" s="52">
        <v>0.09</v>
      </c>
      <c r="G49" s="52">
        <v>0.18222222222222223</v>
      </c>
    </row>
    <row r="50" spans="1:10">
      <c r="D50" s="52">
        <v>0.25</v>
      </c>
      <c r="E50" s="52">
        <v>0.12926576028138526</v>
      </c>
      <c r="F50" s="52">
        <v>8.4375000000000006E-2</v>
      </c>
      <c r="G50" s="52">
        <v>0.17083333333333334</v>
      </c>
    </row>
    <row r="51" spans="1:10">
      <c r="D51" s="52">
        <v>0.3</v>
      </c>
      <c r="E51" s="52">
        <v>0.12064804292929292</v>
      </c>
      <c r="F51" s="52">
        <v>7.8749999999999987E-2</v>
      </c>
      <c r="G51" s="52">
        <v>0.15944444444444444</v>
      </c>
    </row>
    <row r="53" spans="1:10" ht="20.25" thickBot="1">
      <c r="A53" s="586" t="s">
        <v>546</v>
      </c>
    </row>
    <row r="54" spans="1:10" ht="16.5" thickTop="1">
      <c r="A54" s="46"/>
      <c r="B54" s="583" t="s">
        <v>547</v>
      </c>
      <c r="C54" s="583"/>
      <c r="D54" s="583"/>
      <c r="E54" s="583"/>
      <c r="F54" s="583"/>
      <c r="G54" s="583"/>
      <c r="H54" s="583"/>
      <c r="I54" s="583"/>
      <c r="J54" s="46"/>
    </row>
    <row r="55" spans="1:10" ht="16.5" thickBot="1">
      <c r="A55" s="46"/>
      <c r="B55" s="46"/>
      <c r="C55" s="587">
        <v>1</v>
      </c>
      <c r="D55" s="587">
        <v>2</v>
      </c>
      <c r="E55" s="587">
        <v>3</v>
      </c>
      <c r="F55" s="587">
        <v>4</v>
      </c>
      <c r="G55" s="587">
        <v>5</v>
      </c>
      <c r="H55" s="587">
        <v>6</v>
      </c>
      <c r="I55" s="587">
        <v>7</v>
      </c>
      <c r="J55" s="587">
        <v>8</v>
      </c>
    </row>
    <row r="56" spans="1:10" ht="16.5" thickTop="1">
      <c r="A56" s="588" t="s">
        <v>548</v>
      </c>
      <c r="B56" s="562">
        <v>1</v>
      </c>
      <c r="C56" s="589">
        <v>1</v>
      </c>
      <c r="D56" s="589">
        <v>1</v>
      </c>
      <c r="E56" s="589">
        <v>1</v>
      </c>
      <c r="F56" s="589">
        <v>1</v>
      </c>
      <c r="G56" s="589">
        <v>1</v>
      </c>
      <c r="H56" s="589">
        <v>0</v>
      </c>
      <c r="I56" s="589">
        <v>0</v>
      </c>
      <c r="J56" s="589">
        <v>0</v>
      </c>
    </row>
    <row r="57" spans="1:10" ht="15.75">
      <c r="A57" s="588"/>
      <c r="B57" s="562">
        <v>2</v>
      </c>
      <c r="C57" s="46">
        <v>1</v>
      </c>
      <c r="D57" s="46">
        <v>1</v>
      </c>
      <c r="E57" s="46">
        <v>1</v>
      </c>
      <c r="F57" s="46">
        <v>1</v>
      </c>
      <c r="G57" s="46">
        <v>0</v>
      </c>
      <c r="H57" s="46">
        <v>1</v>
      </c>
      <c r="I57" s="46">
        <v>0</v>
      </c>
      <c r="J57" s="46">
        <v>1</v>
      </c>
    </row>
    <row r="58" spans="1:10" ht="15.75">
      <c r="A58" s="588"/>
      <c r="B58" s="562">
        <v>3</v>
      </c>
      <c r="C58" s="46">
        <v>1</v>
      </c>
      <c r="D58" s="46">
        <v>0</v>
      </c>
      <c r="E58" s="46">
        <v>0</v>
      </c>
      <c r="F58" s="46">
        <v>1</v>
      </c>
      <c r="G58" s="46">
        <v>1</v>
      </c>
      <c r="H58" s="46">
        <v>1</v>
      </c>
      <c r="I58" s="46">
        <v>0</v>
      </c>
      <c r="J58" s="46">
        <v>1</v>
      </c>
    </row>
    <row r="59" spans="1:10" ht="15.75">
      <c r="A59" s="588"/>
      <c r="B59" s="562">
        <v>4</v>
      </c>
      <c r="C59" s="46">
        <v>0</v>
      </c>
      <c r="D59" s="46">
        <v>1</v>
      </c>
      <c r="E59" s="46">
        <v>0</v>
      </c>
      <c r="F59" s="46">
        <v>0</v>
      </c>
      <c r="G59" s="46">
        <v>1</v>
      </c>
      <c r="H59" s="46">
        <v>1</v>
      </c>
      <c r="I59" s="46">
        <v>1</v>
      </c>
      <c r="J59" s="46">
        <v>1</v>
      </c>
    </row>
    <row r="60" spans="1:10" ht="15.75">
      <c r="A60" s="588"/>
      <c r="B60" s="562">
        <v>5</v>
      </c>
      <c r="C60" s="46">
        <v>1</v>
      </c>
      <c r="D60" s="46">
        <v>1</v>
      </c>
      <c r="E60" s="46">
        <v>1</v>
      </c>
      <c r="F60" s="46">
        <v>1</v>
      </c>
      <c r="G60" s="46">
        <v>1</v>
      </c>
      <c r="H60" s="46">
        <v>1</v>
      </c>
      <c r="I60" s="46">
        <v>1</v>
      </c>
      <c r="J60" s="46">
        <v>0</v>
      </c>
    </row>
    <row r="61" spans="1:10" ht="15.75">
      <c r="A61" s="588"/>
      <c r="B61" s="562">
        <v>6</v>
      </c>
      <c r="C61" s="46">
        <v>1</v>
      </c>
      <c r="D61" s="46">
        <v>1</v>
      </c>
      <c r="E61" s="46">
        <v>1</v>
      </c>
      <c r="F61" s="46">
        <v>1</v>
      </c>
      <c r="G61" s="46">
        <v>1</v>
      </c>
      <c r="H61" s="46">
        <v>1</v>
      </c>
      <c r="I61" s="46">
        <v>1</v>
      </c>
      <c r="J61" s="46">
        <v>1</v>
      </c>
    </row>
    <row r="62" spans="1:10" ht="15.75">
      <c r="A62" s="588"/>
      <c r="B62" s="562">
        <v>7</v>
      </c>
      <c r="C62" s="46">
        <v>1</v>
      </c>
      <c r="D62" s="46">
        <v>1</v>
      </c>
      <c r="E62" s="46">
        <v>1</v>
      </c>
      <c r="F62" s="46">
        <v>1</v>
      </c>
      <c r="G62" s="46">
        <v>1</v>
      </c>
      <c r="H62" s="46">
        <v>1</v>
      </c>
      <c r="I62" s="46">
        <v>0</v>
      </c>
      <c r="J62" s="46">
        <v>1</v>
      </c>
    </row>
    <row r="63" spans="1:10" ht="15.75">
      <c r="A63" s="588"/>
      <c r="B63" s="562">
        <v>8</v>
      </c>
      <c r="C63" s="46">
        <v>1</v>
      </c>
      <c r="D63" s="46">
        <v>1</v>
      </c>
      <c r="E63" s="46">
        <v>1</v>
      </c>
      <c r="F63" s="46">
        <v>1</v>
      </c>
      <c r="G63" s="46">
        <v>0</v>
      </c>
      <c r="H63" s="46">
        <v>1</v>
      </c>
      <c r="I63" s="46">
        <v>1</v>
      </c>
      <c r="J63" s="46">
        <v>0</v>
      </c>
    </row>
    <row r="64" spans="1:10" ht="15.75">
      <c r="A64" s="588"/>
      <c r="B64" s="562">
        <v>9</v>
      </c>
      <c r="C64" s="46">
        <v>1</v>
      </c>
      <c r="D64" s="46">
        <v>1</v>
      </c>
      <c r="E64" s="46">
        <v>1</v>
      </c>
      <c r="F64" s="46">
        <v>1</v>
      </c>
      <c r="G64" s="46">
        <v>0</v>
      </c>
      <c r="H64" s="46">
        <v>0</v>
      </c>
      <c r="I64" s="46">
        <v>0</v>
      </c>
      <c r="J64" s="46">
        <v>1</v>
      </c>
    </row>
    <row r="65" spans="1:14" ht="15.75">
      <c r="A65" s="588"/>
      <c r="B65" s="562">
        <v>10</v>
      </c>
      <c r="C65" s="46">
        <v>1</v>
      </c>
      <c r="D65" s="46">
        <v>1</v>
      </c>
      <c r="E65" s="46">
        <v>1</v>
      </c>
      <c r="F65" s="46">
        <v>1</v>
      </c>
      <c r="G65" s="46">
        <v>0</v>
      </c>
      <c r="H65" s="46">
        <v>1</v>
      </c>
      <c r="I65" s="46">
        <v>1</v>
      </c>
      <c r="J65" s="46">
        <v>1</v>
      </c>
    </row>
    <row r="66" spans="1:14" ht="15.75">
      <c r="A66" s="588"/>
      <c r="B66" s="562">
        <v>11</v>
      </c>
      <c r="C66" s="46">
        <v>1</v>
      </c>
      <c r="D66" s="46">
        <v>1</v>
      </c>
      <c r="E66" s="46">
        <v>1</v>
      </c>
      <c r="F66" s="46">
        <v>1</v>
      </c>
      <c r="G66" s="46">
        <v>1</v>
      </c>
      <c r="H66" s="46">
        <v>1</v>
      </c>
      <c r="I66" s="46">
        <v>0</v>
      </c>
      <c r="J66" s="46">
        <v>1</v>
      </c>
    </row>
    <row r="67" spans="1:14" ht="15.75">
      <c r="A67" s="588"/>
      <c r="B67" s="562">
        <v>12</v>
      </c>
      <c r="C67" s="46">
        <v>0</v>
      </c>
      <c r="D67" s="46">
        <v>0</v>
      </c>
      <c r="E67" s="46">
        <v>0</v>
      </c>
      <c r="F67" s="46">
        <v>1</v>
      </c>
      <c r="G67" s="46">
        <v>1</v>
      </c>
      <c r="H67" s="46">
        <v>0</v>
      </c>
      <c r="I67" s="46">
        <v>1</v>
      </c>
      <c r="J67" s="46">
        <v>1</v>
      </c>
    </row>
    <row r="69" spans="1:14" ht="15.75">
      <c r="A69" s="46"/>
      <c r="B69" s="583" t="s">
        <v>547</v>
      </c>
      <c r="C69" s="583"/>
      <c r="D69" s="583"/>
      <c r="E69" s="583"/>
      <c r="F69" s="583"/>
      <c r="G69" s="583"/>
      <c r="H69" s="583"/>
      <c r="I69" s="583"/>
      <c r="J69" s="46"/>
    </row>
    <row r="70" spans="1:14" ht="16.5" thickBot="1">
      <c r="A70" s="46"/>
      <c r="B70" s="46"/>
      <c r="C70" s="590">
        <v>1</v>
      </c>
      <c r="D70" s="590">
        <v>2</v>
      </c>
      <c r="E70" s="590">
        <v>3</v>
      </c>
      <c r="F70" s="590">
        <v>4</v>
      </c>
      <c r="G70" s="590">
        <v>5</v>
      </c>
      <c r="H70" s="590">
        <v>6</v>
      </c>
      <c r="I70" s="590">
        <v>7</v>
      </c>
      <c r="J70" s="590">
        <v>8</v>
      </c>
      <c r="K70" s="1" t="s">
        <v>549</v>
      </c>
      <c r="M70" s="1" t="s">
        <v>550</v>
      </c>
    </row>
    <row r="71" spans="1:14" ht="16.5" thickTop="1">
      <c r="A71" s="588" t="s">
        <v>548</v>
      </c>
      <c r="B71" s="562">
        <v>1</v>
      </c>
      <c r="C71" s="591">
        <v>0</v>
      </c>
      <c r="D71" s="591">
        <v>0</v>
      </c>
      <c r="E71" s="591">
        <v>0</v>
      </c>
      <c r="F71" s="591">
        <v>0</v>
      </c>
      <c r="G71" s="591">
        <v>0</v>
      </c>
      <c r="H71" s="591">
        <v>0</v>
      </c>
      <c r="I71" s="591">
        <v>0</v>
      </c>
      <c r="J71" s="591">
        <v>0</v>
      </c>
      <c r="K71" s="1">
        <f t="shared" ref="K71:K82" si="4">SUM(C71:J71)</f>
        <v>0</v>
      </c>
      <c r="L71" s="1" t="s">
        <v>199</v>
      </c>
      <c r="M71" s="1">
        <f>'[2]Project Model'!K19</f>
        <v>0</v>
      </c>
      <c r="N71">
        <f>K19</f>
        <v>0</v>
      </c>
    </row>
    <row r="72" spans="1:14" ht="15.75">
      <c r="A72" s="588"/>
      <c r="B72" s="562">
        <v>2</v>
      </c>
      <c r="C72" s="236">
        <v>0</v>
      </c>
      <c r="D72" s="236">
        <v>0</v>
      </c>
      <c r="E72" s="236">
        <v>0</v>
      </c>
      <c r="F72" s="236">
        <v>1</v>
      </c>
      <c r="G72" s="236">
        <v>0</v>
      </c>
      <c r="H72" s="236">
        <v>0</v>
      </c>
      <c r="I72" s="236">
        <v>0</v>
      </c>
      <c r="J72" s="236">
        <v>0</v>
      </c>
      <c r="K72" s="1">
        <f t="shared" si="4"/>
        <v>1</v>
      </c>
      <c r="L72" s="1" t="s">
        <v>199</v>
      </c>
      <c r="M72" s="1">
        <f>'[2]Project Model'!K20</f>
        <v>1</v>
      </c>
      <c r="N72">
        <f>K20</f>
        <v>1</v>
      </c>
    </row>
    <row r="73" spans="1:14" ht="15.75">
      <c r="A73" s="588"/>
      <c r="B73" s="562">
        <v>3</v>
      </c>
      <c r="C73" s="236">
        <v>0</v>
      </c>
      <c r="D73" s="236">
        <v>0</v>
      </c>
      <c r="E73" s="236">
        <v>0</v>
      </c>
      <c r="F73" s="236">
        <v>0</v>
      </c>
      <c r="G73" s="236">
        <v>0</v>
      </c>
      <c r="H73" s="236">
        <v>0</v>
      </c>
      <c r="I73" s="236">
        <v>0</v>
      </c>
      <c r="J73" s="236">
        <v>0</v>
      </c>
      <c r="K73" s="1">
        <f t="shared" si="4"/>
        <v>0</v>
      </c>
      <c r="L73" s="1" t="s">
        <v>199</v>
      </c>
      <c r="M73" s="1">
        <f>'[2]Project Model'!K21</f>
        <v>0</v>
      </c>
      <c r="N73">
        <f>K21</f>
        <v>0</v>
      </c>
    </row>
    <row r="74" spans="1:14" ht="15.75">
      <c r="A74" s="588"/>
      <c r="B74" s="562">
        <v>4</v>
      </c>
      <c r="C74" s="236">
        <v>1</v>
      </c>
      <c r="D74" s="236">
        <v>0</v>
      </c>
      <c r="E74" s="236">
        <v>0</v>
      </c>
      <c r="F74" s="236">
        <v>0</v>
      </c>
      <c r="G74" s="236">
        <v>0</v>
      </c>
      <c r="H74" s="236">
        <v>0</v>
      </c>
      <c r="I74" s="236">
        <v>0</v>
      </c>
      <c r="J74" s="236">
        <v>0</v>
      </c>
      <c r="K74" s="1">
        <f t="shared" si="4"/>
        <v>1</v>
      </c>
      <c r="L74" s="1" t="s">
        <v>199</v>
      </c>
      <c r="M74" s="1">
        <f>'[2]Project Model'!K22</f>
        <v>1</v>
      </c>
      <c r="N74">
        <f>K22</f>
        <v>1</v>
      </c>
    </row>
    <row r="75" spans="1:14" ht="15.75">
      <c r="A75" s="588"/>
      <c r="B75" s="562">
        <v>5</v>
      </c>
      <c r="C75" s="236">
        <v>0</v>
      </c>
      <c r="D75" s="236">
        <v>0</v>
      </c>
      <c r="E75" s="236">
        <v>0</v>
      </c>
      <c r="F75" s="236">
        <v>0</v>
      </c>
      <c r="G75" s="236">
        <v>0</v>
      </c>
      <c r="H75" s="236">
        <v>0</v>
      </c>
      <c r="I75" s="236">
        <v>1</v>
      </c>
      <c r="J75" s="236">
        <v>0</v>
      </c>
      <c r="K75" s="1">
        <f t="shared" si="4"/>
        <v>1</v>
      </c>
      <c r="L75" s="1" t="s">
        <v>199</v>
      </c>
      <c r="M75" s="1">
        <f>'[2]Project Model'!K23</f>
        <v>1</v>
      </c>
      <c r="N75">
        <f>K23</f>
        <v>1</v>
      </c>
    </row>
    <row r="76" spans="1:14" ht="15.75">
      <c r="A76" s="588"/>
      <c r="B76" s="562">
        <v>6</v>
      </c>
      <c r="C76" s="236">
        <v>0</v>
      </c>
      <c r="D76" s="236">
        <v>0</v>
      </c>
      <c r="E76" s="236">
        <v>0</v>
      </c>
      <c r="F76" s="236">
        <v>0</v>
      </c>
      <c r="G76" s="236">
        <v>0</v>
      </c>
      <c r="H76" s="236">
        <v>1</v>
      </c>
      <c r="I76" s="236">
        <v>0</v>
      </c>
      <c r="J76" s="236">
        <v>0</v>
      </c>
      <c r="K76" s="1">
        <f t="shared" si="4"/>
        <v>1</v>
      </c>
      <c r="L76" s="1" t="s">
        <v>199</v>
      </c>
      <c r="M76" s="1">
        <f>'[2]Project Model'!K26</f>
        <v>1</v>
      </c>
      <c r="N76">
        <f>K26</f>
        <v>1</v>
      </c>
    </row>
    <row r="77" spans="1:14" ht="15.75">
      <c r="A77" s="588"/>
      <c r="B77" s="562">
        <v>7</v>
      </c>
      <c r="C77" s="236">
        <v>0</v>
      </c>
      <c r="D77" s="236">
        <v>0</v>
      </c>
      <c r="E77" s="236">
        <v>0</v>
      </c>
      <c r="F77" s="236">
        <v>0</v>
      </c>
      <c r="G77" s="236">
        <v>1</v>
      </c>
      <c r="H77" s="236">
        <v>0</v>
      </c>
      <c r="I77" s="236">
        <v>0</v>
      </c>
      <c r="J77" s="236">
        <v>0</v>
      </c>
      <c r="K77" s="1">
        <f t="shared" si="4"/>
        <v>1</v>
      </c>
      <c r="L77" s="1" t="s">
        <v>199</v>
      </c>
      <c r="M77" s="1">
        <f>'[2]Project Model'!K27</f>
        <v>1</v>
      </c>
      <c r="N77">
        <f>K27</f>
        <v>1</v>
      </c>
    </row>
    <row r="78" spans="1:14" ht="15.75">
      <c r="A78" s="588"/>
      <c r="B78" s="562">
        <v>8</v>
      </c>
      <c r="C78" s="236">
        <v>0</v>
      </c>
      <c r="D78" s="236">
        <v>1</v>
      </c>
      <c r="E78" s="236">
        <v>0</v>
      </c>
      <c r="F78" s="236">
        <v>0</v>
      </c>
      <c r="G78" s="236">
        <v>0</v>
      </c>
      <c r="H78" s="236">
        <v>0</v>
      </c>
      <c r="I78" s="236">
        <v>0</v>
      </c>
      <c r="J78" s="236">
        <v>0</v>
      </c>
      <c r="K78" s="1">
        <f t="shared" si="4"/>
        <v>1</v>
      </c>
      <c r="L78" s="1" t="s">
        <v>199</v>
      </c>
      <c r="M78" s="1">
        <f>'[2]Project Model'!K28</f>
        <v>1</v>
      </c>
      <c r="N78">
        <f>K28</f>
        <v>1</v>
      </c>
    </row>
    <row r="79" spans="1:14" ht="15.75">
      <c r="A79" s="588"/>
      <c r="B79" s="562">
        <v>9</v>
      </c>
      <c r="C79" s="236">
        <v>0</v>
      </c>
      <c r="D79" s="236">
        <v>0</v>
      </c>
      <c r="E79" s="236">
        <v>1</v>
      </c>
      <c r="F79" s="236">
        <v>0</v>
      </c>
      <c r="G79" s="236">
        <v>0</v>
      </c>
      <c r="H79" s="236">
        <v>0</v>
      </c>
      <c r="I79" s="236">
        <v>0</v>
      </c>
      <c r="J79" s="236">
        <v>0</v>
      </c>
      <c r="K79" s="1">
        <f t="shared" si="4"/>
        <v>1</v>
      </c>
      <c r="L79" s="1" t="s">
        <v>199</v>
      </c>
      <c r="M79" s="1">
        <f>'[2]Project Model'!K29</f>
        <v>1</v>
      </c>
      <c r="N79">
        <f>K29</f>
        <v>1</v>
      </c>
    </row>
    <row r="80" spans="1:14" ht="15.75">
      <c r="A80" s="588"/>
      <c r="B80" s="562">
        <v>10</v>
      </c>
      <c r="C80" s="236">
        <v>0</v>
      </c>
      <c r="D80" s="236">
        <v>0</v>
      </c>
      <c r="E80" s="236">
        <v>0</v>
      </c>
      <c r="F80" s="236">
        <v>0</v>
      </c>
      <c r="G80" s="236">
        <v>0</v>
      </c>
      <c r="H80" s="236">
        <v>0</v>
      </c>
      <c r="I80" s="236">
        <v>0</v>
      </c>
      <c r="J80" s="236">
        <v>0</v>
      </c>
      <c r="K80" s="1">
        <f t="shared" si="4"/>
        <v>0</v>
      </c>
      <c r="L80" s="1" t="s">
        <v>199</v>
      </c>
      <c r="M80" s="1">
        <f>'[2]Project Model'!K32</f>
        <v>0</v>
      </c>
      <c r="N80">
        <f>K32</f>
        <v>0</v>
      </c>
    </row>
    <row r="81" spans="1:14" ht="15.75">
      <c r="A81" s="588"/>
      <c r="B81" s="562">
        <v>11</v>
      </c>
      <c r="C81" s="236">
        <v>0</v>
      </c>
      <c r="D81" s="236">
        <v>0</v>
      </c>
      <c r="E81" s="236">
        <v>0</v>
      </c>
      <c r="F81" s="236">
        <v>0</v>
      </c>
      <c r="G81" s="236">
        <v>0</v>
      </c>
      <c r="H81" s="236">
        <v>0</v>
      </c>
      <c r="I81" s="236">
        <v>0</v>
      </c>
      <c r="J81" s="236">
        <v>1</v>
      </c>
      <c r="K81" s="1">
        <f t="shared" si="4"/>
        <v>1</v>
      </c>
      <c r="L81" s="1" t="s">
        <v>199</v>
      </c>
      <c r="M81" s="1">
        <f>'[2]Project Model'!K33</f>
        <v>1</v>
      </c>
      <c r="N81">
        <f>K33</f>
        <v>1</v>
      </c>
    </row>
    <row r="82" spans="1:14" ht="15.75">
      <c r="A82" s="588"/>
      <c r="B82" s="562">
        <v>12</v>
      </c>
      <c r="C82" s="236">
        <v>0</v>
      </c>
      <c r="D82" s="236">
        <v>0</v>
      </c>
      <c r="E82" s="236">
        <v>0</v>
      </c>
      <c r="F82" s="236">
        <v>0</v>
      </c>
      <c r="G82" s="236">
        <v>0</v>
      </c>
      <c r="H82" s="236">
        <v>0</v>
      </c>
      <c r="I82" s="236">
        <v>0</v>
      </c>
      <c r="J82" s="236">
        <v>0</v>
      </c>
      <c r="K82" s="1">
        <f t="shared" si="4"/>
        <v>0</v>
      </c>
      <c r="L82" s="1" t="s">
        <v>199</v>
      </c>
      <c r="M82" s="1">
        <f>'[2]Project Model'!K34</f>
        <v>0</v>
      </c>
      <c r="N82">
        <f>K34</f>
        <v>0</v>
      </c>
    </row>
    <row r="83" spans="1:14">
      <c r="B83" t="s">
        <v>549</v>
      </c>
      <c r="C83" s="1">
        <f t="shared" ref="C83:J83" si="5">SUM(C71:C82)</f>
        <v>1</v>
      </c>
      <c r="D83" s="1">
        <f t="shared" si="5"/>
        <v>1</v>
      </c>
      <c r="E83" s="1">
        <f t="shared" si="5"/>
        <v>1</v>
      </c>
      <c r="F83" s="1">
        <f t="shared" si="5"/>
        <v>1</v>
      </c>
      <c r="G83" s="1">
        <f t="shared" si="5"/>
        <v>1</v>
      </c>
      <c r="H83" s="1">
        <f t="shared" si="5"/>
        <v>1</v>
      </c>
      <c r="I83" s="1">
        <f t="shared" si="5"/>
        <v>1</v>
      </c>
      <c r="J83" s="1">
        <f t="shared" si="5"/>
        <v>1</v>
      </c>
    </row>
    <row r="84" spans="1:14">
      <c r="C84" s="1" t="s">
        <v>312</v>
      </c>
      <c r="D84" s="1" t="s">
        <v>312</v>
      </c>
      <c r="E84" s="1" t="s">
        <v>312</v>
      </c>
      <c r="F84" s="1" t="s">
        <v>312</v>
      </c>
      <c r="G84" s="1" t="s">
        <v>312</v>
      </c>
      <c r="H84" s="1" t="s">
        <v>312</v>
      </c>
      <c r="I84" s="1" t="s">
        <v>312</v>
      </c>
      <c r="J84" s="1" t="s">
        <v>312</v>
      </c>
    </row>
    <row r="85" spans="1:14">
      <c r="C85" s="1">
        <v>1</v>
      </c>
      <c r="D85" s="1">
        <v>1</v>
      </c>
      <c r="E85" s="1">
        <v>1</v>
      </c>
      <c r="F85" s="1">
        <v>1</v>
      </c>
      <c r="G85" s="1">
        <v>1</v>
      </c>
      <c r="H85" s="1">
        <v>1</v>
      </c>
      <c r="I85" s="1">
        <v>1</v>
      </c>
      <c r="J85" s="1">
        <v>1</v>
      </c>
    </row>
    <row r="87" spans="1:14">
      <c r="D87" s="592"/>
    </row>
    <row r="88" spans="1:14">
      <c r="D88" s="593"/>
    </row>
  </sheetData>
  <mergeCells count="11">
    <mergeCell ref="E42:G42"/>
    <mergeCell ref="B54:I54"/>
    <mergeCell ref="A56:A67"/>
    <mergeCell ref="B69:I69"/>
    <mergeCell ref="A71:A82"/>
    <mergeCell ref="A1:L1"/>
    <mergeCell ref="M3:N3"/>
    <mergeCell ref="M9:N9"/>
    <mergeCell ref="D17:G17"/>
    <mergeCell ref="O24:Q24"/>
    <mergeCell ref="M26:M28"/>
  </mergeCells>
  <conditionalFormatting sqref="N10:N13">
    <cfRule type="cellIs" dxfId="11" priority="10" operator="equal">
      <formula>1</formula>
    </cfRule>
  </conditionalFormatting>
  <conditionalFormatting sqref="N10:N13">
    <cfRule type="cellIs" dxfId="10" priority="9" operator="lessThan">
      <formula>1</formula>
    </cfRule>
  </conditionalFormatting>
  <conditionalFormatting sqref="H26:H29 H32:H34">
    <cfRule type="cellIs" dxfId="9" priority="11" operator="equal">
      <formula>MIN($K$19:$K$29)</formula>
    </cfRule>
    <cfRule type="cellIs" dxfId="8" priority="12" operator="equal">
      <formula>MAX($K$19:$K$29)</formula>
    </cfRule>
  </conditionalFormatting>
  <conditionalFormatting sqref="D38:F38">
    <cfRule type="cellIs" dxfId="7" priority="7" operator="greaterThan">
      <formula>4000</formula>
    </cfRule>
    <cfRule type="cellIs" dxfId="6" priority="8" operator="lessThan">
      <formula>4000</formula>
    </cfRule>
  </conditionalFormatting>
  <conditionalFormatting sqref="N14">
    <cfRule type="cellIs" dxfId="5" priority="5" operator="lessThan">
      <formula>1</formula>
    </cfRule>
    <cfRule type="cellIs" dxfId="4" priority="6" operator="greaterThan">
      <formula>0</formula>
    </cfRule>
  </conditionalFormatting>
  <conditionalFormatting sqref="M20:N20">
    <cfRule type="cellIs" dxfId="3" priority="3" operator="lessThan">
      <formula>1</formula>
    </cfRule>
    <cfRule type="cellIs" dxfId="2" priority="4" operator="equal">
      <formula>1</formula>
    </cfRule>
  </conditionalFormatting>
  <conditionalFormatting sqref="G38">
    <cfRule type="cellIs" dxfId="1" priority="1" operator="greaterThan">
      <formula>10000</formula>
    </cfRule>
    <cfRule type="cellIs" dxfId="0" priority="2" operator="lessThan">
      <formula>10000</formula>
    </cfRule>
  </conditionalFormatting>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NCAA T-Shirt Vendor</vt:lpstr>
      <vt:lpstr>Woodworks Bookshelf Co.</vt:lpstr>
      <vt:lpstr>Quality Sweater Company</vt:lpstr>
      <vt:lpstr>B&amp;N Bookstore</vt:lpstr>
      <vt:lpstr>Copy Shop</vt:lpstr>
      <vt:lpstr>Tour of band</vt:lpstr>
      <vt:lpstr>The 19th Hole</vt:lpstr>
      <vt:lpstr>Peloton </vt:lpstr>
      <vt:lpstr>Gopher Drugs</vt:lpstr>
      <vt:lpstr>Microsoft_Sales</vt:lpstr>
      <vt:lpstr>Toy Company</vt:lpstr>
      <vt:lpstr>Bluejay Natural Gas </vt:lpstr>
      <vt:lpstr>Campaign Marketing</vt:lpstr>
      <vt:lpstr>Company sells</vt:lpstr>
      <vt:lpstr>PC Tech Company</vt:lpstr>
      <vt:lpstr>Furniture Company</vt:lpstr>
      <vt:lpstr>Investment Allocation</vt:lpstr>
      <vt:lpstr>Feed Mix</vt:lpstr>
      <vt:lpstr>Busing Problem</vt:lpstr>
      <vt:lpstr>Bus Company</vt:lpstr>
      <vt:lpstr>Nike factory</vt:lpstr>
      <vt:lpstr>Transportation Example</vt:lpstr>
      <vt:lpstr>Construction Projects</vt:lpstr>
      <vt:lpstr>New Hire Assignments</vt:lpstr>
      <vt:lpstr>MLB Umpire Assignment</vt:lpstr>
      <vt:lpstr>College Professors</vt:lpstr>
      <vt:lpstr>Transportation and Assignment P</vt:lpstr>
      <vt:lpstr>Princess Brides</vt:lpstr>
      <vt:lpstr>Bolsa de Café</vt:lpstr>
      <vt:lpstr>Art Posters</vt:lpstr>
      <vt:lpstr>Binary Investment Decision</vt:lpstr>
      <vt:lpstr>Horizon Wireless</vt:lpstr>
      <vt:lpstr>Portfolio Variance</vt:lpstr>
      <vt:lpstr>Motorcross Snowmobiles</vt:lpstr>
      <vt:lpstr>Baseball Stadium</vt:lpstr>
      <vt:lpstr>Textbook Company</vt:lpstr>
      <vt:lpstr>M&amp;T Stadium</vt:lpstr>
      <vt:lpstr>Final_Project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2015-06-05T18:17:20Z</dcterms:created>
  <dcterms:modified xsi:type="dcterms:W3CDTF">2025-04-18T08:40:03Z</dcterms:modified>
</cp:coreProperties>
</file>