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tsh Van\Desktop\Finsearch\Mid_Term\"/>
    </mc:Choice>
  </mc:AlternateContent>
  <xr:revisionPtr revIDLastSave="0" documentId="8_{A263C69E-EF6E-4810-9AB2-E72F769094D8}" xr6:coauthVersionLast="47" xr6:coauthVersionMax="47" xr10:uidLastSave="{00000000-0000-0000-0000-000000000000}"/>
  <bookViews>
    <workbookView xWindow="-108" yWindow="-108" windowWidth="23256" windowHeight="12456" activeTab="4" xr2:uid="{C5BF4465-E1D2-4346-866B-1C8D6DF1D6CF}"/>
  </bookViews>
  <sheets>
    <sheet name="Inputs" sheetId="1" r:id="rId1"/>
    <sheet name="Stock Tree" sheetId="2" r:id="rId2"/>
    <sheet name="Option Tree" sheetId="3" r:id="rId3"/>
    <sheet name="Black-Scholes" sheetId="4" r:id="rId4"/>
    <sheet name="Summa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5" l="1"/>
  <c r="B5" i="5"/>
  <c r="B21" i="4"/>
  <c r="B20" i="4"/>
  <c r="B10" i="4"/>
  <c r="B11" i="4" s="1"/>
  <c r="B3" i="4"/>
  <c r="B9" i="4" s="1"/>
  <c r="B13" i="4" s="1"/>
  <c r="B4" i="4"/>
  <c r="B5" i="4"/>
  <c r="B12" i="4" s="1"/>
  <c r="B14" i="4" s="1"/>
  <c r="B6" i="4"/>
  <c r="B7" i="4"/>
  <c r="L9" i="3"/>
  <c r="L7" i="3"/>
  <c r="L5" i="3"/>
  <c r="L4" i="3"/>
  <c r="B5" i="1"/>
  <c r="B4" i="2"/>
  <c r="B12" i="1"/>
  <c r="B13" i="1" s="1"/>
  <c r="B15" i="4" l="1"/>
  <c r="C4" i="2"/>
  <c r="D4" i="2" s="1"/>
  <c r="B14" i="1"/>
  <c r="B16" i="1"/>
  <c r="B15" i="1"/>
  <c r="C5" i="2"/>
  <c r="B18" i="4" l="1"/>
  <c r="B16" i="4"/>
  <c r="B19" i="4" s="1"/>
  <c r="E4" i="2"/>
  <c r="E5" i="2"/>
  <c r="F6" i="2" s="1"/>
  <c r="G7" i="2" s="1"/>
  <c r="H8" i="2" s="1"/>
  <c r="I9" i="2" s="1"/>
  <c r="J10" i="2" s="1"/>
  <c r="K11" i="2" s="1"/>
  <c r="L12" i="2" s="1"/>
  <c r="L12" i="3" s="1"/>
  <c r="K12" i="3" s="1"/>
  <c r="D5" i="2"/>
  <c r="E6" i="2" s="1"/>
  <c r="F7" i="2" s="1"/>
  <c r="G8" i="2" s="1"/>
  <c r="H9" i="2" s="1"/>
  <c r="I10" i="2" s="1"/>
  <c r="J11" i="2" s="1"/>
  <c r="K12" i="2" s="1"/>
  <c r="L13" i="2" s="1"/>
  <c r="L13" i="3" s="1"/>
  <c r="K13" i="3" s="1"/>
  <c r="D6" i="2"/>
  <c r="E7" i="2" s="1"/>
  <c r="F8" i="2" s="1"/>
  <c r="G9" i="2" s="1"/>
  <c r="H10" i="2" s="1"/>
  <c r="I11" i="2" s="1"/>
  <c r="J12" i="2" s="1"/>
  <c r="K13" i="2" s="1"/>
  <c r="L14" i="2" s="1"/>
  <c r="L14" i="3" s="1"/>
  <c r="F4" i="2" l="1"/>
  <c r="F5" i="2"/>
  <c r="G6" i="2" s="1"/>
  <c r="H7" i="2" s="1"/>
  <c r="I8" i="2" s="1"/>
  <c r="J9" i="2" s="1"/>
  <c r="K10" i="2" s="1"/>
  <c r="L11" i="2" s="1"/>
  <c r="L11" i="3" s="1"/>
  <c r="K11" i="3" s="1"/>
  <c r="J12" i="3" s="1"/>
  <c r="G4" i="2" l="1"/>
  <c r="G5" i="2"/>
  <c r="H6" i="2" s="1"/>
  <c r="I7" i="2" s="1"/>
  <c r="J8" i="2" s="1"/>
  <c r="K9" i="2" s="1"/>
  <c r="L10" i="2" s="1"/>
  <c r="L10" i="3" s="1"/>
  <c r="K10" i="3" l="1"/>
  <c r="J11" i="3" s="1"/>
  <c r="I11" i="3" s="1"/>
  <c r="K9" i="3"/>
  <c r="J10" i="3" s="1"/>
  <c r="I10" i="3" s="1"/>
  <c r="H10" i="3" s="1"/>
  <c r="H5" i="2"/>
  <c r="I6" i="2" s="1"/>
  <c r="J7" i="2" s="1"/>
  <c r="K8" i="2" s="1"/>
  <c r="L9" i="2" s="1"/>
  <c r="H4" i="2"/>
  <c r="I4" i="2" l="1"/>
  <c r="I5" i="2"/>
  <c r="J6" i="2" s="1"/>
  <c r="K7" i="2" s="1"/>
  <c r="L8" i="2" s="1"/>
  <c r="L8" i="3" s="1"/>
  <c r="K8" i="3" l="1"/>
  <c r="K7" i="3"/>
  <c r="J7" i="3" s="1"/>
  <c r="J5" i="2"/>
  <c r="K6" i="2" s="1"/>
  <c r="L7" i="2" s="1"/>
  <c r="J4" i="2"/>
  <c r="J8" i="3" l="1"/>
  <c r="J9" i="3"/>
  <c r="I9" i="3" s="1"/>
  <c r="H9" i="3" s="1"/>
  <c r="G9" i="3" s="1"/>
  <c r="K5" i="2"/>
  <c r="L6" i="2" s="1"/>
  <c r="L6" i="3" s="1"/>
  <c r="K4" i="2"/>
  <c r="K6" i="3" l="1"/>
  <c r="J6" i="3" s="1"/>
  <c r="I6" i="3" s="1"/>
  <c r="K5" i="3"/>
  <c r="J5" i="3" s="1"/>
  <c r="I5" i="3" s="1"/>
  <c r="H5" i="3" s="1"/>
  <c r="I8" i="3"/>
  <c r="H8" i="3" s="1"/>
  <c r="G8" i="3" s="1"/>
  <c r="F8" i="3" s="1"/>
  <c r="I7" i="3"/>
  <c r="H7" i="3" s="1"/>
  <c r="G7" i="3" s="1"/>
  <c r="F7" i="3" s="1"/>
  <c r="E7" i="3" s="1"/>
  <c r="L4" i="2"/>
  <c r="L5" i="2"/>
  <c r="K4" i="3" s="1"/>
  <c r="J4" i="3" s="1"/>
  <c r="I4" i="3" s="1"/>
  <c r="H4" i="3" s="1"/>
  <c r="G4" i="3" s="1"/>
  <c r="H6" i="3" l="1"/>
  <c r="G6" i="3" s="1"/>
  <c r="F6" i="3" s="1"/>
  <c r="E6" i="3" s="1"/>
  <c r="D6" i="3" s="1"/>
  <c r="G5" i="3" l="1"/>
  <c r="F5" i="3" l="1"/>
  <c r="E5" i="3" s="1"/>
  <c r="D5" i="3" s="1"/>
  <c r="C5" i="3" s="1"/>
  <c r="F4" i="3"/>
  <c r="E4" i="3" s="1"/>
  <c r="D4" i="3" s="1"/>
  <c r="C4" i="3" s="1"/>
  <c r="C4" i="5" l="1"/>
  <c r="B4" i="3"/>
  <c r="B4" i="5" s="1"/>
</calcChain>
</file>

<file path=xl/sharedStrings.xml><?xml version="1.0" encoding="utf-8"?>
<sst xmlns="http://schemas.openxmlformats.org/spreadsheetml/2006/main" count="99" uniqueCount="82">
  <si>
    <t>Spot Price (S₀)</t>
  </si>
  <si>
    <t>Strike Price (K)</t>
  </si>
  <si>
    <t>Time to Expiry (T)</t>
  </si>
  <si>
    <t>Risk-Free Rate (r)</t>
  </si>
  <si>
    <t>Volatility (σ)</t>
  </si>
  <si>
    <t>Discount Factor</t>
  </si>
  <si>
    <t>Steps (n)</t>
  </si>
  <si>
    <t>Δt</t>
  </si>
  <si>
    <t>Inputs and Assumptions</t>
  </si>
  <si>
    <t>Days to Expiry</t>
  </si>
  <si>
    <t>Final Stock Price (S_T)</t>
  </si>
  <si>
    <t>Up factor (u)</t>
  </si>
  <si>
    <t>Down factor (d)</t>
  </si>
  <si>
    <t>Risk-neutral Prob (p)</t>
  </si>
  <si>
    <t>Stock Price Tree (Binomial)</t>
  </si>
  <si>
    <t>t = 0</t>
  </si>
  <si>
    <t>t = 1</t>
  </si>
  <si>
    <t>t = 2</t>
  </si>
  <si>
    <t>t = 3</t>
  </si>
  <si>
    <t>t = 4</t>
  </si>
  <si>
    <t>t = 5</t>
  </si>
  <si>
    <t>t = 6</t>
  </si>
  <si>
    <t>t = 7</t>
  </si>
  <si>
    <t>t = 8</t>
  </si>
  <si>
    <t>t = 9</t>
  </si>
  <si>
    <t>t = 10</t>
  </si>
  <si>
    <t>j \ t</t>
  </si>
  <si>
    <t>t=4</t>
  </si>
  <si>
    <t>j=0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</si>
  <si>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</si>
  <si>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</si>
  <si>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</si>
  <si>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</si>
  <si>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</si>
  <si>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</si>
  <si>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</si>
  <si>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</si>
  <si>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</si>
  <si>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</si>
  <si>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Option Price Tree (European Call)</t>
  </si>
  <si>
    <t>t=0</t>
  </si>
  <si>
    <t>t=1</t>
  </si>
  <si>
    <t>t=2</t>
  </si>
  <si>
    <t>t=3</t>
  </si>
  <si>
    <t>t=5</t>
  </si>
  <si>
    <t>t=6</t>
  </si>
  <si>
    <t>t=7</t>
  </si>
  <si>
    <t>t=8</t>
  </si>
  <si>
    <t>t=9</t>
  </si>
  <si>
    <t>t=10</t>
  </si>
  <si>
    <t>Black-Scholes Formula</t>
  </si>
  <si>
    <t>Call Option Price</t>
  </si>
  <si>
    <t>Delta (Call Option)</t>
  </si>
  <si>
    <t>Option Pricing Model Comparison</t>
  </si>
  <si>
    <t>Model</t>
  </si>
  <si>
    <t>Option Price (₹)</t>
  </si>
  <si>
    <t>Delta</t>
  </si>
  <si>
    <t>Remarks</t>
  </si>
  <si>
    <t>Binomial Model</t>
  </si>
  <si>
    <t>Black-Scholes</t>
  </si>
  <si>
    <t>Flexible, Discrete, Converges with n ↑</t>
  </si>
  <si>
    <t>Closed-form, Fast, Continuous</t>
  </si>
  <si>
    <t>Step 1: ln(S/K)</t>
  </si>
  <si>
    <t>Step 2: σ² / 2</t>
  </si>
  <si>
    <t>Step 3: (r + σ²/2)·T</t>
  </si>
  <si>
    <t>Step 4: σ√T</t>
  </si>
  <si>
    <t>d₁ Numerator</t>
  </si>
  <si>
    <t>d₁ Denominator</t>
  </si>
  <si>
    <t>d₁</t>
  </si>
  <si>
    <t>Natural log of spot/strike</t>
  </si>
  <si>
    <t>d₂</t>
  </si>
  <si>
    <t>N(d₁)</t>
  </si>
  <si>
    <t>N(d₂)</t>
  </si>
  <si>
    <t>Total drift term</t>
  </si>
  <si>
    <t>How This Works:</t>
  </si>
  <si>
    <t>1. The stock price tree (S) is already built using up (u) and down (d) factors.</t>
  </si>
  <si>
    <t>2. At t = 10 (expiry), each node's option value is:</t>
  </si>
  <si>
    <t>3. We work backwards using:</t>
  </si>
  <si>
    <t>C = e^(-r·Δt) × [p·C_up + (1-p)·C_down]</t>
  </si>
  <si>
    <t>4. The result at t = 0 (top left) is the fair price of the option.</t>
  </si>
  <si>
    <t>5. This tree only applies to European-style options (exercisable at expiry).</t>
  </si>
  <si>
    <t>MAX(S - K,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</si>
</sst>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[$₹-4009]\ * #,##0.00_ ;_ [$₹-4009]\ * \-#,##0.00_ ;_ [$₹-4009]\ * &quot;-&quot;??_ ;_ @_ "/>
    <numFmt numFmtId="165" formatCode="0.000000"/>
    <numFmt numFmtId="166" formatCode="0.00000"/>
    <numFmt numFmtId="167" formatCode="0.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Arial Unicode MS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66" fontId="0" fillId="2" borderId="3" xfId="0" applyNumberFormat="1" applyFill="1" applyBorder="1"/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/>
    </xf>
    <xf numFmtId="164" fontId="0" fillId="3" borderId="0" xfId="1" applyNumberFormat="1" applyFont="1" applyFill="1" applyBorder="1" applyAlignment="1">
      <alignment horizontal="center"/>
    </xf>
    <xf numFmtId="164" fontId="0" fillId="3" borderId="9" xfId="1" applyNumberFormat="1" applyFont="1" applyFill="1" applyBorder="1" applyAlignment="1">
      <alignment horizontal="center"/>
    </xf>
    <xf numFmtId="164" fontId="0" fillId="3" borderId="11" xfId="1" applyNumberFormat="1" applyFont="1" applyFill="1" applyBorder="1" applyAlignment="1">
      <alignment horizontal="center"/>
    </xf>
    <xf numFmtId="164" fontId="0" fillId="3" borderId="12" xfId="1" applyNumberFormat="1" applyFont="1" applyFill="1" applyBorder="1" applyAlignment="1">
      <alignment horizontal="center"/>
    </xf>
    <xf numFmtId="164" fontId="0" fillId="3" borderId="0" xfId="2" applyNumberFormat="1" applyFont="1" applyFill="1" applyBorder="1" applyAlignment="1">
      <alignment horizontal="center"/>
    </xf>
    <xf numFmtId="164" fontId="3" fillId="3" borderId="9" xfId="2" applyNumberFormat="1" applyFont="1" applyFill="1" applyBorder="1" applyAlignment="1">
      <alignment horizontal="center" vertical="center" wrapText="1"/>
    </xf>
    <xf numFmtId="164" fontId="0" fillId="3" borderId="9" xfId="2" applyNumberFormat="1" applyFont="1" applyFill="1" applyBorder="1" applyAlignment="1">
      <alignment horizontal="center"/>
    </xf>
    <xf numFmtId="164" fontId="0" fillId="3" borderId="11" xfId="2" applyNumberFormat="1" applyFont="1" applyFill="1" applyBorder="1" applyAlignment="1">
      <alignment horizontal="center"/>
    </xf>
    <xf numFmtId="164" fontId="0" fillId="3" borderId="12" xfId="2" applyNumberFormat="1" applyFont="1" applyFill="1" applyBorder="1" applyAlignment="1">
      <alignment horizontal="center"/>
    </xf>
    <xf numFmtId="0" fontId="9" fillId="0" borderId="3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3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165" fontId="3" fillId="0" borderId="2" xfId="0" applyNumberFormat="1" applyFont="1" applyBorder="1" applyAlignment="1">
      <alignment vertical="center" wrapText="1"/>
    </xf>
    <xf numFmtId="166" fontId="3" fillId="0" borderId="3" xfId="0" applyNumberFormat="1" applyFont="1" applyBorder="1" applyAlignment="1">
      <alignment vertical="center" wrapText="1"/>
    </xf>
    <xf numFmtId="166" fontId="0" fillId="0" borderId="4" xfId="0" applyNumberFormat="1" applyBorder="1"/>
    <xf numFmtId="164" fontId="0" fillId="2" borderId="7" xfId="0" applyNumberFormat="1" applyFill="1" applyBorder="1"/>
    <xf numFmtId="164" fontId="3" fillId="2" borderId="9" xfId="0" applyNumberFormat="1" applyFont="1" applyFill="1" applyBorder="1" applyAlignment="1">
      <alignment vertical="center" wrapText="1"/>
    </xf>
    <xf numFmtId="166" fontId="3" fillId="2" borderId="9" xfId="0" applyNumberFormat="1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166" fontId="3" fillId="4" borderId="6" xfId="0" applyNumberFormat="1" applyFont="1" applyFill="1" applyBorder="1" applyAlignment="1">
      <alignment vertical="center" wrapText="1"/>
    </xf>
    <xf numFmtId="0" fontId="0" fillId="4" borderId="0" xfId="0" applyFill="1"/>
    <xf numFmtId="166" fontId="3" fillId="4" borderId="0" xfId="0" applyNumberFormat="1" applyFont="1" applyFill="1"/>
    <xf numFmtId="166" fontId="0" fillId="4" borderId="0" xfId="0" applyNumberFormat="1" applyFill="1"/>
    <xf numFmtId="166" fontId="0" fillId="4" borderId="11" xfId="0" applyNumberFormat="1" applyFill="1" applyBorder="1"/>
    <xf numFmtId="166" fontId="0" fillId="5" borderId="7" xfId="0" applyNumberFormat="1" applyFill="1" applyBorder="1"/>
    <xf numFmtId="166" fontId="0" fillId="5" borderId="9" xfId="0" applyNumberFormat="1" applyFill="1" applyBorder="1"/>
    <xf numFmtId="164" fontId="0" fillId="5" borderId="9" xfId="0" applyNumberFormat="1" applyFill="1" applyBorder="1"/>
    <xf numFmtId="166" fontId="0" fillId="5" borderId="12" xfId="0" applyNumberFormat="1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6" borderId="8" xfId="0" applyFill="1" applyBorder="1" applyAlignment="1">
      <alignment vertical="center" wrapText="1"/>
    </xf>
    <xf numFmtId="164" fontId="3" fillId="6" borderId="0" xfId="0" applyNumberFormat="1" applyFont="1" applyFill="1" applyAlignment="1">
      <alignment vertical="center" wrapText="1"/>
    </xf>
    <xf numFmtId="167" fontId="0" fillId="6" borderId="0" xfId="0" applyNumberFormat="1" applyFill="1" applyAlignment="1">
      <alignment vertical="center" wrapText="1"/>
    </xf>
    <xf numFmtId="0" fontId="0" fillId="6" borderId="9" xfId="0" applyFill="1" applyBorder="1"/>
    <xf numFmtId="0" fontId="0" fillId="6" borderId="10" xfId="0" applyFill="1" applyBorder="1" applyAlignment="1">
      <alignment vertical="center" wrapText="1"/>
    </xf>
    <xf numFmtId="164" fontId="0" fillId="6" borderId="11" xfId="0" applyNumberFormat="1" applyFill="1" applyBorder="1"/>
    <xf numFmtId="167" fontId="3" fillId="6" borderId="11" xfId="0" applyNumberFormat="1" applyFont="1" applyFill="1" applyBorder="1" applyAlignment="1">
      <alignment vertical="center" wrapText="1"/>
    </xf>
    <xf numFmtId="0" fontId="0" fillId="6" borderId="12" xfId="0" applyFill="1" applyBorder="1"/>
    <xf numFmtId="0" fontId="2" fillId="7" borderId="15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4">
    <dxf>
      <fill>
        <patternFill>
          <bgColor theme="9" tint="0.59996337778862885"/>
        </patternFill>
      </fill>
    </dxf>
    <dxf>
      <fill>
        <patternFill>
          <bgColor rgb="FFEE5454"/>
        </patternFill>
      </fill>
    </dxf>
    <dxf>
      <font>
        <strike val="0"/>
      </font>
      <fill>
        <patternFill>
          <bgColor theme="9" tint="0.59996337778862885"/>
        </patternFill>
      </fill>
    </dxf>
    <dxf>
      <fill>
        <patternFill>
          <bgColor rgb="FFF9827F"/>
        </patternFill>
      </fill>
    </dxf>
  </dxfs>
  <tableStyles count="0" defaultTableStyle="TableStyleMedium2" defaultPivotStyle="PivotStyleLight16"/>
  <colors>
    <mruColors>
      <color rgb="FFEE5454"/>
      <color rgb="FFF982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27D6-1E28-43C4-B00A-2CC774820588}">
  <dimension ref="A1:D18"/>
  <sheetViews>
    <sheetView workbookViewId="0">
      <selection activeCell="E7" sqref="E7"/>
    </sheetView>
  </sheetViews>
  <sheetFormatPr defaultRowHeight="14.4"/>
  <cols>
    <col min="1" max="1" width="19" customWidth="1"/>
    <col min="2" max="2" width="11.5546875" bestFit="1" customWidth="1"/>
  </cols>
  <sheetData>
    <row r="1" spans="1:4" ht="18">
      <c r="A1" s="71" t="s">
        <v>8</v>
      </c>
      <c r="B1" s="71"/>
    </row>
    <row r="2" spans="1:4" ht="14.4" customHeight="1" thickBot="1"/>
    <row r="3" spans="1:4">
      <c r="A3" s="28" t="s">
        <v>0</v>
      </c>
      <c r="B3" s="2">
        <v>1333.3</v>
      </c>
    </row>
    <row r="4" spans="1:4">
      <c r="A4" s="29" t="s">
        <v>1</v>
      </c>
      <c r="B4" s="3">
        <v>1340</v>
      </c>
    </row>
    <row r="5" spans="1:4">
      <c r="A5" s="29" t="s">
        <v>2</v>
      </c>
      <c r="B5" s="8">
        <f>14/365</f>
        <v>3.8356164383561646E-2</v>
      </c>
    </row>
    <row r="6" spans="1:4">
      <c r="A6" s="29" t="s">
        <v>9</v>
      </c>
      <c r="B6" s="3">
        <v>14</v>
      </c>
    </row>
    <row r="7" spans="1:4">
      <c r="A7" s="29" t="s">
        <v>4</v>
      </c>
      <c r="B7" s="3">
        <v>0.3</v>
      </c>
    </row>
    <row r="8" spans="1:4">
      <c r="A8" s="29" t="s">
        <v>3</v>
      </c>
      <c r="B8" s="3">
        <v>0.06</v>
      </c>
    </row>
    <row r="9" spans="1:4">
      <c r="A9" s="29" t="s">
        <v>10</v>
      </c>
      <c r="B9" s="3">
        <v>1349.85</v>
      </c>
    </row>
    <row r="10" spans="1:4" ht="15" thickBot="1">
      <c r="A10" s="30" t="s">
        <v>6</v>
      </c>
      <c r="B10" s="4">
        <v>10</v>
      </c>
    </row>
    <row r="11" spans="1:4" ht="15" thickBot="1"/>
    <row r="12" spans="1:4">
      <c r="A12" s="31" t="s">
        <v>7</v>
      </c>
      <c r="B12" s="34">
        <f>B5/B10</f>
        <v>3.8356164383561648E-3</v>
      </c>
    </row>
    <row r="13" spans="1:4">
      <c r="A13" s="32" t="s">
        <v>11</v>
      </c>
      <c r="B13" s="35">
        <f>EXP(B7*SQRT(B12))</f>
        <v>1.0187533828114714</v>
      </c>
      <c r="C13" s="5"/>
      <c r="D13" s="5"/>
    </row>
    <row r="14" spans="1:4">
      <c r="A14" s="32" t="s">
        <v>12</v>
      </c>
      <c r="B14" s="35">
        <f>1/B13</f>
        <v>0.98159183259866345</v>
      </c>
      <c r="D14" s="1"/>
    </row>
    <row r="15" spans="1:4" ht="15.6" customHeight="1">
      <c r="A15" s="32" t="s">
        <v>13</v>
      </c>
      <c r="B15" s="35">
        <f>(EXP(B8*B12)-B14)/(B13-B14)</f>
        <v>0.50154879881092496</v>
      </c>
      <c r="D15" s="1"/>
    </row>
    <row r="16" spans="1:4" ht="15" thickBot="1">
      <c r="A16" s="33" t="s">
        <v>5</v>
      </c>
      <c r="B16" s="36">
        <f>EXP(-B8*B12)</f>
        <v>0.99976988949318357</v>
      </c>
      <c r="D16" s="1"/>
    </row>
    <row r="17" spans="1:4">
      <c r="A17" s="1"/>
      <c r="D17" s="1"/>
    </row>
    <row r="18" spans="1:4">
      <c r="A18" s="1"/>
      <c r="D18" s="1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B62C-ECB0-474E-8A14-21252E0ECECD}">
  <dimension ref="A1:L27"/>
  <sheetViews>
    <sheetView workbookViewId="0">
      <selection activeCell="K20" sqref="K20"/>
    </sheetView>
  </sheetViews>
  <sheetFormatPr defaultRowHeight="14.4"/>
  <cols>
    <col min="2" max="11" width="12.33203125" bestFit="1" customWidth="1"/>
    <col min="12" max="12" width="12.77734375" bestFit="1" customWidth="1"/>
  </cols>
  <sheetData>
    <row r="1" spans="1:12" ht="25.8">
      <c r="A1" s="72" t="s">
        <v>14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2" spans="1:12" ht="15" thickBot="1"/>
    <row r="3" spans="1:12" ht="18.600000000000001" thickBot="1">
      <c r="A3" s="22" t="s">
        <v>26</v>
      </c>
      <c r="B3" s="23" t="s">
        <v>15</v>
      </c>
      <c r="C3" s="23" t="s">
        <v>16</v>
      </c>
      <c r="D3" s="23" t="s">
        <v>17</v>
      </c>
      <c r="E3" s="23" t="s">
        <v>18</v>
      </c>
      <c r="F3" s="23" t="s">
        <v>19</v>
      </c>
      <c r="G3" s="23" t="s">
        <v>20</v>
      </c>
      <c r="H3" s="23" t="s">
        <v>21</v>
      </c>
      <c r="I3" s="23" t="s">
        <v>22</v>
      </c>
      <c r="J3" s="23" t="s">
        <v>23</v>
      </c>
      <c r="K3" s="23" t="s">
        <v>24</v>
      </c>
      <c r="L3" s="24" t="s">
        <v>25</v>
      </c>
    </row>
    <row r="4" spans="1:12" ht="15">
      <c r="A4" s="20" t="s">
        <v>28</v>
      </c>
      <c r="B4" s="15">
        <f>Inputs!B3</f>
        <v>1333.3</v>
      </c>
      <c r="C4" s="15">
        <f>B4*Inputs!B13</f>
        <v>1358.3038853025348</v>
      </c>
      <c r="D4" s="15">
        <f>C4*Inputs!B13</f>
        <v>1383.7766780379222</v>
      </c>
      <c r="E4" s="15">
        <f>D4*Inputs!B13</f>
        <v>1409.7271718067536</v>
      </c>
      <c r="F4" s="15">
        <f>E4*Inputs!B13</f>
        <v>1436.1643251193786</v>
      </c>
      <c r="G4" s="15">
        <f>F4*Inputs!B13</f>
        <v>1463.097264488521</v>
      </c>
      <c r="H4" s="15">
        <f>G4*Inputs!B13</f>
        <v>1490.5352875798908</v>
      </c>
      <c r="I4" s="15">
        <f>H4*Inputs!B13</f>
        <v>1518.4878664218832</v>
      </c>
      <c r="J4" s="15">
        <f>I4*Inputs!B13</f>
        <v>1546.9646506754673</v>
      </c>
      <c r="K4" s="15">
        <f>J4*Inputs!B13</f>
        <v>1575.9754709653985</v>
      </c>
      <c r="L4" s="16">
        <f>K4*Inputs!B13</f>
        <v>1605.5303422739016</v>
      </c>
    </row>
    <row r="5" spans="1:12" ht="15">
      <c r="A5" s="20" t="s">
        <v>29</v>
      </c>
      <c r="B5" s="15"/>
      <c r="C5" s="15">
        <f>B4*Inputs!B14</f>
        <v>1308.7563904037979</v>
      </c>
      <c r="D5" s="15">
        <f>C4*Inputs!B14</f>
        <v>1333.3</v>
      </c>
      <c r="E5" s="15">
        <f>D4*Inputs!B14</f>
        <v>1358.3038853025348</v>
      </c>
      <c r="F5" s="15">
        <f>E4*Inputs!B14</f>
        <v>1383.7766780379222</v>
      </c>
      <c r="G5" s="15">
        <f>F4*Inputs!B14</f>
        <v>1409.7271718067536</v>
      </c>
      <c r="H5" s="15">
        <f>G4*Inputs!B14</f>
        <v>1436.1643251193786</v>
      </c>
      <c r="I5" s="15">
        <f>H4*Inputs!B14</f>
        <v>1463.0972644885208</v>
      </c>
      <c r="J5" s="15">
        <f>I4*Inputs!B14</f>
        <v>1490.5352875798908</v>
      </c>
      <c r="K5" s="15">
        <f>J4*Inputs!B14</f>
        <v>1518.4878664218832</v>
      </c>
      <c r="L5" s="17">
        <f>K4*Inputs!B14</f>
        <v>1546.9646506754673</v>
      </c>
    </row>
    <row r="6" spans="1:12" ht="15">
      <c r="A6" s="20" t="s">
        <v>30</v>
      </c>
      <c r="B6" s="15"/>
      <c r="C6" s="15"/>
      <c r="D6" s="15">
        <f>C5*Inputs!B14</f>
        <v>1284.6645836816758</v>
      </c>
      <c r="E6" s="15">
        <f>D5*Inputs!B14</f>
        <v>1308.7563904037979</v>
      </c>
      <c r="F6" s="15">
        <f>E5*Inputs!B14</f>
        <v>1333.3</v>
      </c>
      <c r="G6" s="15">
        <f>F5*Inputs!B14</f>
        <v>1358.3038853025348</v>
      </c>
      <c r="H6" s="15">
        <f>G5*Inputs!B14</f>
        <v>1383.7766780379222</v>
      </c>
      <c r="I6" s="15">
        <f>H5*Inputs!B14</f>
        <v>1409.7271718067536</v>
      </c>
      <c r="J6" s="15">
        <f>I5*Inputs!B14</f>
        <v>1436.1643251193784</v>
      </c>
      <c r="K6" s="15">
        <f>J5*Inputs!B14</f>
        <v>1463.0972644885208</v>
      </c>
      <c r="L6" s="17">
        <f>K5*Inputs!B14</f>
        <v>1490.5352875798908</v>
      </c>
    </row>
    <row r="7" spans="1:12" ht="15">
      <c r="A7" s="20" t="s">
        <v>31</v>
      </c>
      <c r="B7" s="15"/>
      <c r="C7" s="15"/>
      <c r="D7" s="15"/>
      <c r="E7" s="15">
        <f>D6*Inputs!B16</f>
        <v>1284.3689688632358</v>
      </c>
      <c r="F7" s="15">
        <f>E6*Inputs!B14</f>
        <v>1284.6645836816758</v>
      </c>
      <c r="G7" s="15">
        <f>F6*Inputs!B14</f>
        <v>1308.7563904037979</v>
      </c>
      <c r="H7" s="15">
        <f>G6*Inputs!B14</f>
        <v>1333.3</v>
      </c>
      <c r="I7" s="15">
        <f>H6*Inputs!B14</f>
        <v>1358.3038853025348</v>
      </c>
      <c r="J7" s="15">
        <f>I6*Inputs!B14</f>
        <v>1383.7766780379222</v>
      </c>
      <c r="K7" s="15">
        <f>J6*Inputs!B14</f>
        <v>1409.7271718067534</v>
      </c>
      <c r="L7" s="17">
        <f>K6*Inputs!B14</f>
        <v>1436.1643251193784</v>
      </c>
    </row>
    <row r="8" spans="1:12" ht="15">
      <c r="A8" s="20" t="s">
        <v>32</v>
      </c>
      <c r="B8" s="15"/>
      <c r="C8" s="15"/>
      <c r="D8" s="15"/>
      <c r="E8" s="15"/>
      <c r="F8" s="15">
        <f>E7*Inputs!B14</f>
        <v>1260.7260898793193</v>
      </c>
      <c r="G8" s="15">
        <f>F7*Inputs!B14</f>
        <v>1261.0162629706952</v>
      </c>
      <c r="H8" s="15">
        <f>G7*Inputs!B14</f>
        <v>1284.6645836816758</v>
      </c>
      <c r="I8" s="15">
        <f>H7*Inputs!B14</f>
        <v>1308.7563904037979</v>
      </c>
      <c r="J8" s="15">
        <f>I7*Inputs!B14</f>
        <v>1333.3</v>
      </c>
      <c r="K8" s="15">
        <f>J7*Inputs!B14</f>
        <v>1358.3038853025348</v>
      </c>
      <c r="L8" s="17">
        <f>K7*Inputs!B14</f>
        <v>1383.776678037922</v>
      </c>
    </row>
    <row r="9" spans="1:12" ht="15">
      <c r="A9" s="20" t="s">
        <v>33</v>
      </c>
      <c r="B9" s="15"/>
      <c r="C9" s="15"/>
      <c r="D9" s="15"/>
      <c r="E9" s="15"/>
      <c r="F9" s="15"/>
      <c r="G9" s="15">
        <f>F8*Inputs!B14</f>
        <v>1237.5184329695883</v>
      </c>
      <c r="H9" s="15">
        <f>G8*Inputs!B14</f>
        <v>1237.8032645061228</v>
      </c>
      <c r="I9" s="15">
        <f>H8*Inputs!B14</f>
        <v>1261.0162629706952</v>
      </c>
      <c r="J9" s="15">
        <f>I8*Inputs!B14</f>
        <v>1284.6645836816758</v>
      </c>
      <c r="K9" s="15">
        <f>J8*Inputs!B14</f>
        <v>1308.7563904037979</v>
      </c>
      <c r="L9" s="17">
        <f>K8*Inputs!B14</f>
        <v>1333.3</v>
      </c>
    </row>
    <row r="10" spans="1:12" ht="15">
      <c r="A10" s="20" t="s">
        <v>34</v>
      </c>
      <c r="B10" s="15"/>
      <c r="C10" s="15"/>
      <c r="D10" s="15"/>
      <c r="E10" s="15"/>
      <c r="F10" s="15"/>
      <c r="G10" s="15"/>
      <c r="H10" s="15">
        <f>G9*Inputs!B14</f>
        <v>1214.7379864932443</v>
      </c>
      <c r="I10" s="15">
        <f>H9*Inputs!B14</f>
        <v>1215.0175748031731</v>
      </c>
      <c r="J10" s="15">
        <f>I9*Inputs!B14</f>
        <v>1237.8032645061228</v>
      </c>
      <c r="K10" s="15">
        <f>J9*Inputs!B14</f>
        <v>1261.0162629706952</v>
      </c>
      <c r="L10" s="17">
        <f>K9*Inputs!B14</f>
        <v>1284.6645836816758</v>
      </c>
    </row>
    <row r="11" spans="1:12" ht="15">
      <c r="A11" s="20" t="s">
        <v>35</v>
      </c>
      <c r="B11" s="15"/>
      <c r="C11" s="15"/>
      <c r="D11" s="15"/>
      <c r="E11" s="15"/>
      <c r="F11" s="15"/>
      <c r="G11" s="15"/>
      <c r="H11" s="15"/>
      <c r="I11" s="15">
        <f>H10*Inputs!B14</f>
        <v>1192.3768862891143</v>
      </c>
      <c r="J11" s="15">
        <f>I10*Inputs!B14</f>
        <v>1192.6513278906305</v>
      </c>
      <c r="K11" s="15">
        <f>J10*Inputs!B14</f>
        <v>1215.0175748031731</v>
      </c>
      <c r="L11" s="17">
        <f>K10*Inputs!B14</f>
        <v>1237.8032645061228</v>
      </c>
    </row>
    <row r="12" spans="1:12" ht="15">
      <c r="A12" s="20" t="s">
        <v>36</v>
      </c>
      <c r="B12" s="15"/>
      <c r="C12" s="15"/>
      <c r="D12" s="15"/>
      <c r="E12" s="15"/>
      <c r="F12" s="15"/>
      <c r="G12" s="15"/>
      <c r="H12" s="15"/>
      <c r="I12" s="15"/>
      <c r="J12" s="15">
        <f>I11*Inputs!B14</f>
        <v>1170.4274129608198</v>
      </c>
      <c r="K12" s="15">
        <f>J11*Inputs!B14</f>
        <v>1170.6968025953934</v>
      </c>
      <c r="L12" s="17">
        <f>K11*Inputs!B14</f>
        <v>1192.6513278906305</v>
      </c>
    </row>
    <row r="13" spans="1:12" ht="15">
      <c r="A13" s="20" t="s">
        <v>37</v>
      </c>
      <c r="B13" s="15"/>
      <c r="C13" s="15"/>
      <c r="D13" s="15"/>
      <c r="E13" s="15"/>
      <c r="F13" s="15"/>
      <c r="G13" s="15"/>
      <c r="H13" s="15"/>
      <c r="I13" s="15"/>
      <c r="J13" s="15"/>
      <c r="K13" s="15">
        <f>J12*Inputs!B16</f>
        <v>1170.1580853156315</v>
      </c>
      <c r="L13" s="17">
        <f>K12*Inputs!B14</f>
        <v>1149.1464198770079</v>
      </c>
    </row>
    <row r="14" spans="1:12" ht="15.6" thickBot="1">
      <c r="A14" s="21" t="s">
        <v>38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9">
        <f>K13*Inputs!B14</f>
        <v>1148.6176193951139</v>
      </c>
    </row>
    <row r="16" spans="1:12">
      <c r="B16" s="7"/>
      <c r="C16" s="5"/>
      <c r="D16" s="5"/>
      <c r="E16" s="5"/>
      <c r="F16" s="5"/>
      <c r="G16" s="5"/>
      <c r="H16" s="5"/>
      <c r="I16" s="5"/>
    </row>
    <row r="17" spans="2:9">
      <c r="B17" s="7"/>
      <c r="C17" s="6"/>
      <c r="D17" s="6"/>
      <c r="E17" s="6"/>
      <c r="F17" s="6"/>
      <c r="G17" s="1"/>
      <c r="H17" s="1"/>
    </row>
    <row r="18" spans="2:9">
      <c r="B18" s="7"/>
      <c r="C18" s="1"/>
      <c r="D18" s="6"/>
      <c r="E18" s="6"/>
      <c r="F18" s="6"/>
      <c r="G18" s="1"/>
      <c r="H18" s="1"/>
    </row>
    <row r="19" spans="2:9">
      <c r="B19" s="7"/>
      <c r="C19" s="1"/>
      <c r="D19" s="1"/>
      <c r="E19" s="6"/>
      <c r="F19" s="6"/>
      <c r="G19" s="1"/>
      <c r="H19" s="1"/>
    </row>
    <row r="20" spans="2:9">
      <c r="B20" s="7"/>
      <c r="C20" s="1"/>
      <c r="D20" s="1"/>
      <c r="E20" s="1"/>
      <c r="F20" s="6"/>
      <c r="G20" s="1"/>
      <c r="H20" s="1"/>
    </row>
    <row r="21" spans="2:9">
      <c r="B21" s="7"/>
      <c r="C21" s="1"/>
      <c r="D21" s="1"/>
      <c r="E21" s="1"/>
      <c r="F21" s="1"/>
      <c r="G21" s="1"/>
      <c r="H21" s="1"/>
    </row>
    <row r="22" spans="2:9">
      <c r="B22" s="7"/>
      <c r="C22" s="1"/>
      <c r="D22" s="1"/>
      <c r="E22" s="1"/>
      <c r="F22" s="1"/>
      <c r="G22" s="1"/>
      <c r="H22" s="1"/>
    </row>
    <row r="23" spans="2:9">
      <c r="B23" s="7"/>
      <c r="C23" s="1"/>
      <c r="D23" s="1"/>
      <c r="E23" s="1"/>
      <c r="F23" s="1"/>
      <c r="G23" s="1"/>
      <c r="H23" s="1"/>
    </row>
    <row r="24" spans="2:9">
      <c r="B24" s="7"/>
      <c r="C24" s="1"/>
      <c r="D24" s="1"/>
      <c r="E24" s="1"/>
      <c r="F24" s="1"/>
      <c r="G24" s="1"/>
      <c r="H24" s="1"/>
    </row>
    <row r="25" spans="2:9">
      <c r="B25" s="7"/>
      <c r="C25" s="1"/>
      <c r="D25" s="1"/>
      <c r="E25" s="1"/>
      <c r="F25" s="1"/>
      <c r="G25" s="1"/>
      <c r="H25" s="1"/>
    </row>
    <row r="26" spans="2:9">
      <c r="B26" s="7"/>
      <c r="C26" s="1"/>
      <c r="D26" s="1"/>
      <c r="E26" s="1"/>
      <c r="F26" s="1"/>
      <c r="G26" s="1"/>
      <c r="H26" s="1"/>
    </row>
    <row r="27" spans="2:9">
      <c r="B27" s="7"/>
      <c r="C27" s="1"/>
      <c r="D27" s="1"/>
      <c r="E27" s="1"/>
      <c r="F27" s="1"/>
      <c r="G27" s="1"/>
      <c r="H27" s="1"/>
      <c r="I27" s="6"/>
    </row>
  </sheetData>
  <mergeCells count="1">
    <mergeCell ref="A1:L1"/>
  </mergeCells>
  <phoneticPr fontId="4" type="noConversion"/>
  <conditionalFormatting sqref="B4:L4 C5:L5 D6:L6 E7:L7 F8:L8 G9:L9 H10:L10 I11:L11 J12:L12 K13:L13 L14">
    <cfRule type="expression" dxfId="3" priority="1">
      <formula>B4&lt;1340</formula>
    </cfRule>
    <cfRule type="expression" dxfId="2" priority="2">
      <formula>B4&gt;=1340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E775-19F1-4A23-8784-7921840A7E85}">
  <dimension ref="A1:N25"/>
  <sheetViews>
    <sheetView workbookViewId="0">
      <selection activeCell="P18" sqref="P18"/>
    </sheetView>
  </sheetViews>
  <sheetFormatPr defaultRowHeight="14.4"/>
  <cols>
    <col min="2" max="6" width="9.6640625" bestFit="1" customWidth="1"/>
    <col min="7" max="12" width="10.6640625" bestFit="1" customWidth="1"/>
    <col min="14" max="14" width="8.88671875" customWidth="1"/>
  </cols>
  <sheetData>
    <row r="1" spans="1:14" ht="25.8">
      <c r="A1" s="72" t="s">
        <v>39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2" spans="1:14" ht="15" thickBot="1"/>
    <row r="3" spans="1:14" ht="14.4" customHeight="1" thickBot="1">
      <c r="A3" s="27" t="s">
        <v>26</v>
      </c>
      <c r="B3" s="23" t="s">
        <v>40</v>
      </c>
      <c r="C3" s="23" t="s">
        <v>41</v>
      </c>
      <c r="D3" s="23" t="s">
        <v>42</v>
      </c>
      <c r="E3" s="23" t="s">
        <v>43</v>
      </c>
      <c r="F3" s="23" t="s">
        <v>27</v>
      </c>
      <c r="G3" s="23" t="s">
        <v>44</v>
      </c>
      <c r="H3" s="23" t="s">
        <v>45</v>
      </c>
      <c r="I3" s="23" t="s">
        <v>46</v>
      </c>
      <c r="J3" s="23" t="s">
        <v>47</v>
      </c>
      <c r="K3" s="23" t="s">
        <v>48</v>
      </c>
      <c r="L3" s="24" t="s">
        <v>49</v>
      </c>
      <c r="N3" s="5"/>
    </row>
    <row r="4" spans="1:14" ht="14.4" customHeight="1">
      <c r="A4" s="25" t="s">
        <v>28</v>
      </c>
      <c r="B4" s="11">
        <f>Inputs!B16*(Inputs!B15*C4 + (1-Inputs!B15)*C5)</f>
        <v>18.26559331784496</v>
      </c>
      <c r="C4" s="11">
        <f>Inputs!B16*(Inputs!B15*D4 + (1-Inputs!B15)*D5)</f>
        <v>27.761058654999289</v>
      </c>
      <c r="D4" s="11">
        <f>Inputs!B16*(Inputs!B15*E4 + (1-Inputs!B15)*E5)</f>
        <v>41.235389001646517</v>
      </c>
      <c r="E4" s="11">
        <f>Inputs!B16 * (Inputs!B15 * F4 + (1 - Inputs!B15) * F5)</f>
        <v>59.66654054396755</v>
      </c>
      <c r="F4" s="11">
        <f>Inputs!B16 * (Inputs!B15 * G4 + (1 - Inputs!B15) * G5)</f>
        <v>83.803613961559009</v>
      </c>
      <c r="G4" s="11">
        <f>Inputs!B16 * (Inputs!B15* H4 + (1 - Inputs!B15) * H5)</f>
        <v>113.81970261094845</v>
      </c>
      <c r="H4" s="11">
        <f>Inputs!B16 * (Inputs!B15 * I4 + (1 - Inputs!B15) * I5)</f>
        <v>148.89801229837045</v>
      </c>
      <c r="I4" s="11">
        <f>Inputs!$B$16 * (Inputs!$B$15 * J4 + (1 - Inputs!$B$15) * J5)</f>
        <v>186.68943379720338</v>
      </c>
      <c r="J4" s="11">
        <f>Inputs!B16 * (Inputs!B15 * K4 + (1 - Inputs!B15) * K5)</f>
        <v>221.58843328706405</v>
      </c>
      <c r="K4" s="11">
        <f>Inputs!B16 * (Inputs!B15 * L4 + (1 - Inputs!B15) * L5)</f>
        <v>236.28381904453261</v>
      </c>
      <c r="L4" s="12">
        <f>MAX('Stock Tree'!L4 - Inputs!B4, 0)</f>
        <v>265.53034227390162</v>
      </c>
    </row>
    <row r="5" spans="1:14" ht="14.4" customHeight="1">
      <c r="A5" s="25" t="s">
        <v>29</v>
      </c>
      <c r="B5" s="11"/>
      <c r="C5" s="11">
        <f>Inputs!B16*(Inputs!B15*D5 + (1-Inputs!B15)*D6)</f>
        <v>8.7195532033609719</v>
      </c>
      <c r="D5" s="11">
        <f>Inputs!B16*(Inputs!B15*E5 + (1-Inputs!B15)*E6)</f>
        <v>14.21581169311119</v>
      </c>
      <c r="E5" s="11">
        <f>Inputs!$B$16 * (Inputs!$B$15 * F5 + (1 - Inputs!$B$15) * F6)</f>
        <v>22.708738821026092</v>
      </c>
      <c r="F5" s="11">
        <f>Inputs!$B$16 * (Inputs!$B$15 * G5 + (1 - Inputs!$B$15) * G6)</f>
        <v>35.407020068237479</v>
      </c>
      <c r="G5" s="11">
        <f>Inputs!$B$16 * (Inputs!$B$15 * H5 + (1 - Inputs!$B$15) * H6)</f>
        <v>53.639688905984762</v>
      </c>
      <c r="H5" s="11">
        <f>Inputs!$B$16 * (Inputs!$B$15 * I5 + (1 - Inputs!$B$15) * I6)</f>
        <v>78.575957770036155</v>
      </c>
      <c r="I5" s="11">
        <f>Inputs!$B$16 * (Inputs!$B$15 * J5 + (1 - Inputs!$B$15) * J6)</f>
        <v>110.94049282645736</v>
      </c>
      <c r="J5" s="11">
        <f>Inputs!B16 * (Inputs!B15 * K5 + (1 - Inputs!B15) * K6)</f>
        <v>151.65976159594703</v>
      </c>
      <c r="K5" s="11">
        <f>Inputs!B16 * (Inputs!B16 * L5 + (1 - Inputs!B16) * L6)</f>
        <v>206.90404393344849</v>
      </c>
      <c r="L5" s="12">
        <f>MAX('Stock Tree'!L5 - Inputs!B4, 0)</f>
        <v>206.96465067546728</v>
      </c>
    </row>
    <row r="6" spans="1:14" ht="14.4" customHeight="1">
      <c r="A6" s="25" t="s">
        <v>30</v>
      </c>
      <c r="B6" s="11"/>
      <c r="C6" s="11"/>
      <c r="D6" s="11">
        <f>Inputs!B16*(Inputs!B15*E6 + (1-Inputs!B15)*E7)</f>
        <v>3.1931648341556014</v>
      </c>
      <c r="E6" s="11">
        <f>Inputs!$B$16 * (Inputs!$B$15 * F6 + (1 - Inputs!$B$15) * F7)</f>
        <v>5.6766699903833233</v>
      </c>
      <c r="F6" s="11">
        <f>Inputs!$B$16 * (Inputs!$B$15 * G6 + (1 - Inputs!$B$15) * G7)</f>
        <v>9.942030727638727</v>
      </c>
      <c r="G6" s="11">
        <f>Inputs!$B$16 * (Inputs!$B$15 * H6 + (1 - Inputs!$B$15) * H7)</f>
        <v>17.07739476028696</v>
      </c>
      <c r="H6" s="11">
        <f>Inputs!$B$16 * (Inputs!$B$15 * I6 + (1 - Inputs!$B$15) * I7)</f>
        <v>28.573223484966405</v>
      </c>
      <c r="I6" s="11">
        <f>Inputs!$B$16 * (Inputs!$B$15 * J6 + (1 - Inputs!$B$15) * J7)</f>
        <v>46.046578107884294</v>
      </c>
      <c r="J6" s="11">
        <f>Inputs!B16 * (Inputs!B15 * K6 + (1 - Inputs!B15) * K7)</f>
        <v>70.01940397691142</v>
      </c>
      <c r="K6" s="11">
        <f>Inputs!B16 * (Inputs!B17 * L6 + (1 - Inputs!B17) * L7)</f>
        <v>96.14219669778754</v>
      </c>
      <c r="L6" s="12">
        <f>MAX('Stock Tree'!L6 - Inputs!B4, 0)</f>
        <v>150.53528757989079</v>
      </c>
    </row>
    <row r="7" spans="1:14" ht="18">
      <c r="A7" s="25" t="s">
        <v>31</v>
      </c>
      <c r="B7" s="11"/>
      <c r="C7" s="11"/>
      <c r="D7" s="11"/>
      <c r="E7" s="11">
        <f>Inputs!$B$16 * (Inputs!$B$15 * F7 + (1 - Inputs!$B$15) * F8)</f>
        <v>0.69570053859557379</v>
      </c>
      <c r="F7" s="11">
        <f>Inputs!$B$16 * (Inputs!$B$15 * G7 + (1 - Inputs!$B$15) * G8)</f>
        <v>1.3874236467025018</v>
      </c>
      <c r="G7" s="11">
        <f>Inputs!$B$16 * (Inputs!$B$15 * H7 + (1 - Inputs!$B$15) * H8)</f>
        <v>2.7669151720296159</v>
      </c>
      <c r="H7" s="11">
        <f>Inputs!$B$16 * (Inputs!$B$15 * I7 + (1 - Inputs!$B$15) * I8)</f>
        <v>5.5180114505063473</v>
      </c>
      <c r="I7" s="11">
        <f>Inputs!$B$16 * (Inputs!$B$15 * J7 + (1 - Inputs!$B$15) * J8)</f>
        <v>11.004475553034142</v>
      </c>
      <c r="J7" s="11">
        <f>Inputs!B16 * (Inputs!B15 * K7 + (1 - Inputs!B15) * K8)</f>
        <v>21.946036771310752</v>
      </c>
      <c r="K7" s="11">
        <f>Inputs!B16 * (Inputs!B18 * L7 + (1 - Inputs!B18) * L8)</f>
        <v>43.766604564351965</v>
      </c>
      <c r="L7" s="12">
        <f>MAX('Stock Tree'!L7 - Inputs!B4, 0)</f>
        <v>96.164325119378418</v>
      </c>
    </row>
    <row r="8" spans="1:14" ht="14.4" customHeight="1">
      <c r="A8" s="25" t="s">
        <v>32</v>
      </c>
      <c r="B8" s="11"/>
      <c r="C8" s="11"/>
      <c r="D8" s="11"/>
      <c r="E8" s="11"/>
      <c r="F8" s="11">
        <f>Inputs!$B$16 * (Inputs!$B$15 * G8 + (1 - Inputs!$B$15) * G9)</f>
        <v>0</v>
      </c>
      <c r="G8" s="11">
        <f>Inputs!$B$16 * (Inputs!$B$15 * H8 + (1 - Inputs!$B$15) * H9)</f>
        <v>0</v>
      </c>
      <c r="H8" s="11">
        <f>Inputs!$B$16 * (Inputs!$B$15 * I8 + (1 - Inputs!$B$15) * I9)</f>
        <v>0</v>
      </c>
      <c r="I8" s="11">
        <f>Inputs!$B$16 * (Inputs!$B$15 * J8 + (1 - Inputs!$B$15) * J9)</f>
        <v>0</v>
      </c>
      <c r="J8" s="11">
        <f>Inputs!B16 * (Inputs!B15 * K8 + (1 - Inputs!B15) * K9)</f>
        <v>0</v>
      </c>
      <c r="K8" s="11">
        <f>Inputs!B16 * (Inputs!B19 * L8 + (1 - Inputs!B19) * L9)</f>
        <v>0</v>
      </c>
      <c r="L8" s="12">
        <f>MAX('Stock Tree'!L8 - Inputs!B4, 0)</f>
        <v>43.776678037922011</v>
      </c>
    </row>
    <row r="9" spans="1:14" ht="15" customHeight="1">
      <c r="A9" s="25" t="s">
        <v>33</v>
      </c>
      <c r="B9" s="11"/>
      <c r="C9" s="11"/>
      <c r="D9" s="11"/>
      <c r="E9" s="11"/>
      <c r="F9" s="11"/>
      <c r="G9" s="11">
        <f>Inputs!$B$16 * (Inputs!$B$15 * H9 + (1 - Inputs!$B$15) * H10)</f>
        <v>0</v>
      </c>
      <c r="H9" s="11">
        <f>Inputs!$B$16 * (Inputs!$B$15 * I9 + (1 - Inputs!$B$15) * I10)</f>
        <v>0</v>
      </c>
      <c r="I9" s="11">
        <f>Inputs!$B$16 * (Inputs!$B$15 * J9 + (1 - Inputs!$B$15) * J10)</f>
        <v>0</v>
      </c>
      <c r="J9" s="11">
        <f>Inputs!$B$16 * (Inputs!$B$15 * K8 + (1 - Inputs!$B$15) * K9)</f>
        <v>0</v>
      </c>
      <c r="K9" s="11">
        <f>Inputs!B16 * (Inputs!B20 * L9 + (1 - Inputs!B20) * L10)</f>
        <v>0</v>
      </c>
      <c r="L9" s="12">
        <f>MAX('Stock Tree'!L9 - Inputs!B4, 0)</f>
        <v>0</v>
      </c>
    </row>
    <row r="10" spans="1:14" ht="14.4" customHeight="1">
      <c r="A10" s="25" t="s">
        <v>34</v>
      </c>
      <c r="B10" s="11"/>
      <c r="C10" s="11"/>
      <c r="D10" s="11"/>
      <c r="E10" s="11"/>
      <c r="F10" s="11"/>
      <c r="G10" s="11"/>
      <c r="H10" s="11">
        <f>Inputs!$B$16 * (Inputs!$B$15 * I10 + (1 - Inputs!$B$15) * I11)</f>
        <v>0</v>
      </c>
      <c r="I10" s="11">
        <f>Inputs!$B$16 * (Inputs!$B$15 * J10 + (1 - Inputs!$B$15) * J11)</f>
        <v>0</v>
      </c>
      <c r="J10" s="11">
        <f>Inputs!$B$16 * (Inputs!$B$15 * K9 + (1 - Inputs!$B$15) * K10)</f>
        <v>0</v>
      </c>
      <c r="K10" s="11">
        <f>Inputs!B16 * (Inputs!B21 * L10 + (1 - Inputs!B21) * L11)</f>
        <v>0</v>
      </c>
      <c r="L10" s="12">
        <f>MAX('Stock Tree'!L10 - Inputs!B4, 0)</f>
        <v>0</v>
      </c>
    </row>
    <row r="11" spans="1:14" ht="15" customHeight="1">
      <c r="A11" s="25" t="s">
        <v>35</v>
      </c>
      <c r="B11" s="11"/>
      <c r="C11" s="11"/>
      <c r="D11" s="11"/>
      <c r="E11" s="11"/>
      <c r="F11" s="11"/>
      <c r="G11" s="11"/>
      <c r="H11" s="11"/>
      <c r="I11" s="11">
        <f>Inputs!$B$16 * (Inputs!$B$15 * J11 + (1 - Inputs!$B$15) * J12)</f>
        <v>0</v>
      </c>
      <c r="J11" s="11">
        <f>Inputs!$B$16 * (Inputs!$B$15 * K10 + (1 - Inputs!$B$15) * K11)</f>
        <v>0</v>
      </c>
      <c r="K11" s="11">
        <f>Inputs!B23 * (Inputs!B22 * L11 + (1 - Inputs!B22) * L12)</f>
        <v>0</v>
      </c>
      <c r="L11" s="12">
        <f>MAX('Stock Tree'!L11 - Inputs!B4, 0)</f>
        <v>0</v>
      </c>
    </row>
    <row r="12" spans="1:14" ht="18">
      <c r="A12" s="25" t="s">
        <v>36</v>
      </c>
      <c r="B12" s="11"/>
      <c r="C12" s="11"/>
      <c r="D12" s="11"/>
      <c r="E12" s="11"/>
      <c r="F12" s="11"/>
      <c r="G12" s="11"/>
      <c r="H12" s="11"/>
      <c r="I12" s="11"/>
      <c r="J12" s="11">
        <f>Inputs!$B$16 * (Inputs!$B$15 * K11 + (1 - Inputs!$B$15) * K12)</f>
        <v>0</v>
      </c>
      <c r="K12" s="11">
        <f>Inputs!B16 * (Inputs!B23 * L12 + (1 - Inputs!B23) * L13)</f>
        <v>0</v>
      </c>
      <c r="L12" s="12">
        <f>MAX('Stock Tree'!L12 - Inputs!B4, 0)</f>
        <v>0</v>
      </c>
    </row>
    <row r="13" spans="1:14" ht="18">
      <c r="A13" s="25" t="s">
        <v>37</v>
      </c>
      <c r="B13" s="11"/>
      <c r="C13" s="11"/>
      <c r="D13" s="11"/>
      <c r="E13" s="11"/>
      <c r="F13" s="11"/>
      <c r="G13" s="11"/>
      <c r="H13" s="11"/>
      <c r="I13" s="11"/>
      <c r="J13" s="11"/>
      <c r="K13" s="11">
        <f>Inputs!B16 * (Inputs!B24 * L13 + (1 - Inputs!B24) * L14)</f>
        <v>0</v>
      </c>
      <c r="L13" s="12">
        <f>MAX('Stock Tree'!L13 - Inputs!B4, 0)</f>
        <v>0</v>
      </c>
    </row>
    <row r="14" spans="1:14" ht="18.600000000000001" thickBot="1">
      <c r="A14" s="26" t="s">
        <v>38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>
        <f>MAX('Stock Tree'!L14 - Inputs!B4, 0)</f>
        <v>0</v>
      </c>
    </row>
    <row r="16" spans="1:14" ht="18">
      <c r="C16" s="74" t="s">
        <v>74</v>
      </c>
      <c r="D16" s="74"/>
      <c r="E16" s="74"/>
      <c r="F16" s="74"/>
      <c r="G16" s="74"/>
      <c r="H16" s="74"/>
      <c r="I16" s="74"/>
      <c r="J16" s="74"/>
    </row>
    <row r="17" spans="3:10" ht="18">
      <c r="C17" s="73" t="s">
        <v>75</v>
      </c>
      <c r="D17" s="73"/>
      <c r="E17" s="73"/>
      <c r="F17" s="73"/>
      <c r="G17" s="73"/>
      <c r="H17" s="73"/>
      <c r="I17" s="73"/>
      <c r="J17" s="73"/>
    </row>
    <row r="18" spans="3:10" ht="18">
      <c r="C18" s="73" t="s">
        <v>76</v>
      </c>
      <c r="D18" s="73"/>
      <c r="E18" s="73"/>
      <c r="F18" s="73"/>
      <c r="G18" s="73"/>
      <c r="H18" s="73"/>
      <c r="I18" s="73"/>
      <c r="J18" s="73"/>
    </row>
    <row r="19" spans="3:10" ht="18">
      <c r="C19" s="73" t="s">
        <v>81</v>
      </c>
      <c r="D19" s="73"/>
      <c r="E19" s="73"/>
      <c r="F19" s="73"/>
      <c r="G19" s="73"/>
      <c r="H19" s="73"/>
      <c r="I19" s="73"/>
      <c r="J19" s="73"/>
    </row>
    <row r="20" spans="3:10" ht="18">
      <c r="C20" s="73" t="s">
        <v>77</v>
      </c>
      <c r="D20" s="73"/>
      <c r="E20" s="73"/>
      <c r="F20" s="73"/>
      <c r="G20" s="73"/>
      <c r="H20" s="73"/>
      <c r="I20" s="73"/>
      <c r="J20" s="73"/>
    </row>
    <row r="21" spans="3:10" ht="18">
      <c r="C21" s="73" t="s">
        <v>78</v>
      </c>
      <c r="D21" s="73"/>
      <c r="E21" s="73"/>
      <c r="F21" s="73"/>
      <c r="G21" s="73"/>
      <c r="H21" s="73"/>
      <c r="I21" s="73"/>
      <c r="J21" s="73"/>
    </row>
    <row r="22" spans="3:10" ht="18">
      <c r="C22" s="73" t="s">
        <v>79</v>
      </c>
      <c r="D22" s="73"/>
      <c r="E22" s="73"/>
      <c r="F22" s="73"/>
      <c r="G22" s="73"/>
      <c r="H22" s="73"/>
      <c r="I22" s="73"/>
      <c r="J22" s="73"/>
    </row>
    <row r="23" spans="3:10" ht="18">
      <c r="C23" s="73" t="s">
        <v>80</v>
      </c>
      <c r="D23" s="73"/>
      <c r="E23" s="73"/>
      <c r="F23" s="73"/>
      <c r="G23" s="73"/>
      <c r="H23" s="73"/>
      <c r="I23" s="73"/>
      <c r="J23" s="73"/>
    </row>
    <row r="24" spans="3:10">
      <c r="C24" s="1"/>
    </row>
    <row r="25" spans="3:10">
      <c r="C25" s="1"/>
    </row>
  </sheetData>
  <mergeCells count="9">
    <mergeCell ref="C21:J21"/>
    <mergeCell ref="C22:J22"/>
    <mergeCell ref="C23:J23"/>
    <mergeCell ref="C16:J16"/>
    <mergeCell ref="A1:L1"/>
    <mergeCell ref="C17:J17"/>
    <mergeCell ref="C19:J19"/>
    <mergeCell ref="C18:J18"/>
    <mergeCell ref="C20:J20"/>
  </mergeCells>
  <phoneticPr fontId="4" type="noConversion"/>
  <conditionalFormatting sqref="B4:L4 C5:L5 D6:L6 E7:L7 F8:L8 G9:L9 H10:L10 I11:L11 J12:L12 K13:L13 L14">
    <cfRule type="expression" dxfId="1" priority="1">
      <formula>B4=0</formula>
    </cfRule>
  </conditionalFormatting>
  <conditionalFormatting sqref="B4:L14">
    <cfRule type="expression" dxfId="0" priority="2">
      <formula>B4&gt;0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0B1B-E568-4026-8AD8-50244D61F767}">
  <dimension ref="A1:P27"/>
  <sheetViews>
    <sheetView workbookViewId="0">
      <selection activeCell="D7" sqref="D7"/>
    </sheetView>
  </sheetViews>
  <sheetFormatPr defaultRowHeight="14.4"/>
  <cols>
    <col min="1" max="1" width="17.44140625" customWidth="1"/>
    <col min="2" max="2" width="20.5546875" customWidth="1"/>
    <col min="3" max="3" width="21.44140625" customWidth="1"/>
  </cols>
  <sheetData>
    <row r="1" spans="1:16" ht="25.8">
      <c r="A1" s="72" t="s">
        <v>50</v>
      </c>
      <c r="B1" s="72"/>
    </row>
    <row r="2" spans="1:16" ht="14.4" customHeight="1" thickBot="1">
      <c r="A2" s="10"/>
      <c r="B2" s="10"/>
    </row>
    <row r="3" spans="1:16">
      <c r="A3" s="54" t="s">
        <v>0</v>
      </c>
      <c r="B3" s="37">
        <f>Inputs!B3</f>
        <v>1333.3</v>
      </c>
    </row>
    <row r="4" spans="1:16">
      <c r="A4" s="58" t="s">
        <v>1</v>
      </c>
      <c r="B4" s="38">
        <f>Inputs!B4</f>
        <v>1340</v>
      </c>
    </row>
    <row r="5" spans="1:16" ht="15" customHeight="1">
      <c r="A5" s="58" t="s">
        <v>2</v>
      </c>
      <c r="B5" s="39">
        <f>Inputs!B5</f>
        <v>3.8356164383561646E-2</v>
      </c>
    </row>
    <row r="6" spans="1:16" ht="14.4" customHeight="1">
      <c r="A6" s="58" t="s">
        <v>3</v>
      </c>
      <c r="B6" s="40">
        <f>Inputs!B8</f>
        <v>0.06</v>
      </c>
    </row>
    <row r="7" spans="1:16" ht="15" thickBot="1">
      <c r="A7" s="59" t="s">
        <v>4</v>
      </c>
      <c r="B7" s="41">
        <f>Inputs!B7</f>
        <v>0.3</v>
      </c>
    </row>
    <row r="8" spans="1:16" ht="15" thickBot="1">
      <c r="A8" s="1"/>
      <c r="B8" s="6"/>
    </row>
    <row r="9" spans="1:16" ht="13.8" customHeight="1">
      <c r="A9" s="57" t="s">
        <v>62</v>
      </c>
      <c r="B9" s="42">
        <f>LN(B3/B4)</f>
        <v>-5.0125418235442863E-3</v>
      </c>
      <c r="C9" s="51" t="s">
        <v>69</v>
      </c>
      <c r="J9" s="5"/>
      <c r="K9" s="5"/>
      <c r="L9" s="5"/>
      <c r="N9" s="5"/>
      <c r="O9" s="5"/>
      <c r="P9" s="5"/>
    </row>
    <row r="10" spans="1:16">
      <c r="A10" s="58" t="s">
        <v>63</v>
      </c>
      <c r="B10" s="43">
        <f>B7^2/2</f>
        <v>4.4999999999999998E-2</v>
      </c>
      <c r="C10" s="52"/>
      <c r="J10" s="1"/>
      <c r="K10" s="6"/>
      <c r="L10" s="9"/>
      <c r="N10" s="1"/>
      <c r="O10" s="1"/>
      <c r="P10" s="6"/>
    </row>
    <row r="11" spans="1:16">
      <c r="A11" s="58" t="s">
        <v>64</v>
      </c>
      <c r="B11" s="44">
        <f>(B6 + B10) * B5</f>
        <v>4.0273972602739728E-3</v>
      </c>
      <c r="C11" s="52" t="s">
        <v>73</v>
      </c>
      <c r="J11" s="1"/>
      <c r="K11" s="1"/>
      <c r="N11" s="1"/>
      <c r="O11" s="1"/>
      <c r="P11" s="6"/>
    </row>
    <row r="12" spans="1:16">
      <c r="A12" s="58" t="s">
        <v>65</v>
      </c>
      <c r="B12" s="45">
        <f>B7*SQRT(B5)</f>
        <v>5.8754189591215943E-2</v>
      </c>
      <c r="C12" s="52"/>
      <c r="J12" s="1"/>
      <c r="K12" s="1"/>
      <c r="N12" s="1"/>
      <c r="O12" s="1"/>
      <c r="P12" s="6"/>
    </row>
    <row r="13" spans="1:16">
      <c r="A13" s="58" t="s">
        <v>66</v>
      </c>
      <c r="B13" s="45">
        <f>B9 + B11</f>
        <v>-9.851445632703135E-4</v>
      </c>
      <c r="C13" s="52"/>
      <c r="J13" s="1"/>
      <c r="K13" s="1"/>
      <c r="N13" s="1"/>
      <c r="O13" s="1"/>
      <c r="P13" s="6"/>
    </row>
    <row r="14" spans="1:16">
      <c r="A14" s="58" t="s">
        <v>67</v>
      </c>
      <c r="B14" s="45">
        <f>B12</f>
        <v>5.8754189591215943E-2</v>
      </c>
      <c r="C14" s="52"/>
      <c r="J14" s="1"/>
      <c r="K14" s="1"/>
      <c r="N14" s="1"/>
      <c r="O14" s="1"/>
      <c r="P14" s="6"/>
    </row>
    <row r="15" spans="1:16">
      <c r="A15" s="58" t="s">
        <v>68</v>
      </c>
      <c r="B15" s="45">
        <f>B13 / B14</f>
        <v>-1.6767222390853941E-2</v>
      </c>
      <c r="C15" s="52"/>
      <c r="E15" s="5"/>
      <c r="F15" s="5"/>
      <c r="G15" s="5"/>
      <c r="J15" s="1"/>
      <c r="K15" s="1"/>
      <c r="N15" s="1"/>
      <c r="O15" s="1"/>
    </row>
    <row r="16" spans="1:16" ht="15" thickBot="1">
      <c r="A16" s="56" t="s">
        <v>70</v>
      </c>
      <c r="B16" s="46">
        <f>B15 - B12</f>
        <v>-7.552141198206988E-2</v>
      </c>
      <c r="C16" s="53"/>
      <c r="E16" s="1"/>
      <c r="F16" s="1"/>
      <c r="G16" s="6"/>
      <c r="N16" s="1"/>
      <c r="O16" s="1"/>
      <c r="P16" s="6"/>
    </row>
    <row r="17" spans="1:16" ht="15" thickBot="1">
      <c r="E17" s="1"/>
      <c r="F17" s="1"/>
      <c r="G17" s="6"/>
      <c r="N17" s="1"/>
      <c r="O17" s="1"/>
      <c r="P17" s="6"/>
    </row>
    <row r="18" spans="1:16">
      <c r="A18" s="54" t="s">
        <v>71</v>
      </c>
      <c r="B18" s="47">
        <f>_xlfn.NORM.S.DIST(B15, TRUE)</f>
        <v>0.4933111594813514</v>
      </c>
      <c r="E18" s="1"/>
      <c r="F18" s="1"/>
      <c r="G18" s="6"/>
      <c r="N18" s="1"/>
      <c r="O18" s="1"/>
      <c r="P18" s="6"/>
    </row>
    <row r="19" spans="1:16">
      <c r="A19" s="55" t="s">
        <v>72</v>
      </c>
      <c r="B19" s="48">
        <f>_xlfn.NORM.S.DIST(B16, TRUE)</f>
        <v>0.46989993094257199</v>
      </c>
      <c r="E19" s="1"/>
      <c r="F19" s="1"/>
      <c r="G19" s="6"/>
      <c r="N19" s="1"/>
      <c r="O19" s="1"/>
      <c r="P19" s="6"/>
    </row>
    <row r="20" spans="1:16">
      <c r="A20" s="55" t="s">
        <v>51</v>
      </c>
      <c r="B20" s="49">
        <f>B3*B18 - B4*EXP(-B6*B5)*B19</f>
        <v>29.513289444251768</v>
      </c>
      <c r="E20" s="1"/>
      <c r="F20" s="1"/>
      <c r="G20" s="6"/>
      <c r="N20" s="1"/>
      <c r="O20" s="1"/>
      <c r="P20" s="6"/>
    </row>
    <row r="21" spans="1:16" ht="15" thickBot="1">
      <c r="A21" s="56" t="s">
        <v>52</v>
      </c>
      <c r="B21" s="50">
        <f>B18</f>
        <v>0.4933111594813514</v>
      </c>
      <c r="E21" s="1"/>
      <c r="F21" s="1"/>
      <c r="G21" s="6"/>
      <c r="N21" s="1"/>
      <c r="O21" s="1"/>
      <c r="P21" s="6"/>
    </row>
    <row r="22" spans="1:16">
      <c r="E22" s="1"/>
      <c r="F22" s="1"/>
    </row>
    <row r="23" spans="1:16">
      <c r="E23" s="1"/>
      <c r="F23" s="1"/>
    </row>
    <row r="24" spans="1:16">
      <c r="E24" s="1"/>
      <c r="F24" s="1"/>
      <c r="G24" s="6"/>
    </row>
    <row r="25" spans="1:16">
      <c r="E25" s="1"/>
      <c r="F25" s="1"/>
      <c r="G25" s="6"/>
    </row>
    <row r="26" spans="1:16">
      <c r="E26" s="1"/>
      <c r="F26" s="1"/>
      <c r="G26" s="6"/>
    </row>
    <row r="27" spans="1:16">
      <c r="E27" s="1"/>
      <c r="F27" s="1"/>
      <c r="G27" s="6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0944-C352-4130-B438-C3D945D46617}">
  <dimension ref="A1:D5"/>
  <sheetViews>
    <sheetView tabSelected="1" workbookViewId="0">
      <selection activeCell="C4" sqref="C4"/>
    </sheetView>
  </sheetViews>
  <sheetFormatPr defaultRowHeight="14.4"/>
  <cols>
    <col min="1" max="1" width="15.109375" customWidth="1"/>
    <col min="2" max="2" width="14.44140625" customWidth="1"/>
    <col min="3" max="3" width="16" customWidth="1"/>
    <col min="4" max="4" width="33" customWidth="1"/>
  </cols>
  <sheetData>
    <row r="1" spans="1:4" ht="25.8">
      <c r="A1" s="72" t="s">
        <v>53</v>
      </c>
      <c r="B1" s="72"/>
      <c r="C1" s="72"/>
      <c r="D1" s="72"/>
    </row>
    <row r="2" spans="1:4" ht="15" thickBot="1"/>
    <row r="3" spans="1:4" ht="15" customHeight="1" thickBot="1">
      <c r="A3" s="68" t="s">
        <v>54</v>
      </c>
      <c r="B3" s="69" t="s">
        <v>55</v>
      </c>
      <c r="C3" s="69" t="s">
        <v>56</v>
      </c>
      <c r="D3" s="70" t="s">
        <v>57</v>
      </c>
    </row>
    <row r="4" spans="1:4" ht="14.4" customHeight="1">
      <c r="A4" s="60" t="s">
        <v>58</v>
      </c>
      <c r="B4" s="61">
        <f>'Option Tree'!B4</f>
        <v>18.26559331784496</v>
      </c>
      <c r="C4" s="62">
        <f>('Option Tree'!C4 - 'Option Tree'!C5) / ('Stock Tree'!C4 - 'Stock Tree'!C5)</f>
        <v>0.38430813688067489</v>
      </c>
      <c r="D4" s="63" t="s">
        <v>60</v>
      </c>
    </row>
    <row r="5" spans="1:4" ht="14.4" customHeight="1" thickBot="1">
      <c r="A5" s="64" t="s">
        <v>59</v>
      </c>
      <c r="B5" s="65">
        <f>'Black-Scholes'!B20</f>
        <v>29.513289444251768</v>
      </c>
      <c r="C5" s="66">
        <f>'Black-Scholes'!B21</f>
        <v>0.4933111594813514</v>
      </c>
      <c r="D5" s="67" t="s">
        <v>61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Stock Tree</vt:lpstr>
      <vt:lpstr>Option Tree</vt:lpstr>
      <vt:lpstr>Black-Scholes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Vatsh Van</dc:creator>
  <cp:lastModifiedBy>Vatsh Van</cp:lastModifiedBy>
  <dcterms:created xsi:type="dcterms:W3CDTF">2025-07-04T16:59:43Z</dcterms:created>
  <dcterms:modified xsi:type="dcterms:W3CDTF">2025-07-13T18:15:53Z</dcterms:modified>
</cp:coreProperties>
</file>