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Nutrición Aplicada -UNADM\SEMESTRE_IV\BLOQUE I\Cálculo dietético del individuo sano\UNIDAD_3\"/>
    </mc:Choice>
  </mc:AlternateContent>
  <xr:revisionPtr revIDLastSave="0" documentId="13_ncr:1_{63A09E24-BF96-4B75-95F3-86763287BEE6}" xr6:coauthVersionLast="47" xr6:coauthVersionMax="47" xr10:uidLastSave="{00000000-0000-0000-0000-000000000000}"/>
  <bookViews>
    <workbookView xWindow="-120" yWindow="-120" windowWidth="20730" windowHeight="11160" tabRatio="822" activeTab="1" xr2:uid="{6289F77F-C274-4EE9-B680-D676FE421456}"/>
  </bookViews>
  <sheets>
    <sheet name="Cálculo para deportistas" sheetId="7" r:id="rId1"/>
    <sheet name="Cálculo calórico" sheetId="6" r:id="rId2"/>
    <sheet name="Tabla dietosintética" sheetId="5" r:id="rId3"/>
    <sheet name="Distribución de raciones equiva" sheetId="1" r:id="rId4"/>
    <sheet name="raciones asignadas." sheetId="2" r:id="rId5"/>
    <sheet name="menú final " sheetId="3" r:id="rId6"/>
    <sheet name="Triptic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G10" i="6" s="1"/>
  <c r="K10" i="6" s="1"/>
  <c r="B18" i="7"/>
  <c r="B17" i="7"/>
  <c r="B16" i="7"/>
  <c r="B15" i="7"/>
  <c r="J9" i="6"/>
  <c r="N9" i="6" s="1"/>
  <c r="I9" i="6"/>
  <c r="M9" i="6" s="1"/>
  <c r="G9" i="6"/>
  <c r="K9" i="6" s="1"/>
  <c r="H9" i="6"/>
  <c r="L9" i="6" s="1"/>
  <c r="H8" i="6"/>
  <c r="J8" i="6" s="1"/>
  <c r="G8" i="6"/>
  <c r="K20" i="5"/>
  <c r="E9" i="5"/>
  <c r="E8" i="5"/>
  <c r="E7" i="5"/>
  <c r="D7" i="5"/>
  <c r="H7" i="6"/>
  <c r="L7" i="6" s="1"/>
  <c r="G7" i="6"/>
  <c r="K7" i="6" s="1"/>
  <c r="G6" i="6"/>
  <c r="I6" i="6" s="1"/>
  <c r="H6" i="6"/>
  <c r="J6" i="6" s="1"/>
  <c r="H5" i="6"/>
  <c r="J5" i="6" s="1"/>
  <c r="G5" i="6"/>
  <c r="L5" i="6" s="1"/>
  <c r="N5" i="6" s="1"/>
  <c r="H4" i="6"/>
  <c r="J4" i="6" s="1"/>
  <c r="G4" i="6"/>
  <c r="I4" i="6" s="1"/>
  <c r="I25" i="5"/>
  <c r="I24" i="5"/>
  <c r="I22" i="5"/>
  <c r="L21" i="5"/>
  <c r="L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L16" i="5"/>
  <c r="K16" i="5"/>
  <c r="J16" i="5"/>
  <c r="I16" i="5"/>
  <c r="L15" i="5"/>
  <c r="K15" i="5"/>
  <c r="J15" i="5"/>
  <c r="I15" i="5"/>
  <c r="L14" i="5"/>
  <c r="K14" i="5"/>
  <c r="J14" i="5"/>
  <c r="I14" i="5"/>
  <c r="L13" i="5"/>
  <c r="K13" i="5"/>
  <c r="J13" i="5"/>
  <c r="I13" i="5"/>
  <c r="L12" i="5"/>
  <c r="K12" i="5"/>
  <c r="J12" i="5"/>
  <c r="I12" i="5"/>
  <c r="L11" i="5"/>
  <c r="K11" i="5"/>
  <c r="J11" i="5"/>
  <c r="I11" i="5"/>
  <c r="L10" i="5"/>
  <c r="K10" i="5"/>
  <c r="J10" i="5"/>
  <c r="I10" i="5"/>
  <c r="B10" i="5"/>
  <c r="L9" i="5"/>
  <c r="K9" i="5"/>
  <c r="J9" i="5"/>
  <c r="I9" i="5"/>
  <c r="C9" i="5"/>
  <c r="D9" i="5" s="1"/>
  <c r="L25" i="5" s="1"/>
  <c r="L8" i="5"/>
  <c r="K8" i="5"/>
  <c r="J8" i="5"/>
  <c r="I8" i="5"/>
  <c r="C8" i="5"/>
  <c r="L7" i="5"/>
  <c r="K7" i="5"/>
  <c r="J7" i="5"/>
  <c r="I7" i="5"/>
  <c r="C7" i="5"/>
  <c r="L6" i="5"/>
  <c r="K6" i="5"/>
  <c r="J6" i="5"/>
  <c r="I6" i="5"/>
  <c r="L5" i="5"/>
  <c r="K5" i="5"/>
  <c r="J5" i="5"/>
  <c r="I5" i="5"/>
  <c r="L4" i="5"/>
  <c r="K4" i="5"/>
  <c r="K21" i="5" s="1"/>
  <c r="J4" i="5"/>
  <c r="J21" i="5" s="1"/>
  <c r="I4" i="5"/>
  <c r="I21" i="5" s="1"/>
  <c r="I10" i="6" l="1"/>
  <c r="M10" i="6" s="1"/>
  <c r="H10" i="6"/>
  <c r="K8" i="6"/>
  <c r="L8" i="6"/>
  <c r="N8" i="6" s="1"/>
  <c r="I8" i="6"/>
  <c r="M8" i="6" s="1"/>
  <c r="J25" i="5"/>
  <c r="I7" i="6"/>
  <c r="M7" i="6" s="1"/>
  <c r="J7" i="6"/>
  <c r="N7" i="6" s="1"/>
  <c r="L6" i="6"/>
  <c r="N6" i="6" s="1"/>
  <c r="K6" i="6"/>
  <c r="M6" i="6" s="1"/>
  <c r="K5" i="6"/>
  <c r="I5" i="6"/>
  <c r="L4" i="6"/>
  <c r="N4" i="6" s="1"/>
  <c r="I23" i="5"/>
  <c r="K4" i="6"/>
  <c r="M4" i="6" s="1"/>
  <c r="C10" i="5"/>
  <c r="J22" i="5"/>
  <c r="N2" i="5" s="1"/>
  <c r="J24" i="5"/>
  <c r="N4" i="5"/>
  <c r="N1" i="5"/>
  <c r="D8" i="5"/>
  <c r="L22" i="5"/>
  <c r="N5" i="5" s="1"/>
  <c r="L24" i="5"/>
  <c r="J10" i="6" l="1"/>
  <c r="L10" i="6"/>
  <c r="M5" i="6"/>
  <c r="J23" i="5"/>
  <c r="K25" i="5"/>
  <c r="K24" i="5"/>
  <c r="K22" i="5"/>
  <c r="L23" i="5"/>
  <c r="N10" i="6" l="1"/>
  <c r="N3" i="5"/>
  <c r="K23" i="5"/>
</calcChain>
</file>

<file path=xl/sharedStrings.xml><?xml version="1.0" encoding="utf-8"?>
<sst xmlns="http://schemas.openxmlformats.org/spreadsheetml/2006/main" count="548" uniqueCount="313">
  <si>
    <t>Grupo de alimentos equivalentes</t>
  </si>
  <si>
    <t>Subgrupos</t>
  </si>
  <si>
    <t>Tiempo de comida</t>
  </si>
  <si>
    <t>Cena</t>
  </si>
  <si>
    <t>Colación 2</t>
  </si>
  <si>
    <t>Comida</t>
  </si>
  <si>
    <t>Colación 1</t>
  </si>
  <si>
    <t>Desayuno</t>
  </si>
  <si>
    <t>Número de raciones equivalentes</t>
  </si>
  <si>
    <t>Cereales y tubérculos</t>
  </si>
  <si>
    <t>a. Sin grasa</t>
  </si>
  <si>
    <t>b. Con grasa</t>
  </si>
  <si>
    <t>------</t>
  </si>
  <si>
    <t xml:space="preserve">Leguminosas </t>
  </si>
  <si>
    <t>Leche</t>
  </si>
  <si>
    <t>a. Descremada</t>
  </si>
  <si>
    <t>b. Semidescremada</t>
  </si>
  <si>
    <t>c. Entera</t>
  </si>
  <si>
    <t>d. Con azúcar</t>
  </si>
  <si>
    <t>Verduras</t>
  </si>
  <si>
    <t>Alimentos de origen animal</t>
  </si>
  <si>
    <t>b. Bajo aporte de grasa</t>
  </si>
  <si>
    <t>c. Moderado aporte de grasa</t>
  </si>
  <si>
    <t>a. Muy bajo aporte de grasa</t>
  </si>
  <si>
    <t>d. Alto aporte de grasa</t>
  </si>
  <si>
    <t>Aceites y grasas</t>
  </si>
  <si>
    <t>a. Sin proteína</t>
  </si>
  <si>
    <t>b. Con proteína</t>
  </si>
  <si>
    <t>Frutas</t>
  </si>
  <si>
    <t>Azúcares</t>
  </si>
  <si>
    <t>Formato de distribución de raciones equivalentes por tiempos de comida</t>
  </si>
  <si>
    <t>Menú Semanal</t>
  </si>
  <si>
    <t>Lunes</t>
  </si>
  <si>
    <t>Martes</t>
  </si>
  <si>
    <t>Miércoles</t>
  </si>
  <si>
    <t>Jueves</t>
  </si>
  <si>
    <t>Viernes</t>
  </si>
  <si>
    <t>Sábado</t>
  </si>
  <si>
    <t>Domingo</t>
  </si>
  <si>
    <t>EJEMPLO</t>
  </si>
  <si>
    <t>Alimento</t>
  </si>
  <si>
    <t>Cantidad</t>
  </si>
  <si>
    <t>Preparaciones del menú</t>
  </si>
  <si>
    <r>
      <rPr>
        <b/>
        <sz val="28"/>
        <color theme="1"/>
        <rFont val="Aptos Narrow"/>
        <family val="2"/>
        <scheme val="minor"/>
      </rPr>
      <t>Guía de alimentos</t>
    </r>
    <r>
      <rPr>
        <sz val="28"/>
        <color theme="1"/>
        <rFont val="Aptos Narrow"/>
        <family val="2"/>
        <scheme val="minor"/>
      </rPr>
      <t xml:space="preserve"> </t>
    </r>
    <r>
      <rPr>
        <sz val="10"/>
        <color theme="1"/>
        <rFont val="Aptos Narrow"/>
        <family val="2"/>
        <scheme val="minor"/>
      </rPr>
      <t>Guillermo de Jesús Vázquez Oliva</t>
    </r>
  </si>
  <si>
    <t>Grupo de Verduras</t>
  </si>
  <si>
    <t>Grupo de leguminosas</t>
  </si>
  <si>
    <t>Grupo de Origen Animal moderado aporte de grasa</t>
  </si>
  <si>
    <t>Grupo de Leche semidescremada</t>
  </si>
  <si>
    <t>Grupo de Grasas sin proteína</t>
  </si>
  <si>
    <t>Peso bruto (g)</t>
  </si>
  <si>
    <t>Cantidad Sugerida</t>
  </si>
  <si>
    <t>Unidad</t>
  </si>
  <si>
    <t>Espinaca</t>
  </si>
  <si>
    <t>Taza</t>
  </si>
  <si>
    <t>Frijoles Cocidos</t>
  </si>
  <si>
    <t>Huevo cocido</t>
  </si>
  <si>
    <t>Pieza</t>
  </si>
  <si>
    <t>Leche semisdescremada</t>
  </si>
  <si>
    <t>Aceite comestible</t>
  </si>
  <si>
    <t>Cdita</t>
  </si>
  <si>
    <t>Brócoli</t>
  </si>
  <si>
    <t>Lentejas</t>
  </si>
  <si>
    <t>Filete de salmón</t>
  </si>
  <si>
    <t>Gramos</t>
  </si>
  <si>
    <t>Leche fácil digestión</t>
  </si>
  <si>
    <t>Aceite de ajonjolí</t>
  </si>
  <si>
    <t>Zanahoria</t>
  </si>
  <si>
    <t>Garbanzo</t>
  </si>
  <si>
    <t>Chicharrón</t>
  </si>
  <si>
    <t>Leche semisdescremada 1%</t>
  </si>
  <si>
    <t>Aceite de canola</t>
  </si>
  <si>
    <t>Calabacita</t>
  </si>
  <si>
    <t>Haba</t>
  </si>
  <si>
    <t>Costillas de cerdo</t>
  </si>
  <si>
    <t>Leche semisdescremada 2%</t>
  </si>
  <si>
    <t>Aceite de coco</t>
  </si>
  <si>
    <t>Jitomate</t>
  </si>
  <si>
    <t>Soya</t>
  </si>
  <si>
    <t>Muslo de pollo con piel</t>
  </si>
  <si>
    <t>Yoghurt Activia 0</t>
  </si>
  <si>
    <t>Aceitunas negra sin hueso</t>
  </si>
  <si>
    <t>Pepino</t>
  </si>
  <si>
    <t>Chícharo</t>
  </si>
  <si>
    <t>Queso de blanco</t>
  </si>
  <si>
    <t>Yoghurt Oikos estilo griego N</t>
  </si>
  <si>
    <t>Envase</t>
  </si>
  <si>
    <t>Aderezo</t>
  </si>
  <si>
    <t>Cda</t>
  </si>
  <si>
    <t>Nopal</t>
  </si>
  <si>
    <t>Alubias</t>
  </si>
  <si>
    <t>Queso de soya</t>
  </si>
  <si>
    <t>Rebanada</t>
  </si>
  <si>
    <t>Yoghurt Oikos estilo griego F</t>
  </si>
  <si>
    <t>Tocino frito</t>
  </si>
  <si>
    <t>Reb</t>
  </si>
  <si>
    <t>Lechuga</t>
  </si>
  <si>
    <t>Frijol Molido</t>
  </si>
  <si>
    <t>Salchicha de pavo</t>
  </si>
  <si>
    <t>Yoghurt Oikos estilo griego C</t>
  </si>
  <si>
    <t>Aderezo ranch</t>
  </si>
  <si>
    <t>Coliflor</t>
  </si>
  <si>
    <t>Gandúl</t>
  </si>
  <si>
    <t>Salami de pavo</t>
  </si>
  <si>
    <t>Yoghurt Oikos estilo griego A</t>
  </si>
  <si>
    <t>Aguacate verde</t>
  </si>
  <si>
    <t>Chayote</t>
  </si>
  <si>
    <t>Alverjón</t>
  </si>
  <si>
    <t>Suadero crudo</t>
  </si>
  <si>
    <t>Yoghurt Oikos estilo griego S/A</t>
  </si>
  <si>
    <t>Coco entero</t>
  </si>
  <si>
    <t>Grupo de Frutas</t>
  </si>
  <si>
    <t>Grupo de Origen Animal muy bajo aporte de grasa</t>
  </si>
  <si>
    <t>Grupo de Origen Animal Alto aporte de grasa</t>
  </si>
  <si>
    <t>Grupo de Leche Entera</t>
  </si>
  <si>
    <t>Grupo de Grasas con proteína</t>
  </si>
  <si>
    <t>Manzana</t>
  </si>
  <si>
    <t>Pechuga de pollo sin piel</t>
  </si>
  <si>
    <t>Alitas de pollo</t>
  </si>
  <si>
    <t>Almendra</t>
  </si>
  <si>
    <t>Plátano</t>
  </si>
  <si>
    <t xml:space="preserve">Pescado blanco </t>
  </si>
  <si>
    <t>Cecina de res</t>
  </si>
  <si>
    <t>Leche de burra</t>
  </si>
  <si>
    <t>Avellana</t>
  </si>
  <si>
    <t>Naranja</t>
  </si>
  <si>
    <t>Huachinango cocido</t>
  </si>
  <si>
    <t>Costilla de res</t>
  </si>
  <si>
    <t>Leche de vaca</t>
  </si>
  <si>
    <t>Cacahuate</t>
  </si>
  <si>
    <t>Fresa</t>
  </si>
  <si>
    <t>Pza med</t>
  </si>
  <si>
    <t>Atún en agua</t>
  </si>
  <si>
    <t>Lata</t>
  </si>
  <si>
    <t>Hamburguesa de pollo</t>
  </si>
  <si>
    <t>Leche entera</t>
  </si>
  <si>
    <t>Cacahuate japones</t>
  </si>
  <si>
    <t>Papaya</t>
  </si>
  <si>
    <t>Pancita de res</t>
  </si>
  <si>
    <t>Huevo estrellado</t>
  </si>
  <si>
    <t>Leche entera baja en sodio</t>
  </si>
  <si>
    <t>Cacahuate salado</t>
  </si>
  <si>
    <t>Uva</t>
  </si>
  <si>
    <t>Machaca</t>
  </si>
  <si>
    <t>Sobre</t>
  </si>
  <si>
    <t>Jamón americano</t>
  </si>
  <si>
    <t>Leche fría</t>
  </si>
  <si>
    <t>Chistorra</t>
  </si>
  <si>
    <t>Sandía</t>
  </si>
  <si>
    <t>Lomo de venado</t>
  </si>
  <si>
    <t>Mortadela</t>
  </si>
  <si>
    <t>Leche hervida</t>
  </si>
  <si>
    <t>Chorizo</t>
  </si>
  <si>
    <t>Mango</t>
  </si>
  <si>
    <t>Queso cottage</t>
  </si>
  <si>
    <t>Nugget de pollo</t>
  </si>
  <si>
    <t>Yoghurt</t>
  </si>
  <si>
    <t>Nuez</t>
  </si>
  <si>
    <t>Pera</t>
  </si>
  <si>
    <t>30 g de clara de huevo</t>
  </si>
  <si>
    <t>Peperoni</t>
  </si>
  <si>
    <t>Yoghurt Danone natural s/a</t>
  </si>
  <si>
    <t>Nuez de la india con sal</t>
  </si>
  <si>
    <t>Durazno</t>
  </si>
  <si>
    <t>Carne de res seca</t>
  </si>
  <si>
    <t>Queso Oaxaca</t>
  </si>
  <si>
    <t>Youghurt natural</t>
  </si>
  <si>
    <t>Pepitas</t>
  </si>
  <si>
    <t>Grupo de Cereales sin Grasa</t>
  </si>
  <si>
    <t>Grupo de Origen Animal bajo aporte de grasa</t>
  </si>
  <si>
    <t>Grupo de Leche descremada</t>
  </si>
  <si>
    <t>Grupo de Leche con azucar</t>
  </si>
  <si>
    <t>Grupo de Libres en energía</t>
  </si>
  <si>
    <t>Tortilla de maíz</t>
  </si>
  <si>
    <t>Barbacoa</t>
  </si>
  <si>
    <t>Leche alpura Light extra</t>
  </si>
  <si>
    <t xml:space="preserve">Helado de café </t>
  </si>
  <si>
    <t>Agua</t>
  </si>
  <si>
    <t>Pan integral</t>
  </si>
  <si>
    <t>Cabeza de cerdo</t>
  </si>
  <si>
    <t>Leche descremada</t>
  </si>
  <si>
    <t>Helado de chocolate</t>
  </si>
  <si>
    <t>Agua mineral</t>
  </si>
  <si>
    <t>Avena cocida</t>
  </si>
  <si>
    <t>Carne de cerdo</t>
  </si>
  <si>
    <t>Vitalinea bebible</t>
  </si>
  <si>
    <t>Helado de fresa</t>
  </si>
  <si>
    <t>Ajo en polvo</t>
  </si>
  <si>
    <t>Arroz cocido</t>
  </si>
  <si>
    <t>Chuleta de cerdo</t>
  </si>
  <si>
    <t>Yoghurt bajo en grasa</t>
  </si>
  <si>
    <t>Helado de vainilla</t>
  </si>
  <si>
    <t>Café americano</t>
  </si>
  <si>
    <t>Espagueti</t>
  </si>
  <si>
    <t>Gallina</t>
  </si>
  <si>
    <t>Yoghurt danone defensis</t>
  </si>
  <si>
    <t>Helado Napolitano</t>
  </si>
  <si>
    <t xml:space="preserve">Caldo </t>
  </si>
  <si>
    <t>Amaranto cocido</t>
  </si>
  <si>
    <t>Jamón de pavo</t>
  </si>
  <si>
    <t>Yoghurt danone esencial</t>
  </si>
  <si>
    <t>Leche con chocolate</t>
  </si>
  <si>
    <t>Caldo de res</t>
  </si>
  <si>
    <t>Papa cocida</t>
  </si>
  <si>
    <t>Molida de cerdo</t>
  </si>
  <si>
    <t>Yoghurt light</t>
  </si>
  <si>
    <t>Leche malteada de chocolate</t>
  </si>
  <si>
    <t>Canela</t>
  </si>
  <si>
    <t>Galleta salada</t>
  </si>
  <si>
    <t>Pechuga de pollo con piel</t>
  </si>
  <si>
    <t>Yoghurt light de fruta</t>
  </si>
  <si>
    <t>Malteada de fresa</t>
  </si>
  <si>
    <t>Cebollin</t>
  </si>
  <si>
    <t>Cereal de maíz</t>
  </si>
  <si>
    <t>Queso fresco</t>
  </si>
  <si>
    <t>Yoghurt Activia bebible</t>
  </si>
  <si>
    <t>Youghurt bebible sabor durazno</t>
  </si>
  <si>
    <t>Chile en polvo</t>
  </si>
  <si>
    <t>Couscous</t>
  </si>
  <si>
    <t>Salmón</t>
  </si>
  <si>
    <t>Vitalinea sólido</t>
  </si>
  <si>
    <t>Youghurt bebible sabor fresa</t>
  </si>
  <si>
    <t>Té verde</t>
  </si>
  <si>
    <t>Raciones de cereales y tubérculos</t>
  </si>
  <si>
    <t>Kcal</t>
  </si>
  <si>
    <t xml:space="preserve">Raciones de Origen animal </t>
  </si>
  <si>
    <t>Categoría</t>
  </si>
  <si>
    <t>Equivalentes</t>
  </si>
  <si>
    <t>Energía (kcal)</t>
  </si>
  <si>
    <t>Proteínas (g)</t>
  </si>
  <si>
    <t>Lípidos  (g)</t>
  </si>
  <si>
    <t>Carbohidratos (g)</t>
  </si>
  <si>
    <t>Raciones de Aceites y Grasas</t>
  </si>
  <si>
    <t xml:space="preserve">Raciones de Azúcares </t>
  </si>
  <si>
    <t>Raciones de Frutas</t>
  </si>
  <si>
    <t>Macros</t>
  </si>
  <si>
    <t>%</t>
  </si>
  <si>
    <t>kcal</t>
  </si>
  <si>
    <t>Cereales  y  tubérculos sin grasa</t>
  </si>
  <si>
    <t xml:space="preserve">Proteínas </t>
  </si>
  <si>
    <t>Cereales y  tubérculos con grasa</t>
  </si>
  <si>
    <t>Lípidos</t>
  </si>
  <si>
    <t>Leguminosas</t>
  </si>
  <si>
    <t>HC</t>
  </si>
  <si>
    <t>A.O.A MBAG</t>
  </si>
  <si>
    <t>TOTAL</t>
  </si>
  <si>
    <t>A.O.A BAG</t>
  </si>
  <si>
    <t>1.-Cereales y túberculos</t>
  </si>
  <si>
    <t>A.O.A. MAG</t>
  </si>
  <si>
    <t>2.-Leguminosas (1-2)</t>
  </si>
  <si>
    <t>Edad</t>
  </si>
  <si>
    <t>A.O.A AAG</t>
  </si>
  <si>
    <t>3.-Lacteos (1-2)</t>
  </si>
  <si>
    <t>Descremada</t>
  </si>
  <si>
    <t>4.-Verduras (minimo 3)</t>
  </si>
  <si>
    <t>Semi</t>
  </si>
  <si>
    <t>5.-Origen Animal (2-5)</t>
  </si>
  <si>
    <t>Entera</t>
  </si>
  <si>
    <t xml:space="preserve">6.-Aceites y grasas </t>
  </si>
  <si>
    <t>Leche con azúcar</t>
  </si>
  <si>
    <t>7.-Frutas</t>
  </si>
  <si>
    <t>Grasas s/p</t>
  </si>
  <si>
    <t>Grasas c/p</t>
  </si>
  <si>
    <t>Azúcares s/g</t>
  </si>
  <si>
    <t>Azúcares c/g</t>
  </si>
  <si>
    <t xml:space="preserve">Total </t>
  </si>
  <si>
    <t>Recomendado</t>
  </si>
  <si>
    <t>% de Adecuación</t>
  </si>
  <si>
    <t>Harris Benedict</t>
  </si>
  <si>
    <t>FÓRMULA</t>
  </si>
  <si>
    <t>GEB-GER</t>
  </si>
  <si>
    <t>GEB</t>
  </si>
  <si>
    <t>¿QUE TIPO DE PERSONAS?</t>
  </si>
  <si>
    <t>HOMBRE</t>
  </si>
  <si>
    <t>MUJER</t>
  </si>
  <si>
    <t>EDAD(Años)</t>
  </si>
  <si>
    <t>PESO(Kg)</t>
  </si>
  <si>
    <t>ESTATURA(cm)</t>
  </si>
  <si>
    <t>Uso general en
adultos sanos.
Menos precisa en
personas con
desnutrición u
obesidad.</t>
  </si>
  <si>
    <t>Mifflin-St</t>
  </si>
  <si>
    <t>GER</t>
  </si>
  <si>
    <t>Adecuada para personas con sobrepeso y obesidad.</t>
  </si>
  <si>
    <t>ETA-HOMBRE</t>
  </si>
  <si>
    <t>ETA-MUJER</t>
  </si>
  <si>
    <t>GET-HOMBRE</t>
  </si>
  <si>
    <t>GET-MUJER</t>
  </si>
  <si>
    <t>GEAF-HOMBRE</t>
  </si>
  <si>
    <t>GEAF-MUJER</t>
  </si>
  <si>
    <t>Valencia</t>
  </si>
  <si>
    <t>Recomendado para
la población
mexicana.</t>
  </si>
  <si>
    <t>Método Rápido</t>
  </si>
  <si>
    <t>Práctico, pero poco específico</t>
  </si>
  <si>
    <t>Recomendado para deportistas y personas físicamente activas.</t>
  </si>
  <si>
    <t>MASA MAGRA</t>
  </si>
  <si>
    <t>G/kg</t>
  </si>
  <si>
    <t>KG</t>
  </si>
  <si>
    <t>Recomendado para
uso clínico en
estimaciones
rápidas del GER en
adultos sanos</t>
  </si>
  <si>
    <t>Owen</t>
  </si>
  <si>
    <t>FAO/OMS</t>
  </si>
  <si>
    <t>Uso en estimaciones poblacionales y comunitarias.</t>
  </si>
  <si>
    <t xml:space="preserve">Cunningham </t>
  </si>
  <si>
    <t>Género</t>
  </si>
  <si>
    <t>Tricipital</t>
  </si>
  <si>
    <t>Subescapular</t>
  </si>
  <si>
    <t>Suprailiaco</t>
  </si>
  <si>
    <t>Bicipital</t>
  </si>
  <si>
    <t>% Grasa</t>
  </si>
  <si>
    <t>MLG</t>
  </si>
  <si>
    <t>Masculino</t>
  </si>
  <si>
    <t>DC</t>
  </si>
  <si>
    <t xml:space="preserve"> </t>
  </si>
  <si>
    <t>Peso(kg)</t>
  </si>
  <si>
    <t xml:space="preserve">Masa libre de grasa </t>
  </si>
  <si>
    <t>%Grasa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</si>
</sst>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General&quot;kcal&quot;"/>
    <numFmt numFmtId="165" formatCode="General&quot;g&quot;"/>
    <numFmt numFmtId="166" formatCode="General&quot;%&quot;"/>
    <numFmt numFmtId="167" formatCode="General\ &quot;mm&quot;"/>
    <numFmt numFmtId="168" formatCode="General\ &quot;Kg&quot;"/>
    <numFmt numFmtId="169" formatCode="General\ &quot;Kcal&quot;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sz val="28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AE58A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12EE17"/>
        <bgColor indexed="64"/>
      </patternFill>
    </fill>
    <fill>
      <patternFill patternType="solid">
        <fgColor rgb="FF93E4F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3C25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D97DEB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90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vertical="center"/>
    </xf>
    <xf numFmtId="0" fontId="0" fillId="4" borderId="1" xfId="0" quotePrefix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quotePrefix="1" applyFill="1" applyBorder="1" applyAlignment="1">
      <alignment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quotePrefix="1" applyFill="1" applyBorder="1" applyAlignment="1">
      <alignment vertical="center"/>
    </xf>
    <xf numFmtId="0" fontId="0" fillId="10" borderId="1" xfId="0" applyFill="1" applyBorder="1"/>
    <xf numFmtId="0" fontId="1" fillId="2" borderId="1" xfId="0" applyFont="1" applyFill="1" applyBorder="1"/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quotePrefix="1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vertical="center"/>
    </xf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 applyAlignment="1">
      <alignment horizontal="center" vertical="center"/>
    </xf>
    <xf numFmtId="0" fontId="1" fillId="9" borderId="1" xfId="0" quotePrefix="1" applyFont="1" applyFill="1" applyBorder="1" applyAlignment="1">
      <alignment vertical="center"/>
    </xf>
    <xf numFmtId="0" fontId="1" fillId="10" borderId="1" xfId="0" applyFont="1" applyFill="1" applyBorder="1"/>
    <xf numFmtId="0" fontId="4" fillId="0" borderId="18" xfId="0" applyFont="1" applyBorder="1" applyAlignment="1">
      <alignment wrapText="1"/>
    </xf>
    <xf numFmtId="0" fontId="4" fillId="12" borderId="19" xfId="0" applyFont="1" applyFill="1" applyBorder="1" applyAlignment="1">
      <alignment wrapText="1"/>
    </xf>
    <xf numFmtId="0" fontId="4" fillId="13" borderId="19" xfId="0" applyFont="1" applyFill="1" applyBorder="1" applyAlignment="1">
      <alignment wrapText="1"/>
    </xf>
    <xf numFmtId="0" fontId="4" fillId="15" borderId="23" xfId="0" applyFont="1" applyFill="1" applyBorder="1" applyAlignment="1">
      <alignment wrapText="1"/>
    </xf>
    <xf numFmtId="0" fontId="4" fillId="15" borderId="24" xfId="0" applyFont="1" applyFill="1" applyBorder="1" applyAlignment="1">
      <alignment wrapText="1"/>
    </xf>
    <xf numFmtId="0" fontId="4" fillId="14" borderId="22" xfId="0" applyFont="1" applyFill="1" applyBorder="1" applyAlignment="1">
      <alignment vertical="center" wrapText="1"/>
    </xf>
    <xf numFmtId="0" fontId="4" fillId="14" borderId="20" xfId="0" applyFont="1" applyFill="1" applyBorder="1" applyAlignment="1">
      <alignment vertical="center" wrapText="1"/>
    </xf>
    <xf numFmtId="0" fontId="4" fillId="15" borderId="25" xfId="0" applyFont="1" applyFill="1" applyBorder="1" applyAlignment="1">
      <alignment wrapText="1"/>
    </xf>
    <xf numFmtId="0" fontId="4" fillId="14" borderId="25" xfId="0" applyFont="1" applyFill="1" applyBorder="1" applyAlignment="1">
      <alignment vertical="center" wrapText="1"/>
    </xf>
    <xf numFmtId="0" fontId="4" fillId="15" borderId="33" xfId="0" applyFont="1" applyFill="1" applyBorder="1" applyAlignment="1">
      <alignment wrapText="1"/>
    </xf>
    <xf numFmtId="0" fontId="4" fillId="15" borderId="34" xfId="0" applyFont="1" applyFill="1" applyBorder="1" applyAlignment="1">
      <alignment wrapText="1"/>
    </xf>
    <xf numFmtId="0" fontId="4" fillId="15" borderId="35" xfId="0" applyFont="1" applyFill="1" applyBorder="1" applyAlignment="1">
      <alignment wrapText="1"/>
    </xf>
    <xf numFmtId="0" fontId="4" fillId="15" borderId="28" xfId="0" applyFont="1" applyFill="1" applyBorder="1" applyAlignment="1">
      <alignment wrapText="1"/>
    </xf>
    <xf numFmtId="0" fontId="4" fillId="15" borderId="36" xfId="0" applyFont="1" applyFill="1" applyBorder="1" applyAlignment="1">
      <alignment wrapText="1"/>
    </xf>
    <xf numFmtId="0" fontId="4" fillId="15" borderId="29" xfId="0" applyFont="1" applyFill="1" applyBorder="1" applyAlignment="1">
      <alignment wrapText="1"/>
    </xf>
    <xf numFmtId="0" fontId="4" fillId="15" borderId="30" xfId="0" applyFont="1" applyFill="1" applyBorder="1" applyAlignment="1">
      <alignment wrapText="1"/>
    </xf>
    <xf numFmtId="0" fontId="4" fillId="15" borderId="31" xfId="0" applyFont="1" applyFill="1" applyBorder="1" applyAlignment="1">
      <alignment wrapText="1"/>
    </xf>
    <xf numFmtId="0" fontId="4" fillId="15" borderId="32" xfId="0" applyFont="1" applyFill="1" applyBorder="1" applyAlignment="1">
      <alignment wrapText="1"/>
    </xf>
    <xf numFmtId="0" fontId="4" fillId="15" borderId="40" xfId="0" applyFont="1" applyFill="1" applyBorder="1" applyAlignment="1">
      <alignment wrapText="1"/>
    </xf>
    <xf numFmtId="0" fontId="4" fillId="12" borderId="21" xfId="0" applyFont="1" applyFill="1" applyBorder="1" applyAlignment="1">
      <alignment wrapText="1"/>
    </xf>
    <xf numFmtId="0" fontId="1" fillId="4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17" borderId="1" xfId="0" applyFill="1" applyBorder="1"/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vertical="center" wrapText="1"/>
    </xf>
    <xf numFmtId="0" fontId="0" fillId="18" borderId="1" xfId="0" applyFill="1" applyBorder="1"/>
    <xf numFmtId="0" fontId="0" fillId="18" borderId="1" xfId="0" applyFill="1" applyBorder="1" applyAlignment="1">
      <alignment wrapText="1"/>
    </xf>
    <xf numFmtId="0" fontId="0" fillId="18" borderId="1" xfId="0" applyFill="1" applyBorder="1" applyAlignment="1">
      <alignment vertical="center" wrapText="1"/>
    </xf>
    <xf numFmtId="0" fontId="0" fillId="19" borderId="1" xfId="0" applyFill="1" applyBorder="1"/>
    <xf numFmtId="0" fontId="0" fillId="19" borderId="1" xfId="0" applyFill="1" applyBorder="1" applyAlignment="1">
      <alignment wrapText="1"/>
    </xf>
    <xf numFmtId="0" fontId="0" fillId="19" borderId="1" xfId="0" applyFill="1" applyBorder="1" applyAlignment="1">
      <alignment vertical="center" wrapText="1"/>
    </xf>
    <xf numFmtId="0" fontId="0" fillId="20" borderId="1" xfId="0" applyFill="1" applyBorder="1"/>
    <xf numFmtId="0" fontId="0" fillId="20" borderId="1" xfId="0" applyFill="1" applyBorder="1" applyAlignment="1">
      <alignment wrapText="1"/>
    </xf>
    <xf numFmtId="0" fontId="0" fillId="20" borderId="1" xfId="0" applyFill="1" applyBorder="1" applyAlignment="1">
      <alignment vertical="center" wrapText="1"/>
    </xf>
    <xf numFmtId="0" fontId="0" fillId="21" borderId="1" xfId="0" applyFill="1" applyBorder="1"/>
    <xf numFmtId="0" fontId="0" fillId="21" borderId="1" xfId="0" applyFill="1" applyBorder="1" applyAlignment="1">
      <alignment wrapText="1"/>
    </xf>
    <xf numFmtId="0" fontId="0" fillId="21" borderId="1" xfId="0" applyFill="1" applyBorder="1" applyAlignment="1">
      <alignment vertical="center" wrapText="1"/>
    </xf>
    <xf numFmtId="0" fontId="0" fillId="17" borderId="1" xfId="0" applyFill="1" applyBorder="1" applyAlignment="1">
      <alignment horizontal="left" vertical="center" indent="2"/>
    </xf>
    <xf numFmtId="12" fontId="0" fillId="0" borderId="1" xfId="0" applyNumberFormat="1" applyBorder="1"/>
    <xf numFmtId="12" fontId="0" fillId="0" borderId="10" xfId="0" applyNumberFormat="1" applyBorder="1"/>
    <xf numFmtId="0" fontId="0" fillId="22" borderId="1" xfId="0" applyFill="1" applyBorder="1" applyAlignment="1">
      <alignment horizontal="left" vertical="center" indent="1"/>
    </xf>
    <xf numFmtId="0" fontId="0" fillId="22" borderId="1" xfId="0" applyFill="1" applyBorder="1" applyAlignment="1">
      <alignment wrapText="1"/>
    </xf>
    <xf numFmtId="0" fontId="0" fillId="22" borderId="1" xfId="0" applyFill="1" applyBorder="1" applyAlignment="1">
      <alignment vertical="center" wrapText="1"/>
    </xf>
    <xf numFmtId="0" fontId="0" fillId="22" borderId="1" xfId="0" applyFill="1" applyBorder="1"/>
    <xf numFmtId="0" fontId="0" fillId="22" borderId="1" xfId="0" applyFill="1" applyBorder="1" applyAlignment="1">
      <alignment horizontal="left" vertical="center" indent="2"/>
    </xf>
    <xf numFmtId="0" fontId="0" fillId="8" borderId="1" xfId="0" applyFill="1" applyBorder="1" applyAlignment="1">
      <alignment horizontal="center"/>
    </xf>
    <xf numFmtId="0" fontId="0" fillId="23" borderId="1" xfId="0" applyFill="1" applyBorder="1" applyAlignment="1">
      <alignment horizontal="left" vertical="center" indent="1"/>
    </xf>
    <xf numFmtId="0" fontId="0" fillId="23" borderId="1" xfId="0" applyFill="1" applyBorder="1" applyAlignment="1">
      <alignment wrapText="1"/>
    </xf>
    <xf numFmtId="0" fontId="0" fillId="23" borderId="1" xfId="0" applyFill="1" applyBorder="1" applyAlignment="1">
      <alignment vertical="center" wrapText="1"/>
    </xf>
    <xf numFmtId="0" fontId="0" fillId="23" borderId="1" xfId="0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vertical="center" wrapText="1"/>
    </xf>
    <xf numFmtId="0" fontId="0" fillId="24" borderId="1" xfId="0" applyFill="1" applyBorder="1"/>
    <xf numFmtId="0" fontId="1" fillId="25" borderId="1" xfId="0" applyFont="1" applyFill="1" applyBorder="1"/>
    <xf numFmtId="0" fontId="0" fillId="25" borderId="1" xfId="0" applyFill="1" applyBorder="1"/>
    <xf numFmtId="0" fontId="0" fillId="0" borderId="1" xfId="0" applyBorder="1" applyAlignment="1">
      <alignment horizontal="center"/>
    </xf>
    <xf numFmtId="0" fontId="1" fillId="25" borderId="1" xfId="0" applyFont="1" applyFill="1" applyBorder="1" applyAlignment="1">
      <alignment horizontal="center" vertical="top"/>
    </xf>
    <xf numFmtId="10" fontId="0" fillId="8" borderId="1" xfId="0" applyNumberFormat="1" applyFill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65" fontId="0" fillId="0" borderId="1" xfId="0" applyNumberFormat="1" applyBorder="1" applyAlignment="1">
      <alignment horizontal="center" vertical="top"/>
    </xf>
    <xf numFmtId="1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1" fillId="25" borderId="0" xfId="0" applyFont="1" applyFill="1"/>
    <xf numFmtId="0" fontId="1" fillId="26" borderId="1" xfId="0" applyFont="1" applyFill="1" applyBorder="1"/>
    <xf numFmtId="0" fontId="0" fillId="27" borderId="1" xfId="0" applyFill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9" fontId="1" fillId="26" borderId="1" xfId="0" applyNumberFormat="1" applyFont="1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7" xfId="0" applyFill="1" applyBorder="1"/>
    <xf numFmtId="0" fontId="0" fillId="28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0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1" borderId="1" xfId="0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 applyAlignment="1">
      <alignment vertical="center"/>
    </xf>
    <xf numFmtId="0" fontId="0" fillId="22" borderId="7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32" borderId="1" xfId="0" applyFill="1" applyBorder="1" applyAlignment="1">
      <alignment horizontal="center" vertical="center" wrapText="1"/>
    </xf>
    <xf numFmtId="0" fontId="0" fillId="32" borderId="1" xfId="0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 wrapText="1"/>
    </xf>
    <xf numFmtId="0" fontId="4" fillId="16" borderId="30" xfId="0" applyFont="1" applyFill="1" applyBorder="1" applyAlignment="1">
      <alignment horizontal="center" vertical="center" wrapText="1"/>
    </xf>
    <xf numFmtId="0" fontId="4" fillId="16" borderId="31" xfId="0" applyFont="1" applyFill="1" applyBorder="1" applyAlignment="1">
      <alignment horizontal="center" vertical="center" wrapText="1"/>
    </xf>
    <xf numFmtId="0" fontId="4" fillId="15" borderId="24" xfId="0" applyFont="1" applyFill="1" applyBorder="1" applyAlignment="1">
      <alignment horizontal="center" wrapText="1"/>
    </xf>
    <xf numFmtId="0" fontId="4" fillId="15" borderId="38" xfId="0" applyFont="1" applyFill="1" applyBorder="1" applyAlignment="1">
      <alignment horizontal="center" wrapText="1"/>
    </xf>
    <xf numFmtId="0" fontId="4" fillId="15" borderId="29" xfId="0" applyFont="1" applyFill="1" applyBorder="1" applyAlignment="1">
      <alignment horizontal="center" wrapText="1"/>
    </xf>
    <xf numFmtId="0" fontId="4" fillId="15" borderId="31" xfId="0" applyFont="1" applyFill="1" applyBorder="1" applyAlignment="1">
      <alignment horizontal="center" wrapText="1"/>
    </xf>
    <xf numFmtId="0" fontId="4" fillId="15" borderId="36" xfId="0" applyFont="1" applyFill="1" applyBorder="1" applyAlignment="1">
      <alignment horizontal="center" wrapText="1"/>
    </xf>
    <xf numFmtId="0" fontId="4" fillId="15" borderId="39" xfId="0" applyFont="1" applyFill="1" applyBorder="1" applyAlignment="1">
      <alignment horizontal="center" wrapText="1"/>
    </xf>
    <xf numFmtId="0" fontId="4" fillId="15" borderId="29" xfId="0" applyFont="1" applyFill="1" applyBorder="1" applyAlignment="1">
      <alignment wrapText="1"/>
    </xf>
    <xf numFmtId="0" fontId="4" fillId="15" borderId="30" xfId="0" applyFont="1" applyFill="1" applyBorder="1" applyAlignment="1">
      <alignment wrapText="1"/>
    </xf>
    <xf numFmtId="0" fontId="4" fillId="15" borderId="31" xfId="0" applyFont="1" applyFill="1" applyBorder="1" applyAlignment="1">
      <alignment wrapText="1"/>
    </xf>
    <xf numFmtId="0" fontId="4" fillId="14" borderId="28" xfId="0" applyFont="1" applyFill="1" applyBorder="1" applyAlignment="1">
      <alignment horizontal="center" vertical="center" wrapText="1"/>
    </xf>
    <xf numFmtId="0" fontId="4" fillId="14" borderId="37" xfId="0" applyFont="1" applyFill="1" applyBorder="1" applyAlignment="1">
      <alignment horizontal="center" vertical="center" wrapText="1"/>
    </xf>
    <xf numFmtId="0" fontId="4" fillId="14" borderId="29" xfId="0" applyFont="1" applyFill="1" applyBorder="1" applyAlignment="1">
      <alignment horizontal="center" vertical="center" wrapText="1"/>
    </xf>
    <xf numFmtId="0" fontId="4" fillId="14" borderId="30" xfId="0" applyFont="1" applyFill="1" applyBorder="1" applyAlignment="1">
      <alignment horizontal="center" vertical="center" wrapText="1"/>
    </xf>
    <xf numFmtId="0" fontId="4" fillId="14" borderId="31" xfId="0" applyFont="1" applyFill="1" applyBorder="1" applyAlignment="1">
      <alignment horizontal="center" vertical="center" wrapText="1"/>
    </xf>
    <xf numFmtId="0" fontId="4" fillId="15" borderId="27" xfId="0" applyFont="1" applyFill="1" applyBorder="1" applyAlignment="1">
      <alignment horizontal="center" wrapText="1"/>
    </xf>
    <xf numFmtId="0" fontId="4" fillId="15" borderId="28" xfId="0" applyFont="1" applyFill="1" applyBorder="1" applyAlignment="1">
      <alignment horizontal="center" wrapText="1"/>
    </xf>
    <xf numFmtId="0" fontId="3" fillId="11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17" xfId="0" applyFont="1" applyFill="1" applyBorder="1" applyAlignment="1">
      <alignment horizontal="center" vertical="center" wrapText="1"/>
    </xf>
    <xf numFmtId="0" fontId="4" fillId="15" borderId="30" xfId="0" applyFont="1" applyFill="1" applyBorder="1" applyAlignment="1">
      <alignment horizontal="center" wrapText="1"/>
    </xf>
    <xf numFmtId="0" fontId="4" fillId="14" borderId="26" xfId="0" applyFont="1" applyFill="1" applyBorder="1" applyAlignment="1">
      <alignment horizontal="center" vertical="center" wrapText="1"/>
    </xf>
    <xf numFmtId="0" fontId="4" fillId="14" borderId="20" xfId="0" applyFont="1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66FF66"/>
      <color rgb="FFFAE58A"/>
      <color rgb="FFD97DEB"/>
      <color rgb="FFFF00FF"/>
      <color rgb="FFFF66FF"/>
      <color rgb="FFA50021"/>
      <color rgb="FF987F38"/>
      <color rgb="FF0000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22</xdr:col>
      <xdr:colOff>314325</xdr:colOff>
      <xdr:row>7</xdr:row>
      <xdr:rowOff>733425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63CB65-EC76-AEAB-8E54-1C15A4EC4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7725" y="381000"/>
          <a:ext cx="56483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04AD-59E2-4D98-A526-5D26FBCD1D59}">
  <dimension ref="A7:D18"/>
  <sheetViews>
    <sheetView topLeftCell="A5" workbookViewId="0">
      <selection activeCell="A7" sqref="A7"/>
    </sheetView>
  </sheetViews>
  <sheetFormatPr baseColWidth="10" defaultRowHeight="15" x14ac:dyDescent="0.25"/>
  <cols>
    <col min="1" max="1" width="13.140625" bestFit="1" customWidth="1"/>
    <col min="2" max="2" width="32.85546875" customWidth="1"/>
  </cols>
  <sheetData>
    <row r="7" spans="1:4" x14ac:dyDescent="0.25">
      <c r="A7" t="s">
        <v>299</v>
      </c>
    </row>
    <row r="8" spans="1:4" ht="44.25" customHeight="1" x14ac:dyDescent="0.25">
      <c r="A8" t="s">
        <v>310</v>
      </c>
      <c r="B8" s="114">
        <v>80</v>
      </c>
    </row>
    <row r="9" spans="1:4" x14ac:dyDescent="0.25">
      <c r="A9" t="s">
        <v>300</v>
      </c>
      <c r="B9" s="94" t="s">
        <v>307</v>
      </c>
    </row>
    <row r="10" spans="1:4" x14ac:dyDescent="0.25">
      <c r="A10" t="s">
        <v>249</v>
      </c>
      <c r="B10" s="94">
        <v>26</v>
      </c>
    </row>
    <row r="11" spans="1:4" x14ac:dyDescent="0.25">
      <c r="A11" t="s">
        <v>301</v>
      </c>
      <c r="B11" s="113">
        <v>10</v>
      </c>
    </row>
    <row r="12" spans="1:4" x14ac:dyDescent="0.25">
      <c r="A12" t="s">
        <v>302</v>
      </c>
      <c r="B12" s="113">
        <v>16</v>
      </c>
    </row>
    <row r="13" spans="1:4" x14ac:dyDescent="0.25">
      <c r="A13" t="s">
        <v>303</v>
      </c>
      <c r="B13" s="113">
        <v>15</v>
      </c>
      <c r="D13" t="s">
        <v>309</v>
      </c>
    </row>
    <row r="14" spans="1:4" x14ac:dyDescent="0.25">
      <c r="A14" t="s">
        <v>304</v>
      </c>
      <c r="B14" s="113">
        <v>11</v>
      </c>
    </row>
    <row r="15" spans="1:4" x14ac:dyDescent="0.25">
      <c r="A15" t="s">
        <v>308</v>
      </c>
      <c r="B15" s="94">
        <f>IF(AND(B9="Masculino",B10&gt;=17,B10&lt;=19),1.162-(0.063*LOG(SUM(B11:B14))),
IF(AND(B9="Masculino",B10&gt;=20,B10&lt;=29),1.1631-(0.0632*LOG(SUM(B11:B14))),
IF(AND(B9="Masculino",B10&gt;=30,B10&lt;=39),1.1422-(0.0544*LOG(SUM(B11:B14))),
IF(AND(B9="Masculino",B10&gt;=40,B10&lt;=49),1.162-(0.07*LOG(SUM(B11:B14))),
IF(B9="Masculino",1.1715-(0.0779*LOG(SUM(B11:B14))),
IF(AND(B9="Femenino",B10&gt;=17,B10&lt;=19),1.1549-(0.0678*LOG(SUM(B11:B14))),
IF(AND(B9="Femenino",B10&gt;=20,B10&lt;=29),1.1599-(0.0717*LOG(SUM(B11:B14))),
IF(AND(B9="Femenino",B10&gt;=30,B10&lt;=39),1.1423-(0.0632*LOG(SUM(B11:B14))),
IF(AND(B9="Femenino",B10&gt;=40,B10&lt;=49),1.1333-(0.0612*LOG(SUM(B11:B14))),
IF(B9="Femenino",1.1339-(0.0645*LOG(SUM(B11:B14))),""))))))))))</f>
        <v>1.0546485886822807</v>
      </c>
    </row>
    <row r="16" spans="1:4" x14ac:dyDescent="0.25">
      <c r="A16" t="s">
        <v>305</v>
      </c>
      <c r="B16" s="94">
        <f>ROUND(((495/B15)-450),2)</f>
        <v>19.350000000000001</v>
      </c>
    </row>
    <row r="17" spans="1:2" x14ac:dyDescent="0.25">
      <c r="A17" t="s">
        <v>306</v>
      </c>
      <c r="B17" s="115">
        <f>((100-B16)*B8)/100</f>
        <v>64.52</v>
      </c>
    </row>
    <row r="18" spans="1:2" x14ac:dyDescent="0.25">
      <c r="A18" t="s">
        <v>279</v>
      </c>
      <c r="B18" s="116">
        <f>500+(22*B17)</f>
        <v>1919.4399999999998</v>
      </c>
    </row>
  </sheetData>
  <dataValidations count="1">
    <dataValidation type="list" allowBlank="1" showInputMessage="1" showErrorMessage="1" sqref="B9" xr:uid="{697A6E06-604A-4D99-BAB7-65434D49144F}">
      <formula1>"Femenino ,Masculino"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CEBE-C46A-4A36-BD25-FB543DBAF856}">
  <dimension ref="A2:N83"/>
  <sheetViews>
    <sheetView tabSelected="1" topLeftCell="A5" zoomScale="90" zoomScaleNormal="90" workbookViewId="0">
      <selection activeCell="D12" sqref="D12"/>
    </sheetView>
  </sheetViews>
  <sheetFormatPr baseColWidth="10" defaultRowHeight="15" x14ac:dyDescent="0.25"/>
  <cols>
    <col min="1" max="1" width="24" bestFit="1" customWidth="1"/>
    <col min="3" max="3" width="14.42578125" bestFit="1" customWidth="1"/>
    <col min="4" max="4" width="10.42578125" customWidth="1"/>
    <col min="6" max="6" width="13.85546875" bestFit="1" customWidth="1"/>
    <col min="7" max="7" width="8.5703125" bestFit="1" customWidth="1"/>
    <col min="9" max="9" width="12.42578125" bestFit="1" customWidth="1"/>
    <col min="10" max="10" width="10.5703125" bestFit="1" customWidth="1"/>
    <col min="11" max="11" width="13.5703125" customWidth="1"/>
    <col min="12" max="12" width="12.140625" customWidth="1"/>
    <col min="13" max="13" width="9" bestFit="1" customWidth="1"/>
    <col min="14" max="14" width="10.7109375" bestFit="1" customWidth="1"/>
  </cols>
  <sheetData>
    <row r="2" spans="1:14" x14ac:dyDescent="0.25">
      <c r="F2" t="s">
        <v>292</v>
      </c>
      <c r="G2" t="s">
        <v>269</v>
      </c>
      <c r="H2" t="s">
        <v>269</v>
      </c>
      <c r="K2" s="95"/>
      <c r="L2" s="96"/>
    </row>
    <row r="3" spans="1:14" ht="30" x14ac:dyDescent="0.25">
      <c r="A3" s="97" t="s">
        <v>271</v>
      </c>
      <c r="B3" s="98" t="s">
        <v>269</v>
      </c>
      <c r="C3" s="111" t="s">
        <v>268</v>
      </c>
      <c r="D3" s="99" t="s">
        <v>275</v>
      </c>
      <c r="E3" s="110" t="s">
        <v>274</v>
      </c>
      <c r="F3" s="100" t="s">
        <v>276</v>
      </c>
      <c r="G3" s="104" t="s">
        <v>272</v>
      </c>
      <c r="H3" s="106" t="s">
        <v>273</v>
      </c>
      <c r="I3" s="104" t="s">
        <v>281</v>
      </c>
      <c r="J3" s="106" t="s">
        <v>282</v>
      </c>
      <c r="K3" s="104" t="s">
        <v>285</v>
      </c>
      <c r="L3" s="106" t="s">
        <v>286</v>
      </c>
      <c r="M3" s="104" t="s">
        <v>283</v>
      </c>
      <c r="N3" s="106" t="s">
        <v>284</v>
      </c>
    </row>
    <row r="4" spans="1:14" ht="90" x14ac:dyDescent="0.25">
      <c r="A4" s="101" t="s">
        <v>277</v>
      </c>
      <c r="B4" s="98" t="s">
        <v>270</v>
      </c>
      <c r="C4" s="111" t="s">
        <v>267</v>
      </c>
      <c r="D4" s="99"/>
      <c r="E4" s="110"/>
      <c r="F4" s="100"/>
      <c r="G4" s="104">
        <f>66.5 + (13.75*D4) + (5*F4) - (6.78*E4)</f>
        <v>66.5</v>
      </c>
      <c r="H4" s="106">
        <f>655+(9.56*D4)+(1.85*(F4))-(4.68*(E4))</f>
        <v>655</v>
      </c>
      <c r="I4" s="105">
        <f t="shared" ref="I4:J10" si="0">G4*0.1</f>
        <v>6.65</v>
      </c>
      <c r="J4" s="107">
        <f t="shared" si="0"/>
        <v>65.5</v>
      </c>
      <c r="K4" s="105">
        <f>(G4/100)*K2</f>
        <v>0</v>
      </c>
      <c r="L4" s="107">
        <f>(G4/100)*L2</f>
        <v>0</v>
      </c>
      <c r="M4" s="105">
        <f>SUM(I4,G4,K4)</f>
        <v>73.150000000000006</v>
      </c>
      <c r="N4" s="107">
        <f>SUM(L4,J4,H4)</f>
        <v>720.5</v>
      </c>
    </row>
    <row r="5" spans="1:14" ht="45" x14ac:dyDescent="0.25">
      <c r="A5" s="101" t="s">
        <v>280</v>
      </c>
      <c r="B5" s="98" t="s">
        <v>279</v>
      </c>
      <c r="C5" s="111" t="s">
        <v>278</v>
      </c>
      <c r="D5" s="99"/>
      <c r="E5" s="110"/>
      <c r="F5" s="100"/>
      <c r="G5" s="104">
        <f>(10*D5) + (6.25*F5)-(5*E5)+5</f>
        <v>5</v>
      </c>
      <c r="H5" s="107">
        <f>(10*D5) + (6.25*F5) - (5 * E5) - 161</f>
        <v>-161</v>
      </c>
      <c r="I5" s="105">
        <f t="shared" si="0"/>
        <v>0.5</v>
      </c>
      <c r="J5" s="107">
        <f t="shared" si="0"/>
        <v>-16.100000000000001</v>
      </c>
      <c r="K5" s="105">
        <f>(G5/100)*K2</f>
        <v>0</v>
      </c>
      <c r="L5" s="107">
        <f>(G5/100)*$L2</f>
        <v>0</v>
      </c>
      <c r="M5" s="105">
        <f>SUM(I5,G5,K5)</f>
        <v>5.5</v>
      </c>
      <c r="N5" s="107">
        <f>SUM(L5,J5,H5)</f>
        <v>-177.1</v>
      </c>
    </row>
    <row r="6" spans="1:14" ht="45" x14ac:dyDescent="0.25">
      <c r="A6" s="101" t="s">
        <v>288</v>
      </c>
      <c r="B6" s="98" t="s">
        <v>270</v>
      </c>
      <c r="C6" s="111" t="s">
        <v>287</v>
      </c>
      <c r="D6" s="99"/>
      <c r="E6" s="110"/>
      <c r="F6" s="100"/>
      <c r="G6" s="104" t="str">
        <f>IF(AND(E6&gt;=18, E6&lt;=30), 13.37*D6+747,
   IF(AND(E6&gt;=30, E6&lt;=60), 13.08*D6+693,
   IF(E6&gt;60, 14.21*D6+429, "")))</f>
        <v/>
      </c>
      <c r="H6" s="106" t="str">
        <f>IF(AND(E6&gt;=18, E6&lt;=30), 11.02*D6+679,
   IF(AND(E6&gt;=30, E6&lt;=60), 10.92*D6+677,
   IF(E6&gt;60, 10.98*D6+520, "")))</f>
        <v/>
      </c>
      <c r="I6" s="105" t="e">
        <f t="shared" si="0"/>
        <v>#VALUE!</v>
      </c>
      <c r="J6" s="107" t="e">
        <f t="shared" si="0"/>
        <v>#VALUE!</v>
      </c>
      <c r="K6" s="105" t="e">
        <f>(G6/100)*K2</f>
        <v>#VALUE!</v>
      </c>
      <c r="L6" s="107" t="e">
        <f>(H6/100)*L2</f>
        <v>#VALUE!</v>
      </c>
      <c r="M6" s="105" t="e">
        <f>SUM(K6,I6,G6)</f>
        <v>#VALUE!</v>
      </c>
      <c r="N6" s="107" t="e">
        <f>SUM(L6,J6,H6)</f>
        <v>#VALUE!</v>
      </c>
    </row>
    <row r="7" spans="1:14" ht="30" x14ac:dyDescent="0.25">
      <c r="A7" s="101" t="s">
        <v>290</v>
      </c>
      <c r="B7" s="98" t="s">
        <v>270</v>
      </c>
      <c r="C7" s="111" t="s">
        <v>289</v>
      </c>
      <c r="D7" s="99"/>
      <c r="E7" s="110"/>
      <c r="F7" s="100"/>
      <c r="G7" s="104">
        <f>D7*24</f>
        <v>0</v>
      </c>
      <c r="H7" s="106">
        <f>D7*23</f>
        <v>0</v>
      </c>
      <c r="I7" s="105">
        <f t="shared" si="0"/>
        <v>0</v>
      </c>
      <c r="J7" s="107">
        <f t="shared" si="0"/>
        <v>0</v>
      </c>
      <c r="K7" s="105">
        <f>(G7/100)*K2</f>
        <v>0</v>
      </c>
      <c r="L7" s="107">
        <f>(H7/100)*L2</f>
        <v>0</v>
      </c>
      <c r="M7" s="105">
        <f>SUM(K7,I7,G7)</f>
        <v>0</v>
      </c>
      <c r="N7" s="107">
        <f>SUM(L7,J7,H7)</f>
        <v>0</v>
      </c>
    </row>
    <row r="8" spans="1:14" ht="75" x14ac:dyDescent="0.25">
      <c r="A8" s="101" t="s">
        <v>295</v>
      </c>
      <c r="B8" s="98" t="s">
        <v>279</v>
      </c>
      <c r="C8" s="112" t="s">
        <v>296</v>
      </c>
      <c r="D8" s="99"/>
      <c r="E8" s="110"/>
      <c r="F8" s="100"/>
      <c r="G8" s="104">
        <f>(14.7*D8) + 496</f>
        <v>496</v>
      </c>
      <c r="H8" s="108">
        <f>(8.7*D8) + 829</f>
        <v>829</v>
      </c>
      <c r="I8" s="104">
        <f t="shared" si="0"/>
        <v>49.6</v>
      </c>
      <c r="J8" s="106">
        <f t="shared" si="0"/>
        <v>82.9</v>
      </c>
      <c r="K8" s="104">
        <f>(G8/100)*K2</f>
        <v>0</v>
      </c>
      <c r="L8" s="106">
        <f>(H8/100)*L2</f>
        <v>0</v>
      </c>
      <c r="M8" s="104">
        <f>SUM(G8,I8,K8)</f>
        <v>545.6</v>
      </c>
      <c r="N8" s="106">
        <f>SUM(L8,J8,H8)</f>
        <v>911.9</v>
      </c>
    </row>
    <row r="9" spans="1:14" ht="45" x14ac:dyDescent="0.25">
      <c r="A9" s="101" t="s">
        <v>298</v>
      </c>
      <c r="B9" s="98" t="s">
        <v>270</v>
      </c>
      <c r="C9" s="111" t="s">
        <v>297</v>
      </c>
      <c r="D9" s="99"/>
      <c r="E9" s="110"/>
      <c r="F9" s="100"/>
      <c r="G9" s="104">
        <f>IF(E9&lt;=3, 60.9*D9-54,
   IF(AND(E9&gt;3, E9&lt;=10), 22.7*D9+495,
   IF(AND(E9&gt;10, E9&lt;=18), 17.5*D9+651,
   IF(AND(E9&gt;18, E9&lt;=30), 15.3*D9+679,
   IF(AND(E9&gt;30, E9&lt;=60), 11.6*D9+879,
   IF(E9&gt;60, 13.5*D9+487, ""))))))</f>
        <v>-54</v>
      </c>
      <c r="H9" s="106">
        <f>IF(E9&lt;=3, 61*D9-51,
   IF(AND(E9&gt;3, E9&lt;=10), 22.5*D9+499,
   IF(AND(E9&gt;10, E9&lt;=18), 12.2*D9+746,
   IF(AND(E9&gt;18, E9&lt;=30), 14.7*D9+496,
   IF(AND(E9&gt;30, E9&lt;=60), 14.7*D9+746,
   IF(E9&gt;60, 10.5*D9+596, ""))))))</f>
        <v>-51</v>
      </c>
      <c r="I9" s="104">
        <f t="shared" si="0"/>
        <v>-5.4</v>
      </c>
      <c r="J9" s="106">
        <f t="shared" si="0"/>
        <v>-5.1000000000000005</v>
      </c>
      <c r="K9" s="104">
        <f>(G9/100)*K2</f>
        <v>0</v>
      </c>
      <c r="L9" s="106">
        <f>(H9/100)*L2</f>
        <v>0</v>
      </c>
      <c r="M9" s="104">
        <f>SUM(G9,I9,K9)</f>
        <v>-59.4</v>
      </c>
      <c r="N9" s="109">
        <f>SUM(J9,L9,H9)</f>
        <v>-56.1</v>
      </c>
    </row>
    <row r="10" spans="1:14" ht="45" x14ac:dyDescent="0.25">
      <c r="A10" s="101" t="s">
        <v>291</v>
      </c>
      <c r="B10" s="98" t="s">
        <v>279</v>
      </c>
      <c r="C10" s="111" t="s">
        <v>299</v>
      </c>
      <c r="D10" s="99"/>
      <c r="E10" s="110"/>
      <c r="F10" s="100"/>
      <c r="G10" s="104">
        <f>500 + (22*D11)</f>
        <v>500</v>
      </c>
      <c r="H10" s="104">
        <f>500 + (22*D11)</f>
        <v>500</v>
      </c>
      <c r="I10" s="104">
        <f t="shared" si="0"/>
        <v>50</v>
      </c>
      <c r="J10" s="106">
        <f t="shared" si="0"/>
        <v>50</v>
      </c>
      <c r="K10" s="104">
        <f>(G10/100)*K2</f>
        <v>0</v>
      </c>
      <c r="L10" s="106">
        <f>(H10/100)*L2</f>
        <v>0</v>
      </c>
      <c r="M10" s="104">
        <f>SUM(G10,I10,K10)</f>
        <v>550</v>
      </c>
      <c r="N10" s="109">
        <f>SUM(J10,L10,H10)</f>
        <v>550</v>
      </c>
    </row>
    <row r="11" spans="1:14" ht="30" x14ac:dyDescent="0.25">
      <c r="C11" s="111" t="s">
        <v>311</v>
      </c>
      <c r="D11" s="102">
        <f>D10*(1-(D12/100))</f>
        <v>0</v>
      </c>
    </row>
    <row r="12" spans="1:14" x14ac:dyDescent="0.25">
      <c r="A12" s="103"/>
      <c r="B12" s="103"/>
      <c r="C12" s="101" t="s">
        <v>312</v>
      </c>
      <c r="D12" s="101"/>
      <c r="E12" s="103"/>
      <c r="F12" s="103"/>
      <c r="G12" s="103"/>
      <c r="H12" s="103"/>
      <c r="I12" s="103"/>
      <c r="J12" s="103"/>
      <c r="K12" s="103"/>
      <c r="L12" s="103"/>
      <c r="M12" s="103"/>
      <c r="N12" s="103"/>
    </row>
    <row r="13" spans="1:14" x14ac:dyDescent="0.25">
      <c r="A13" s="93"/>
      <c r="B13" s="93"/>
      <c r="C13" s="93"/>
      <c r="D13" s="93"/>
      <c r="E13" s="93"/>
      <c r="F13" s="93"/>
      <c r="G13" s="93"/>
      <c r="H13" s="93"/>
    </row>
    <row r="14" spans="1:14" x14ac:dyDescent="0.25">
      <c r="A14" s="93"/>
      <c r="B14" s="93"/>
      <c r="C14" s="93"/>
      <c r="D14" s="93"/>
      <c r="E14" s="93"/>
      <c r="F14" s="93"/>
      <c r="G14" s="93"/>
      <c r="H14" s="93"/>
    </row>
    <row r="15" spans="1:14" x14ac:dyDescent="0.25">
      <c r="A15" s="93"/>
      <c r="B15" s="93"/>
      <c r="C15" s="93"/>
      <c r="D15" s="93"/>
      <c r="E15" s="93"/>
      <c r="F15" s="93"/>
      <c r="G15" s="93"/>
      <c r="H15" s="93"/>
    </row>
    <row r="16" spans="1:14" x14ac:dyDescent="0.25">
      <c r="A16" s="93"/>
      <c r="B16" s="93"/>
      <c r="C16" s="93"/>
      <c r="D16" s="93"/>
      <c r="E16" s="93"/>
      <c r="F16" s="93"/>
      <c r="G16" s="93"/>
      <c r="H16" s="93"/>
    </row>
    <row r="17" spans="1:8" x14ac:dyDescent="0.25">
      <c r="A17" s="93"/>
      <c r="B17" s="93"/>
      <c r="C17" s="93"/>
      <c r="D17" s="93"/>
      <c r="E17" s="93"/>
      <c r="F17" s="93"/>
      <c r="G17" s="93"/>
      <c r="H17" s="93"/>
    </row>
    <row r="18" spans="1:8" x14ac:dyDescent="0.25">
      <c r="A18" s="93"/>
      <c r="B18" s="93"/>
      <c r="C18" s="93"/>
      <c r="D18" s="93"/>
      <c r="E18" s="93"/>
      <c r="F18" s="93"/>
      <c r="G18" s="93"/>
      <c r="H18" s="93"/>
    </row>
    <row r="19" spans="1:8" x14ac:dyDescent="0.25">
      <c r="A19" s="93"/>
      <c r="B19" s="93"/>
      <c r="C19" s="93"/>
      <c r="D19" s="93"/>
      <c r="E19" s="93"/>
      <c r="F19" s="93"/>
      <c r="G19" s="93"/>
      <c r="H19" s="93"/>
    </row>
    <row r="20" spans="1:8" x14ac:dyDescent="0.25">
      <c r="A20" s="93"/>
      <c r="B20" s="93"/>
      <c r="C20" s="93"/>
      <c r="D20" s="93"/>
      <c r="E20" s="93"/>
      <c r="F20" s="93"/>
      <c r="G20" s="93"/>
      <c r="H20" s="93"/>
    </row>
    <row r="21" spans="1:8" x14ac:dyDescent="0.25">
      <c r="A21" s="93"/>
      <c r="B21" s="93"/>
      <c r="C21" s="93"/>
      <c r="D21" s="93"/>
      <c r="E21" s="93"/>
      <c r="F21" s="93"/>
      <c r="G21" s="93"/>
      <c r="H21" s="93"/>
    </row>
    <row r="22" spans="1:8" x14ac:dyDescent="0.25">
      <c r="A22" s="93"/>
      <c r="B22" s="93"/>
      <c r="C22" s="93"/>
      <c r="D22" s="93"/>
      <c r="E22" s="93"/>
      <c r="F22" s="93"/>
      <c r="G22" s="93"/>
      <c r="H22" s="93"/>
    </row>
    <row r="23" spans="1:8" x14ac:dyDescent="0.25">
      <c r="A23" s="93"/>
      <c r="B23" s="93"/>
      <c r="C23" s="93"/>
      <c r="D23" s="93"/>
      <c r="E23" s="93"/>
      <c r="F23" s="93"/>
      <c r="G23" s="93"/>
      <c r="H23" s="93"/>
    </row>
    <row r="24" spans="1:8" x14ac:dyDescent="0.25">
      <c r="A24" s="93"/>
      <c r="B24" s="93"/>
      <c r="C24" s="93"/>
      <c r="D24" s="93"/>
      <c r="E24" s="93"/>
      <c r="F24" s="93"/>
      <c r="G24" s="93"/>
      <c r="H24" s="93"/>
    </row>
    <row r="25" spans="1:8" x14ac:dyDescent="0.25">
      <c r="A25" s="93"/>
      <c r="B25" s="93"/>
      <c r="C25" s="93"/>
      <c r="D25" s="93"/>
      <c r="E25" s="93"/>
      <c r="F25" s="93"/>
      <c r="G25" s="93"/>
      <c r="H25" s="93"/>
    </row>
    <row r="26" spans="1:8" x14ac:dyDescent="0.25">
      <c r="A26" s="93"/>
      <c r="B26" s="93"/>
      <c r="C26" s="93"/>
      <c r="D26" s="93"/>
      <c r="E26" s="93"/>
      <c r="F26" s="93"/>
      <c r="G26" s="93"/>
      <c r="H26" s="93"/>
    </row>
    <row r="27" spans="1:8" x14ac:dyDescent="0.25">
      <c r="A27" s="93"/>
      <c r="B27" s="93"/>
      <c r="C27" s="93"/>
      <c r="D27" s="93"/>
      <c r="E27" s="93"/>
      <c r="F27" s="93"/>
      <c r="G27" s="93"/>
      <c r="H27" s="93"/>
    </row>
    <row r="28" spans="1:8" x14ac:dyDescent="0.25">
      <c r="A28" s="93"/>
      <c r="B28" s="93"/>
      <c r="C28" s="93"/>
      <c r="D28" s="93"/>
      <c r="E28" s="93"/>
      <c r="F28" s="93"/>
      <c r="G28" s="93"/>
      <c r="H28" s="93"/>
    </row>
    <row r="29" spans="1:8" x14ac:dyDescent="0.25">
      <c r="A29" s="93"/>
      <c r="B29" s="93"/>
      <c r="C29" s="93"/>
      <c r="D29" s="93"/>
      <c r="E29" s="93"/>
      <c r="F29" s="93"/>
      <c r="G29" s="93"/>
      <c r="H29" s="93"/>
    </row>
    <row r="30" spans="1:8" x14ac:dyDescent="0.25">
      <c r="A30" s="93"/>
      <c r="B30" s="93"/>
      <c r="C30" s="93"/>
      <c r="D30" s="93"/>
      <c r="E30" s="93"/>
      <c r="F30" s="93"/>
      <c r="G30" s="93"/>
      <c r="H30" s="93"/>
    </row>
    <row r="31" spans="1:8" x14ac:dyDescent="0.25">
      <c r="A31" s="93"/>
      <c r="B31" s="93"/>
      <c r="C31" s="93"/>
      <c r="D31" s="93"/>
      <c r="E31" s="93"/>
      <c r="F31" s="93"/>
      <c r="G31" s="93"/>
      <c r="H31" s="93"/>
    </row>
    <row r="32" spans="1:8" x14ac:dyDescent="0.25">
      <c r="A32" s="93"/>
      <c r="B32" s="93"/>
      <c r="C32" s="93"/>
      <c r="D32" s="93"/>
      <c r="E32" s="93"/>
      <c r="F32" s="93"/>
      <c r="G32" s="93"/>
      <c r="H32" s="93"/>
    </row>
    <row r="33" spans="1:8" x14ac:dyDescent="0.25">
      <c r="A33" s="93"/>
      <c r="B33" s="93"/>
      <c r="C33" s="93"/>
      <c r="D33" s="93"/>
      <c r="E33" s="93"/>
      <c r="F33" s="93"/>
      <c r="G33" s="93"/>
      <c r="H33" s="93"/>
    </row>
    <row r="34" spans="1:8" x14ac:dyDescent="0.25">
      <c r="A34" s="93"/>
      <c r="B34" s="93"/>
      <c r="C34" s="93"/>
      <c r="D34" s="93"/>
      <c r="E34" s="93"/>
      <c r="F34" s="93"/>
      <c r="G34" s="93"/>
      <c r="H34" s="93"/>
    </row>
    <row r="35" spans="1:8" x14ac:dyDescent="0.25">
      <c r="A35" s="93"/>
      <c r="B35" s="93"/>
      <c r="C35" s="93"/>
      <c r="D35" s="93"/>
      <c r="E35" s="93"/>
      <c r="F35" s="93"/>
      <c r="G35" s="93"/>
      <c r="H35" s="93"/>
    </row>
    <row r="36" spans="1:8" x14ac:dyDescent="0.25">
      <c r="A36" s="93"/>
      <c r="B36" s="93"/>
      <c r="C36" s="93"/>
      <c r="D36" s="93"/>
      <c r="E36" s="93"/>
      <c r="F36" s="93"/>
      <c r="G36" s="93"/>
      <c r="H36" s="93"/>
    </row>
    <row r="37" spans="1:8" x14ac:dyDescent="0.25">
      <c r="A37" s="93"/>
      <c r="B37" s="93"/>
      <c r="C37" s="93"/>
      <c r="D37" s="93"/>
      <c r="E37" s="93"/>
      <c r="F37" s="93"/>
      <c r="G37" s="93"/>
      <c r="H37" s="93"/>
    </row>
    <row r="38" spans="1:8" x14ac:dyDescent="0.25">
      <c r="A38" s="93"/>
      <c r="B38" s="93"/>
      <c r="C38" s="93"/>
      <c r="D38" s="93"/>
      <c r="E38" s="93"/>
      <c r="F38" s="93"/>
      <c r="G38" s="93"/>
      <c r="H38" s="93"/>
    </row>
    <row r="39" spans="1:8" x14ac:dyDescent="0.25">
      <c r="A39" s="93"/>
      <c r="B39" s="93"/>
      <c r="C39" s="93"/>
      <c r="D39" s="93"/>
      <c r="E39" s="93"/>
      <c r="F39" s="93"/>
      <c r="G39" s="93"/>
      <c r="H39" s="93"/>
    </row>
    <row r="40" spans="1:8" x14ac:dyDescent="0.25">
      <c r="A40" s="93"/>
      <c r="B40" s="93"/>
      <c r="C40" s="93"/>
      <c r="D40" s="93"/>
      <c r="E40" s="93"/>
      <c r="F40" s="93"/>
      <c r="G40" s="93"/>
      <c r="H40" s="93"/>
    </row>
    <row r="41" spans="1:8" x14ac:dyDescent="0.25">
      <c r="A41" s="93"/>
      <c r="B41" s="93"/>
      <c r="C41" s="93"/>
      <c r="D41" s="93"/>
      <c r="E41" s="93"/>
      <c r="F41" s="93"/>
      <c r="G41" s="93"/>
      <c r="H41" s="93"/>
    </row>
    <row r="42" spans="1:8" x14ac:dyDescent="0.25">
      <c r="A42" s="93"/>
      <c r="B42" s="93"/>
      <c r="C42" s="93"/>
      <c r="D42" s="93"/>
      <c r="E42" s="93"/>
      <c r="F42" s="93"/>
      <c r="G42" s="93"/>
      <c r="H42" s="93"/>
    </row>
    <row r="43" spans="1:8" x14ac:dyDescent="0.25">
      <c r="A43" s="93"/>
      <c r="B43" s="93"/>
      <c r="C43" s="93"/>
      <c r="D43" s="93"/>
      <c r="E43" s="93"/>
      <c r="F43" s="93"/>
      <c r="G43" s="93"/>
      <c r="H43" s="93"/>
    </row>
    <row r="44" spans="1:8" x14ac:dyDescent="0.25">
      <c r="A44" s="93"/>
      <c r="B44" s="93"/>
      <c r="C44" s="93"/>
      <c r="D44" s="93"/>
      <c r="E44" s="93"/>
      <c r="F44" s="93"/>
      <c r="G44" s="93"/>
      <c r="H44" s="93"/>
    </row>
    <row r="45" spans="1:8" x14ac:dyDescent="0.25">
      <c r="A45" s="93"/>
      <c r="B45" s="93"/>
      <c r="C45" s="93"/>
      <c r="D45" s="93"/>
      <c r="E45" s="93"/>
      <c r="F45" s="93"/>
      <c r="G45" s="93"/>
      <c r="H45" s="93"/>
    </row>
    <row r="46" spans="1:8" x14ac:dyDescent="0.25">
      <c r="A46" s="93"/>
      <c r="B46" s="93"/>
      <c r="C46" s="93"/>
      <c r="D46" s="93"/>
      <c r="E46" s="93"/>
      <c r="F46" s="93"/>
      <c r="G46" s="93"/>
      <c r="H46" s="93"/>
    </row>
    <row r="47" spans="1:8" x14ac:dyDescent="0.25">
      <c r="A47" s="93"/>
      <c r="B47" s="93"/>
      <c r="C47" s="93"/>
      <c r="D47" s="93"/>
      <c r="E47" s="93"/>
      <c r="F47" s="93"/>
      <c r="G47" s="93"/>
      <c r="H47" s="93"/>
    </row>
    <row r="48" spans="1:8" x14ac:dyDescent="0.25">
      <c r="A48" s="93"/>
      <c r="B48" s="93"/>
      <c r="C48" s="93"/>
      <c r="D48" s="93"/>
      <c r="E48" s="93"/>
      <c r="F48" s="93"/>
      <c r="G48" s="93"/>
      <c r="H48" s="93"/>
    </row>
    <row r="49" spans="1:8" x14ac:dyDescent="0.25">
      <c r="A49" s="93"/>
      <c r="B49" s="93"/>
      <c r="C49" s="93"/>
      <c r="D49" s="93"/>
      <c r="E49" s="93"/>
      <c r="F49" s="93"/>
      <c r="G49" s="93"/>
      <c r="H49" s="93"/>
    </row>
    <row r="50" spans="1:8" x14ac:dyDescent="0.25">
      <c r="A50" s="93"/>
      <c r="B50" s="93"/>
      <c r="C50" s="93"/>
      <c r="D50" s="93"/>
      <c r="E50" s="93"/>
      <c r="F50" s="93"/>
      <c r="G50" s="93"/>
      <c r="H50" s="93"/>
    </row>
    <row r="51" spans="1:8" x14ac:dyDescent="0.25">
      <c r="A51" s="93"/>
      <c r="B51" s="93"/>
      <c r="C51" s="93"/>
      <c r="D51" s="93"/>
      <c r="E51" s="93"/>
      <c r="F51" s="93"/>
      <c r="G51" s="93"/>
      <c r="H51" s="93"/>
    </row>
    <row r="52" spans="1:8" x14ac:dyDescent="0.25">
      <c r="A52" s="93"/>
      <c r="B52" s="93"/>
      <c r="C52" s="93"/>
      <c r="D52" s="93"/>
      <c r="E52" s="93"/>
      <c r="F52" s="93"/>
      <c r="G52" s="93"/>
      <c r="H52" s="93"/>
    </row>
    <row r="53" spans="1:8" x14ac:dyDescent="0.25">
      <c r="A53" s="93"/>
      <c r="B53" s="93"/>
      <c r="C53" s="93"/>
      <c r="D53" s="93"/>
      <c r="E53" s="93"/>
      <c r="F53" s="93"/>
      <c r="G53" s="93"/>
      <c r="H53" s="93"/>
    </row>
    <row r="54" spans="1:8" x14ac:dyDescent="0.25">
      <c r="A54" s="93"/>
      <c r="B54" s="93"/>
      <c r="C54" s="93"/>
      <c r="D54" s="93"/>
      <c r="E54" s="93"/>
      <c r="F54" s="93"/>
      <c r="G54" s="93"/>
      <c r="H54" s="93"/>
    </row>
    <row r="55" spans="1:8" x14ac:dyDescent="0.25">
      <c r="A55" s="93"/>
      <c r="B55" s="93"/>
      <c r="C55" s="93"/>
      <c r="D55" s="93"/>
      <c r="E55" s="93"/>
      <c r="F55" s="93"/>
      <c r="G55" s="93"/>
      <c r="H55" s="93"/>
    </row>
    <row r="56" spans="1:8" x14ac:dyDescent="0.25">
      <c r="A56" s="93"/>
      <c r="B56" s="93"/>
      <c r="C56" s="93"/>
      <c r="D56" s="93"/>
      <c r="E56" s="93"/>
      <c r="F56" s="93"/>
      <c r="G56" s="93"/>
      <c r="H56" s="93"/>
    </row>
    <row r="57" spans="1:8" x14ac:dyDescent="0.25">
      <c r="A57" s="93"/>
      <c r="B57" s="93"/>
      <c r="C57" s="93"/>
      <c r="D57" s="93"/>
      <c r="E57" s="93"/>
      <c r="F57" s="93"/>
      <c r="G57" s="93"/>
      <c r="H57" s="93"/>
    </row>
    <row r="58" spans="1:8" x14ac:dyDescent="0.25">
      <c r="A58" s="93"/>
      <c r="B58" s="93"/>
      <c r="C58" s="93"/>
      <c r="D58" s="93"/>
      <c r="E58" s="93"/>
      <c r="F58" s="93"/>
      <c r="G58" s="93"/>
      <c r="H58" s="93"/>
    </row>
    <row r="59" spans="1:8" x14ac:dyDescent="0.25">
      <c r="A59" s="93"/>
      <c r="B59" s="93"/>
      <c r="C59" s="93"/>
      <c r="D59" s="93"/>
      <c r="E59" s="93"/>
      <c r="F59" s="93"/>
      <c r="G59" s="93"/>
      <c r="H59" s="93"/>
    </row>
    <row r="60" spans="1:8" x14ac:dyDescent="0.25">
      <c r="A60" s="93"/>
      <c r="B60" s="93"/>
      <c r="C60" s="93"/>
      <c r="D60" s="93"/>
      <c r="E60" s="93"/>
      <c r="F60" s="93"/>
      <c r="G60" s="93"/>
      <c r="H60" s="93"/>
    </row>
    <row r="61" spans="1:8" x14ac:dyDescent="0.25">
      <c r="A61" s="93"/>
      <c r="B61" s="93"/>
      <c r="C61" s="93"/>
      <c r="D61" s="93"/>
      <c r="E61" s="93"/>
      <c r="F61" s="93"/>
      <c r="G61" s="93"/>
      <c r="H61" s="93"/>
    </row>
    <row r="62" spans="1:8" x14ac:dyDescent="0.25">
      <c r="A62" s="93"/>
      <c r="B62" s="93"/>
      <c r="C62" s="93"/>
      <c r="D62" s="93"/>
      <c r="E62" s="93"/>
      <c r="F62" s="93"/>
      <c r="G62" s="93"/>
      <c r="H62" s="93"/>
    </row>
    <row r="63" spans="1:8" x14ac:dyDescent="0.25">
      <c r="A63" s="93"/>
      <c r="B63" s="93"/>
      <c r="C63" s="93"/>
      <c r="D63" s="93"/>
      <c r="E63" s="93"/>
      <c r="F63" s="93"/>
      <c r="G63" s="93"/>
      <c r="H63" s="93"/>
    </row>
    <row r="64" spans="1:8" x14ac:dyDescent="0.25">
      <c r="A64" s="93"/>
      <c r="B64" s="93"/>
      <c r="C64" s="93"/>
      <c r="D64" s="93"/>
      <c r="E64" s="93"/>
      <c r="F64" s="93"/>
      <c r="G64" s="93"/>
      <c r="H64" s="93"/>
    </row>
    <row r="65" spans="1:8" x14ac:dyDescent="0.25">
      <c r="A65" s="93"/>
      <c r="B65" s="93"/>
      <c r="C65" s="93"/>
      <c r="D65" s="93"/>
      <c r="E65" s="93"/>
      <c r="F65" s="93"/>
      <c r="G65" s="93"/>
      <c r="H65" s="93"/>
    </row>
    <row r="66" spans="1:8" x14ac:dyDescent="0.25">
      <c r="A66" s="93"/>
      <c r="B66" s="93"/>
      <c r="C66" s="93"/>
      <c r="D66" s="93"/>
      <c r="E66" s="93"/>
      <c r="F66" s="93"/>
      <c r="G66" s="93"/>
      <c r="H66" s="93"/>
    </row>
    <row r="67" spans="1:8" x14ac:dyDescent="0.25">
      <c r="A67" s="93"/>
      <c r="B67" s="93"/>
      <c r="C67" s="93"/>
      <c r="D67" s="93"/>
      <c r="E67" s="93"/>
      <c r="F67" s="93"/>
      <c r="G67" s="93"/>
      <c r="H67" s="93"/>
    </row>
    <row r="68" spans="1:8" x14ac:dyDescent="0.25">
      <c r="A68" s="93"/>
      <c r="B68" s="93"/>
      <c r="C68" s="93"/>
      <c r="D68" s="93"/>
      <c r="E68" s="93"/>
      <c r="F68" s="93"/>
      <c r="G68" s="93"/>
      <c r="H68" s="93"/>
    </row>
    <row r="69" spans="1:8" x14ac:dyDescent="0.25">
      <c r="A69" s="93"/>
      <c r="B69" s="93"/>
      <c r="C69" s="93"/>
      <c r="D69" s="93"/>
      <c r="E69" s="93"/>
      <c r="F69" s="93"/>
      <c r="G69" s="93"/>
      <c r="H69" s="93"/>
    </row>
    <row r="70" spans="1:8" x14ac:dyDescent="0.25">
      <c r="A70" s="93"/>
      <c r="B70" s="93"/>
      <c r="C70" s="93"/>
      <c r="D70" s="93"/>
      <c r="E70" s="93"/>
      <c r="F70" s="93"/>
      <c r="G70" s="93"/>
      <c r="H70" s="93"/>
    </row>
    <row r="71" spans="1:8" x14ac:dyDescent="0.25">
      <c r="A71" s="93"/>
      <c r="B71" s="93"/>
      <c r="C71" s="93"/>
      <c r="D71" s="93"/>
      <c r="E71" s="93"/>
      <c r="F71" s="93"/>
      <c r="G71" s="93"/>
      <c r="H71" s="93"/>
    </row>
    <row r="72" spans="1:8" x14ac:dyDescent="0.25">
      <c r="A72" s="93"/>
      <c r="B72" s="93"/>
      <c r="C72" s="93"/>
      <c r="D72" s="93"/>
      <c r="E72" s="93"/>
      <c r="F72" s="93"/>
      <c r="G72" s="93"/>
      <c r="H72" s="93"/>
    </row>
    <row r="73" spans="1:8" x14ac:dyDescent="0.25">
      <c r="A73" s="93"/>
      <c r="B73" s="93"/>
      <c r="C73" s="93"/>
      <c r="D73" s="93"/>
      <c r="E73" s="93"/>
      <c r="F73" s="93"/>
      <c r="G73" s="93"/>
      <c r="H73" s="93"/>
    </row>
    <row r="74" spans="1:8" x14ac:dyDescent="0.25">
      <c r="A74" s="93"/>
      <c r="B74" s="93"/>
      <c r="C74" s="93"/>
      <c r="D74" s="93"/>
      <c r="E74" s="93"/>
      <c r="F74" s="93"/>
      <c r="G74" s="93"/>
      <c r="H74" s="93"/>
    </row>
    <row r="75" spans="1:8" x14ac:dyDescent="0.25">
      <c r="A75" s="93"/>
      <c r="B75" s="93"/>
      <c r="C75" s="93"/>
      <c r="D75" s="93"/>
      <c r="E75" s="93"/>
      <c r="F75" s="93"/>
      <c r="G75" s="93"/>
      <c r="H75" s="93"/>
    </row>
    <row r="76" spans="1:8" x14ac:dyDescent="0.25">
      <c r="A76" s="93"/>
      <c r="B76" s="93"/>
      <c r="C76" s="93"/>
      <c r="D76" s="93"/>
      <c r="E76" s="93"/>
      <c r="F76" s="93"/>
      <c r="G76" s="93"/>
      <c r="H76" s="93"/>
    </row>
    <row r="77" spans="1:8" x14ac:dyDescent="0.25">
      <c r="A77" s="93"/>
      <c r="B77" s="93"/>
      <c r="C77" s="93"/>
      <c r="D77" s="93"/>
      <c r="E77" s="93"/>
      <c r="F77" s="93"/>
      <c r="G77" s="93"/>
      <c r="H77" s="93"/>
    </row>
    <row r="78" spans="1:8" x14ac:dyDescent="0.25">
      <c r="A78" s="93"/>
      <c r="B78" s="93"/>
      <c r="C78" s="93"/>
      <c r="D78" s="93"/>
      <c r="E78" s="93"/>
      <c r="F78" s="93"/>
      <c r="G78" s="93"/>
      <c r="H78" s="93"/>
    </row>
    <row r="79" spans="1:8" x14ac:dyDescent="0.25">
      <c r="A79" s="93"/>
      <c r="B79" s="93"/>
      <c r="C79" s="93"/>
      <c r="D79" s="93"/>
      <c r="E79" s="93"/>
      <c r="F79" s="93"/>
      <c r="G79" s="93"/>
      <c r="H79" s="93"/>
    </row>
    <row r="80" spans="1:8" x14ac:dyDescent="0.25">
      <c r="A80" s="93"/>
      <c r="B80" s="93"/>
      <c r="C80" s="93"/>
      <c r="D80" s="93"/>
      <c r="E80" s="93"/>
      <c r="F80" s="93"/>
      <c r="G80" s="93"/>
      <c r="H80" s="93"/>
    </row>
    <row r="81" spans="1:8" x14ac:dyDescent="0.25">
      <c r="A81" s="93"/>
      <c r="B81" s="93"/>
      <c r="C81" s="93"/>
      <c r="D81" s="93"/>
      <c r="E81" s="93"/>
      <c r="F81" s="93"/>
      <c r="G81" s="93"/>
      <c r="H81" s="93"/>
    </row>
    <row r="82" spans="1:8" x14ac:dyDescent="0.25">
      <c r="A82" s="93"/>
      <c r="B82" s="93"/>
      <c r="C82" s="93"/>
      <c r="D82" s="93"/>
      <c r="E82" s="93"/>
      <c r="F82" s="93"/>
      <c r="G82" s="93"/>
      <c r="H82" s="93"/>
    </row>
    <row r="83" spans="1:8" x14ac:dyDescent="0.25">
      <c r="A83" s="93"/>
      <c r="B83" s="93"/>
      <c r="C83" s="93"/>
      <c r="D83" s="93"/>
      <c r="E83" s="93"/>
      <c r="F83" s="93"/>
      <c r="G83" s="93"/>
      <c r="H83" s="9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3607-F1BB-4CEE-BCB1-6BF26B0FFB81}">
  <dimension ref="A1:N25"/>
  <sheetViews>
    <sheetView workbookViewId="0">
      <selection activeCell="K21" sqref="K21"/>
    </sheetView>
  </sheetViews>
  <sheetFormatPr baseColWidth="10" defaultRowHeight="15" x14ac:dyDescent="0.25"/>
  <cols>
    <col min="7" max="7" width="30.42578125" bestFit="1" customWidth="1"/>
    <col min="13" max="13" width="31.140625" bestFit="1" customWidth="1"/>
  </cols>
  <sheetData>
    <row r="1" spans="1:14" x14ac:dyDescent="0.25">
      <c r="M1" s="75" t="s">
        <v>222</v>
      </c>
      <c r="N1" s="1">
        <f>ROUND((D9/2)/15,0)-H6 -H7</f>
        <v>8</v>
      </c>
    </row>
    <row r="2" spans="1:14" x14ac:dyDescent="0.25">
      <c r="B2" s="76" t="s">
        <v>223</v>
      </c>
      <c r="C2" s="7">
        <v>1544</v>
      </c>
      <c r="M2" s="75" t="s">
        <v>224</v>
      </c>
      <c r="N2" s="1">
        <f>ROUND((J22-J21)/7,0)</f>
        <v>20</v>
      </c>
    </row>
    <row r="3" spans="1:14" x14ac:dyDescent="0.25">
      <c r="B3" t="s">
        <v>294</v>
      </c>
      <c r="C3">
        <v>80</v>
      </c>
      <c r="G3" s="76" t="s">
        <v>225</v>
      </c>
      <c r="H3" s="76" t="s">
        <v>226</v>
      </c>
      <c r="I3" s="76" t="s">
        <v>227</v>
      </c>
      <c r="J3" s="76" t="s">
        <v>228</v>
      </c>
      <c r="K3" s="76" t="s">
        <v>229</v>
      </c>
      <c r="L3" s="76" t="s">
        <v>230</v>
      </c>
      <c r="M3" s="77" t="s">
        <v>231</v>
      </c>
      <c r="N3" s="1">
        <f>ROUND((K22-K21)/5,0)</f>
        <v>10</v>
      </c>
    </row>
    <row r="4" spans="1:14" x14ac:dyDescent="0.25">
      <c r="G4" s="76" t="s">
        <v>19</v>
      </c>
      <c r="H4" s="68"/>
      <c r="I4" s="78">
        <f>$H$4*25</f>
        <v>0</v>
      </c>
      <c r="J4" s="78">
        <f>$H$4*2</f>
        <v>0</v>
      </c>
      <c r="K4" s="78">
        <f>$H$4*0</f>
        <v>0</v>
      </c>
      <c r="L4" s="78">
        <f>$H$4*4</f>
        <v>0</v>
      </c>
      <c r="M4" s="75" t="s">
        <v>232</v>
      </c>
      <c r="N4" s="1">
        <f>ROUND((D9*0.1)/10,0) -H19 -H20 -H16</f>
        <v>2</v>
      </c>
    </row>
    <row r="5" spans="1:14" x14ac:dyDescent="0.25">
      <c r="G5" s="76" t="s">
        <v>28</v>
      </c>
      <c r="H5" s="68"/>
      <c r="I5" s="78">
        <f>$H$5*60</f>
        <v>0</v>
      </c>
      <c r="J5" s="78">
        <f>$H$5*0</f>
        <v>0</v>
      </c>
      <c r="K5" s="78">
        <f>$H$5*0</f>
        <v>0</v>
      </c>
      <c r="L5" s="78">
        <f>$H$5*15</f>
        <v>0</v>
      </c>
      <c r="M5" s="75" t="s">
        <v>233</v>
      </c>
      <c r="N5" s="1">
        <f>ROUND((L22-L21)/15,0)</f>
        <v>15</v>
      </c>
    </row>
    <row r="6" spans="1:14" x14ac:dyDescent="0.25">
      <c r="A6" s="76" t="s">
        <v>234</v>
      </c>
      <c r="B6" s="79" t="s">
        <v>235</v>
      </c>
      <c r="C6" s="79" t="s">
        <v>236</v>
      </c>
      <c r="D6" s="79" t="s">
        <v>63</v>
      </c>
      <c r="E6" s="79" t="s">
        <v>293</v>
      </c>
      <c r="G6" s="76" t="s">
        <v>237</v>
      </c>
      <c r="H6" s="68"/>
      <c r="I6" s="78">
        <f>$H$6*70</f>
        <v>0</v>
      </c>
      <c r="J6" s="78">
        <f>$H$6*2</f>
        <v>0</v>
      </c>
      <c r="K6" s="78">
        <f>$H$6*0</f>
        <v>0</v>
      </c>
      <c r="L6" s="78">
        <f>$H$6*15</f>
        <v>0</v>
      </c>
    </row>
    <row r="7" spans="1:14" x14ac:dyDescent="0.25">
      <c r="A7" s="76" t="s">
        <v>238</v>
      </c>
      <c r="B7" s="80">
        <v>0.37</v>
      </c>
      <c r="C7" s="81">
        <f>B7*C2</f>
        <v>571.28</v>
      </c>
      <c r="D7" s="82">
        <f>ROUND(C7/4,2)</f>
        <v>142.82</v>
      </c>
      <c r="E7" s="85">
        <f>ROUND(D7/C3,2)</f>
        <v>1.79</v>
      </c>
      <c r="G7" s="76" t="s">
        <v>239</v>
      </c>
      <c r="H7" s="68"/>
      <c r="I7" s="78">
        <f>$H$7*115</f>
        <v>0</v>
      </c>
      <c r="J7" s="78">
        <f>$H$7*2</f>
        <v>0</v>
      </c>
      <c r="K7" s="78">
        <f>$H$7*5</f>
        <v>0</v>
      </c>
      <c r="L7" s="78">
        <f>$H$7*15</f>
        <v>0</v>
      </c>
    </row>
    <row r="8" spans="1:14" x14ac:dyDescent="0.25">
      <c r="A8" s="76" t="s">
        <v>240</v>
      </c>
      <c r="B8" s="80">
        <v>0.3</v>
      </c>
      <c r="C8" s="81">
        <f>B8*C2</f>
        <v>463.2</v>
      </c>
      <c r="D8" s="82">
        <f>ROUND(C8/9,2)</f>
        <v>51.47</v>
      </c>
      <c r="E8" s="85">
        <f>ROUND(D8/C3,2)</f>
        <v>0.64</v>
      </c>
      <c r="G8" s="76" t="s">
        <v>241</v>
      </c>
      <c r="H8" s="68"/>
      <c r="I8" s="78">
        <f>$H$8*120</f>
        <v>0</v>
      </c>
      <c r="J8" s="78">
        <f>$H$8*8</f>
        <v>0</v>
      </c>
      <c r="K8" s="78">
        <f>$H$8*1</f>
        <v>0</v>
      </c>
      <c r="L8" s="78">
        <f>$H$8*20</f>
        <v>0</v>
      </c>
    </row>
    <row r="9" spans="1:14" x14ac:dyDescent="0.25">
      <c r="A9" s="76" t="s">
        <v>242</v>
      </c>
      <c r="B9" s="80">
        <v>0.6</v>
      </c>
      <c r="C9" s="81">
        <f>B9*C2</f>
        <v>926.4</v>
      </c>
      <c r="D9" s="82">
        <f>ROUND(C9/4,2)</f>
        <v>231.6</v>
      </c>
      <c r="E9" s="85">
        <f>ROUND(D9/C3,2)</f>
        <v>2.9</v>
      </c>
      <c r="G9" s="76" t="s">
        <v>243</v>
      </c>
      <c r="H9" s="68"/>
      <c r="I9" s="78">
        <f>$H$9*40</f>
        <v>0</v>
      </c>
      <c r="J9" s="78">
        <f>$H$9*7</f>
        <v>0</v>
      </c>
      <c r="K9" s="78">
        <f>$H$9*1</f>
        <v>0</v>
      </c>
      <c r="L9" s="78">
        <f>$H$9*20</f>
        <v>0</v>
      </c>
    </row>
    <row r="10" spans="1:14" x14ac:dyDescent="0.25">
      <c r="A10" s="76" t="s">
        <v>244</v>
      </c>
      <c r="B10" s="83">
        <f>SUM(B7:B9)</f>
        <v>1.27</v>
      </c>
      <c r="C10" s="84">
        <f>SUM(C7:C9)</f>
        <v>1960.88</v>
      </c>
      <c r="D10" s="85"/>
      <c r="E10" s="85"/>
      <c r="G10" s="76" t="s">
        <v>245</v>
      </c>
      <c r="H10" s="68"/>
      <c r="I10" s="78">
        <f>$H$10*55</f>
        <v>0</v>
      </c>
      <c r="J10" s="78">
        <f>$H$10*7</f>
        <v>0</v>
      </c>
      <c r="K10" s="78">
        <f>$H$10*3</f>
        <v>0</v>
      </c>
      <c r="L10" s="78">
        <f>$H$10*0</f>
        <v>0</v>
      </c>
      <c r="M10" s="86" t="s">
        <v>246</v>
      </c>
    </row>
    <row r="11" spans="1:14" x14ac:dyDescent="0.25">
      <c r="G11" s="76" t="s">
        <v>247</v>
      </c>
      <c r="H11" s="68"/>
      <c r="I11" s="78">
        <f>$H$11*75</f>
        <v>0</v>
      </c>
      <c r="J11" s="78">
        <f>$H$11*7</f>
        <v>0</v>
      </c>
      <c r="K11" s="78">
        <f>$H$11*5</f>
        <v>0</v>
      </c>
      <c r="L11" s="78">
        <f>$H$11*0</f>
        <v>0</v>
      </c>
      <c r="M11" s="86" t="s">
        <v>248</v>
      </c>
    </row>
    <row r="12" spans="1:14" x14ac:dyDescent="0.25">
      <c r="B12" s="92"/>
      <c r="C12" s="92"/>
      <c r="D12" s="92"/>
      <c r="E12" s="92"/>
      <c r="G12" s="76" t="s">
        <v>250</v>
      </c>
      <c r="H12" s="68"/>
      <c r="I12" s="78">
        <f>$H$12*100</f>
        <v>0</v>
      </c>
      <c r="J12" s="78">
        <f>$H$12*7</f>
        <v>0</v>
      </c>
      <c r="K12" s="78">
        <f>$H$12*8</f>
        <v>0</v>
      </c>
      <c r="L12" s="78">
        <f>$H$12*0</f>
        <v>0</v>
      </c>
      <c r="M12" s="86" t="s">
        <v>251</v>
      </c>
    </row>
    <row r="13" spans="1:14" x14ac:dyDescent="0.25">
      <c r="A13" s="92"/>
      <c r="G13" s="76" t="s">
        <v>252</v>
      </c>
      <c r="H13" s="68"/>
      <c r="I13" s="78">
        <f>$H$13*95</f>
        <v>0</v>
      </c>
      <c r="J13" s="78">
        <f>$H$13*9</f>
        <v>0</v>
      </c>
      <c r="K13" s="78">
        <f>$H$13*2</f>
        <v>0</v>
      </c>
      <c r="L13" s="78">
        <f>$H$13*12</f>
        <v>0</v>
      </c>
      <c r="M13" s="86" t="s">
        <v>253</v>
      </c>
    </row>
    <row r="14" spans="1:14" x14ac:dyDescent="0.25">
      <c r="G14" s="76" t="s">
        <v>254</v>
      </c>
      <c r="H14" s="68"/>
      <c r="I14" s="78">
        <f>$H$14*110</f>
        <v>0</v>
      </c>
      <c r="J14" s="78">
        <f>$H$14*9</f>
        <v>0</v>
      </c>
      <c r="K14" s="78">
        <f>$H$14*4</f>
        <v>0</v>
      </c>
      <c r="L14" s="78">
        <f>$H$14*12</f>
        <v>0</v>
      </c>
      <c r="M14" s="86" t="s">
        <v>255</v>
      </c>
    </row>
    <row r="15" spans="1:14" x14ac:dyDescent="0.25">
      <c r="G15" s="76" t="s">
        <v>256</v>
      </c>
      <c r="H15" s="68"/>
      <c r="I15" s="78">
        <f>$H$15*150</f>
        <v>0</v>
      </c>
      <c r="J15" s="78">
        <f>$H$15*9</f>
        <v>0</v>
      </c>
      <c r="K15" s="78">
        <f>$H$15*8</f>
        <v>0</v>
      </c>
      <c r="L15" s="78">
        <f>$H$15*12</f>
        <v>0</v>
      </c>
      <c r="M15" s="86" t="s">
        <v>257</v>
      </c>
    </row>
    <row r="16" spans="1:14" x14ac:dyDescent="0.25">
      <c r="G16" s="76" t="s">
        <v>258</v>
      </c>
      <c r="H16" s="68"/>
      <c r="I16" s="78">
        <f>$H$16*200</f>
        <v>0</v>
      </c>
      <c r="J16" s="78">
        <f>$H$16*8</f>
        <v>0</v>
      </c>
      <c r="K16" s="78">
        <f>$H$16*5</f>
        <v>0</v>
      </c>
      <c r="L16" s="78">
        <f>$H$16*30</f>
        <v>0</v>
      </c>
      <c r="M16" s="86" t="s">
        <v>259</v>
      </c>
    </row>
    <row r="17" spans="7:12" x14ac:dyDescent="0.25">
      <c r="G17" s="76" t="s">
        <v>260</v>
      </c>
      <c r="H17" s="68"/>
      <c r="I17" s="78">
        <f>$H$17*45</f>
        <v>0</v>
      </c>
      <c r="J17" s="78">
        <f>$H$17*0</f>
        <v>0</v>
      </c>
      <c r="K17" s="78">
        <f>$H$17*5</f>
        <v>0</v>
      </c>
      <c r="L17" s="78">
        <f>$H$17*0</f>
        <v>0</v>
      </c>
    </row>
    <row r="18" spans="7:12" x14ac:dyDescent="0.25">
      <c r="G18" s="76" t="s">
        <v>261</v>
      </c>
      <c r="H18" s="68"/>
      <c r="I18" s="78">
        <f>$H$18*70</f>
        <v>0</v>
      </c>
      <c r="J18" s="78">
        <f>$H$18*3</f>
        <v>0</v>
      </c>
      <c r="K18" s="78">
        <f>$H$18*5</f>
        <v>0</v>
      </c>
      <c r="L18" s="78">
        <f>$H$18*3</f>
        <v>0</v>
      </c>
    </row>
    <row r="19" spans="7:12" x14ac:dyDescent="0.25">
      <c r="G19" s="76" t="s">
        <v>262</v>
      </c>
      <c r="H19" s="68"/>
      <c r="I19" s="78">
        <f>$H$19*40</f>
        <v>0</v>
      </c>
      <c r="J19" s="78">
        <f>$H$19*0</f>
        <v>0</v>
      </c>
      <c r="K19" s="78">
        <f>$H$19*0</f>
        <v>0</v>
      </c>
      <c r="L19" s="78">
        <f>$H$19*10</f>
        <v>0</v>
      </c>
    </row>
    <row r="20" spans="7:12" x14ac:dyDescent="0.25">
      <c r="G20" s="76" t="s">
        <v>263</v>
      </c>
      <c r="H20" s="68"/>
      <c r="I20" s="78">
        <f>$H$20*85</f>
        <v>0</v>
      </c>
      <c r="J20" s="78">
        <f>$H$20*0</f>
        <v>0</v>
      </c>
      <c r="K20" s="78">
        <f>$H$20*5</f>
        <v>0</v>
      </c>
      <c r="L20" s="78">
        <f>$H$20*10</f>
        <v>0</v>
      </c>
    </row>
    <row r="21" spans="7:12" x14ac:dyDescent="0.25">
      <c r="G21" s="87" t="s">
        <v>264</v>
      </c>
      <c r="H21" s="88"/>
      <c r="I21" s="78">
        <f>SUM(I4:I20)</f>
        <v>0</v>
      </c>
      <c r="J21" s="78">
        <f t="shared" ref="J21:L21" si="0">SUM(J4:J20)</f>
        <v>0</v>
      </c>
      <c r="K21" s="78">
        <f t="shared" si="0"/>
        <v>0</v>
      </c>
      <c r="L21" s="78">
        <f t="shared" si="0"/>
        <v>0</v>
      </c>
    </row>
    <row r="22" spans="7:12" x14ac:dyDescent="0.25">
      <c r="G22" s="87" t="s">
        <v>265</v>
      </c>
      <c r="H22" s="88"/>
      <c r="I22" s="78">
        <f>C2</f>
        <v>1544</v>
      </c>
      <c r="J22" s="78">
        <f>D7</f>
        <v>142.82</v>
      </c>
      <c r="K22" s="78">
        <f>D8</f>
        <v>51.47</v>
      </c>
      <c r="L22" s="78">
        <f>D9</f>
        <v>231.6</v>
      </c>
    </row>
    <row r="23" spans="7:12" x14ac:dyDescent="0.25">
      <c r="G23" s="87" t="s">
        <v>266</v>
      </c>
      <c r="H23" s="88"/>
      <c r="I23" s="89">
        <f>ROUND(((I21*100)/I22),2)</f>
        <v>0</v>
      </c>
      <c r="J23" s="89">
        <f>ROUND((J21*100)/J22,2)</f>
        <v>0</v>
      </c>
      <c r="K23" s="89">
        <f>ROUND((K21*100)/K22,2)</f>
        <v>0</v>
      </c>
      <c r="L23" s="89">
        <f>ROUND((L21*100)/L22,2)</f>
        <v>0</v>
      </c>
    </row>
    <row r="24" spans="7:12" x14ac:dyDescent="0.25">
      <c r="H24" s="90">
        <v>0.95</v>
      </c>
      <c r="I24" s="91">
        <f>ROUND(C2*0.95,2)</f>
        <v>1466.8</v>
      </c>
      <c r="J24" s="91">
        <f>ROUND(D7*0.95,2)</f>
        <v>135.68</v>
      </c>
      <c r="K24" s="91">
        <f>ROUND(D8*0.95,2)</f>
        <v>48.9</v>
      </c>
      <c r="L24" s="91">
        <f>ROUND(D9*0.95,2)</f>
        <v>220.02</v>
      </c>
    </row>
    <row r="25" spans="7:12" x14ac:dyDescent="0.25">
      <c r="H25" s="90">
        <v>1.05</v>
      </c>
      <c r="I25" s="91">
        <f>ROUND(C2*1.05,2)</f>
        <v>1621.2</v>
      </c>
      <c r="J25" s="91">
        <f>ROUND(D7*1.05,2)</f>
        <v>149.96</v>
      </c>
      <c r="K25" s="91">
        <f>ROUND(D8*1.05,2)</f>
        <v>54.04</v>
      </c>
      <c r="L25" s="91">
        <f>ROUND(D9*1.05,2)</f>
        <v>243.18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6061-BCA9-410B-A630-D196C827CA74}">
  <dimension ref="B1:I21"/>
  <sheetViews>
    <sheetView workbookViewId="0">
      <selection activeCell="D11" sqref="D11"/>
    </sheetView>
  </sheetViews>
  <sheetFormatPr baseColWidth="10" defaultRowHeight="15" x14ac:dyDescent="0.25"/>
  <cols>
    <col min="2" max="2" width="30.28515625" bestFit="1" customWidth="1"/>
    <col min="3" max="3" width="26.5703125" bestFit="1" customWidth="1"/>
    <col min="4" max="4" width="31.28515625" bestFit="1" customWidth="1"/>
    <col min="5" max="5" width="17.42578125" bestFit="1" customWidth="1"/>
  </cols>
  <sheetData>
    <row r="1" spans="2:9" x14ac:dyDescent="0.25">
      <c r="B1" s="124" t="s">
        <v>30</v>
      </c>
      <c r="C1" s="124"/>
      <c r="D1" s="124"/>
      <c r="E1" s="124"/>
      <c r="F1" s="124"/>
      <c r="G1" s="124"/>
      <c r="H1" s="124"/>
      <c r="I1" s="124"/>
    </row>
    <row r="2" spans="2:9" x14ac:dyDescent="0.25">
      <c r="B2" s="125"/>
      <c r="C2" s="125"/>
      <c r="D2" s="125"/>
      <c r="E2" s="125"/>
      <c r="F2" s="125"/>
      <c r="G2" s="125"/>
      <c r="H2" s="125"/>
      <c r="I2" s="125"/>
    </row>
    <row r="3" spans="2:9" ht="29.25" customHeight="1" x14ac:dyDescent="0.25">
      <c r="B3" s="129" t="s">
        <v>0</v>
      </c>
      <c r="C3" s="129" t="s">
        <v>1</v>
      </c>
      <c r="D3" s="129" t="s">
        <v>8</v>
      </c>
      <c r="E3" s="126" t="s">
        <v>2</v>
      </c>
      <c r="F3" s="127"/>
      <c r="G3" s="127"/>
      <c r="H3" s="127"/>
      <c r="I3" s="128"/>
    </row>
    <row r="4" spans="2:9" x14ac:dyDescent="0.25">
      <c r="B4" s="130"/>
      <c r="C4" s="130"/>
      <c r="D4" s="130"/>
      <c r="E4" s="10" t="s">
        <v>7</v>
      </c>
      <c r="F4" s="10" t="s">
        <v>6</v>
      </c>
      <c r="G4" s="10" t="s">
        <v>5</v>
      </c>
      <c r="H4" s="10" t="s">
        <v>4</v>
      </c>
      <c r="I4" s="10" t="s">
        <v>3</v>
      </c>
    </row>
    <row r="5" spans="2:9" x14ac:dyDescent="0.25">
      <c r="B5" s="134" t="s">
        <v>9</v>
      </c>
      <c r="C5" s="11" t="s">
        <v>10</v>
      </c>
      <c r="D5" s="2"/>
      <c r="E5" s="1"/>
      <c r="F5" s="1"/>
      <c r="G5" s="1"/>
      <c r="H5" s="1"/>
      <c r="I5" s="1"/>
    </row>
    <row r="6" spans="2:9" x14ac:dyDescent="0.25">
      <c r="B6" s="135"/>
      <c r="C6" s="11" t="s">
        <v>11</v>
      </c>
      <c r="D6" s="2"/>
      <c r="E6" s="1"/>
      <c r="F6" s="1"/>
      <c r="G6" s="1"/>
      <c r="H6" s="1"/>
      <c r="I6" s="1"/>
    </row>
    <row r="7" spans="2:9" x14ac:dyDescent="0.25">
      <c r="B7" s="12" t="s">
        <v>13</v>
      </c>
      <c r="C7" s="13" t="s">
        <v>12</v>
      </c>
      <c r="D7" s="3"/>
      <c r="E7" s="1"/>
      <c r="F7" s="1"/>
      <c r="G7" s="1"/>
      <c r="H7" s="1"/>
      <c r="I7" s="1"/>
    </row>
    <row r="8" spans="2:9" x14ac:dyDescent="0.25">
      <c r="B8" s="131" t="s">
        <v>14</v>
      </c>
      <c r="C8" s="14" t="s">
        <v>15</v>
      </c>
      <c r="D8" s="4"/>
      <c r="E8" s="1"/>
      <c r="F8" s="1"/>
      <c r="G8" s="1"/>
      <c r="H8" s="1"/>
      <c r="I8" s="1"/>
    </row>
    <row r="9" spans="2:9" x14ac:dyDescent="0.25">
      <c r="B9" s="132"/>
      <c r="C9" s="14" t="s">
        <v>16</v>
      </c>
      <c r="D9" s="4"/>
      <c r="E9" s="1"/>
      <c r="F9" s="1"/>
      <c r="G9" s="1"/>
      <c r="H9" s="1"/>
      <c r="I9" s="1"/>
    </row>
    <row r="10" spans="2:9" x14ac:dyDescent="0.25">
      <c r="B10" s="132"/>
      <c r="C10" s="14" t="s">
        <v>17</v>
      </c>
      <c r="D10" s="4"/>
      <c r="E10" s="1"/>
      <c r="F10" s="1"/>
      <c r="G10" s="1"/>
      <c r="H10" s="1"/>
      <c r="I10" s="1"/>
    </row>
    <row r="11" spans="2:9" x14ac:dyDescent="0.25">
      <c r="B11" s="133"/>
      <c r="C11" s="14" t="s">
        <v>18</v>
      </c>
      <c r="D11" s="4"/>
      <c r="E11" s="1"/>
      <c r="F11" s="1"/>
      <c r="G11" s="1"/>
      <c r="H11" s="1"/>
      <c r="I11" s="1"/>
    </row>
    <row r="12" spans="2:9" x14ac:dyDescent="0.25">
      <c r="B12" s="15" t="s">
        <v>19</v>
      </c>
      <c r="C12" s="16" t="s">
        <v>12</v>
      </c>
      <c r="D12" s="5"/>
      <c r="E12" s="1"/>
      <c r="F12" s="1"/>
      <c r="G12" s="1"/>
      <c r="H12" s="1"/>
      <c r="I12" s="1"/>
    </row>
    <row r="13" spans="2:9" x14ac:dyDescent="0.25">
      <c r="B13" s="117" t="s">
        <v>20</v>
      </c>
      <c r="C13" s="17" t="s">
        <v>23</v>
      </c>
      <c r="D13" s="6"/>
      <c r="E13" s="1"/>
      <c r="F13" s="1"/>
      <c r="G13" s="1"/>
      <c r="H13" s="1"/>
      <c r="I13" s="1"/>
    </row>
    <row r="14" spans="2:9" x14ac:dyDescent="0.25">
      <c r="B14" s="118"/>
      <c r="C14" s="17" t="s">
        <v>21</v>
      </c>
      <c r="D14" s="6"/>
      <c r="E14" s="1"/>
      <c r="F14" s="1"/>
      <c r="G14" s="1"/>
      <c r="H14" s="1"/>
      <c r="I14" s="1"/>
    </row>
    <row r="15" spans="2:9" x14ac:dyDescent="0.25">
      <c r="B15" s="118"/>
      <c r="C15" s="17" t="s">
        <v>22</v>
      </c>
      <c r="D15" s="6"/>
      <c r="E15" s="1"/>
      <c r="F15" s="1"/>
      <c r="G15" s="1"/>
      <c r="H15" s="1"/>
      <c r="I15" s="1"/>
    </row>
    <row r="16" spans="2:9" x14ac:dyDescent="0.25">
      <c r="B16" s="119"/>
      <c r="C16" s="17" t="s">
        <v>24</v>
      </c>
      <c r="D16" s="6"/>
      <c r="E16" s="1"/>
      <c r="F16" s="1"/>
      <c r="G16" s="1"/>
      <c r="H16" s="1"/>
      <c r="I16" s="1"/>
    </row>
    <row r="17" spans="2:9" x14ac:dyDescent="0.25">
      <c r="B17" s="122" t="s">
        <v>25</v>
      </c>
      <c r="C17" s="18" t="s">
        <v>26</v>
      </c>
      <c r="D17" s="7"/>
      <c r="E17" s="1"/>
      <c r="F17" s="1"/>
      <c r="G17" s="1"/>
      <c r="H17" s="1"/>
      <c r="I17" s="1"/>
    </row>
    <row r="18" spans="2:9" x14ac:dyDescent="0.25">
      <c r="B18" s="123"/>
      <c r="C18" s="18" t="s">
        <v>27</v>
      </c>
      <c r="D18" s="7"/>
      <c r="E18" s="1"/>
      <c r="F18" s="1"/>
      <c r="G18" s="1"/>
      <c r="H18" s="1"/>
      <c r="I18" s="1"/>
    </row>
    <row r="19" spans="2:9" x14ac:dyDescent="0.25">
      <c r="B19" s="19" t="s">
        <v>28</v>
      </c>
      <c r="C19" s="20" t="s">
        <v>12</v>
      </c>
      <c r="D19" s="8"/>
      <c r="E19" s="1"/>
      <c r="F19" s="1"/>
      <c r="G19" s="1"/>
      <c r="H19" s="1"/>
      <c r="I19" s="1"/>
    </row>
    <row r="20" spans="2:9" x14ac:dyDescent="0.25">
      <c r="B20" s="120" t="s">
        <v>29</v>
      </c>
      <c r="C20" s="21" t="s">
        <v>10</v>
      </c>
      <c r="D20" s="9"/>
      <c r="E20" s="1"/>
      <c r="F20" s="1"/>
      <c r="G20" s="1"/>
      <c r="H20" s="1"/>
      <c r="I20" s="1"/>
    </row>
    <row r="21" spans="2:9" x14ac:dyDescent="0.25">
      <c r="B21" s="121"/>
      <c r="C21" s="21" t="s">
        <v>11</v>
      </c>
      <c r="D21" s="9"/>
      <c r="E21" s="1"/>
      <c r="F21" s="1"/>
      <c r="G21" s="1"/>
      <c r="H21" s="1"/>
      <c r="I21" s="1"/>
    </row>
  </sheetData>
  <mergeCells count="10">
    <mergeCell ref="B13:B16"/>
    <mergeCell ref="B20:B21"/>
    <mergeCell ref="B17:B18"/>
    <mergeCell ref="B1:I2"/>
    <mergeCell ref="E3:I3"/>
    <mergeCell ref="B3:B4"/>
    <mergeCell ref="C3:C4"/>
    <mergeCell ref="D3:D4"/>
    <mergeCell ref="B8:B11"/>
    <mergeCell ref="B5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B660-D729-4FE3-A1D9-F24BDE287126}">
  <dimension ref="B9:G27"/>
  <sheetViews>
    <sheetView topLeftCell="A4" workbookViewId="0">
      <selection activeCell="B9" sqref="B9:B10"/>
    </sheetView>
  </sheetViews>
  <sheetFormatPr baseColWidth="10" defaultRowHeight="15" x14ac:dyDescent="0.25"/>
  <cols>
    <col min="2" max="2" width="18.7109375" customWidth="1"/>
    <col min="3" max="3" width="31.28515625" bestFit="1" customWidth="1"/>
    <col min="4" max="4" width="26.5703125" bestFit="1" customWidth="1"/>
    <col min="7" max="7" width="22.7109375" bestFit="1" customWidth="1"/>
  </cols>
  <sheetData>
    <row r="9" spans="2:7" x14ac:dyDescent="0.25">
      <c r="B9" s="138" t="s">
        <v>8</v>
      </c>
      <c r="C9" s="140" t="s">
        <v>0</v>
      </c>
      <c r="D9" s="142" t="s">
        <v>1</v>
      </c>
      <c r="E9" s="129" t="s">
        <v>40</v>
      </c>
      <c r="F9" s="129" t="s">
        <v>41</v>
      </c>
      <c r="G9" s="129" t="s">
        <v>42</v>
      </c>
    </row>
    <row r="10" spans="2:7" x14ac:dyDescent="0.25">
      <c r="B10" s="139"/>
      <c r="C10" s="141"/>
      <c r="D10" s="142"/>
      <c r="E10" s="130"/>
      <c r="F10" s="130"/>
      <c r="G10" s="130"/>
    </row>
    <row r="11" spans="2:7" x14ac:dyDescent="0.25">
      <c r="B11" s="1"/>
      <c r="C11" s="143" t="s">
        <v>9</v>
      </c>
      <c r="D11" s="11" t="s">
        <v>10</v>
      </c>
      <c r="E11" s="1"/>
      <c r="F11" s="1"/>
      <c r="G11" s="1"/>
    </row>
    <row r="12" spans="2:7" x14ac:dyDescent="0.25">
      <c r="B12" s="1"/>
      <c r="C12" s="144"/>
      <c r="D12" s="11" t="s">
        <v>11</v>
      </c>
      <c r="E12" s="1"/>
      <c r="F12" s="1"/>
      <c r="G12" s="1"/>
    </row>
    <row r="13" spans="2:7" x14ac:dyDescent="0.25">
      <c r="B13" s="1"/>
      <c r="C13" s="42" t="s">
        <v>13</v>
      </c>
      <c r="D13" s="13" t="s">
        <v>12</v>
      </c>
      <c r="E13" s="1"/>
      <c r="F13" s="1"/>
      <c r="G13" s="1"/>
    </row>
    <row r="14" spans="2:7" x14ac:dyDescent="0.25">
      <c r="B14" s="1"/>
      <c r="C14" s="145" t="s">
        <v>14</v>
      </c>
      <c r="D14" s="14" t="s">
        <v>15</v>
      </c>
      <c r="E14" s="1"/>
      <c r="F14" s="1"/>
      <c r="G14" s="1"/>
    </row>
    <row r="15" spans="2:7" x14ac:dyDescent="0.25">
      <c r="B15" s="1"/>
      <c r="C15" s="146"/>
      <c r="D15" s="14" t="s">
        <v>16</v>
      </c>
      <c r="E15" s="1"/>
      <c r="F15" s="1"/>
      <c r="G15" s="1"/>
    </row>
    <row r="16" spans="2:7" x14ac:dyDescent="0.25">
      <c r="B16" s="1"/>
      <c r="C16" s="146"/>
      <c r="D16" s="14" t="s">
        <v>17</v>
      </c>
      <c r="E16" s="1"/>
      <c r="F16" s="1"/>
      <c r="G16" s="1"/>
    </row>
    <row r="17" spans="2:7" x14ac:dyDescent="0.25">
      <c r="B17" s="1"/>
      <c r="C17" s="147"/>
      <c r="D17" s="14" t="s">
        <v>18</v>
      </c>
      <c r="E17" s="1"/>
      <c r="F17" s="1"/>
      <c r="G17" s="1"/>
    </row>
    <row r="18" spans="2:7" x14ac:dyDescent="0.25">
      <c r="B18" s="1"/>
      <c r="C18" s="43" t="s">
        <v>19</v>
      </c>
      <c r="D18" s="16" t="s">
        <v>12</v>
      </c>
      <c r="E18" s="1"/>
      <c r="F18" s="1"/>
      <c r="G18" s="1"/>
    </row>
    <row r="19" spans="2:7" x14ac:dyDescent="0.25">
      <c r="B19" s="1"/>
      <c r="C19" s="148" t="s">
        <v>20</v>
      </c>
      <c r="D19" s="17" t="s">
        <v>23</v>
      </c>
      <c r="E19" s="1"/>
      <c r="F19" s="1"/>
      <c r="G19" s="1"/>
    </row>
    <row r="20" spans="2:7" x14ac:dyDescent="0.25">
      <c r="B20" s="1"/>
      <c r="C20" s="149"/>
      <c r="D20" s="17" t="s">
        <v>21</v>
      </c>
      <c r="E20" s="1"/>
      <c r="F20" s="1"/>
      <c r="G20" s="1"/>
    </row>
    <row r="21" spans="2:7" x14ac:dyDescent="0.25">
      <c r="B21" s="1"/>
      <c r="C21" s="149"/>
      <c r="D21" s="17" t="s">
        <v>22</v>
      </c>
      <c r="E21" s="1"/>
      <c r="F21" s="1"/>
      <c r="G21" s="1"/>
    </row>
    <row r="22" spans="2:7" x14ac:dyDescent="0.25">
      <c r="B22" s="1"/>
      <c r="C22" s="150"/>
      <c r="D22" s="17" t="s">
        <v>24</v>
      </c>
      <c r="E22" s="1"/>
      <c r="F22" s="1"/>
      <c r="G22" s="1"/>
    </row>
    <row r="23" spans="2:7" x14ac:dyDescent="0.25">
      <c r="B23" s="1"/>
      <c r="C23" s="151" t="s">
        <v>25</v>
      </c>
      <c r="D23" s="18" t="s">
        <v>26</v>
      </c>
      <c r="E23" s="1"/>
      <c r="F23" s="1"/>
      <c r="G23" s="1"/>
    </row>
    <row r="24" spans="2:7" x14ac:dyDescent="0.25">
      <c r="B24" s="1"/>
      <c r="C24" s="152"/>
      <c r="D24" s="18" t="s">
        <v>27</v>
      </c>
      <c r="E24" s="1"/>
      <c r="F24" s="1"/>
      <c r="G24" s="1"/>
    </row>
    <row r="25" spans="2:7" x14ac:dyDescent="0.25">
      <c r="B25" s="1"/>
      <c r="C25" s="44" t="s">
        <v>28</v>
      </c>
      <c r="D25" s="20" t="s">
        <v>12</v>
      </c>
      <c r="E25" s="1"/>
      <c r="F25" s="1"/>
      <c r="G25" s="1"/>
    </row>
    <row r="26" spans="2:7" x14ac:dyDescent="0.25">
      <c r="B26" s="1"/>
      <c r="C26" s="136" t="s">
        <v>29</v>
      </c>
      <c r="D26" s="21" t="s">
        <v>10</v>
      </c>
      <c r="E26" s="1"/>
      <c r="F26" s="1"/>
      <c r="G26" s="1"/>
    </row>
    <row r="27" spans="2:7" x14ac:dyDescent="0.25">
      <c r="B27" s="1"/>
      <c r="C27" s="137"/>
      <c r="D27" s="21" t="s">
        <v>11</v>
      </c>
      <c r="E27" s="1"/>
      <c r="F27" s="1"/>
      <c r="G27" s="1"/>
    </row>
  </sheetData>
  <mergeCells count="11">
    <mergeCell ref="C26:C27"/>
    <mergeCell ref="E9:E10"/>
    <mergeCell ref="F9:F10"/>
    <mergeCell ref="G9:G10"/>
    <mergeCell ref="B9:B10"/>
    <mergeCell ref="C9:C10"/>
    <mergeCell ref="D9:D10"/>
    <mergeCell ref="C11:C12"/>
    <mergeCell ref="C14:C17"/>
    <mergeCell ref="C19:C22"/>
    <mergeCell ref="C23:C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4E5D-7028-4F5F-9045-E2809FDEE279}">
  <dimension ref="A1:H28"/>
  <sheetViews>
    <sheetView topLeftCell="A3" workbookViewId="0">
      <selection activeCell="F12" sqref="F12"/>
    </sheetView>
  </sheetViews>
  <sheetFormatPr baseColWidth="10" defaultRowHeight="15" x14ac:dyDescent="0.25"/>
  <cols>
    <col min="2" max="2" width="13.7109375" customWidth="1"/>
    <col min="3" max="3" width="16" customWidth="1"/>
    <col min="4" max="4" width="20.7109375" customWidth="1"/>
    <col min="5" max="5" width="16" customWidth="1"/>
    <col min="6" max="6" width="16.5703125" customWidth="1"/>
    <col min="7" max="7" width="15.5703125" customWidth="1"/>
    <col min="8" max="8" width="15.28515625" customWidth="1"/>
  </cols>
  <sheetData>
    <row r="1" spans="1:8" ht="15.75" thickTop="1" x14ac:dyDescent="0.25">
      <c r="A1" s="172" t="s">
        <v>31</v>
      </c>
      <c r="B1" s="173"/>
      <c r="C1" s="173"/>
      <c r="D1" s="173"/>
      <c r="E1" s="173"/>
      <c r="F1" s="173"/>
      <c r="G1" s="173"/>
      <c r="H1" s="174"/>
    </row>
    <row r="2" spans="1:8" ht="15.75" thickBot="1" x14ac:dyDescent="0.3">
      <c r="A2" s="175"/>
      <c r="B2" s="176"/>
      <c r="C2" s="176"/>
      <c r="D2" s="176"/>
      <c r="E2" s="176"/>
      <c r="F2" s="176"/>
      <c r="G2" s="176"/>
      <c r="H2" s="177"/>
    </row>
    <row r="3" spans="1:8" ht="16.5" thickTop="1" thickBot="1" x14ac:dyDescent="0.3">
      <c r="A3" s="22"/>
      <c r="B3" s="23" t="s">
        <v>32</v>
      </c>
      <c r="C3" s="24" t="s">
        <v>33</v>
      </c>
      <c r="D3" s="23" t="s">
        <v>34</v>
      </c>
      <c r="E3" s="24" t="s">
        <v>35</v>
      </c>
      <c r="F3" s="23" t="s">
        <v>36</v>
      </c>
      <c r="G3" s="24" t="s">
        <v>37</v>
      </c>
      <c r="H3" s="41" t="s">
        <v>38</v>
      </c>
    </row>
    <row r="4" spans="1:8" x14ac:dyDescent="0.25">
      <c r="A4" s="27" t="s">
        <v>7</v>
      </c>
      <c r="B4" s="25"/>
      <c r="C4" s="25"/>
      <c r="D4" s="25"/>
      <c r="E4" s="25"/>
      <c r="F4" s="25"/>
      <c r="G4" s="40"/>
      <c r="H4" s="36"/>
    </row>
    <row r="5" spans="1:8" x14ac:dyDescent="0.25">
      <c r="A5" s="28"/>
      <c r="B5" s="26"/>
      <c r="C5" s="26"/>
      <c r="D5" s="26"/>
      <c r="E5" s="26"/>
      <c r="F5" s="26"/>
      <c r="G5" s="35"/>
      <c r="H5" s="37"/>
    </row>
    <row r="6" spans="1:8" x14ac:dyDescent="0.25">
      <c r="A6" s="28"/>
      <c r="B6" s="26"/>
      <c r="C6" s="26"/>
      <c r="D6" s="26"/>
      <c r="E6" s="26"/>
      <c r="F6" s="26"/>
      <c r="G6" s="35"/>
      <c r="H6" s="37"/>
    </row>
    <row r="7" spans="1:8" ht="28.5" customHeight="1" thickBot="1" x14ac:dyDescent="0.3">
      <c r="A7" s="28"/>
      <c r="B7" s="26"/>
      <c r="C7" s="26"/>
      <c r="D7" s="26"/>
      <c r="E7" s="26"/>
      <c r="F7" s="26"/>
      <c r="G7" s="35"/>
      <c r="H7" s="38"/>
    </row>
    <row r="8" spans="1:8" ht="33" customHeight="1" thickBot="1" x14ac:dyDescent="0.3">
      <c r="A8" s="30" t="s">
        <v>39</v>
      </c>
      <c r="B8" s="29"/>
      <c r="C8" s="29"/>
      <c r="D8" s="29"/>
      <c r="E8" s="29"/>
      <c r="F8" s="29"/>
      <c r="G8" s="29"/>
      <c r="H8" s="29"/>
    </row>
    <row r="9" spans="1:8" ht="23.25" customHeight="1" x14ac:dyDescent="0.25">
      <c r="A9" s="153" t="s">
        <v>6</v>
      </c>
      <c r="B9" s="170"/>
      <c r="C9" s="26"/>
      <c r="D9" s="26"/>
      <c r="E9" s="26"/>
      <c r="F9" s="26"/>
      <c r="G9" s="35"/>
      <c r="H9" s="36"/>
    </row>
    <row r="10" spans="1:8" ht="23.25" customHeight="1" x14ac:dyDescent="0.25">
      <c r="A10" s="154"/>
      <c r="B10" s="171"/>
      <c r="C10" s="26"/>
      <c r="D10" s="26"/>
      <c r="E10" s="26"/>
      <c r="F10" s="26"/>
      <c r="G10" s="35"/>
      <c r="H10" s="37"/>
    </row>
    <row r="11" spans="1:8" ht="23.25" customHeight="1" thickBot="1" x14ac:dyDescent="0.3">
      <c r="A11" s="154"/>
      <c r="B11" s="171"/>
      <c r="C11" s="26"/>
      <c r="D11" s="26"/>
      <c r="E11" s="26"/>
      <c r="F11" s="26"/>
      <c r="G11" s="35"/>
      <c r="H11" s="38"/>
    </row>
    <row r="12" spans="1:8" ht="31.5" customHeight="1" thickBot="1" x14ac:dyDescent="0.3">
      <c r="A12" s="30" t="s">
        <v>39</v>
      </c>
      <c r="B12" s="31"/>
      <c r="C12" s="31"/>
      <c r="D12" s="31"/>
      <c r="E12" s="31"/>
      <c r="F12" s="31"/>
      <c r="G12" s="31"/>
      <c r="H12" s="32"/>
    </row>
    <row r="13" spans="1:8" x14ac:dyDescent="0.25">
      <c r="A13" s="179" t="s">
        <v>5</v>
      </c>
      <c r="B13" s="26"/>
      <c r="C13" s="26"/>
      <c r="D13" s="26"/>
      <c r="E13" s="26"/>
      <c r="F13" s="26"/>
      <c r="G13" s="35"/>
      <c r="H13" s="158"/>
    </row>
    <row r="14" spans="1:8" x14ac:dyDescent="0.25">
      <c r="A14" s="180"/>
      <c r="B14" s="26"/>
      <c r="C14" s="26"/>
      <c r="D14" s="26"/>
      <c r="E14" s="26"/>
      <c r="F14" s="26"/>
      <c r="G14" s="35"/>
      <c r="H14" s="178"/>
    </row>
    <row r="15" spans="1:8" x14ac:dyDescent="0.25">
      <c r="A15" s="180"/>
      <c r="B15" s="26"/>
      <c r="C15" s="26"/>
      <c r="D15" s="26"/>
      <c r="E15" s="26"/>
      <c r="F15" s="26"/>
      <c r="G15" s="35"/>
      <c r="H15" s="178"/>
    </row>
    <row r="16" spans="1:8" ht="15.75" thickBot="1" x14ac:dyDescent="0.3">
      <c r="A16" s="180"/>
      <c r="B16" s="26"/>
      <c r="C16" s="26"/>
      <c r="D16" s="26"/>
      <c r="E16" s="26"/>
      <c r="F16" s="26"/>
      <c r="G16" s="35"/>
      <c r="H16" s="159"/>
    </row>
    <row r="17" spans="1:8" ht="27" customHeight="1" thickBot="1" x14ac:dyDescent="0.3">
      <c r="A17" s="30" t="s">
        <v>39</v>
      </c>
      <c r="B17" s="33"/>
      <c r="C17" s="31"/>
      <c r="D17" s="31"/>
      <c r="E17" s="31"/>
      <c r="F17" s="31"/>
      <c r="G17" s="31"/>
      <c r="H17" s="32"/>
    </row>
    <row r="18" spans="1:8" ht="27" customHeight="1" x14ac:dyDescent="0.25">
      <c r="A18" s="153" t="s">
        <v>4</v>
      </c>
      <c r="B18" s="34"/>
      <c r="C18" s="26"/>
      <c r="D18" s="26"/>
      <c r="E18" s="26"/>
      <c r="F18" s="26"/>
      <c r="G18" s="35"/>
      <c r="H18" s="36"/>
    </row>
    <row r="19" spans="1:8" x14ac:dyDescent="0.25">
      <c r="A19" s="154"/>
      <c r="B19" s="34"/>
      <c r="C19" s="26"/>
      <c r="D19" s="26"/>
      <c r="E19" s="26"/>
      <c r="F19" s="26"/>
      <c r="G19" s="35"/>
      <c r="H19" s="37"/>
    </row>
    <row r="20" spans="1:8" ht="15.75" thickBot="1" x14ac:dyDescent="0.3">
      <c r="A20" s="155"/>
      <c r="B20" s="34"/>
      <c r="C20" s="26"/>
      <c r="D20" s="26"/>
      <c r="E20" s="26"/>
      <c r="F20" s="26"/>
      <c r="G20" s="35"/>
      <c r="H20" s="37"/>
    </row>
    <row r="21" spans="1:8" ht="31.5" customHeight="1" thickBot="1" x14ac:dyDescent="0.3">
      <c r="A21" s="30" t="s">
        <v>39</v>
      </c>
      <c r="B21" s="39"/>
      <c r="C21" s="31"/>
      <c r="D21" s="31"/>
      <c r="E21" s="31"/>
      <c r="F21" s="31"/>
      <c r="G21" s="31"/>
      <c r="H21" s="32"/>
    </row>
    <row r="22" spans="1:8" x14ac:dyDescent="0.25">
      <c r="A22" s="167" t="s">
        <v>3</v>
      </c>
      <c r="B22" s="162"/>
      <c r="C22" s="162"/>
      <c r="D22" s="162"/>
      <c r="E22" s="162"/>
      <c r="F22" s="162"/>
      <c r="G22" s="162"/>
      <c r="H22" s="162"/>
    </row>
    <row r="23" spans="1:8" x14ac:dyDescent="0.25">
      <c r="A23" s="168"/>
      <c r="B23" s="163"/>
      <c r="C23" s="163"/>
      <c r="D23" s="163"/>
      <c r="E23" s="163"/>
      <c r="F23" s="163"/>
      <c r="G23" s="163"/>
      <c r="H23" s="163"/>
    </row>
    <row r="24" spans="1:8" x14ac:dyDescent="0.25">
      <c r="A24" s="168"/>
      <c r="B24" s="163"/>
      <c r="C24" s="163"/>
      <c r="D24" s="163"/>
      <c r="E24" s="163"/>
      <c r="F24" s="163"/>
      <c r="G24" s="163"/>
      <c r="H24" s="163"/>
    </row>
    <row r="25" spans="1:8" x14ac:dyDescent="0.25">
      <c r="A25" s="168"/>
      <c r="B25" s="163"/>
      <c r="C25" s="163"/>
      <c r="D25" s="163"/>
      <c r="E25" s="163"/>
      <c r="F25" s="163"/>
      <c r="G25" s="163"/>
      <c r="H25" s="163"/>
    </row>
    <row r="26" spans="1:8" ht="35.25" customHeight="1" thickBot="1" x14ac:dyDescent="0.3">
      <c r="A26" s="169"/>
      <c r="B26" s="164"/>
      <c r="C26" s="164"/>
      <c r="D26" s="164"/>
      <c r="E26" s="164"/>
      <c r="F26" s="164"/>
      <c r="G26" s="164"/>
      <c r="H26" s="164"/>
    </row>
    <row r="27" spans="1:8" ht="35.25" customHeight="1" x14ac:dyDescent="0.25">
      <c r="A27" s="165" t="s">
        <v>39</v>
      </c>
      <c r="B27" s="156"/>
      <c r="C27" s="156"/>
      <c r="D27" s="156"/>
      <c r="E27" s="156"/>
      <c r="F27" s="156"/>
      <c r="G27" s="160"/>
      <c r="H27" s="158"/>
    </row>
    <row r="28" spans="1:8" ht="15.75" thickBot="1" x14ac:dyDescent="0.3">
      <c r="A28" s="166"/>
      <c r="B28" s="157"/>
      <c r="C28" s="157"/>
      <c r="D28" s="157"/>
      <c r="E28" s="157"/>
      <c r="F28" s="157"/>
      <c r="G28" s="161"/>
      <c r="H28" s="159"/>
    </row>
  </sheetData>
  <mergeCells count="22">
    <mergeCell ref="C22:C26"/>
    <mergeCell ref="A9:A11"/>
    <mergeCell ref="B9:B11"/>
    <mergeCell ref="A1:H2"/>
    <mergeCell ref="H13:H16"/>
    <mergeCell ref="A13:A16"/>
    <mergeCell ref="A18:A20"/>
    <mergeCell ref="D27:D28"/>
    <mergeCell ref="E27:E28"/>
    <mergeCell ref="F27:F28"/>
    <mergeCell ref="H27:H28"/>
    <mergeCell ref="G27:G28"/>
    <mergeCell ref="D22:D26"/>
    <mergeCell ref="E22:E26"/>
    <mergeCell ref="F22:F26"/>
    <mergeCell ref="G22:G26"/>
    <mergeCell ref="H22:H26"/>
    <mergeCell ref="A27:A28"/>
    <mergeCell ref="B27:B28"/>
    <mergeCell ref="C27:C28"/>
    <mergeCell ref="A22:A26"/>
    <mergeCell ref="B22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39B99-6262-471D-99F0-0944C4E6316C}">
  <dimension ref="A3:AC40"/>
  <sheetViews>
    <sheetView topLeftCell="F1" zoomScale="60" zoomScaleNormal="60" workbookViewId="0">
      <selection activeCell="P6" sqref="P6"/>
    </sheetView>
  </sheetViews>
  <sheetFormatPr baseColWidth="10" defaultRowHeight="15" x14ac:dyDescent="0.25"/>
  <sheetData>
    <row r="3" spans="1:29" x14ac:dyDescent="0.25">
      <c r="A3" s="185" t="s">
        <v>43</v>
      </c>
      <c r="B3" s="185"/>
      <c r="C3" s="185"/>
      <c r="D3" s="185"/>
      <c r="F3" s="186" t="s">
        <v>44</v>
      </c>
      <c r="G3" s="186"/>
      <c r="H3" s="186"/>
      <c r="I3" s="186"/>
      <c r="K3" s="187" t="s">
        <v>45</v>
      </c>
      <c r="L3" s="187"/>
      <c r="M3" s="187"/>
      <c r="N3" s="187"/>
      <c r="P3" s="183" t="s">
        <v>46</v>
      </c>
      <c r="Q3" s="183"/>
      <c r="R3" s="183"/>
      <c r="S3" s="183"/>
      <c r="U3" s="184" t="s">
        <v>47</v>
      </c>
      <c r="V3" s="184"/>
      <c r="W3" s="184"/>
      <c r="X3" s="184"/>
      <c r="Z3" s="181" t="s">
        <v>48</v>
      </c>
      <c r="AA3" s="181"/>
      <c r="AB3" s="181"/>
      <c r="AC3" s="181"/>
    </row>
    <row r="4" spans="1:29" ht="30" x14ac:dyDescent="0.25">
      <c r="A4" s="185"/>
      <c r="B4" s="185"/>
      <c r="C4" s="185"/>
      <c r="D4" s="185"/>
      <c r="F4" s="45"/>
      <c r="G4" s="46" t="s">
        <v>49</v>
      </c>
      <c r="H4" s="47" t="s">
        <v>50</v>
      </c>
      <c r="I4" s="45" t="s">
        <v>51</v>
      </c>
      <c r="K4" s="48"/>
      <c r="L4" s="49" t="s">
        <v>49</v>
      </c>
      <c r="M4" s="50" t="s">
        <v>50</v>
      </c>
      <c r="N4" s="48" t="s">
        <v>51</v>
      </c>
      <c r="P4" s="51"/>
      <c r="Q4" s="52" t="s">
        <v>49</v>
      </c>
      <c r="R4" s="53" t="s">
        <v>50</v>
      </c>
      <c r="S4" s="51" t="s">
        <v>51</v>
      </c>
      <c r="U4" s="54"/>
      <c r="V4" s="55" t="s">
        <v>49</v>
      </c>
      <c r="W4" s="56" t="s">
        <v>50</v>
      </c>
      <c r="X4" s="54" t="s">
        <v>51</v>
      </c>
      <c r="Z4" s="57"/>
      <c r="AA4" s="58" t="s">
        <v>49</v>
      </c>
      <c r="AB4" s="59" t="s">
        <v>50</v>
      </c>
      <c r="AC4" s="57" t="s">
        <v>51</v>
      </c>
    </row>
    <row r="5" spans="1:29" x14ac:dyDescent="0.25">
      <c r="A5" s="185"/>
      <c r="B5" s="185"/>
      <c r="C5" s="185"/>
      <c r="D5" s="185"/>
      <c r="F5" s="60" t="s">
        <v>52</v>
      </c>
      <c r="G5" s="1">
        <v>90</v>
      </c>
      <c r="H5" s="61">
        <v>0.5</v>
      </c>
      <c r="I5" s="1" t="s">
        <v>53</v>
      </c>
      <c r="K5" s="48" t="s">
        <v>54</v>
      </c>
      <c r="L5" s="1">
        <v>124</v>
      </c>
      <c r="M5" s="61">
        <v>1</v>
      </c>
      <c r="N5" s="1" t="s">
        <v>53</v>
      </c>
      <c r="P5" s="51" t="s">
        <v>55</v>
      </c>
      <c r="Q5" s="1">
        <v>50</v>
      </c>
      <c r="R5" s="61">
        <v>1</v>
      </c>
      <c r="S5" s="61" t="s">
        <v>56</v>
      </c>
      <c r="U5" s="54" t="s">
        <v>57</v>
      </c>
      <c r="V5" s="1">
        <v>233</v>
      </c>
      <c r="W5" s="61">
        <v>1</v>
      </c>
      <c r="X5" s="61" t="s">
        <v>53</v>
      </c>
      <c r="Z5" s="57" t="s">
        <v>58</v>
      </c>
      <c r="AA5" s="1">
        <v>5</v>
      </c>
      <c r="AB5" s="61">
        <v>1</v>
      </c>
      <c r="AC5" s="61" t="s">
        <v>59</v>
      </c>
    </row>
    <row r="6" spans="1:29" x14ac:dyDescent="0.25">
      <c r="A6" s="185"/>
      <c r="B6" s="185"/>
      <c r="C6" s="185"/>
      <c r="D6" s="185"/>
      <c r="F6" s="60" t="s">
        <v>60</v>
      </c>
      <c r="G6" s="1">
        <v>92</v>
      </c>
      <c r="H6" s="61">
        <v>0.5</v>
      </c>
      <c r="I6" s="1" t="s">
        <v>53</v>
      </c>
      <c r="K6" s="48" t="s">
        <v>61</v>
      </c>
      <c r="L6" s="1">
        <v>99</v>
      </c>
      <c r="M6" s="61">
        <v>0.5</v>
      </c>
      <c r="N6" s="1" t="s">
        <v>53</v>
      </c>
      <c r="P6" s="51" t="s">
        <v>62</v>
      </c>
      <c r="Q6" s="1">
        <v>30</v>
      </c>
      <c r="R6" s="1">
        <v>30</v>
      </c>
      <c r="S6" s="61" t="s">
        <v>63</v>
      </c>
      <c r="U6" s="54" t="s">
        <v>64</v>
      </c>
      <c r="V6" s="1">
        <v>240</v>
      </c>
      <c r="W6" s="61">
        <v>1</v>
      </c>
      <c r="X6" s="61" t="s">
        <v>53</v>
      </c>
      <c r="Z6" s="57" t="s">
        <v>65</v>
      </c>
      <c r="AA6" s="1">
        <v>5</v>
      </c>
      <c r="AB6" s="61">
        <v>1</v>
      </c>
      <c r="AC6" s="61" t="s">
        <v>59</v>
      </c>
    </row>
    <row r="7" spans="1:29" x14ac:dyDescent="0.25">
      <c r="A7" s="185"/>
      <c r="B7" s="185"/>
      <c r="C7" s="185"/>
      <c r="D7" s="185"/>
      <c r="F7" s="60" t="s">
        <v>66</v>
      </c>
      <c r="G7" s="1">
        <v>64</v>
      </c>
      <c r="H7" s="61">
        <v>0.5</v>
      </c>
      <c r="I7" s="1" t="s">
        <v>53</v>
      </c>
      <c r="K7" s="48" t="s">
        <v>67</v>
      </c>
      <c r="L7" s="1">
        <v>82</v>
      </c>
      <c r="M7" s="61">
        <v>0.5</v>
      </c>
      <c r="N7" s="1" t="s">
        <v>53</v>
      </c>
      <c r="P7" s="51" t="s">
        <v>68</v>
      </c>
      <c r="Q7" s="1">
        <v>12</v>
      </c>
      <c r="R7" s="61">
        <v>12</v>
      </c>
      <c r="S7" s="61" t="s">
        <v>63</v>
      </c>
      <c r="U7" s="54" t="s">
        <v>69</v>
      </c>
      <c r="V7" s="1">
        <v>244</v>
      </c>
      <c r="W7" s="61">
        <v>1</v>
      </c>
      <c r="X7" s="61" t="s">
        <v>53</v>
      </c>
      <c r="Z7" s="57" t="s">
        <v>70</v>
      </c>
      <c r="AA7" s="1">
        <v>5</v>
      </c>
      <c r="AB7" s="61">
        <v>1</v>
      </c>
      <c r="AC7" s="61" t="s">
        <v>59</v>
      </c>
    </row>
    <row r="8" spans="1:29" x14ac:dyDescent="0.25">
      <c r="A8" s="185"/>
      <c r="B8" s="185"/>
      <c r="C8" s="185"/>
      <c r="D8" s="185"/>
      <c r="F8" s="60" t="s">
        <v>71</v>
      </c>
      <c r="G8" s="1">
        <v>111</v>
      </c>
      <c r="H8" s="61">
        <v>1</v>
      </c>
      <c r="I8" s="1" t="s">
        <v>56</v>
      </c>
      <c r="K8" s="48" t="s">
        <v>72</v>
      </c>
      <c r="L8" s="1">
        <v>85</v>
      </c>
      <c r="M8" s="61">
        <v>0.5</v>
      </c>
      <c r="N8" s="1" t="s">
        <v>53</v>
      </c>
      <c r="P8" s="51" t="s">
        <v>73</v>
      </c>
      <c r="Q8" s="1">
        <v>50</v>
      </c>
      <c r="R8" s="61">
        <v>50</v>
      </c>
      <c r="S8" s="1" t="s">
        <v>63</v>
      </c>
      <c r="U8" s="54" t="s">
        <v>74</v>
      </c>
      <c r="V8" s="1">
        <v>234</v>
      </c>
      <c r="W8" s="61">
        <v>1</v>
      </c>
      <c r="X8" s="1" t="s">
        <v>53</v>
      </c>
      <c r="Z8" s="57" t="s">
        <v>75</v>
      </c>
      <c r="AA8" s="1">
        <v>5</v>
      </c>
      <c r="AB8" s="61">
        <v>1</v>
      </c>
      <c r="AC8" s="61" t="s">
        <v>59</v>
      </c>
    </row>
    <row r="9" spans="1:29" x14ac:dyDescent="0.25">
      <c r="A9" s="185"/>
      <c r="B9" s="185"/>
      <c r="C9" s="185"/>
      <c r="D9" s="185"/>
      <c r="F9" s="60" t="s">
        <v>76</v>
      </c>
      <c r="G9" s="1">
        <v>123</v>
      </c>
      <c r="H9" s="61">
        <v>1</v>
      </c>
      <c r="I9" s="1" t="s">
        <v>56</v>
      </c>
      <c r="K9" s="48" t="s">
        <v>77</v>
      </c>
      <c r="L9" s="1">
        <v>57</v>
      </c>
      <c r="M9" s="61">
        <v>0.33333333333333331</v>
      </c>
      <c r="N9" s="1" t="s">
        <v>53</v>
      </c>
      <c r="P9" s="51" t="s">
        <v>78</v>
      </c>
      <c r="Q9" s="1">
        <v>43</v>
      </c>
      <c r="R9" s="61">
        <v>0.33333333333333331</v>
      </c>
      <c r="S9" s="1" t="s">
        <v>56</v>
      </c>
      <c r="U9" s="54" t="s">
        <v>79</v>
      </c>
      <c r="V9" s="1">
        <v>225</v>
      </c>
      <c r="W9" s="61">
        <v>1</v>
      </c>
      <c r="X9" s="1" t="s">
        <v>56</v>
      </c>
      <c r="Z9" s="57" t="s">
        <v>80</v>
      </c>
      <c r="AA9" s="1">
        <v>25</v>
      </c>
      <c r="AB9" s="61">
        <v>5</v>
      </c>
      <c r="AC9" s="1" t="s">
        <v>56</v>
      </c>
    </row>
    <row r="10" spans="1:29" x14ac:dyDescent="0.25">
      <c r="A10" s="185"/>
      <c r="B10" s="185"/>
      <c r="C10" s="185"/>
      <c r="D10" s="185"/>
      <c r="F10" s="60" t="s">
        <v>81</v>
      </c>
      <c r="G10" s="1">
        <v>104</v>
      </c>
      <c r="H10" s="61">
        <v>1</v>
      </c>
      <c r="I10" s="1" t="s">
        <v>53</v>
      </c>
      <c r="K10" s="48" t="s">
        <v>82</v>
      </c>
      <c r="L10" s="1">
        <v>103</v>
      </c>
      <c r="M10" s="61">
        <v>0.5</v>
      </c>
      <c r="N10" s="1" t="s">
        <v>53</v>
      </c>
      <c r="P10" s="51" t="s">
        <v>83</v>
      </c>
      <c r="Q10" s="1">
        <v>35</v>
      </c>
      <c r="R10" s="61">
        <v>35</v>
      </c>
      <c r="S10" s="1" t="s">
        <v>63</v>
      </c>
      <c r="U10" s="54" t="s">
        <v>84</v>
      </c>
      <c r="V10" s="1">
        <v>75</v>
      </c>
      <c r="W10" s="61">
        <v>0.5</v>
      </c>
      <c r="X10" s="1" t="s">
        <v>85</v>
      </c>
      <c r="Z10" s="57" t="s">
        <v>86</v>
      </c>
      <c r="AA10" s="1">
        <v>8</v>
      </c>
      <c r="AB10" s="61">
        <v>0.5</v>
      </c>
      <c r="AC10" s="1" t="s">
        <v>87</v>
      </c>
    </row>
    <row r="11" spans="1:29" x14ac:dyDescent="0.25">
      <c r="A11" s="185"/>
      <c r="B11" s="185"/>
      <c r="C11" s="185"/>
      <c r="D11" s="185"/>
      <c r="F11" s="60" t="s">
        <v>88</v>
      </c>
      <c r="G11" s="1">
        <v>140</v>
      </c>
      <c r="H11" s="61">
        <v>2</v>
      </c>
      <c r="I11" s="1" t="s">
        <v>56</v>
      </c>
      <c r="K11" s="48" t="s">
        <v>89</v>
      </c>
      <c r="L11" s="1">
        <v>90</v>
      </c>
      <c r="M11" s="61">
        <v>0.5</v>
      </c>
      <c r="N11" s="1" t="s">
        <v>53</v>
      </c>
      <c r="P11" s="51" t="s">
        <v>90</v>
      </c>
      <c r="Q11" s="1">
        <v>56</v>
      </c>
      <c r="R11" s="61">
        <v>2</v>
      </c>
      <c r="S11" s="1" t="s">
        <v>91</v>
      </c>
      <c r="U11" s="54" t="s">
        <v>92</v>
      </c>
      <c r="V11" s="1">
        <v>75</v>
      </c>
      <c r="W11" s="61">
        <v>0.5</v>
      </c>
      <c r="X11" s="1" t="s">
        <v>85</v>
      </c>
      <c r="Z11" s="57" t="s">
        <v>93</v>
      </c>
      <c r="AA11" s="1">
        <v>7</v>
      </c>
      <c r="AB11" s="61">
        <v>1</v>
      </c>
      <c r="AC11" s="1" t="s">
        <v>94</v>
      </c>
    </row>
    <row r="12" spans="1:29" x14ac:dyDescent="0.25">
      <c r="A12" s="185"/>
      <c r="B12" s="185"/>
      <c r="C12" s="185"/>
      <c r="D12" s="185"/>
      <c r="F12" s="60" t="s">
        <v>95</v>
      </c>
      <c r="G12" s="1">
        <v>141</v>
      </c>
      <c r="H12" s="61">
        <v>3</v>
      </c>
      <c r="I12" s="1" t="s">
        <v>53</v>
      </c>
      <c r="K12" s="48" t="s">
        <v>96</v>
      </c>
      <c r="L12" s="1">
        <v>73</v>
      </c>
      <c r="M12" s="61">
        <v>0.33333333333333331</v>
      </c>
      <c r="N12" s="1" t="s">
        <v>53</v>
      </c>
      <c r="P12" s="51" t="s">
        <v>97</v>
      </c>
      <c r="Q12" s="1">
        <v>51</v>
      </c>
      <c r="R12" s="61">
        <v>1</v>
      </c>
      <c r="S12" s="1" t="s">
        <v>56</v>
      </c>
      <c r="U12" s="54" t="s">
        <v>98</v>
      </c>
      <c r="V12" s="1">
        <v>75</v>
      </c>
      <c r="W12" s="61">
        <v>0.5</v>
      </c>
      <c r="X12" s="1" t="s">
        <v>85</v>
      </c>
      <c r="Z12" s="57" t="s">
        <v>99</v>
      </c>
      <c r="AA12" s="1">
        <v>8</v>
      </c>
      <c r="AB12" s="61">
        <v>0.5</v>
      </c>
      <c r="AC12" s="1" t="s">
        <v>87</v>
      </c>
    </row>
    <row r="13" spans="1:29" x14ac:dyDescent="0.25">
      <c r="A13" s="185"/>
      <c r="B13" s="185"/>
      <c r="C13" s="185"/>
      <c r="D13" s="185"/>
      <c r="F13" s="60" t="s">
        <v>100</v>
      </c>
      <c r="G13" s="1">
        <v>200</v>
      </c>
      <c r="H13" s="61">
        <v>2</v>
      </c>
      <c r="I13" s="1" t="s">
        <v>53</v>
      </c>
      <c r="K13" s="48" t="s">
        <v>101</v>
      </c>
      <c r="L13" s="1">
        <v>40</v>
      </c>
      <c r="M13" s="62">
        <v>40</v>
      </c>
      <c r="N13" s="61" t="s">
        <v>63</v>
      </c>
      <c r="P13" s="51" t="s">
        <v>102</v>
      </c>
      <c r="Q13" s="1">
        <v>42</v>
      </c>
      <c r="R13" s="61">
        <v>6</v>
      </c>
      <c r="S13" s="1" t="s">
        <v>91</v>
      </c>
      <c r="U13" s="54" t="s">
        <v>103</v>
      </c>
      <c r="V13" s="1">
        <v>75</v>
      </c>
      <c r="W13" s="61">
        <v>0.5</v>
      </c>
      <c r="X13" s="1" t="s">
        <v>85</v>
      </c>
      <c r="Z13" s="57" t="s">
        <v>104</v>
      </c>
      <c r="AA13" s="1">
        <v>48</v>
      </c>
      <c r="AB13" s="61">
        <v>0.5</v>
      </c>
      <c r="AC13" s="61" t="s">
        <v>56</v>
      </c>
    </row>
    <row r="14" spans="1:29" x14ac:dyDescent="0.25">
      <c r="A14" s="185"/>
      <c r="B14" s="185"/>
      <c r="C14" s="185"/>
      <c r="D14" s="185"/>
      <c r="F14" s="60" t="s">
        <v>105</v>
      </c>
      <c r="G14" s="1">
        <v>102</v>
      </c>
      <c r="H14" s="61">
        <v>0.5</v>
      </c>
      <c r="I14" s="1" t="s">
        <v>56</v>
      </c>
      <c r="K14" s="48" t="s">
        <v>106</v>
      </c>
      <c r="L14" s="1">
        <v>35</v>
      </c>
      <c r="M14" s="61">
        <v>35</v>
      </c>
      <c r="N14" s="61" t="s">
        <v>63</v>
      </c>
      <c r="P14" s="51" t="s">
        <v>107</v>
      </c>
      <c r="Q14" s="1">
        <v>29</v>
      </c>
      <c r="R14" s="61">
        <v>29</v>
      </c>
      <c r="S14" s="1" t="s">
        <v>63</v>
      </c>
      <c r="U14" s="54" t="s">
        <v>108</v>
      </c>
      <c r="V14" s="1">
        <v>114</v>
      </c>
      <c r="W14" s="61">
        <v>114</v>
      </c>
      <c r="X14" s="1" t="s">
        <v>63</v>
      </c>
      <c r="Z14" s="57" t="s">
        <v>109</v>
      </c>
      <c r="AA14" s="1">
        <v>25</v>
      </c>
      <c r="AB14" s="61">
        <v>25</v>
      </c>
      <c r="AC14" s="61" t="s">
        <v>63</v>
      </c>
    </row>
    <row r="15" spans="1:29" x14ac:dyDescent="0.25">
      <c r="A15" s="185"/>
      <c r="B15" s="185"/>
      <c r="C15" s="185"/>
      <c r="D15" s="185"/>
    </row>
    <row r="16" spans="1:29" x14ac:dyDescent="0.25">
      <c r="A16" s="185"/>
      <c r="B16" s="185"/>
      <c r="C16" s="185"/>
      <c r="D16" s="185"/>
      <c r="F16" s="182" t="s">
        <v>110</v>
      </c>
      <c r="G16" s="182"/>
      <c r="H16" s="182"/>
      <c r="I16" s="182"/>
      <c r="K16" s="183" t="s">
        <v>111</v>
      </c>
      <c r="L16" s="183"/>
      <c r="M16" s="183"/>
      <c r="N16" s="183"/>
      <c r="P16" s="183" t="s">
        <v>112</v>
      </c>
      <c r="Q16" s="183"/>
      <c r="R16" s="183"/>
      <c r="S16" s="183"/>
      <c r="U16" s="184" t="s">
        <v>113</v>
      </c>
      <c r="V16" s="184"/>
      <c r="W16" s="184"/>
      <c r="X16" s="184"/>
      <c r="Z16" s="181" t="s">
        <v>114</v>
      </c>
      <c r="AA16" s="181"/>
      <c r="AB16" s="181"/>
      <c r="AC16" s="181"/>
    </row>
    <row r="17" spans="1:29" ht="30" x14ac:dyDescent="0.25">
      <c r="A17" s="185"/>
      <c r="B17" s="185"/>
      <c r="C17" s="185"/>
      <c r="D17" s="185"/>
      <c r="F17" s="63"/>
      <c r="G17" s="64" t="s">
        <v>49</v>
      </c>
      <c r="H17" s="65" t="s">
        <v>50</v>
      </c>
      <c r="I17" s="66" t="s">
        <v>51</v>
      </c>
      <c r="K17" s="51"/>
      <c r="L17" s="52" t="s">
        <v>49</v>
      </c>
      <c r="M17" s="53" t="s">
        <v>50</v>
      </c>
      <c r="N17" s="51" t="s">
        <v>51</v>
      </c>
      <c r="P17" s="51"/>
      <c r="Q17" s="52" t="s">
        <v>49</v>
      </c>
      <c r="R17" s="53" t="s">
        <v>50</v>
      </c>
      <c r="S17" s="51" t="s">
        <v>51</v>
      </c>
      <c r="U17" s="54"/>
      <c r="V17" s="55" t="s">
        <v>49</v>
      </c>
      <c r="W17" s="56" t="s">
        <v>50</v>
      </c>
      <c r="X17" s="54" t="s">
        <v>51</v>
      </c>
      <c r="Z17" s="57"/>
      <c r="AA17" s="58" t="s">
        <v>49</v>
      </c>
      <c r="AB17" s="59" t="s">
        <v>50</v>
      </c>
      <c r="AC17" s="57" t="s">
        <v>51</v>
      </c>
    </row>
    <row r="18" spans="1:29" x14ac:dyDescent="0.25">
      <c r="A18" s="185"/>
      <c r="B18" s="185"/>
      <c r="C18" s="185"/>
      <c r="D18" s="185"/>
      <c r="F18" s="67" t="s">
        <v>115</v>
      </c>
      <c r="G18" s="1">
        <v>138</v>
      </c>
      <c r="H18" s="61">
        <v>1</v>
      </c>
      <c r="I18" s="1" t="s">
        <v>56</v>
      </c>
      <c r="K18" s="51" t="s">
        <v>116</v>
      </c>
      <c r="L18" s="1">
        <v>30</v>
      </c>
      <c r="M18" s="61">
        <v>30</v>
      </c>
      <c r="N18" s="61" t="s">
        <v>63</v>
      </c>
      <c r="P18" s="51" t="s">
        <v>117</v>
      </c>
      <c r="Q18" s="1">
        <v>70</v>
      </c>
      <c r="R18" s="61">
        <v>2</v>
      </c>
      <c r="S18" s="61" t="s">
        <v>56</v>
      </c>
      <c r="U18" s="54" t="s">
        <v>14</v>
      </c>
      <c r="V18" s="1">
        <v>240</v>
      </c>
      <c r="W18" s="61">
        <v>1</v>
      </c>
      <c r="X18" s="61" t="s">
        <v>53</v>
      </c>
      <c r="Z18" s="57" t="s">
        <v>118</v>
      </c>
      <c r="AA18" s="1">
        <v>12</v>
      </c>
      <c r="AB18" s="61">
        <v>10</v>
      </c>
      <c r="AC18" s="61" t="s">
        <v>56</v>
      </c>
    </row>
    <row r="19" spans="1:29" x14ac:dyDescent="0.25">
      <c r="A19" s="185"/>
      <c r="B19" s="185"/>
      <c r="C19" s="185"/>
      <c r="D19" s="185"/>
      <c r="F19" s="67" t="s">
        <v>119</v>
      </c>
      <c r="G19" s="1">
        <v>80</v>
      </c>
      <c r="H19" s="61">
        <v>0.5</v>
      </c>
      <c r="I19" s="1" t="s">
        <v>56</v>
      </c>
      <c r="K19" s="51" t="s">
        <v>120</v>
      </c>
      <c r="L19" s="1">
        <v>32</v>
      </c>
      <c r="M19" s="61">
        <v>32</v>
      </c>
      <c r="N19" s="61" t="s">
        <v>63</v>
      </c>
      <c r="P19" s="51" t="s">
        <v>121</v>
      </c>
      <c r="Q19" s="1">
        <v>50</v>
      </c>
      <c r="R19" s="1">
        <v>50</v>
      </c>
      <c r="S19" s="61" t="s">
        <v>63</v>
      </c>
      <c r="U19" s="54" t="s">
        <v>122</v>
      </c>
      <c r="V19" s="1">
        <v>237</v>
      </c>
      <c r="W19" s="61">
        <v>1</v>
      </c>
      <c r="X19" s="61" t="s">
        <v>53</v>
      </c>
      <c r="Z19" s="57" t="s">
        <v>123</v>
      </c>
      <c r="AA19" s="1">
        <v>13</v>
      </c>
      <c r="AB19" s="61">
        <v>9</v>
      </c>
      <c r="AC19" s="61" t="s">
        <v>56</v>
      </c>
    </row>
    <row r="20" spans="1:29" x14ac:dyDescent="0.25">
      <c r="A20" s="185"/>
      <c r="B20" s="185"/>
      <c r="C20" s="185"/>
      <c r="D20" s="185"/>
      <c r="F20" s="67" t="s">
        <v>124</v>
      </c>
      <c r="G20" s="1">
        <v>242</v>
      </c>
      <c r="H20" s="61">
        <v>2</v>
      </c>
      <c r="I20" s="1" t="s">
        <v>56</v>
      </c>
      <c r="K20" s="51" t="s">
        <v>125</v>
      </c>
      <c r="L20" s="1">
        <v>28</v>
      </c>
      <c r="M20" s="61">
        <v>28</v>
      </c>
      <c r="N20" s="61" t="s">
        <v>63</v>
      </c>
      <c r="P20" s="51" t="s">
        <v>126</v>
      </c>
      <c r="Q20" s="1">
        <v>40</v>
      </c>
      <c r="R20" s="61">
        <v>40</v>
      </c>
      <c r="S20" s="61" t="s">
        <v>63</v>
      </c>
      <c r="U20" s="54" t="s">
        <v>127</v>
      </c>
      <c r="V20" s="1">
        <v>240</v>
      </c>
      <c r="W20" s="61">
        <v>1</v>
      </c>
      <c r="X20" s="61" t="s">
        <v>53</v>
      </c>
      <c r="Z20" s="57" t="s">
        <v>128</v>
      </c>
      <c r="AA20" s="1">
        <v>12</v>
      </c>
      <c r="AB20" s="61">
        <v>14</v>
      </c>
      <c r="AC20" s="61" t="s">
        <v>56</v>
      </c>
    </row>
    <row r="21" spans="1:29" x14ac:dyDescent="0.25">
      <c r="A21" s="185"/>
      <c r="B21" s="185"/>
      <c r="C21" s="185"/>
      <c r="D21" s="185"/>
      <c r="F21" s="67" t="s">
        <v>129</v>
      </c>
      <c r="G21" s="1">
        <v>204</v>
      </c>
      <c r="H21" s="61">
        <v>17</v>
      </c>
      <c r="I21" s="1" t="s">
        <v>130</v>
      </c>
      <c r="K21" s="51" t="s">
        <v>131</v>
      </c>
      <c r="L21" s="1">
        <v>33</v>
      </c>
      <c r="M21" s="61">
        <v>0.33333333333333331</v>
      </c>
      <c r="N21" s="1" t="s">
        <v>132</v>
      </c>
      <c r="P21" s="51" t="s">
        <v>133</v>
      </c>
      <c r="Q21" s="1">
        <v>30</v>
      </c>
      <c r="R21" s="61">
        <v>30</v>
      </c>
      <c r="S21" s="1" t="s">
        <v>63</v>
      </c>
      <c r="U21" s="54" t="s">
        <v>134</v>
      </c>
      <c r="V21" s="1">
        <v>240</v>
      </c>
      <c r="W21" s="61">
        <v>1</v>
      </c>
      <c r="X21" s="1" t="s">
        <v>53</v>
      </c>
      <c r="Z21" s="57" t="s">
        <v>135</v>
      </c>
      <c r="AA21" s="1">
        <v>14</v>
      </c>
      <c r="AB21" s="61">
        <v>15</v>
      </c>
      <c r="AC21" s="61" t="s">
        <v>56</v>
      </c>
    </row>
    <row r="22" spans="1:29" x14ac:dyDescent="0.25">
      <c r="A22" s="185"/>
      <c r="B22" s="185"/>
      <c r="C22" s="185"/>
      <c r="D22" s="185"/>
      <c r="F22" s="67" t="s">
        <v>136</v>
      </c>
      <c r="G22" s="1">
        <v>140</v>
      </c>
      <c r="H22" s="61">
        <v>1</v>
      </c>
      <c r="I22" s="1" t="s">
        <v>53</v>
      </c>
      <c r="K22" s="51" t="s">
        <v>137</v>
      </c>
      <c r="L22" s="1">
        <v>45</v>
      </c>
      <c r="M22" s="61">
        <v>45</v>
      </c>
      <c r="N22" s="1" t="s">
        <v>63</v>
      </c>
      <c r="P22" s="51" t="s">
        <v>138</v>
      </c>
      <c r="Q22" s="1">
        <v>46</v>
      </c>
      <c r="R22" s="61">
        <v>1</v>
      </c>
      <c r="S22" s="1" t="s">
        <v>56</v>
      </c>
      <c r="U22" s="54" t="s">
        <v>139</v>
      </c>
      <c r="V22" s="1">
        <v>240</v>
      </c>
      <c r="W22" s="61">
        <v>1</v>
      </c>
      <c r="X22" s="1" t="s">
        <v>53</v>
      </c>
      <c r="Z22" s="57" t="s">
        <v>140</v>
      </c>
      <c r="AA22" s="1">
        <v>12</v>
      </c>
      <c r="AB22" s="61">
        <v>13</v>
      </c>
      <c r="AC22" s="1" t="s">
        <v>56</v>
      </c>
    </row>
    <row r="23" spans="1:29" x14ac:dyDescent="0.25">
      <c r="A23" s="185"/>
      <c r="B23" s="185"/>
      <c r="C23" s="185"/>
      <c r="D23" s="185"/>
      <c r="F23" s="67" t="s">
        <v>141</v>
      </c>
      <c r="G23" s="1">
        <v>126</v>
      </c>
      <c r="H23" s="61">
        <v>18</v>
      </c>
      <c r="I23" s="1" t="s">
        <v>56</v>
      </c>
      <c r="K23" s="51" t="s">
        <v>142</v>
      </c>
      <c r="L23" s="1">
        <v>13</v>
      </c>
      <c r="M23" s="61">
        <v>0.33333333333333331</v>
      </c>
      <c r="N23" s="1" t="s">
        <v>143</v>
      </c>
      <c r="P23" s="51" t="s">
        <v>144</v>
      </c>
      <c r="Q23" s="1">
        <v>32</v>
      </c>
      <c r="R23" s="61">
        <v>1.5</v>
      </c>
      <c r="S23" s="1" t="s">
        <v>91</v>
      </c>
      <c r="U23" s="54" t="s">
        <v>145</v>
      </c>
      <c r="V23" s="1">
        <v>240</v>
      </c>
      <c r="W23" s="61">
        <v>1</v>
      </c>
      <c r="X23" s="1" t="s">
        <v>53</v>
      </c>
      <c r="Z23" s="57" t="s">
        <v>146</v>
      </c>
      <c r="AA23" s="1">
        <v>15</v>
      </c>
      <c r="AB23" s="61">
        <v>15</v>
      </c>
      <c r="AC23" s="1" t="s">
        <v>63</v>
      </c>
    </row>
    <row r="24" spans="1:29" x14ac:dyDescent="0.25">
      <c r="A24" s="185"/>
      <c r="B24" s="185"/>
      <c r="C24" s="185"/>
      <c r="D24" s="185"/>
      <c r="F24" s="67" t="s">
        <v>147</v>
      </c>
      <c r="G24" s="1">
        <v>160</v>
      </c>
      <c r="H24" s="61">
        <v>1</v>
      </c>
      <c r="I24" s="1" t="s">
        <v>53</v>
      </c>
      <c r="K24" s="51" t="s">
        <v>148</v>
      </c>
      <c r="L24" s="1">
        <v>40</v>
      </c>
      <c r="M24" s="61">
        <v>40</v>
      </c>
      <c r="N24" s="1" t="s">
        <v>63</v>
      </c>
      <c r="P24" s="51" t="s">
        <v>149</v>
      </c>
      <c r="Q24" s="1">
        <v>32</v>
      </c>
      <c r="R24" s="61">
        <v>1.5</v>
      </c>
      <c r="S24" s="1" t="s">
        <v>91</v>
      </c>
      <c r="U24" s="54" t="s">
        <v>150</v>
      </c>
      <c r="V24" s="1">
        <v>240</v>
      </c>
      <c r="W24" s="61">
        <v>1</v>
      </c>
      <c r="X24" s="1" t="s">
        <v>53</v>
      </c>
      <c r="Z24" s="57" t="s">
        <v>151</v>
      </c>
      <c r="AA24" s="1">
        <v>15</v>
      </c>
      <c r="AB24" s="61">
        <v>15</v>
      </c>
      <c r="AC24" s="1" t="s">
        <v>63</v>
      </c>
    </row>
    <row r="25" spans="1:29" x14ac:dyDescent="0.25">
      <c r="A25" s="185"/>
      <c r="B25" s="185"/>
      <c r="C25" s="185"/>
      <c r="D25" s="185"/>
      <c r="F25" s="67" t="s">
        <v>152</v>
      </c>
      <c r="G25" s="1">
        <v>207</v>
      </c>
      <c r="H25" s="61">
        <v>1</v>
      </c>
      <c r="I25" s="1" t="s">
        <v>56</v>
      </c>
      <c r="K25" s="51" t="s">
        <v>153</v>
      </c>
      <c r="L25" s="1">
        <v>57</v>
      </c>
      <c r="M25" s="61">
        <v>0.25</v>
      </c>
      <c r="N25" s="1" t="s">
        <v>53</v>
      </c>
      <c r="P25" s="51" t="s">
        <v>154</v>
      </c>
      <c r="Q25" s="1">
        <v>34</v>
      </c>
      <c r="R25" s="61">
        <v>2</v>
      </c>
      <c r="S25" s="1" t="s">
        <v>56</v>
      </c>
      <c r="U25" s="54" t="s">
        <v>155</v>
      </c>
      <c r="V25" s="1">
        <v>227</v>
      </c>
      <c r="W25" s="61">
        <v>1</v>
      </c>
      <c r="X25" s="1" t="s">
        <v>53</v>
      </c>
      <c r="Z25" s="57" t="s">
        <v>156</v>
      </c>
      <c r="AA25" s="1">
        <v>9</v>
      </c>
      <c r="AB25" s="61">
        <v>3</v>
      </c>
      <c r="AC25" s="1" t="s">
        <v>56</v>
      </c>
    </row>
    <row r="26" spans="1:29" x14ac:dyDescent="0.25">
      <c r="A26" s="185"/>
      <c r="B26" s="185"/>
      <c r="C26" s="185"/>
      <c r="D26" s="185"/>
      <c r="F26" s="67" t="s">
        <v>157</v>
      </c>
      <c r="G26" s="1">
        <v>95</v>
      </c>
      <c r="H26" s="61">
        <v>0.5</v>
      </c>
      <c r="I26" s="1" t="s">
        <v>56</v>
      </c>
      <c r="K26" s="51" t="s">
        <v>158</v>
      </c>
      <c r="L26" s="1">
        <v>66</v>
      </c>
      <c r="M26" s="61">
        <v>2</v>
      </c>
      <c r="N26" s="1" t="s">
        <v>56</v>
      </c>
      <c r="P26" s="51" t="s">
        <v>159</v>
      </c>
      <c r="Q26" s="1">
        <v>20</v>
      </c>
      <c r="R26" s="61">
        <v>10</v>
      </c>
      <c r="S26" s="1" t="s">
        <v>91</v>
      </c>
      <c r="U26" s="54" t="s">
        <v>160</v>
      </c>
      <c r="V26" s="1">
        <v>188</v>
      </c>
      <c r="W26" s="61">
        <v>188</v>
      </c>
      <c r="X26" s="61" t="s">
        <v>63</v>
      </c>
      <c r="Z26" s="57" t="s">
        <v>161</v>
      </c>
      <c r="AA26" s="1">
        <v>11</v>
      </c>
      <c r="AB26" s="61">
        <v>7</v>
      </c>
      <c r="AC26" s="61" t="s">
        <v>56</v>
      </c>
    </row>
    <row r="27" spans="1:29" x14ac:dyDescent="0.25">
      <c r="A27" s="185"/>
      <c r="B27" s="185"/>
      <c r="C27" s="185"/>
      <c r="D27" s="185"/>
      <c r="F27" s="67" t="s">
        <v>162</v>
      </c>
      <c r="G27" s="1">
        <v>174</v>
      </c>
      <c r="H27" s="61">
        <v>2</v>
      </c>
      <c r="I27" s="1" t="s">
        <v>56</v>
      </c>
      <c r="K27" s="51" t="s">
        <v>163</v>
      </c>
      <c r="L27" s="1">
        <v>11</v>
      </c>
      <c r="M27" s="61">
        <v>11</v>
      </c>
      <c r="N27" s="1" t="s">
        <v>63</v>
      </c>
      <c r="P27" s="51" t="s">
        <v>164</v>
      </c>
      <c r="Q27" s="1">
        <v>30</v>
      </c>
      <c r="R27" s="61">
        <v>30</v>
      </c>
      <c r="S27" s="1" t="s">
        <v>63</v>
      </c>
      <c r="U27" s="54" t="s">
        <v>165</v>
      </c>
      <c r="V27" s="1">
        <v>227</v>
      </c>
      <c r="W27" s="61">
        <v>1</v>
      </c>
      <c r="X27" s="1" t="s">
        <v>53</v>
      </c>
      <c r="Z27" s="57" t="s">
        <v>166</v>
      </c>
      <c r="AA27" s="1">
        <v>12</v>
      </c>
      <c r="AB27" s="61">
        <v>12</v>
      </c>
      <c r="AC27" s="61" t="s">
        <v>56</v>
      </c>
    </row>
    <row r="28" spans="1:29" x14ac:dyDescent="0.25">
      <c r="A28" s="185"/>
      <c r="B28" s="185"/>
      <c r="C28" s="185"/>
      <c r="D28" s="185"/>
    </row>
    <row r="29" spans="1:29" x14ac:dyDescent="0.25">
      <c r="A29" s="185"/>
      <c r="B29" s="185"/>
      <c r="C29" s="185"/>
      <c r="D29" s="185"/>
      <c r="F29" s="188" t="s">
        <v>167</v>
      </c>
      <c r="G29" s="188"/>
      <c r="H29" s="188"/>
      <c r="I29" s="188"/>
      <c r="K29" s="183" t="s">
        <v>168</v>
      </c>
      <c r="L29" s="183"/>
      <c r="M29" s="183"/>
      <c r="N29" s="183"/>
      <c r="P29" s="184" t="s">
        <v>169</v>
      </c>
      <c r="Q29" s="184"/>
      <c r="R29" s="184"/>
      <c r="S29" s="184"/>
      <c r="U29" s="184" t="s">
        <v>170</v>
      </c>
      <c r="V29" s="184"/>
      <c r="W29" s="184"/>
      <c r="X29" s="184"/>
      <c r="Z29" s="189" t="s">
        <v>171</v>
      </c>
      <c r="AA29" s="189"/>
      <c r="AB29" s="189"/>
      <c r="AC29" s="189"/>
    </row>
    <row r="30" spans="1:29" ht="30" x14ac:dyDescent="0.25">
      <c r="A30" s="185"/>
      <c r="B30" s="185"/>
      <c r="C30" s="185"/>
      <c r="D30" s="185"/>
      <c r="F30" s="69"/>
      <c r="G30" s="70" t="s">
        <v>49</v>
      </c>
      <c r="H30" s="71" t="s">
        <v>50</v>
      </c>
      <c r="I30" s="72" t="s">
        <v>51</v>
      </c>
      <c r="K30" s="51"/>
      <c r="L30" s="52" t="s">
        <v>49</v>
      </c>
      <c r="M30" s="53" t="s">
        <v>50</v>
      </c>
      <c r="N30" s="51" t="s">
        <v>51</v>
      </c>
      <c r="P30" s="54"/>
      <c r="Q30" s="55" t="s">
        <v>49</v>
      </c>
      <c r="R30" s="56" t="s">
        <v>50</v>
      </c>
      <c r="S30" s="54" t="s">
        <v>51</v>
      </c>
      <c r="U30" s="54"/>
      <c r="V30" s="55" t="s">
        <v>49</v>
      </c>
      <c r="W30" s="56" t="s">
        <v>50</v>
      </c>
      <c r="X30" s="54" t="s">
        <v>51</v>
      </c>
      <c r="Z30" s="7"/>
      <c r="AA30" s="73" t="s">
        <v>49</v>
      </c>
      <c r="AB30" s="74" t="s">
        <v>50</v>
      </c>
      <c r="AC30" s="7" t="s">
        <v>51</v>
      </c>
    </row>
    <row r="31" spans="1:29" x14ac:dyDescent="0.25">
      <c r="A31" s="185"/>
      <c r="B31" s="185"/>
      <c r="C31" s="185"/>
      <c r="D31" s="185"/>
      <c r="F31" s="72" t="s">
        <v>172</v>
      </c>
      <c r="G31" s="1">
        <v>30</v>
      </c>
      <c r="H31" s="61">
        <v>1</v>
      </c>
      <c r="I31" s="1" t="s">
        <v>56</v>
      </c>
      <c r="K31" s="51" t="s">
        <v>173</v>
      </c>
      <c r="L31" s="1">
        <v>50</v>
      </c>
      <c r="M31" s="61">
        <v>50</v>
      </c>
      <c r="N31" s="61" t="s">
        <v>63</v>
      </c>
      <c r="P31" s="54" t="s">
        <v>174</v>
      </c>
      <c r="Q31" s="1">
        <v>240</v>
      </c>
      <c r="R31" s="61">
        <v>1</v>
      </c>
      <c r="S31" s="61" t="s">
        <v>53</v>
      </c>
      <c r="U31" s="54" t="s">
        <v>175</v>
      </c>
      <c r="V31" s="1">
        <v>91</v>
      </c>
      <c r="W31" s="61">
        <v>0.5</v>
      </c>
      <c r="X31" s="61" t="s">
        <v>53</v>
      </c>
      <c r="Z31" s="7" t="s">
        <v>176</v>
      </c>
      <c r="AA31" s="1">
        <v>240</v>
      </c>
      <c r="AB31" s="61">
        <v>1</v>
      </c>
      <c r="AC31" s="61" t="s">
        <v>53</v>
      </c>
    </row>
    <row r="32" spans="1:29" x14ac:dyDescent="0.25">
      <c r="A32" s="185"/>
      <c r="B32" s="185"/>
      <c r="C32" s="185"/>
      <c r="D32" s="185"/>
      <c r="F32" s="72" t="s">
        <v>177</v>
      </c>
      <c r="G32" s="1">
        <v>25</v>
      </c>
      <c r="H32" s="61">
        <v>1</v>
      </c>
      <c r="I32" s="1" t="s">
        <v>91</v>
      </c>
      <c r="K32" s="51" t="s">
        <v>178</v>
      </c>
      <c r="L32" s="1">
        <v>495</v>
      </c>
      <c r="M32" s="1">
        <v>495</v>
      </c>
      <c r="N32" s="61" t="s">
        <v>63</v>
      </c>
      <c r="P32" s="54" t="s">
        <v>179</v>
      </c>
      <c r="Q32" s="1">
        <v>245</v>
      </c>
      <c r="R32" s="61">
        <v>1</v>
      </c>
      <c r="S32" s="61" t="s">
        <v>53</v>
      </c>
      <c r="U32" s="54" t="s">
        <v>180</v>
      </c>
      <c r="V32" s="1">
        <v>99</v>
      </c>
      <c r="W32" s="61">
        <v>0.75</v>
      </c>
      <c r="X32" s="61" t="s">
        <v>53</v>
      </c>
      <c r="Z32" s="7" t="s">
        <v>181</v>
      </c>
      <c r="AA32" s="1">
        <v>355</v>
      </c>
      <c r="AB32" s="61">
        <v>1</v>
      </c>
      <c r="AC32" s="61" t="s">
        <v>132</v>
      </c>
    </row>
    <row r="33" spans="1:29" x14ac:dyDescent="0.25">
      <c r="A33" s="185"/>
      <c r="B33" s="185"/>
      <c r="C33" s="185"/>
      <c r="D33" s="185"/>
      <c r="F33" s="72" t="s">
        <v>182</v>
      </c>
      <c r="G33" s="1">
        <v>164</v>
      </c>
      <c r="H33" s="61">
        <v>0.75</v>
      </c>
      <c r="I33" s="1" t="s">
        <v>53</v>
      </c>
      <c r="K33" s="51" t="s">
        <v>183</v>
      </c>
      <c r="L33" s="1">
        <v>40</v>
      </c>
      <c r="M33" s="61">
        <v>40</v>
      </c>
      <c r="N33" s="61" t="s">
        <v>63</v>
      </c>
      <c r="P33" s="54" t="s">
        <v>184</v>
      </c>
      <c r="Q33" s="1">
        <v>240</v>
      </c>
      <c r="R33" s="61">
        <v>1</v>
      </c>
      <c r="S33" s="61" t="s">
        <v>56</v>
      </c>
      <c r="U33" s="54" t="s">
        <v>185</v>
      </c>
      <c r="V33" s="1">
        <v>99</v>
      </c>
      <c r="W33" s="61">
        <v>0.75</v>
      </c>
      <c r="X33" s="61" t="s">
        <v>53</v>
      </c>
      <c r="Z33" s="7" t="s">
        <v>186</v>
      </c>
      <c r="AA33" s="1">
        <v>2</v>
      </c>
      <c r="AB33" s="61">
        <v>0.5</v>
      </c>
      <c r="AC33" s="61" t="s">
        <v>59</v>
      </c>
    </row>
    <row r="34" spans="1:29" x14ac:dyDescent="0.25">
      <c r="A34" s="185"/>
      <c r="B34" s="185"/>
      <c r="C34" s="185"/>
      <c r="D34" s="185"/>
      <c r="F34" s="72" t="s">
        <v>187</v>
      </c>
      <c r="G34" s="1">
        <v>47</v>
      </c>
      <c r="H34" s="61">
        <v>0.25</v>
      </c>
      <c r="I34" s="1" t="s">
        <v>53</v>
      </c>
      <c r="K34" s="51" t="s">
        <v>188</v>
      </c>
      <c r="L34" s="1">
        <v>45</v>
      </c>
      <c r="M34" s="61">
        <v>0.5</v>
      </c>
      <c r="N34" s="1" t="s">
        <v>56</v>
      </c>
      <c r="P34" s="54" t="s">
        <v>189</v>
      </c>
      <c r="Q34" s="1">
        <v>79</v>
      </c>
      <c r="R34" s="61">
        <v>0.33333333333333331</v>
      </c>
      <c r="S34" s="1" t="s">
        <v>53</v>
      </c>
      <c r="U34" s="54" t="s">
        <v>190</v>
      </c>
      <c r="V34" s="1">
        <v>99</v>
      </c>
      <c r="W34" s="61">
        <v>0.75</v>
      </c>
      <c r="X34" s="1" t="s">
        <v>53</v>
      </c>
      <c r="Z34" s="7" t="s">
        <v>191</v>
      </c>
      <c r="AA34" s="1">
        <v>240</v>
      </c>
      <c r="AB34" s="61">
        <v>1</v>
      </c>
      <c r="AC34" s="61" t="s">
        <v>53</v>
      </c>
    </row>
    <row r="35" spans="1:29" x14ac:dyDescent="0.25">
      <c r="A35" s="185"/>
      <c r="B35" s="185"/>
      <c r="C35" s="185"/>
      <c r="D35" s="185"/>
      <c r="F35" s="72" t="s">
        <v>192</v>
      </c>
      <c r="G35" s="1">
        <v>46</v>
      </c>
      <c r="H35" s="61">
        <v>0.33333333333333331</v>
      </c>
      <c r="I35" s="1" t="s">
        <v>53</v>
      </c>
      <c r="K35" s="51" t="s">
        <v>193</v>
      </c>
      <c r="L35" s="1">
        <v>40</v>
      </c>
      <c r="M35" s="61">
        <v>40</v>
      </c>
      <c r="N35" s="1" t="s">
        <v>63</v>
      </c>
      <c r="P35" s="54" t="s">
        <v>194</v>
      </c>
      <c r="Q35" s="1">
        <v>200</v>
      </c>
      <c r="R35" s="61">
        <v>1</v>
      </c>
      <c r="S35" s="1" t="s">
        <v>56</v>
      </c>
      <c r="U35" s="54" t="s">
        <v>195</v>
      </c>
      <c r="V35" s="1">
        <v>102</v>
      </c>
      <c r="W35" s="61">
        <v>0.75</v>
      </c>
      <c r="X35" s="1" t="s">
        <v>53</v>
      </c>
      <c r="Z35" s="7" t="s">
        <v>196</v>
      </c>
      <c r="AA35" s="1">
        <v>120</v>
      </c>
      <c r="AB35" s="61">
        <v>0.5</v>
      </c>
      <c r="AC35" s="1" t="s">
        <v>53</v>
      </c>
    </row>
    <row r="36" spans="1:29" x14ac:dyDescent="0.25">
      <c r="A36" s="185"/>
      <c r="B36" s="185"/>
      <c r="C36" s="185"/>
      <c r="D36" s="185"/>
      <c r="F36" s="72" t="s">
        <v>197</v>
      </c>
      <c r="G36" s="1">
        <v>330</v>
      </c>
      <c r="H36" s="61">
        <v>2.5</v>
      </c>
      <c r="I36" s="1" t="s">
        <v>53</v>
      </c>
      <c r="K36" s="51" t="s">
        <v>198</v>
      </c>
      <c r="L36" s="1">
        <v>42</v>
      </c>
      <c r="M36" s="61">
        <v>2</v>
      </c>
      <c r="N36" s="1" t="s">
        <v>91</v>
      </c>
      <c r="P36" s="54" t="s">
        <v>199</v>
      </c>
      <c r="Q36" s="1">
        <v>115</v>
      </c>
      <c r="R36" s="61">
        <v>1</v>
      </c>
      <c r="S36" s="1" t="s">
        <v>56</v>
      </c>
      <c r="U36" s="54" t="s">
        <v>200</v>
      </c>
      <c r="V36" s="1">
        <v>240</v>
      </c>
      <c r="W36" s="61">
        <v>1</v>
      </c>
      <c r="X36" s="1" t="s">
        <v>53</v>
      </c>
      <c r="Z36" s="7" t="s">
        <v>201</v>
      </c>
      <c r="AA36" s="1">
        <v>120</v>
      </c>
      <c r="AB36" s="61">
        <v>0.5</v>
      </c>
      <c r="AC36" s="1" t="s">
        <v>53</v>
      </c>
    </row>
    <row r="37" spans="1:29" x14ac:dyDescent="0.25">
      <c r="A37" s="185"/>
      <c r="B37" s="185"/>
      <c r="C37" s="185"/>
      <c r="D37" s="185"/>
      <c r="F37" s="72" t="s">
        <v>202</v>
      </c>
      <c r="G37" s="1">
        <v>68</v>
      </c>
      <c r="H37" s="61">
        <v>0.5</v>
      </c>
      <c r="I37" s="1" t="s">
        <v>56</v>
      </c>
      <c r="K37" s="51" t="s">
        <v>203</v>
      </c>
      <c r="L37" s="1">
        <v>40</v>
      </c>
      <c r="M37" s="61">
        <v>40</v>
      </c>
      <c r="N37" s="1" t="s">
        <v>63</v>
      </c>
      <c r="P37" s="54" t="s">
        <v>204</v>
      </c>
      <c r="Q37" s="1">
        <v>180</v>
      </c>
      <c r="R37" s="61">
        <v>0.75</v>
      </c>
      <c r="S37" s="1" t="s">
        <v>53</v>
      </c>
      <c r="U37" s="54" t="s">
        <v>205</v>
      </c>
      <c r="V37" s="1">
        <v>240</v>
      </c>
      <c r="W37" s="61">
        <v>1</v>
      </c>
      <c r="X37" s="1" t="s">
        <v>53</v>
      </c>
      <c r="Z37" s="7" t="s">
        <v>206</v>
      </c>
      <c r="AA37" s="1">
        <v>2</v>
      </c>
      <c r="AB37" s="61">
        <v>1</v>
      </c>
      <c r="AC37" s="1" t="s">
        <v>59</v>
      </c>
    </row>
    <row r="38" spans="1:29" x14ac:dyDescent="0.25">
      <c r="A38" s="185"/>
      <c r="B38" s="185"/>
      <c r="C38" s="185"/>
      <c r="D38" s="185"/>
      <c r="F38" s="72" t="s">
        <v>207</v>
      </c>
      <c r="G38" s="1">
        <v>16</v>
      </c>
      <c r="H38" s="61">
        <v>4</v>
      </c>
      <c r="I38" s="1" t="s">
        <v>56</v>
      </c>
      <c r="K38" s="51" t="s">
        <v>208</v>
      </c>
      <c r="L38" s="1">
        <v>35</v>
      </c>
      <c r="M38" s="61">
        <v>35</v>
      </c>
      <c r="N38" s="1" t="s">
        <v>63</v>
      </c>
      <c r="P38" s="54" t="s">
        <v>209</v>
      </c>
      <c r="Q38" s="1">
        <v>180</v>
      </c>
      <c r="R38" s="61">
        <v>0.75</v>
      </c>
      <c r="S38" s="1" t="s">
        <v>53</v>
      </c>
      <c r="U38" s="54" t="s">
        <v>210</v>
      </c>
      <c r="V38" s="1">
        <v>180</v>
      </c>
      <c r="W38" s="61">
        <v>0.75</v>
      </c>
      <c r="X38" s="1" t="s">
        <v>56</v>
      </c>
      <c r="Z38" s="7" t="s">
        <v>211</v>
      </c>
      <c r="AA38" s="1">
        <v>15</v>
      </c>
      <c r="AB38" s="61">
        <v>15</v>
      </c>
      <c r="AC38" s="1" t="s">
        <v>59</v>
      </c>
    </row>
    <row r="39" spans="1:29" x14ac:dyDescent="0.25">
      <c r="A39" s="185"/>
      <c r="B39" s="185"/>
      <c r="C39" s="185"/>
      <c r="D39" s="185"/>
      <c r="F39" s="72" t="s">
        <v>212</v>
      </c>
      <c r="G39" s="1">
        <v>16</v>
      </c>
      <c r="H39" s="61">
        <v>0.5</v>
      </c>
      <c r="I39" s="1" t="s">
        <v>53</v>
      </c>
      <c r="K39" s="51" t="s">
        <v>213</v>
      </c>
      <c r="L39" s="1">
        <v>40</v>
      </c>
      <c r="M39" s="61">
        <v>40</v>
      </c>
      <c r="N39" s="1" t="s">
        <v>63</v>
      </c>
      <c r="P39" s="54" t="s">
        <v>214</v>
      </c>
      <c r="Q39" s="1">
        <v>113</v>
      </c>
      <c r="R39" s="61">
        <v>113</v>
      </c>
      <c r="S39" s="1" t="s">
        <v>63</v>
      </c>
      <c r="U39" s="54" t="s">
        <v>215</v>
      </c>
      <c r="V39" s="1">
        <v>330</v>
      </c>
      <c r="W39" s="61">
        <v>2</v>
      </c>
      <c r="X39" s="61" t="s">
        <v>56</v>
      </c>
      <c r="Z39" s="7" t="s">
        <v>216</v>
      </c>
      <c r="AA39" s="1">
        <v>2</v>
      </c>
      <c r="AB39" s="61">
        <v>3</v>
      </c>
      <c r="AC39" s="61" t="s">
        <v>56</v>
      </c>
    </row>
    <row r="40" spans="1:29" x14ac:dyDescent="0.25">
      <c r="A40" s="185"/>
      <c r="B40" s="185"/>
      <c r="C40" s="185"/>
      <c r="D40" s="185"/>
      <c r="F40" s="72" t="s">
        <v>217</v>
      </c>
      <c r="G40" s="1">
        <v>52</v>
      </c>
      <c r="H40" s="61">
        <v>0.33333333333333331</v>
      </c>
      <c r="I40" s="1" t="s">
        <v>53</v>
      </c>
      <c r="K40" s="51" t="s">
        <v>218</v>
      </c>
      <c r="L40" s="1">
        <v>30</v>
      </c>
      <c r="M40" s="61">
        <v>30</v>
      </c>
      <c r="N40" s="1" t="s">
        <v>63</v>
      </c>
      <c r="P40" s="54" t="s">
        <v>219</v>
      </c>
      <c r="Q40" s="1">
        <v>188</v>
      </c>
      <c r="R40" s="61">
        <v>1.5</v>
      </c>
      <c r="S40" s="1" t="s">
        <v>56</v>
      </c>
      <c r="U40" s="54" t="s">
        <v>220</v>
      </c>
      <c r="V40" s="1">
        <v>330</v>
      </c>
      <c r="W40" s="61">
        <v>2</v>
      </c>
      <c r="X40" s="61" t="s">
        <v>56</v>
      </c>
      <c r="Z40" s="7" t="s">
        <v>221</v>
      </c>
      <c r="AA40" s="1">
        <v>2</v>
      </c>
      <c r="AB40" s="61">
        <v>1</v>
      </c>
      <c r="AC40" s="61" t="s">
        <v>59</v>
      </c>
    </row>
  </sheetData>
  <mergeCells count="16">
    <mergeCell ref="Z29:AC29"/>
    <mergeCell ref="A3:D40"/>
    <mergeCell ref="F3:I3"/>
    <mergeCell ref="K3:N3"/>
    <mergeCell ref="P3:S3"/>
    <mergeCell ref="U3:X3"/>
    <mergeCell ref="F29:I29"/>
    <mergeCell ref="K29:N29"/>
    <mergeCell ref="P29:S29"/>
    <mergeCell ref="U29:X29"/>
    <mergeCell ref="Z3:AC3"/>
    <mergeCell ref="F16:I16"/>
    <mergeCell ref="K16:N16"/>
    <mergeCell ref="P16:S16"/>
    <mergeCell ref="U16:X16"/>
    <mergeCell ref="Z16:A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Cálculo para deportistas</vt:lpstr>
      <vt:lpstr>Cálculo calórico</vt:lpstr>
      <vt:lpstr>Tabla dietosintética</vt:lpstr>
      <vt:lpstr>Distribución de raciones equiva</vt:lpstr>
      <vt:lpstr>raciones asignadas.</vt:lpstr>
      <vt:lpstr>menú final </vt:lpstr>
      <vt:lpstr>Triptico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VAZQUEZ OLIVA</dc:creator>
  <cp:lastModifiedBy>GUILLERMO VAZQUEZ OLIVA</cp:lastModifiedBy>
  <dcterms:created xsi:type="dcterms:W3CDTF">2024-09-13T03:17:53Z</dcterms:created>
  <dcterms:modified xsi:type="dcterms:W3CDTF">2024-09-29T15:23:16Z</dcterms:modified>
</cp:coreProperties>
</file>