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vanderplas\OneDrive - Digital Realty\Desktop\Master MOPs\"/>
    </mc:Choice>
  </mc:AlternateContent>
  <xr:revisionPtr revIDLastSave="0" documentId="13_ncr:1_{283044AF-2D53-44E9-833C-12243EAAD83C}" xr6:coauthVersionLast="46" xr6:coauthVersionMax="46" xr10:uidLastSave="{00000000-0000-0000-0000-000000000000}"/>
  <bookViews>
    <workbookView xWindow="-5475" yWindow="-21720" windowWidth="38640" windowHeight="21240" xr2:uid="{0292FB39-BE4A-45EC-9E8B-A7F6C23D42FE}"/>
  </bookViews>
  <sheets>
    <sheet name="Cover Page" sheetId="98" r:id="rId1"/>
    <sheet name="References" sheetId="99" r:id="rId2"/>
    <sheet name="Pre-Work" sheetId="100" r:id="rId3"/>
    <sheet name="Config-RTU" sheetId="109" state="hidden" r:id="rId4"/>
    <sheet name="Config-All" sheetId="44" state="hidden" r:id="rId5"/>
    <sheet name="Config-Cover Page" sheetId="81" state="hidden" r:id="rId6"/>
    <sheet name="Config-Variables" sheetId="93" state="hidden" r:id="rId7"/>
    <sheet name="Config-References" sheetId="82" state="hidden" r:id="rId8"/>
    <sheet name="Config-Pre Work" sheetId="87" state="hidden" r:id="rId9"/>
    <sheet name="Config-Gen" sheetId="53" state="hidden" r:id="rId10"/>
    <sheet name="Config-UPS" sheetId="18" state="hidden" r:id="rId11"/>
    <sheet name="Config-Fire" sheetId="70" state="hidden" r:id="rId12"/>
    <sheet name="Config-Batt" sheetId="45" state="hidden" r:id="rId13"/>
    <sheet name="Config-Chiller" sheetId="104" state="hidden" r:id="rId14"/>
    <sheet name="Config-CRAC SAPM" sheetId="50" state="hidden" r:id="rId15"/>
    <sheet name="Config-CRAC TSR" sheetId="88" state="hidden" r:id="rId16"/>
    <sheet name="Config-Humidifier" sheetId="61" state="hidden" r:id="rId17"/>
    <sheet name="Config-Split Sys" sheetId="64" state="hidden" r:id="rId18"/>
    <sheet name="Config-DEEM" sheetId="85" state="hidden" r:id="rId19"/>
    <sheet name="Config-E24 Accounts" sheetId="19" state="hidden" r:id="rId20"/>
    <sheet name="eXL-A" sheetId="28" state="hidden" r:id="rId21"/>
    <sheet name="eXL-B" sheetId="29" state="hidden" r:id="rId22"/>
    <sheet name="eXL-C" sheetId="30" state="hidden" r:id="rId23"/>
    <sheet name="eXL-D" sheetId="31" state="hidden" r:id="rId24"/>
    <sheet name="eXL-F" sheetId="32" state="hidden" r:id="rId25"/>
    <sheet name="APC-A" sheetId="25" state="hidden" r:id="rId26"/>
    <sheet name="APC-B" sheetId="24" state="hidden" r:id="rId27"/>
    <sheet name="APC-C" sheetId="22" state="hidden" r:id="rId28"/>
    <sheet name="APC-D" sheetId="23" state="hidden" r:id="rId29"/>
    <sheet name="NX-A" sheetId="33" state="hidden" r:id="rId30"/>
    <sheet name="NX-B" sheetId="34" state="hidden" r:id="rId31"/>
    <sheet name="NX-C" sheetId="35" state="hidden" r:id="rId32"/>
    <sheet name="NX-D" sheetId="36" state="hidden" r:id="rId33"/>
    <sheet name="MGE-A" sheetId="38" state="hidden" r:id="rId34"/>
    <sheet name="MGE-B" sheetId="39" state="hidden" r:id="rId35"/>
    <sheet name="MGE-C" sheetId="40" state="hidden" r:id="rId36"/>
    <sheet name="MGE-D" sheetId="41" state="hidden" r:id="rId37"/>
    <sheet name="Battery APM" sheetId="46" state="hidden" r:id="rId38"/>
    <sheet name="Battery QPM" sheetId="80" state="hidden" r:id="rId39"/>
    <sheet name="PBB Gen Run (A&amp;D)" sheetId="91" state="hidden" r:id="rId40"/>
    <sheet name="PBB Gen Run (DL2)" sheetId="92" state="hidden" r:id="rId41"/>
    <sheet name="POD 1 Gen Run" sheetId="79" state="hidden" r:id="rId42"/>
    <sheet name="POD 2 Gen Run" sheetId="78" r:id="rId43"/>
    <sheet name="POD 3 Gen Run" sheetId="77" state="hidden" r:id="rId44"/>
    <sheet name="DR Gen Run" sheetId="54" state="hidden" r:id="rId45"/>
    <sheet name="Gen Jacket Hose" sheetId="90" state="hidden" r:id="rId46"/>
    <sheet name="Generator APM&amp;SAPM" sheetId="67" state="hidden" r:id="rId47"/>
    <sheet name="Humidifier SAPM" sheetId="62" state="hidden" r:id="rId48"/>
    <sheet name="CRAC SAPM" sheetId="51" state="hidden" r:id="rId49"/>
    <sheet name="Split System SAPM" sheetId="65" state="hidden" r:id="rId50"/>
    <sheet name="Chiller SAPM V2" sheetId="105" state="hidden" r:id="rId51"/>
    <sheet name="Chiller SAPM" sheetId="97" state="hidden" r:id="rId52"/>
    <sheet name="CRAC TSR" sheetId="89" state="hidden" r:id="rId53"/>
    <sheet name="Fire Alarm APM - PBB" sheetId="73" state="hidden" r:id="rId54"/>
    <sheet name="Fire Alarm APM - Suite" sheetId="74" state="hidden" r:id="rId55"/>
    <sheet name="Pre-Action QPM" sheetId="68" state="hidden" r:id="rId56"/>
    <sheet name="Sprinkler QPM" sheetId="72" state="hidden" r:id="rId57"/>
    <sheet name="DEEM" sheetId="76" state="hidden" r:id="rId58"/>
    <sheet name="DEEM-K" sheetId="83" state="hidden" r:id="rId59"/>
    <sheet name="DEEM-SWR" sheetId="84" state="hidden" r:id="rId60"/>
    <sheet name="Ref Table APC" sheetId="20" state="hidden" r:id="rId61"/>
    <sheet name="Ref Table NX" sheetId="37" state="hidden" r:id="rId62"/>
    <sheet name="Ref Table MGE" sheetId="42" state="hidden" r:id="rId63"/>
    <sheet name="CRAC RT#1" sheetId="52" state="hidden" r:id="rId64"/>
    <sheet name="Humidifier RT#1" sheetId="63" state="hidden" r:id="rId65"/>
    <sheet name="Split System RT#1" sheetId="66" state="hidden" r:id="rId66"/>
    <sheet name="SOW-Battery APM" sheetId="47" state="hidden" r:id="rId67"/>
    <sheet name="Gen Conditions" sheetId="55" r:id="rId68"/>
    <sheet name="Gen Run Logs" sheetId="56" r:id="rId69"/>
    <sheet name="Floor Cleaning" sheetId="111" state="hidden" r:id="rId70"/>
    <sheet name="RTU QPM" sheetId="108" state="hidden" r:id="rId71"/>
    <sheet name="RTU Recording Table" sheetId="107" state="hidden" r:id="rId72"/>
    <sheet name="Fire Watch Log" sheetId="71" state="hidden" r:id="rId73"/>
    <sheet name="Post-Work" sheetId="101" r:id="rId74"/>
    <sheet name="CHW Pump SAPM" sheetId="106" state="hidden" r:id="rId75"/>
    <sheet name="Lessons Learned" sheetId="102" r:id="rId76"/>
    <sheet name="Site List" sheetId="16" state="hidden" r:id="rId77"/>
    <sheet name="Risk Guidelines" sheetId="17" state="hidden" r:id="rId78"/>
  </sheets>
  <definedNames>
    <definedName name="_xlnm._FilterDatabase" localSheetId="14" hidden="1">'Config-CRAC SAPM'!$A$1:$J$46</definedName>
    <definedName name="_xlnm._FilterDatabase" localSheetId="15" hidden="1">'Config-CRAC TSR'!$A$1:$K$46</definedName>
    <definedName name="_xlnm._FilterDatabase" localSheetId="77" hidden="1">'Risk Guidelines'!$A$1:$Q$288</definedName>
    <definedName name="_xlnm._FilterDatabase" localSheetId="76" hidden="1">'Site List'!$A$1:$M$52</definedName>
    <definedName name="AccountNumber">VLOOKUP(Building, 'Config-E24 Accounts'!$A$1:$E$8, 3, FALSE)</definedName>
    <definedName name="Address">VLOOKUP(Building, 'Config-E24 Accounts'!$A$1:$E$8, 5, FALSE)</definedName>
    <definedName name="Author">VLOOKUP(zTaskNameIdentifier, 'Config-All'!$B$4:$AE$37, 2, FALSE)</definedName>
    <definedName name="Building">VLOOKUP(zTaskNameIdentifier, 'Config-All'!$B$4:$AE$37, 15, FALSE)</definedName>
    <definedName name="Chiller1">IFERROR(VLOOKUP(zSelectedEquipment, 'Config-Chiller'!$A$3:$F$17, 2, FALSE), "ERROR")</definedName>
    <definedName name="Chiller2">IFERROR(VLOOKUP(zSelectedEquipment, 'Config-Chiller'!$A$3:$F$17, 3, FALSE), "ERROR")</definedName>
    <definedName name="Chiller3">IFERROR(VLOOKUP(zSelectedEquipment, 'Config-Chiller'!$A$3:$F$17, 4, FALSE), "ERROR")</definedName>
    <definedName name="DEEMOutsideGear">VLOOKUP(zTaskName, 'Config-DEEM'!$A$3:$Z$23, 8, FALSE)</definedName>
    <definedName name="DEEMSuite1">VLOOKUP(zTaskName, 'Config-DEEM'!$A$3:$Z$23, 3, FALSE)</definedName>
    <definedName name="DEEMSuite2">VLOOKUP(zTaskName, 'Config-DEEM'!$A$3:$Z$23, 4, FALSE)</definedName>
    <definedName name="DEEMSuite3">VLOOKUP(zTaskName, 'Config-DEEM'!$A$3:$Z$23, 5, FALSE)</definedName>
    <definedName name="DEEMSuite4">VLOOKUP(zTaskName, 'Config-DEEM'!$A$3:$Z$23, 6, FALSE)</definedName>
    <definedName name="DEEMXFMR">VLOOKUP(zTaskName, 'Config-DEEM'!$A$3:$Z$23, 7, FALSE)</definedName>
    <definedName name="ElectricalRoom">VLOOKUP(zTaskNameIdentifier, 'Config-All'!$B$4:$AE$37, 17, FALSE)</definedName>
    <definedName name="FacilityName">IADNumber &amp; ": " &amp; VLOOKUP(IADNumber, 'Site List'!$A$2:$M$196, 2, FALSE)</definedName>
    <definedName name="FMGlobalIndex">VLOOKUP(Building, 'Config-E24 Accounts'!$A$1:$F$8, 6, FALSE)</definedName>
    <definedName name="GenRunUPS1">IFERROR(VLOOKUP(zSelectedEquipment, 'Config-Gen'!$A$4:$R$143, 7, FALSE), "ERROR")</definedName>
    <definedName name="GenRunUPS2">IFERROR(VLOOKUP(zSelectedEquipment, 'Config-Gen'!$A$4:$R$143, 8, FALSE), "ERROR")</definedName>
    <definedName name="GenType">IFERROR(VLOOKUP(zSelectedEquipment, 'Config-Gen'!$A$4:$R$143, 2, FALSE), "ERROR")</definedName>
    <definedName name="IADNumber">VLOOKUP(Building, 'Config-E24 Accounts'!$A$1:$E$8, 2)</definedName>
    <definedName name="Location">VLOOKUP(zTaskNameIdentifier, 'Config-All'!$B$4:$AE$37, 4, FALSE)</definedName>
    <definedName name="MOPFacilitator">'Cover Page'!$A$22</definedName>
    <definedName name="NumberOfChillers">IFERROR(VLOOKUP(zSelectedEquipment, 'Config-Chiller'!$A$3:$F$17, 5, FALSE), "ERROR")</definedName>
    <definedName name="NumberofCRACs">'Config-Variables'!$B$33</definedName>
    <definedName name="NumberOfElectricalRooms">VLOOKUP(zTaskNameIdentifier, 'Config-All'!$B$4:$AE$37, 19, FALSE)</definedName>
    <definedName name="NumberOfICDs">VLOOKUP(zTaskNameIdentifier, 'Config-All'!$B$4:$AE$37, 12, FALSE)</definedName>
    <definedName name="NumberofMAUs">VLOOKUP('Config-RTU'!$A$2,'Config-RTU'!$A$4:$D$199,4,FALSE)</definedName>
    <definedName name="NumberofRTUs">VLOOKUP('Config-RTU'!$A$2,'Config-RTU'!$A$4:$C$199,3, FALSE)</definedName>
    <definedName name="NumberOfSW">VLOOKUP(zTaskNameIdentifier, 'Config-All'!$B$4:$AE$37, 13, FALSE)</definedName>
    <definedName name="Passcode">VLOOKUP(Building, 'Config-E24 Accounts'!$A$1:$E$8, 4)</definedName>
    <definedName name="POD">VLOOKUP(zTaskNameIdentifier, 'Config-All'!$B$4:$AE$37, 6, FALSE)</definedName>
    <definedName name="PowerCommand">IFERROR(VLOOKUP(zSelectedEquipment, 'Config-Gen'!$A$4:$R$143, 6, FALSE), "ERROR")</definedName>
    <definedName name="PreActCab1Areas">'Config-Fire'!$C$1</definedName>
    <definedName name="PreActCab1Zones">'Config-Fire'!$D$1</definedName>
    <definedName name="PreActCab2Areas">'Config-Fire'!$E$1</definedName>
    <definedName name="PreActCab2Zones">'Config-Fire'!$F$1</definedName>
    <definedName name="PreActCab3Areas">'Config-Fire'!$G$1</definedName>
    <definedName name="PreActCab3Zones">'Config-Fire'!$H$1</definedName>
    <definedName name="PreActCabQuantity">'Config-Fire'!$I$1</definedName>
    <definedName name="_xlnm.Print_Area" localSheetId="25">'APC-A'!$A$1:$G$291</definedName>
    <definedName name="_xlnm.Print_Area" localSheetId="26">'APC-B'!$A$1:$G$291</definedName>
    <definedName name="_xlnm.Print_Area" localSheetId="27">'APC-C'!$A$1:$G$291</definedName>
    <definedName name="_xlnm.Print_Area" localSheetId="28">'APC-D'!$A$1:$G$291</definedName>
    <definedName name="_xlnm.Print_Area" localSheetId="51">'Chiller SAPM'!$A$1:$G$117</definedName>
    <definedName name="_xlnm.Print_Area" localSheetId="50">'Chiller SAPM V2'!$A$1:$G$63</definedName>
    <definedName name="_xlnm.Print_Area" localSheetId="0">'Cover Page'!$A$1:$I$30</definedName>
    <definedName name="_xlnm.Print_Area" localSheetId="48">'CRAC SAPM'!$A$1:$G$95</definedName>
    <definedName name="_xlnm.Print_Area" localSheetId="57">DEEM!$A$1:$G$71</definedName>
    <definedName name="_xlnm.Print_Area" localSheetId="21">'eXL-B'!$A$1:$G$275</definedName>
    <definedName name="_xlnm.Print_Area" localSheetId="22">'eXL-C'!$A$1:$G$275</definedName>
    <definedName name="_xlnm.Print_Area" localSheetId="23">'eXL-D'!$A$1:$G$275</definedName>
    <definedName name="_xlnm.Print_Area" localSheetId="24">'eXL-F'!$A$1:$G$275</definedName>
    <definedName name="_xlnm.Print_Area" localSheetId="53">'Fire Alarm APM - PBB'!$A$1:$G$53</definedName>
    <definedName name="_xlnm.Print_Area" localSheetId="54">'Fire Alarm APM - Suite'!$A$1:$G$117</definedName>
    <definedName name="_xlnm.Print_Area" localSheetId="46">'Generator APM&amp;SAPM'!$A$1:$G$105</definedName>
    <definedName name="_xlnm.Print_Area" localSheetId="47">'Humidifier SAPM'!$A$1:$G$55</definedName>
    <definedName name="_xlnm.Print_Area" localSheetId="33">'MGE-A'!$A$1:$G$182</definedName>
    <definedName name="_xlnm.Print_Area" localSheetId="34">'MGE-B'!$A$1:$G$182</definedName>
    <definedName name="_xlnm.Print_Area" localSheetId="35">'MGE-C'!$A$1:$G$182</definedName>
    <definedName name="_xlnm.Print_Area" localSheetId="36">'MGE-D'!$A$1:$G$182</definedName>
    <definedName name="_xlnm.Print_Area" localSheetId="29">'NX-A'!$A$1:$G$214</definedName>
    <definedName name="_xlnm.Print_Area" localSheetId="30">'NX-B'!$A$1:$G$214</definedName>
    <definedName name="_xlnm.Print_Area" localSheetId="31">'NX-C'!$A$1:$G$214</definedName>
    <definedName name="_xlnm.Print_Area" localSheetId="32">'NX-D'!$A$1:$G$214</definedName>
    <definedName name="_xlnm.Print_Area" localSheetId="40">'PBB Gen Run (DL2)'!$A$1:$G$33</definedName>
    <definedName name="_xlnm.Print_Area" localSheetId="73">'Post-Work'!$A$1:$Z$36</definedName>
    <definedName name="_xlnm.Print_Area" localSheetId="55">'Pre-Action QPM'!$A$1:$G$141</definedName>
    <definedName name="_xlnm.Print_Area" localSheetId="2">'Pre-Work'!$A$1:$Y$77</definedName>
    <definedName name="_xlnm.Print_Area" localSheetId="60">'Ref Table APC'!$A$1:$D$11</definedName>
    <definedName name="_xlnm.Print_Area" localSheetId="62">'Ref Table MGE'!$A$1:$D$11</definedName>
    <definedName name="_xlnm.Print_Area" localSheetId="61">'Ref Table NX'!$A$1:$D$9</definedName>
    <definedName name="_xlnm.Print_Area" localSheetId="49">'Split System SAPM'!$A$1:$G$82</definedName>
    <definedName name="_xlnm.Print_Area" localSheetId="56">'Sprinkler QPM'!$A$1:$G$43</definedName>
    <definedName name="_xlnm.Print_Titles" localSheetId="25">'APC-A'!$1:$5</definedName>
    <definedName name="_xlnm.Print_Titles" localSheetId="26">'APC-B'!$1:$5</definedName>
    <definedName name="_xlnm.Print_Titles" localSheetId="27">'APC-C'!$1:$5</definedName>
    <definedName name="_xlnm.Print_Titles" localSheetId="28">'APC-D'!$1:$5</definedName>
    <definedName name="_xlnm.Print_Titles" localSheetId="37">'Battery APM'!$1:$5</definedName>
    <definedName name="_xlnm.Print_Titles" localSheetId="38">'Battery QPM'!$1:$5</definedName>
    <definedName name="_xlnm.Print_Titles" localSheetId="51">'Chiller SAPM'!#REF!</definedName>
    <definedName name="_xlnm.Print_Titles" localSheetId="50">'Chiller SAPM V2'!#REF!</definedName>
    <definedName name="_xlnm.Print_Titles" localSheetId="48">'CRAC SAPM'!$1:$5</definedName>
    <definedName name="_xlnm.Print_Titles" localSheetId="52">'CRAC TSR'!$1:$5</definedName>
    <definedName name="_xlnm.Print_Titles" localSheetId="57">DEEM!$1:$5</definedName>
    <definedName name="_xlnm.Print_Titles" localSheetId="58">'DEEM-K'!$1:$5</definedName>
    <definedName name="_xlnm.Print_Titles" localSheetId="59">'DEEM-SWR'!$1:$5</definedName>
    <definedName name="_xlnm.Print_Titles" localSheetId="44">'DR Gen Run'!$1:$5</definedName>
    <definedName name="_xlnm.Print_Titles" localSheetId="20">'eXL-A'!$1:$5</definedName>
    <definedName name="_xlnm.Print_Titles" localSheetId="21">'eXL-B'!$1:$5</definedName>
    <definedName name="_xlnm.Print_Titles" localSheetId="22">'eXL-C'!$1:$5</definedName>
    <definedName name="_xlnm.Print_Titles" localSheetId="23">'eXL-D'!$1:$5</definedName>
    <definedName name="_xlnm.Print_Titles" localSheetId="24">'eXL-F'!$1:$5</definedName>
    <definedName name="_xlnm.Print_Titles" localSheetId="53">'Fire Alarm APM - PBB'!$1:$5</definedName>
    <definedName name="_xlnm.Print_Titles" localSheetId="54">'Fire Alarm APM - Suite'!$1:$5</definedName>
    <definedName name="_xlnm.Print_Titles" localSheetId="45">'Gen Jacket Hose'!$1:$5</definedName>
    <definedName name="_xlnm.Print_Titles" localSheetId="46">'Generator APM&amp;SAPM'!$1:$5</definedName>
    <definedName name="_xlnm.Print_Titles" localSheetId="47">'Humidifier SAPM'!$1:$5</definedName>
    <definedName name="_xlnm.Print_Titles" localSheetId="33">'MGE-A'!$1:$5</definedName>
    <definedName name="_xlnm.Print_Titles" localSheetId="34">'MGE-B'!$1:$5</definedName>
    <definedName name="_xlnm.Print_Titles" localSheetId="35">'MGE-C'!$1:$5</definedName>
    <definedName name="_xlnm.Print_Titles" localSheetId="36">'MGE-D'!$1:$5</definedName>
    <definedName name="_xlnm.Print_Titles" localSheetId="29">'NX-A'!$1:$5</definedName>
    <definedName name="_xlnm.Print_Titles" localSheetId="30">'NX-B'!$1:$5</definedName>
    <definedName name="_xlnm.Print_Titles" localSheetId="31">'NX-C'!$1:$5</definedName>
    <definedName name="_xlnm.Print_Titles" localSheetId="32">'NX-D'!$1:$5</definedName>
    <definedName name="_xlnm.Print_Titles" localSheetId="39">'PBB Gen Run (A&amp;D)'!$1:$5</definedName>
    <definedName name="_xlnm.Print_Titles" localSheetId="40">'PBB Gen Run (DL2)'!$1:$5</definedName>
    <definedName name="_xlnm.Print_Titles" localSheetId="41">'POD 1 Gen Run'!$1:$5</definedName>
    <definedName name="_xlnm.Print_Titles" localSheetId="42">'POD 2 Gen Run'!$1:$5</definedName>
    <definedName name="_xlnm.Print_Titles" localSheetId="43">'POD 3 Gen Run'!$1:$5</definedName>
    <definedName name="_xlnm.Print_Titles" localSheetId="55">'Pre-Action QPM'!$1:$5</definedName>
    <definedName name="_xlnm.Print_Titles" localSheetId="49">'Split System SAPM'!$1:$5</definedName>
    <definedName name="_xlnm.Print_Titles" localSheetId="56">'Sprinkler QPM'!$1:$5</definedName>
    <definedName name="QQCRACSAPM" localSheetId="15">'Config-CRAC TSR'!$A$2:$A$46</definedName>
    <definedName name="Risk">VLOOKUP(zTaskName, 'Risk Guidelines'!$A$2:$Q$287, 9, FALSE)</definedName>
    <definedName name="ROP">VLOOKUP(zTaskNameIdentifier, 'Config-All'!$B$4:$AE$37, 18, FALSE)</definedName>
    <definedName name="SOW">IFERROR(VLOOKUP(zTaskNameIdentifier, 'Config-References'!$A$46:$B$63, 2, FALSE), "ERROR")</definedName>
    <definedName name="SOW_URL">IFERROR(VLOOKUP(SOW, 'Config-References'!$A$69:$B$76, 2, FALSE), "ERROR")</definedName>
    <definedName name="StartDate">'Cover Page'!#REF!</definedName>
    <definedName name="Suite">VLOOKUP(zTaskNameIdentifier, 'Config-All'!$B$4:$AE$37, 5, FALSE)</definedName>
    <definedName name="SWFive">VLOOKUP(zTaskNameIdentifier, 'Config-All'!$B$4:$AE$37, 11, FALSE)</definedName>
    <definedName name="SWFour">VLOOKUP(zTaskNameIdentifier, 'Config-All'!$B$4:$AE$37, 10, FALSE)</definedName>
    <definedName name="SWNames">VLOOKUP(zTaskNameIdentifier, 'Config-All'!$B$4:$AE$37, 14, FALSE)</definedName>
    <definedName name="SWOne">VLOOKUP(zTaskNameIdentifier, 'Config-All'!$B$4:$AE$37, 7, FALSE)</definedName>
    <definedName name="SWThree">VLOOKUP(zTaskNameIdentifier, 'Config-All'!$B$4:$AE$37, 9, FALSE)</definedName>
    <definedName name="SWTwo">VLOOKUP(zTaskNameIdentifier, 'Config-All'!$B$4:$AE$37, 8, FALSE)</definedName>
    <definedName name="Title">VLOOKUP(zTaskNameIdentifier, 'Config-All'!$B$4:$AE$37, 3, FALSE)</definedName>
    <definedName name="UPSkW">'Config-Variables'!$B$35</definedName>
    <definedName name="UPSModel">'Config-Variables'!$B$26</definedName>
    <definedName name="UtilityInputBreaker">IFERROR(VLOOKUP(zSelectedEquipment, 'Config-Gen'!$A$4:$R$143, 9, FALSE), "ERROR")</definedName>
    <definedName name="WOorCHG">'Cover Page'!$K$12</definedName>
    <definedName name="Z_DF92A857_E7B8_47E5_9A9C_9F8504E5C07F_.wvu.PrintArea" localSheetId="0" hidden="1">'Cover Page'!$A$1:$I$28</definedName>
    <definedName name="Z_DF92A857_E7B8_47E5_9A9C_9F8504E5C07F_.wvu.PrintArea" localSheetId="63" hidden="1">'CRAC RT#1'!$A$2:$N$11</definedName>
    <definedName name="Z_DF92A857_E7B8_47E5_9A9C_9F8504E5C07F_.wvu.PrintArea" localSheetId="64" hidden="1">'Humidifier RT#1'!$A$2:$E$6</definedName>
    <definedName name="Z_DF92A857_E7B8_47E5_9A9C_9F8504E5C07F_.wvu.PrintArea" localSheetId="73" hidden="1">'Post-Work'!$A$2:$N$14</definedName>
    <definedName name="Z_DF92A857_E7B8_47E5_9A9C_9F8504E5C07F_.wvu.PrintArea" localSheetId="2" hidden="1">'Pre-Work'!$A$2:$L$49</definedName>
    <definedName name="Z_DF92A857_E7B8_47E5_9A9C_9F8504E5C07F_.wvu.PrintArea" localSheetId="60" hidden="1">'Ref Table APC'!#REF!</definedName>
    <definedName name="Z_DF92A857_E7B8_47E5_9A9C_9F8504E5C07F_.wvu.PrintArea" localSheetId="62" hidden="1">'Ref Table MGE'!#REF!</definedName>
    <definedName name="Z_DF92A857_E7B8_47E5_9A9C_9F8504E5C07F_.wvu.PrintArea" localSheetId="61" hidden="1">'Ref Table NX'!#REF!</definedName>
    <definedName name="Z_DF92A857_E7B8_47E5_9A9C_9F8504E5C07F_.wvu.PrintArea" localSheetId="65" hidden="1">'Split System RT#1'!$A$2:$E$6</definedName>
    <definedName name="Z_DF92A857_E7B8_47E5_9A9C_9F8504E5C07F_.wvu.Rows" localSheetId="0" hidden="1">'Cover Page'!#REF!</definedName>
    <definedName name="zIdentifierList">'Config-All'!$B$4:$B$27</definedName>
    <definedName name="zSelectedEquipment">'Cover Page'!$L$9</definedName>
    <definedName name="zTaskName">'Cover Page'!$K$9</definedName>
    <definedName name="zTaskNameIdentifier">'Config-All'!$B$1</definedName>
    <definedName name="zzAboveFloorCleanAPM">'Config-UPS'!$A$2:$A$61</definedName>
    <definedName name="zzBattAPM">'Config-Batt'!$E$2:$E$64</definedName>
    <definedName name="zzBattQPM">'Config-Batt'!$A$2:$A$64</definedName>
    <definedName name="zzChillerSAPM">'Config-Chiller'!$A$3:$A$17</definedName>
    <definedName name="zzCHWPumpSAPM">'Config-Chiller'!$A$3:$A$17</definedName>
    <definedName name="zzCRACSAPM">'Config-CRAC SAPM'!$A$2:$A$46</definedName>
    <definedName name="zzCRACTSRCritical">'Config-CRAC TSR'!$U$32:$U$594</definedName>
    <definedName name="zzCRACTSRLow">'Config-CRAC TSR'!$U$32:$U$594</definedName>
    <definedName name="zzDEEMPentennial">'Config-DEEM'!$A$3:$A$23</definedName>
    <definedName name="zzFireAlarmAPM">'Config-Fire'!$A$3:$A$73</definedName>
    <definedName name="zzFireExtinguisherAPM">'Config-Fire'!$L$3:$L$10</definedName>
    <definedName name="zzGenJacketHoseReplacement">'Config-Gen'!$R$4:$R$79</definedName>
    <definedName name="zzGenMajor">'Config-Gen'!$A$4:$A$143</definedName>
    <definedName name="zzGenMinor">'Config-Gen'!$A$4:$A$143</definedName>
    <definedName name="zzGenRunLoaded">'Config-Gen'!$O$4:$O$79</definedName>
    <definedName name="zzGenRunNL">'Config-Gen'!$O$4:$O$79</definedName>
    <definedName name="zzHumidifierSAPM">'Config-Humidifier'!$B$1:$B$63</definedName>
    <definedName name="zzPreActionQPM">'Config-Fire'!$B$3:$B$73</definedName>
    <definedName name="zzRTUCritQPM">'Config-RTU'!$A$4:$A$95</definedName>
    <definedName name="zzRTUNonCritQPM">'Config-RTU'!$A$96:$A$199</definedName>
    <definedName name="zzSplitSystemSAPM">'Config-Split Sys'!$B$2:$B$42</definedName>
    <definedName name="zzUnderFloorCleanBEPM">'Config-UPS'!$A$2:$A$61</definedName>
    <definedName name="zzUPSAPM">'Config-UPS'!$E$2:$E$61</definedName>
    <definedName name="zzUPSTSR">'Config-UPS'!$E$2:$E$61</definedName>
    <definedName name="zzWetSprinklerQPM">'Config-Fire'!$O$3:$O$10</definedName>
  </definedNames>
  <calcPr calcId="191028"/>
  <customWorkbookViews>
    <customWorkbookView name="stuff" guid="{DF92A857-E7B8-47E5-9A9C-9F8504E5C07F}" maximized="1" xWindow="1592" yWindow="-52" windowWidth="1936" windowHeight="1096" activeSheetId="1"/>
    <customWorkbookView name="generic" guid="{910AC34E-355F-4BF4-80B9-AF291A7A4844}" includePrintSettings="0" includeHiddenRowCol="0" maximized="1" xWindow="1911" yWindow="-112" windowWidth="1938" windowHeight="1098"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 i="78" l="1"/>
  <c r="A12" i="78" s="1"/>
  <c r="A13" i="78" s="1"/>
  <c r="A14" i="78" s="1"/>
  <c r="A15" i="78" s="1"/>
  <c r="A16" i="78" s="1"/>
  <c r="A17" i="78" s="1"/>
  <c r="A18" i="78" s="1"/>
  <c r="A19" i="78" s="1"/>
  <c r="A20" i="78" s="1"/>
  <c r="A21" i="78" s="1"/>
  <c r="A22" i="78" s="1"/>
  <c r="A23" i="78" s="1"/>
  <c r="A24" i="78" s="1"/>
  <c r="A25" i="78" s="1"/>
  <c r="A26" i="78" s="1"/>
  <c r="A27" i="78" s="1"/>
  <c r="A28" i="78" s="1"/>
  <c r="A29" i="78" s="1"/>
  <c r="A30" i="78" s="1"/>
  <c r="A31" i="78" s="1"/>
  <c r="A32" i="78" s="1"/>
  <c r="A33" i="78" s="1"/>
  <c r="A34" i="78" s="1"/>
  <c r="A35" i="78" s="1"/>
  <c r="A36" i="78" s="1"/>
  <c r="A37" i="78" s="1"/>
  <c r="A38" i="78" s="1"/>
  <c r="A39" i="78" s="1"/>
  <c r="A40" i="78" s="1"/>
  <c r="A41" i="78" s="1"/>
  <c r="A42" i="78" s="1"/>
  <c r="A43" i="78" s="1"/>
  <c r="A44" i="78" s="1"/>
  <c r="A45" i="78" s="1"/>
  <c r="A46" i="78" s="1"/>
  <c r="A47" i="78" s="1"/>
  <c r="A48" i="78" s="1"/>
  <c r="A49" i="78" s="1"/>
  <c r="A50" i="78" s="1"/>
  <c r="A51" i="78" s="1"/>
  <c r="A52" i="78" s="1"/>
  <c r="A53" i="78" s="1"/>
  <c r="A54" i="78" s="1"/>
  <c r="A55" i="78" s="1"/>
  <c r="A56" i="78" s="1"/>
  <c r="A57" i="78" s="1"/>
  <c r="A58" i="78" s="1"/>
  <c r="A59" i="78" s="1"/>
  <c r="A60" i="78" s="1"/>
  <c r="A61" i="78" s="1"/>
  <c r="A62" i="78" s="1"/>
  <c r="A63" i="78" s="1"/>
  <c r="A64" i="78" s="1"/>
  <c r="A65" i="78" s="1"/>
  <c r="A66" i="78" s="1"/>
  <c r="A67" i="78" s="1"/>
  <c r="A68" i="78" s="1"/>
  <c r="A69" i="78" s="1"/>
  <c r="A70" i="78" s="1"/>
  <c r="A71" i="78" s="1"/>
  <c r="A72" i="78" s="1"/>
  <c r="A73" i="78" s="1"/>
  <c r="A75" i="78"/>
  <c r="A76" i="78" s="1"/>
  <c r="A77" i="78" s="1"/>
  <c r="A78" i="78" s="1"/>
  <c r="A79" i="78" s="1"/>
  <c r="A80" i="78" s="1"/>
  <c r="A81" i="78" s="1"/>
  <c r="A82" i="78" s="1"/>
  <c r="A83" i="78" s="1"/>
  <c r="A84" i="78" s="1"/>
  <c r="A85" i="78" s="1"/>
  <c r="A86" i="78" s="1"/>
  <c r="A87" i="78" s="1"/>
  <c r="A88" i="78" s="1"/>
  <c r="A89" i="78" s="1"/>
  <c r="A9" i="78"/>
  <c r="A25" i="39"/>
  <c r="A26" i="39" s="1"/>
  <c r="A27" i="39" s="1"/>
  <c r="A28" i="39" s="1"/>
  <c r="A29" i="39" s="1"/>
  <c r="A30" i="39" s="1"/>
  <c r="A31" i="39" s="1"/>
  <c r="A32" i="39" s="1"/>
  <c r="A33" i="39" s="1"/>
  <c r="A34" i="39" s="1"/>
  <c r="A35" i="39" s="1"/>
  <c r="A36" i="39" s="1"/>
  <c r="A37" i="39" s="1"/>
  <c r="A38" i="39" s="1"/>
  <c r="A39" i="39" s="1"/>
  <c r="A40" i="39" s="1"/>
  <c r="A41" i="39" s="1"/>
  <c r="A42" i="39" s="1"/>
  <c r="A43" i="39" s="1"/>
  <c r="A44" i="39" s="1"/>
  <c r="A45" i="39" s="1"/>
  <c r="A46" i="39" s="1"/>
  <c r="A47" i="39" s="1"/>
  <c r="A48" i="39" s="1"/>
  <c r="A49" i="39" s="1"/>
  <c r="A50" i="39" s="1"/>
  <c r="A51" i="39" s="1"/>
  <c r="A52" i="39" s="1"/>
  <c r="A53" i="39" s="1"/>
  <c r="A54" i="39" s="1"/>
  <c r="A55" i="39" s="1"/>
  <c r="A56" i="39" s="1"/>
  <c r="A57" i="39" s="1"/>
  <c r="A58" i="39" s="1"/>
  <c r="A59" i="39" s="1"/>
  <c r="A60" i="39" s="1"/>
  <c r="A61" i="39" s="1"/>
  <c r="A62" i="39" s="1"/>
  <c r="A63" i="39" s="1"/>
  <c r="A64" i="39" s="1"/>
  <c r="A65" i="39" s="1"/>
  <c r="A66" i="39" s="1"/>
  <c r="A67" i="39" s="1"/>
  <c r="A68" i="39" s="1"/>
  <c r="A69" i="39" s="1"/>
  <c r="A70" i="39" s="1"/>
  <c r="A71" i="39" s="1"/>
  <c r="A72" i="39" s="1"/>
  <c r="A73" i="39" s="1"/>
  <c r="A74" i="39" s="1"/>
  <c r="A75" i="39" s="1"/>
  <c r="A76" i="39" s="1"/>
  <c r="A77" i="39" s="1"/>
  <c r="A78" i="39" s="1"/>
  <c r="A79" i="39" s="1"/>
  <c r="A80" i="39" s="1"/>
  <c r="A81" i="39" s="1"/>
  <c r="A82" i="39" s="1"/>
  <c r="A83" i="39" s="1"/>
  <c r="A84" i="39" s="1"/>
  <c r="A85" i="39" s="1"/>
  <c r="A86" i="39" s="1"/>
  <c r="A87" i="39" s="1"/>
  <c r="A88" i="39" s="1"/>
  <c r="A89" i="39" s="1"/>
  <c r="A90" i="39" s="1"/>
  <c r="A91" i="39" s="1"/>
  <c r="A92" i="39" s="1"/>
  <c r="A93" i="39" s="1"/>
  <c r="A94" i="39" s="1"/>
  <c r="A95" i="39" s="1"/>
  <c r="A96" i="39" s="1"/>
  <c r="A97" i="39" s="1"/>
  <c r="A98" i="39" s="1"/>
  <c r="A99" i="39" s="1"/>
  <c r="A100" i="39" s="1"/>
  <c r="A101" i="39" s="1"/>
  <c r="A102" i="39" s="1"/>
  <c r="A103" i="39" s="1"/>
  <c r="A104" i="39" s="1"/>
  <c r="A105" i="39" s="1"/>
  <c r="A106" i="39" s="1"/>
  <c r="A107" i="39" s="1"/>
  <c r="A108" i="39" s="1"/>
  <c r="A109" i="39" s="1"/>
  <c r="A110" i="39" s="1"/>
  <c r="A111" i="39" s="1"/>
  <c r="A112" i="39" s="1"/>
  <c r="A113" i="39" s="1"/>
  <c r="A114" i="39" s="1"/>
  <c r="A115" i="39" s="1"/>
  <c r="A116" i="39" s="1"/>
  <c r="A117" i="39" s="1"/>
  <c r="A118" i="39" s="1"/>
  <c r="A119" i="39" s="1"/>
  <c r="A120" i="39" s="1"/>
  <c r="A121" i="39" s="1"/>
  <c r="A122" i="39" s="1"/>
  <c r="A123" i="39" s="1"/>
  <c r="A124" i="39" s="1"/>
  <c r="A125" i="39" s="1"/>
  <c r="A126" i="39" s="1"/>
  <c r="A127" i="39" s="1"/>
  <c r="A128" i="39" s="1"/>
  <c r="A129" i="39" s="1"/>
  <c r="A130" i="39" s="1"/>
  <c r="A131" i="39" s="1"/>
  <c r="A132" i="39" s="1"/>
  <c r="A133" i="39" s="1"/>
  <c r="A134" i="39" s="1"/>
  <c r="A135" i="39" s="1"/>
  <c r="A136" i="39" s="1"/>
  <c r="A137" i="39" s="1"/>
  <c r="A138" i="39" s="1"/>
  <c r="A139" i="39" s="1"/>
  <c r="A140" i="39" s="1"/>
  <c r="A141" i="39" s="1"/>
  <c r="A142" i="39" s="1"/>
  <c r="A143" i="39" s="1"/>
  <c r="A144" i="39" s="1"/>
  <c r="A145" i="39" s="1"/>
  <c r="A146" i="39" s="1"/>
  <c r="A147" i="39" s="1"/>
  <c r="A148" i="39" s="1"/>
  <c r="A149" i="39" s="1"/>
  <c r="A150" i="39" s="1"/>
  <c r="A151" i="39" s="1"/>
  <c r="A152" i="39" s="1"/>
  <c r="A153" i="39" s="1"/>
  <c r="A154" i="39" s="1"/>
  <c r="A155" i="39" s="1"/>
  <c r="A156" i="39" s="1"/>
  <c r="A157" i="39" s="1"/>
  <c r="A158" i="39" s="1"/>
  <c r="A159" i="39" s="1"/>
  <c r="A160" i="39" s="1"/>
  <c r="A161" i="39" s="1"/>
  <c r="A162" i="39" s="1"/>
  <c r="A163" i="39" s="1"/>
  <c r="A164" i="39" s="1"/>
  <c r="A165" i="39" s="1"/>
  <c r="A166" i="39" s="1"/>
  <c r="A167" i="39" s="1"/>
  <c r="A168" i="39" s="1"/>
  <c r="A169" i="39" s="1"/>
  <c r="A170" i="39" s="1"/>
  <c r="A171" i="39" s="1"/>
  <c r="A172" i="39" s="1"/>
  <c r="A173" i="39" s="1"/>
  <c r="A174" i="39" s="1"/>
  <c r="A175" i="39" s="1"/>
  <c r="A176" i="39" s="1"/>
  <c r="A177" i="39" s="1"/>
  <c r="A178" i="39" s="1"/>
  <c r="A179" i="39" s="1"/>
  <c r="A180" i="39" s="1"/>
  <c r="A181" i="39" s="1"/>
  <c r="A182" i="39" s="1"/>
  <c r="A9" i="39"/>
  <c r="A10" i="39" s="1"/>
  <c r="A11" i="39" s="1"/>
  <c r="A12" i="39" s="1"/>
  <c r="A13" i="39" s="1"/>
  <c r="A14" i="39" s="1"/>
  <c r="A15" i="39" s="1"/>
  <c r="A16" i="39" s="1"/>
  <c r="A17" i="39" s="1"/>
  <c r="A18" i="39" s="1"/>
  <c r="A19" i="39" s="1"/>
  <c r="A20" i="39" s="1"/>
  <c r="A21" i="39" s="1"/>
  <c r="A22" i="39" s="1"/>
  <c r="A23" i="39" s="1"/>
  <c r="A24" i="39" s="1"/>
  <c r="A206" i="36"/>
  <c r="A207" i="36" s="1"/>
  <c r="A208" i="36" s="1"/>
  <c r="D44" i="36"/>
  <c r="A6" i="34"/>
  <c r="A214" i="33"/>
  <c r="A27" i="33"/>
  <c r="A25" i="33"/>
  <c r="A12" i="33"/>
  <c r="D44" i="34"/>
  <c r="D44" i="35"/>
  <c r="D205" i="36"/>
  <c r="D203" i="36"/>
  <c r="D201" i="36"/>
  <c r="D199" i="36"/>
  <c r="D197" i="36"/>
  <c r="D195" i="36"/>
  <c r="D193" i="36"/>
  <c r="D191" i="36"/>
  <c r="D168" i="36"/>
  <c r="D62" i="36"/>
  <c r="A16" i="36"/>
  <c r="A6" i="36"/>
  <c r="A12" i="36"/>
  <c r="A13" i="36" s="1"/>
  <c r="A14" i="36" s="1"/>
  <c r="A15" i="36" s="1"/>
  <c r="A7" i="36"/>
  <c r="A8" i="36" s="1"/>
  <c r="A9" i="36" s="1"/>
  <c r="D207" i="35"/>
  <c r="A25" i="35"/>
  <c r="A21" i="35"/>
  <c r="A22" i="35" s="1"/>
  <c r="A23" i="35" s="1"/>
  <c r="A24" i="35" s="1"/>
  <c r="A16" i="35"/>
  <c r="A17" i="35" s="1"/>
  <c r="A18" i="35" s="1"/>
  <c r="A6" i="35"/>
  <c r="A212" i="35"/>
  <c r="A209" i="35"/>
  <c r="A210" i="35" s="1"/>
  <c r="A208" i="35"/>
  <c r="A207" i="35"/>
  <c r="A12" i="35"/>
  <c r="A13" i="35" s="1"/>
  <c r="A14" i="35" s="1"/>
  <c r="A15" i="35" s="1"/>
  <c r="A8" i="35"/>
  <c r="A9" i="35" s="1"/>
  <c r="A10" i="35" s="1"/>
  <c r="A7" i="35"/>
  <c r="A214" i="34"/>
  <c r="A30" i="34"/>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A178" i="34" s="1"/>
  <c r="A179" i="34" s="1"/>
  <c r="A180" i="34" s="1"/>
  <c r="A181" i="34" s="1"/>
  <c r="A182" i="34" s="1"/>
  <c r="A183" i="34" s="1"/>
  <c r="A184" i="34" s="1"/>
  <c r="A185" i="34" s="1"/>
  <c r="A186" i="34" s="1"/>
  <c r="A187" i="34" s="1"/>
  <c r="A188" i="34" s="1"/>
  <c r="A189" i="34" s="1"/>
  <c r="A190" i="34" s="1"/>
  <c r="A191" i="34" s="1"/>
  <c r="A192" i="34" s="1"/>
  <c r="A193" i="34" s="1"/>
  <c r="A194" i="34" s="1"/>
  <c r="A195" i="34" s="1"/>
  <c r="A196" i="34" s="1"/>
  <c r="A197" i="34" s="1"/>
  <c r="A198" i="34" s="1"/>
  <c r="A199" i="34" s="1"/>
  <c r="A200" i="34" s="1"/>
  <c r="A26" i="34"/>
  <c r="A27" i="34"/>
  <c r="A28" i="34" s="1"/>
  <c r="A29" i="34" s="1"/>
  <c r="A25" i="34"/>
  <c r="A12" i="34"/>
  <c r="A13" i="34"/>
  <c r="A14" i="34" s="1"/>
  <c r="A15" i="34" s="1"/>
  <c r="A17" i="34"/>
  <c r="A18" i="34"/>
  <c r="A19" i="34" s="1"/>
  <c r="A20" i="34" s="1"/>
  <c r="A22" i="34"/>
  <c r="A23" i="34"/>
  <c r="A24" i="34" s="1"/>
  <c r="A207" i="34"/>
  <c r="A208" i="34"/>
  <c r="A209" i="34"/>
  <c r="A210" i="34"/>
  <c r="A212" i="34"/>
  <c r="A213" i="34"/>
  <c r="A7" i="34"/>
  <c r="A8" i="34" s="1"/>
  <c r="A9" i="34" s="1"/>
  <c r="A10" i="34" s="1"/>
  <c r="A209" i="36" l="1"/>
  <c r="A210" i="36" s="1"/>
  <c r="D209" i="36"/>
  <c r="D207" i="36"/>
  <c r="A10" i="36"/>
  <c r="A26" i="35"/>
  <c r="A27" i="35" s="1"/>
  <c r="A28" i="35" s="1"/>
  <c r="A29" i="35" s="1"/>
  <c r="A30" i="35" s="1"/>
  <c r="A31" i="35" s="1"/>
  <c r="A32" i="35" s="1"/>
  <c r="A33" i="35" s="1"/>
  <c r="A34" i="35" s="1"/>
  <c r="A35" i="35" s="1"/>
  <c r="A36" i="35" s="1"/>
  <c r="A37" i="35" s="1"/>
  <c r="A38" i="35" s="1"/>
  <c r="A39" i="35" s="1"/>
  <c r="A40" i="35" s="1"/>
  <c r="A41" i="35" s="1"/>
  <c r="A42" i="35" s="1"/>
  <c r="A43" i="35" s="1"/>
  <c r="D213" i="35"/>
  <c r="A19" i="35"/>
  <c r="A213" i="35"/>
  <c r="A201" i="34"/>
  <c r="A202" i="34" s="1"/>
  <c r="A203" i="34" s="1"/>
  <c r="A204" i="34" s="1"/>
  <c r="A205" i="34" s="1"/>
  <c r="D201" i="34"/>
  <c r="D195" i="34"/>
  <c r="N104" i="17"/>
  <c r="M206" i="17"/>
  <c r="B5" i="64"/>
  <c r="B2" i="64"/>
  <c r="B54" i="82"/>
  <c r="B53" i="82"/>
  <c r="P23" i="44"/>
  <c r="G23" i="44"/>
  <c r="D113" i="54"/>
  <c r="D85" i="54"/>
  <c r="D75" i="54"/>
  <c r="D73" i="54"/>
  <c r="D38" i="54"/>
  <c r="D36" i="54"/>
  <c r="C89" i="78"/>
  <c r="D87" i="78"/>
  <c r="C87" i="78"/>
  <c r="C73" i="78"/>
  <c r="D71" i="78"/>
  <c r="C71" i="78"/>
  <c r="D34" i="78"/>
  <c r="C18" i="78"/>
  <c r="D69" i="78"/>
  <c r="D67" i="78"/>
  <c r="D65" i="78"/>
  <c r="D38" i="78"/>
  <c r="D36" i="78"/>
  <c r="D26" i="91"/>
  <c r="D77" i="77"/>
  <c r="D75" i="77"/>
  <c r="D58" i="77"/>
  <c r="D57" i="77"/>
  <c r="D36" i="77"/>
  <c r="D34" i="77"/>
  <c r="D15" i="77"/>
  <c r="D14" i="77"/>
  <c r="D120" i="77"/>
  <c r="D109" i="77"/>
  <c r="D94" i="77"/>
  <c r="D78" i="77"/>
  <c r="D76" i="77"/>
  <c r="D74" i="77"/>
  <c r="D73" i="77"/>
  <c r="D63" i="77"/>
  <c r="D37" i="77"/>
  <c r="D35" i="77"/>
  <c r="D33" i="77"/>
  <c r="D32" i="77"/>
  <c r="D211" i="36" l="1"/>
  <c r="A211" i="36"/>
  <c r="A212" i="36" s="1"/>
  <c r="A44" i="35"/>
  <c r="A45" i="35" s="1"/>
  <c r="A46" i="35" s="1"/>
  <c r="A47" i="35" s="1"/>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81" i="35" s="1"/>
  <c r="A82" i="35" s="1"/>
  <c r="A83" i="35" s="1"/>
  <c r="A84" i="35" s="1"/>
  <c r="A85" i="35" s="1"/>
  <c r="A86" i="35" s="1"/>
  <c r="A87" i="35" s="1"/>
  <c r="A88" i="35" s="1"/>
  <c r="A89" i="35" s="1"/>
  <c r="A90" i="35" s="1"/>
  <c r="A91" i="35" s="1"/>
  <c r="A92" i="35" s="1"/>
  <c r="A93" i="35" s="1"/>
  <c r="A94" i="35" s="1"/>
  <c r="A95" i="35" s="1"/>
  <c r="A96" i="35" s="1"/>
  <c r="A97" i="35" s="1"/>
  <c r="A98" i="35" s="1"/>
  <c r="A99" i="35" s="1"/>
  <c r="A100" i="35" s="1"/>
  <c r="A101" i="35" s="1"/>
  <c r="A102" i="35" s="1"/>
  <c r="A103" i="35" s="1"/>
  <c r="A104" i="35" s="1"/>
  <c r="A105" i="35" s="1"/>
  <c r="A106" i="35" s="1"/>
  <c r="A107" i="35" s="1"/>
  <c r="A108" i="35" s="1"/>
  <c r="A109" i="35" s="1"/>
  <c r="A110" i="35" s="1"/>
  <c r="A111" i="35" s="1"/>
  <c r="A112" i="35" s="1"/>
  <c r="A113" i="35" s="1"/>
  <c r="A114" i="35" s="1"/>
  <c r="A115" i="35" s="1"/>
  <c r="A116" i="35" s="1"/>
  <c r="A117" i="35" s="1"/>
  <c r="A118" i="35" s="1"/>
  <c r="A119" i="35" s="1"/>
  <c r="A120" i="35" s="1"/>
  <c r="A121" i="35" s="1"/>
  <c r="A122" i="35" s="1"/>
  <c r="A123" i="35" s="1"/>
  <c r="A124" i="35" s="1"/>
  <c r="A125" i="35" s="1"/>
  <c r="A126" i="35" s="1"/>
  <c r="A127" i="35" s="1"/>
  <c r="A128" i="35" s="1"/>
  <c r="A129" i="35" s="1"/>
  <c r="A130" i="35" s="1"/>
  <c r="A131" i="35" s="1"/>
  <c r="A132" i="35" s="1"/>
  <c r="A133" i="35" s="1"/>
  <c r="A134" i="35" s="1"/>
  <c r="A135" i="35" s="1"/>
  <c r="A136" i="35" s="1"/>
  <c r="A137" i="35" s="1"/>
  <c r="A138" i="35" s="1"/>
  <c r="A139" i="35" s="1"/>
  <c r="A140" i="35" s="1"/>
  <c r="A141" i="35" s="1"/>
  <c r="A142" i="35" s="1"/>
  <c r="A143" i="35" s="1"/>
  <c r="A144" i="35" s="1"/>
  <c r="A145" i="35" s="1"/>
  <c r="A146" i="35" s="1"/>
  <c r="A147" i="35" s="1"/>
  <c r="A148" i="35" s="1"/>
  <c r="A149" i="35" s="1"/>
  <c r="A150" i="35" s="1"/>
  <c r="A151" i="35" s="1"/>
  <c r="A152" i="35" s="1"/>
  <c r="A153" i="35" s="1"/>
  <c r="A154" i="35" s="1"/>
  <c r="A155" i="35" s="1"/>
  <c r="A156" i="35" s="1"/>
  <c r="A157" i="35" s="1"/>
  <c r="A158" i="35" s="1"/>
  <c r="A159" i="35" s="1"/>
  <c r="A160" i="35" s="1"/>
  <c r="A161" i="35" s="1"/>
  <c r="A162" i="35" s="1"/>
  <c r="A163" i="35" s="1"/>
  <c r="A164" i="35" s="1"/>
  <c r="A165" i="35" s="1"/>
  <c r="A166" i="35" s="1"/>
  <c r="A167" i="35" s="1"/>
  <c r="A168" i="35" s="1"/>
  <c r="A169" i="35" s="1"/>
  <c r="A170" i="35" s="1"/>
  <c r="A171" i="35" s="1"/>
  <c r="A172" i="35" s="1"/>
  <c r="A173" i="35" s="1"/>
  <c r="A174" i="35" s="1"/>
  <c r="A175" i="35" s="1"/>
  <c r="A176" i="35" s="1"/>
  <c r="A177" i="35" s="1"/>
  <c r="A178" i="35" s="1"/>
  <c r="A179" i="35" s="1"/>
  <c r="A180" i="35" s="1"/>
  <c r="A181" i="35" s="1"/>
  <c r="A182" i="35" s="1"/>
  <c r="A183" i="35" s="1"/>
  <c r="A184" i="35" s="1"/>
  <c r="A185" i="35" s="1"/>
  <c r="A186" i="35" s="1"/>
  <c r="A187" i="35" s="1"/>
  <c r="A188" i="35" s="1"/>
  <c r="A189" i="35" s="1"/>
  <c r="A190" i="35" s="1"/>
  <c r="A20" i="35"/>
  <c r="D211" i="35" s="1"/>
  <c r="D209" i="35"/>
  <c r="D62" i="35"/>
  <c r="D168" i="34"/>
  <c r="C18" i="92"/>
  <c r="D213" i="36" l="1"/>
  <c r="A213" i="36"/>
  <c r="A214" i="36" s="1"/>
  <c r="D191" i="35"/>
  <c r="A191" i="35"/>
  <c r="A192" i="35" s="1"/>
  <c r="D168" i="35"/>
  <c r="A97" i="77"/>
  <c r="A98" i="77" s="1"/>
  <c r="A99" i="77" s="1"/>
  <c r="A100" i="77" s="1"/>
  <c r="A101" i="77" s="1"/>
  <c r="A102" i="77" s="1"/>
  <c r="A103" i="77" s="1"/>
  <c r="A104" i="77" s="1"/>
  <c r="A105" i="77" s="1"/>
  <c r="A106" i="77" s="1"/>
  <c r="A107" i="77" s="1"/>
  <c r="A108" i="77" s="1"/>
  <c r="A109" i="77" s="1"/>
  <c r="A110" i="77" s="1"/>
  <c r="A111" i="77" s="1"/>
  <c r="A112" i="77" s="1"/>
  <c r="A113" i="77" s="1"/>
  <c r="A114" i="77" s="1"/>
  <c r="A115" i="77" s="1"/>
  <c r="A116" i="77" s="1"/>
  <c r="A117" i="77" s="1"/>
  <c r="A118" i="77" s="1"/>
  <c r="A119" i="77" s="1"/>
  <c r="A120" i="77" s="1"/>
  <c r="A121" i="77" s="1"/>
  <c r="J27" i="81"/>
  <c r="K27" i="81"/>
  <c r="L27" i="81"/>
  <c r="J26" i="81"/>
  <c r="K26" i="81"/>
  <c r="L25" i="81"/>
  <c r="L26" i="81"/>
  <c r="E27" i="82"/>
  <c r="F27" i="82"/>
  <c r="E28" i="82"/>
  <c r="F28" i="82"/>
  <c r="E29" i="82"/>
  <c r="F29" i="82"/>
  <c r="F26" i="82"/>
  <c r="E26" i="82"/>
  <c r="F26" i="44"/>
  <c r="P26" i="44"/>
  <c r="D193" i="35" l="1"/>
  <c r="A193" i="35"/>
  <c r="A194" i="35" s="1"/>
  <c r="D62" i="34"/>
  <c r="C26" i="81"/>
  <c r="D26" i="81"/>
  <c r="E26" i="81"/>
  <c r="F26" i="81"/>
  <c r="G26" i="81"/>
  <c r="C27" i="81"/>
  <c r="D27" i="81"/>
  <c r="E27" i="81"/>
  <c r="F27" i="81"/>
  <c r="G27" i="81"/>
  <c r="A195" i="35" l="1"/>
  <c r="A196" i="35" s="1"/>
  <c r="D195" i="35"/>
  <c r="F27" i="44"/>
  <c r="P27" i="44"/>
  <c r="A11" i="111"/>
  <c r="A12" i="111" s="1"/>
  <c r="A13" i="111" s="1"/>
  <c r="A10" i="111"/>
  <c r="A7" i="111"/>
  <c r="A8" i="111" s="1"/>
  <c r="A9" i="111" s="1"/>
  <c r="C2" i="111"/>
  <c r="D197" i="35" l="1"/>
  <c r="A197" i="35"/>
  <c r="A198" i="35" s="1"/>
  <c r="B36" i="109"/>
  <c r="B37" i="109"/>
  <c r="D199" i="35" l="1"/>
  <c r="A199" i="35"/>
  <c r="A200" i="35" s="1"/>
  <c r="D191" i="34"/>
  <c r="A8" i="108"/>
  <c r="A9" i="108" s="1"/>
  <c r="A10" i="108" s="1"/>
  <c r="A11" i="108" s="1"/>
  <c r="A12" i="108" s="1"/>
  <c r="A13" i="108" s="1"/>
  <c r="A14" i="108" s="1"/>
  <c r="A15" i="108" s="1"/>
  <c r="A16" i="108" s="1"/>
  <c r="A17" i="108" s="1"/>
  <c r="A18" i="108" s="1"/>
  <c r="A19" i="108" s="1"/>
  <c r="A20" i="108" s="1"/>
  <c r="A21" i="108" s="1"/>
  <c r="A22" i="108" s="1"/>
  <c r="A23" i="108" s="1"/>
  <c r="A24" i="108" s="1"/>
  <c r="A25" i="108" s="1"/>
  <c r="A26" i="108" s="1"/>
  <c r="A27" i="108" s="1"/>
  <c r="A28" i="108" s="1"/>
  <c r="A29" i="108" s="1"/>
  <c r="A30" i="108" s="1"/>
  <c r="A31" i="108" s="1"/>
  <c r="A32" i="108" s="1"/>
  <c r="A33" i="108" s="1"/>
  <c r="A34" i="108" s="1"/>
  <c r="A35" i="108" s="1"/>
  <c r="A36" i="108" s="1"/>
  <c r="A37" i="108" s="1"/>
  <c r="A38" i="108" s="1"/>
  <c r="A39" i="108" s="1"/>
  <c r="A40" i="108" s="1"/>
  <c r="A41" i="108" s="1"/>
  <c r="A42" i="108" s="1"/>
  <c r="A43" i="108" s="1"/>
  <c r="A44" i="108" s="1"/>
  <c r="A45" i="108" s="1"/>
  <c r="A46" i="108" s="1"/>
  <c r="A47" i="108" s="1"/>
  <c r="A48" i="108" s="1"/>
  <c r="A49" i="108" s="1"/>
  <c r="A50" i="108" s="1"/>
  <c r="A51" i="108" s="1"/>
  <c r="A52" i="108" s="1"/>
  <c r="A53" i="108" s="1"/>
  <c r="A54" i="108" s="1"/>
  <c r="A55" i="108" s="1"/>
  <c r="A56" i="108" s="1"/>
  <c r="A57" i="108" s="1"/>
  <c r="A58" i="108" s="1"/>
  <c r="A59" i="108" s="1"/>
  <c r="A60" i="108" s="1"/>
  <c r="A61" i="108" s="1"/>
  <c r="A62" i="108" s="1"/>
  <c r="A63" i="108" s="1"/>
  <c r="A64" i="108" s="1"/>
  <c r="A65" i="108" s="1"/>
  <c r="A66" i="108" s="1"/>
  <c r="A67" i="108" s="1"/>
  <c r="A68" i="108" s="1"/>
  <c r="A69" i="108" s="1"/>
  <c r="A70" i="108" s="1"/>
  <c r="A71" i="108" s="1"/>
  <c r="A72" i="108" s="1"/>
  <c r="A73" i="108" s="1"/>
  <c r="A74" i="108" s="1"/>
  <c r="A75" i="108" s="1"/>
  <c r="A76" i="108" s="1"/>
  <c r="A77" i="108" s="1"/>
  <c r="A78" i="108" s="1"/>
  <c r="A79" i="108" s="1"/>
  <c r="A80" i="108" s="1"/>
  <c r="A81" i="108" s="1"/>
  <c r="A82" i="108" s="1"/>
  <c r="A83" i="108" s="1"/>
  <c r="A84" i="108" s="1"/>
  <c r="A85" i="108" s="1"/>
  <c r="A86" i="108" s="1"/>
  <c r="A87" i="108" s="1"/>
  <c r="A88" i="108" s="1"/>
  <c r="A89" i="108" s="1"/>
  <c r="A90" i="108" s="1"/>
  <c r="A91" i="108" s="1"/>
  <c r="A92" i="108" s="1"/>
  <c r="A93" i="108" s="1"/>
  <c r="A94" i="108" s="1"/>
  <c r="A95" i="108" s="1"/>
  <c r="A96" i="108" s="1"/>
  <c r="A97" i="108" s="1"/>
  <c r="A98" i="108" s="1"/>
  <c r="A99" i="108" s="1"/>
  <c r="A100" i="108" s="1"/>
  <c r="A101" i="108" s="1"/>
  <c r="A102" i="108" s="1"/>
  <c r="A103" i="108" s="1"/>
  <c r="A104" i="108" s="1"/>
  <c r="A105" i="108" s="1"/>
  <c r="A106" i="108" s="1"/>
  <c r="A107" i="108" s="1"/>
  <c r="A108" i="108" s="1"/>
  <c r="A109" i="108" s="1"/>
  <c r="A110" i="108" s="1"/>
  <c r="A111" i="108" s="1"/>
  <c r="A112" i="108" s="1"/>
  <c r="A113" i="108" s="1"/>
  <c r="A114" i="108" s="1"/>
  <c r="A115" i="108" s="1"/>
  <c r="A116" i="108" s="1"/>
  <c r="A117" i="108" s="1"/>
  <c r="A118" i="108" s="1"/>
  <c r="A119" i="108" s="1"/>
  <c r="A120" i="108" s="1"/>
  <c r="A121" i="108" s="1"/>
  <c r="A122" i="108" s="1"/>
  <c r="A123" i="108" s="1"/>
  <c r="A124" i="108" s="1"/>
  <c r="A125" i="108" s="1"/>
  <c r="A126" i="108" s="1"/>
  <c r="A127" i="108" s="1"/>
  <c r="A128" i="108" s="1"/>
  <c r="A129" i="108" s="1"/>
  <c r="A130" i="108" s="1"/>
  <c r="A131" i="108" s="1"/>
  <c r="A132" i="108" s="1"/>
  <c r="A133" i="108" s="1"/>
  <c r="A134" i="108" s="1"/>
  <c r="A135" i="108" s="1"/>
  <c r="A136" i="108" s="1"/>
  <c r="A137" i="108" s="1"/>
  <c r="A138" i="108" s="1"/>
  <c r="A139" i="108" s="1"/>
  <c r="A140" i="108" s="1"/>
  <c r="A141" i="108" s="1"/>
  <c r="A142" i="108" s="1"/>
  <c r="A143" i="108" s="1"/>
  <c r="A144" i="108" s="1"/>
  <c r="A145" i="108" s="1"/>
  <c r="A146" i="108" s="1"/>
  <c r="A147" i="108" s="1"/>
  <c r="A148" i="108" s="1"/>
  <c r="A149" i="108" s="1"/>
  <c r="A150" i="108" s="1"/>
  <c r="A151" i="108" s="1"/>
  <c r="A152" i="108" s="1"/>
  <c r="A153" i="108" s="1"/>
  <c r="A154" i="108" s="1"/>
  <c r="A155" i="108" s="1"/>
  <c r="A156" i="108" s="1"/>
  <c r="A157" i="108" s="1"/>
  <c r="A158" i="108" s="1"/>
  <c r="A159" i="108" s="1"/>
  <c r="A160" i="108" s="1"/>
  <c r="A161" i="108" s="1"/>
  <c r="A162" i="108" s="1"/>
  <c r="A163" i="108" s="1"/>
  <c r="A164" i="108" s="1"/>
  <c r="A165" i="108" s="1"/>
  <c r="A166" i="108" s="1"/>
  <c r="A167" i="108" s="1"/>
  <c r="A168" i="108" s="1"/>
  <c r="A169" i="108" s="1"/>
  <c r="A170" i="108" s="1"/>
  <c r="A171" i="108" s="1"/>
  <c r="A172" i="108" s="1"/>
  <c r="A173" i="108" s="1"/>
  <c r="A174" i="108" s="1"/>
  <c r="A175" i="108" s="1"/>
  <c r="A176" i="108" s="1"/>
  <c r="A177" i="108" s="1"/>
  <c r="A178" i="108" s="1"/>
  <c r="A179" i="108" s="1"/>
  <c r="A180" i="108" s="1"/>
  <c r="A181" i="108" s="1"/>
  <c r="A182" i="108" s="1"/>
  <c r="A183" i="108" s="1"/>
  <c r="A184" i="108" s="1"/>
  <c r="A185" i="108" s="1"/>
  <c r="A186" i="108" s="1"/>
  <c r="A187" i="108" s="1"/>
  <c r="A188" i="108" s="1"/>
  <c r="A189" i="108" s="1"/>
  <c r="A190" i="108" s="1"/>
  <c r="A191" i="108" s="1"/>
  <c r="A192" i="108" s="1"/>
  <c r="A193" i="108" s="1"/>
  <c r="A194" i="108" s="1"/>
  <c r="A195" i="108" s="1"/>
  <c r="A196" i="108" s="1"/>
  <c r="A197" i="108" s="1"/>
  <c r="A198" i="108" s="1"/>
  <c r="A199" i="108" s="1"/>
  <c r="A200" i="108" s="1"/>
  <c r="A201" i="108" s="1"/>
  <c r="A202" i="108" s="1"/>
  <c r="A203" i="108" s="1"/>
  <c r="A204" i="108" s="1"/>
  <c r="A205" i="108" s="1"/>
  <c r="A206" i="108" s="1"/>
  <c r="A207" i="108" s="1"/>
  <c r="A208" i="108" s="1"/>
  <c r="A209" i="108" s="1"/>
  <c r="A210" i="108" s="1"/>
  <c r="A211" i="108" s="1"/>
  <c r="A212" i="108" s="1"/>
  <c r="A213" i="108" s="1"/>
  <c r="A214" i="108" s="1"/>
  <c r="A215" i="108" s="1"/>
  <c r="A216" i="108" s="1"/>
  <c r="A217" i="108" s="1"/>
  <c r="A218" i="108" s="1"/>
  <c r="A219" i="108" s="1"/>
  <c r="A220" i="108" s="1"/>
  <c r="A221" i="108" s="1"/>
  <c r="A222" i="108" s="1"/>
  <c r="A223" i="108" s="1"/>
  <c r="A224" i="108" s="1"/>
  <c r="A225" i="108" s="1"/>
  <c r="A226" i="108" s="1"/>
  <c r="A227" i="108" s="1"/>
  <c r="A228" i="108" s="1"/>
  <c r="A229" i="108" s="1"/>
  <c r="A230" i="108" s="1"/>
  <c r="A231" i="108" s="1"/>
  <c r="A232" i="108" s="1"/>
  <c r="A233" i="108" s="1"/>
  <c r="A234" i="108" s="1"/>
  <c r="A235" i="108" s="1"/>
  <c r="A236" i="108" s="1"/>
  <c r="A237" i="108" s="1"/>
  <c r="A238" i="108" s="1"/>
  <c r="A239" i="108" s="1"/>
  <c r="A240" i="108" s="1"/>
  <c r="A241" i="108" s="1"/>
  <c r="A242" i="108" s="1"/>
  <c r="A243" i="108" s="1"/>
  <c r="A244" i="108" s="1"/>
  <c r="A245" i="108" s="1"/>
  <c r="A246" i="108" s="1"/>
  <c r="A247" i="108" s="1"/>
  <c r="A248" i="108" s="1"/>
  <c r="A249" i="108" s="1"/>
  <c r="A250" i="108" s="1"/>
  <c r="A251" i="108" s="1"/>
  <c r="A252" i="108" s="1"/>
  <c r="A253" i="108" s="1"/>
  <c r="A254" i="108" s="1"/>
  <c r="A255" i="108" s="1"/>
  <c r="A256" i="108" s="1"/>
  <c r="A257" i="108" s="1"/>
  <c r="A258" i="108" s="1"/>
  <c r="A259" i="108" s="1"/>
  <c r="A260" i="108" s="1"/>
  <c r="A261" i="108" s="1"/>
  <c r="A262" i="108" s="1"/>
  <c r="A263" i="108" s="1"/>
  <c r="A264" i="108" s="1"/>
  <c r="A265" i="108" s="1"/>
  <c r="A266" i="108" s="1"/>
  <c r="A267" i="108" s="1"/>
  <c r="A268" i="108" s="1"/>
  <c r="A269" i="108" s="1"/>
  <c r="A270" i="108" s="1"/>
  <c r="A271" i="108" s="1"/>
  <c r="A272" i="108" s="1"/>
  <c r="A273" i="108" s="1"/>
  <c r="A274" i="108" s="1"/>
  <c r="A275" i="108" s="1"/>
  <c r="A276" i="108" s="1"/>
  <c r="A277" i="108" s="1"/>
  <c r="A278" i="108" s="1"/>
  <c r="A279" i="108" s="1"/>
  <c r="A280" i="108" s="1"/>
  <c r="A281" i="108" s="1"/>
  <c r="A282" i="108" s="1"/>
  <c r="A283" i="108" s="1"/>
  <c r="A284" i="108" s="1"/>
  <c r="A285" i="108" s="1"/>
  <c r="A286" i="108" s="1"/>
  <c r="A287" i="108" s="1"/>
  <c r="A288" i="108" s="1"/>
  <c r="A289" i="108" s="1"/>
  <c r="A290" i="108" s="1"/>
  <c r="A291" i="108" s="1"/>
  <c r="A292" i="108" s="1"/>
  <c r="A293" i="108" s="1"/>
  <c r="A294" i="108" s="1"/>
  <c r="A295" i="108" s="1"/>
  <c r="A296" i="108" s="1"/>
  <c r="A297" i="108" s="1"/>
  <c r="A298" i="108" s="1"/>
  <c r="A299" i="108" s="1"/>
  <c r="A300" i="108" s="1"/>
  <c r="A301" i="108" s="1"/>
  <c r="A302" i="108" s="1"/>
  <c r="A303" i="108" s="1"/>
  <c r="A304" i="108" s="1"/>
  <c r="A305" i="108" s="1"/>
  <c r="A306" i="108" s="1"/>
  <c r="A307" i="108" s="1"/>
  <c r="A308" i="108" s="1"/>
  <c r="A309" i="108" s="1"/>
  <c r="A310" i="108" s="1"/>
  <c r="A311" i="108" s="1"/>
  <c r="A312" i="108" s="1"/>
  <c r="A313" i="108" s="1"/>
  <c r="A314" i="108" s="1"/>
  <c r="A315" i="108" s="1"/>
  <c r="A316" i="108" s="1"/>
  <c r="A317" i="108" s="1"/>
  <c r="A318" i="108" s="1"/>
  <c r="A319" i="108" s="1"/>
  <c r="A320" i="108" s="1"/>
  <c r="A321" i="108" s="1"/>
  <c r="A322" i="108" s="1"/>
  <c r="A323" i="108" s="1"/>
  <c r="A324" i="108" s="1"/>
  <c r="A325" i="108" s="1"/>
  <c r="A326" i="108" s="1"/>
  <c r="A327" i="108" s="1"/>
  <c r="A328" i="108" s="1"/>
  <c r="A329" i="108" s="1"/>
  <c r="A330" i="108" s="1"/>
  <c r="A331" i="108" s="1"/>
  <c r="A332" i="108" s="1"/>
  <c r="A333" i="108" s="1"/>
  <c r="A334" i="108" s="1"/>
  <c r="A335" i="108" s="1"/>
  <c r="A336" i="108" s="1"/>
  <c r="A337" i="108" s="1"/>
  <c r="A338" i="108" s="1"/>
  <c r="A339" i="108" s="1"/>
  <c r="A340" i="108" s="1"/>
  <c r="A341" i="108" s="1"/>
  <c r="A342" i="108" s="1"/>
  <c r="A343" i="108" s="1"/>
  <c r="A344" i="108" s="1"/>
  <c r="A345" i="108" s="1"/>
  <c r="A346" i="108" s="1"/>
  <c r="A347" i="108" s="1"/>
  <c r="A348" i="108" s="1"/>
  <c r="A349" i="108" s="1"/>
  <c r="A350" i="108" s="1"/>
  <c r="A351" i="108" s="1"/>
  <c r="A352" i="108" s="1"/>
  <c r="A353" i="108" s="1"/>
  <c r="A354" i="108" s="1"/>
  <c r="A355" i="108" s="1"/>
  <c r="A356" i="108" s="1"/>
  <c r="A357" i="108" s="1"/>
  <c r="A358" i="108" s="1"/>
  <c r="A359" i="108" s="1"/>
  <c r="A360" i="108" s="1"/>
  <c r="A361" i="108" s="1"/>
  <c r="A362" i="108" s="1"/>
  <c r="A363" i="108" s="1"/>
  <c r="A364" i="108" s="1"/>
  <c r="A365" i="108" s="1"/>
  <c r="A366" i="108" s="1"/>
  <c r="A367" i="108" s="1"/>
  <c r="A368" i="108" s="1"/>
  <c r="A369" i="108" s="1"/>
  <c r="A370" i="108" s="1"/>
  <c r="A371" i="108" s="1"/>
  <c r="A372" i="108" s="1"/>
  <c r="A373" i="108" s="1"/>
  <c r="A374" i="108" s="1"/>
  <c r="A375" i="108" s="1"/>
  <c r="A376" i="108" s="1"/>
  <c r="A377" i="108" s="1"/>
  <c r="A378" i="108" s="1"/>
  <c r="A379" i="108" s="1"/>
  <c r="A380" i="108" s="1"/>
  <c r="A381" i="108" s="1"/>
  <c r="A382" i="108" s="1"/>
  <c r="A383" i="108" s="1"/>
  <c r="A384" i="108" s="1"/>
  <c r="A385" i="108" s="1"/>
  <c r="A386" i="108" s="1"/>
  <c r="A387" i="108" s="1"/>
  <c r="A388" i="108" s="1"/>
  <c r="A389" i="108" s="1"/>
  <c r="A390" i="108" s="1"/>
  <c r="A391" i="108" s="1"/>
  <c r="A392" i="108" s="1"/>
  <c r="A393" i="108" s="1"/>
  <c r="A394" i="108" s="1"/>
  <c r="A395" i="108" s="1"/>
  <c r="A396" i="108" s="1"/>
  <c r="A397" i="108" s="1"/>
  <c r="A398" i="108" s="1"/>
  <c r="A399" i="108" s="1"/>
  <c r="A400" i="108" s="1"/>
  <c r="A401" i="108" s="1"/>
  <c r="A402" i="108" s="1"/>
  <c r="A403" i="108" s="1"/>
  <c r="A404" i="108" s="1"/>
  <c r="A405" i="108" s="1"/>
  <c r="A406" i="108" s="1"/>
  <c r="A407" i="108" s="1"/>
  <c r="A408" i="108" s="1"/>
  <c r="A409" i="108" s="1"/>
  <c r="A410" i="108" s="1"/>
  <c r="A411" i="108" s="1"/>
  <c r="A412" i="108" s="1"/>
  <c r="A413" i="108" s="1"/>
  <c r="A414" i="108" s="1"/>
  <c r="A415" i="108" s="1"/>
  <c r="A416" i="108" s="1"/>
  <c r="A417" i="108" s="1"/>
  <c r="A418" i="108" s="1"/>
  <c r="A419" i="108" s="1"/>
  <c r="A420" i="108" s="1"/>
  <c r="A421" i="108" s="1"/>
  <c r="A422" i="108" s="1"/>
  <c r="A423" i="108" s="1"/>
  <c r="A424" i="108" s="1"/>
  <c r="A425" i="108" s="1"/>
  <c r="A426" i="108" s="1"/>
  <c r="A427" i="108" s="1"/>
  <c r="A428" i="108" s="1"/>
  <c r="A429" i="108" s="1"/>
  <c r="A430" i="108" s="1"/>
  <c r="A431" i="108" s="1"/>
  <c r="A432" i="108" s="1"/>
  <c r="A433" i="108" s="1"/>
  <c r="A434" i="108" s="1"/>
  <c r="A435" i="108" s="1"/>
  <c r="A436" i="108" s="1"/>
  <c r="A437" i="108" s="1"/>
  <c r="A438" i="108" s="1"/>
  <c r="A439" i="108" s="1"/>
  <c r="A440" i="108" s="1"/>
  <c r="A441" i="108" s="1"/>
  <c r="A442" i="108" s="1"/>
  <c r="A443" i="108" s="1"/>
  <c r="A444" i="108" s="1"/>
  <c r="A445" i="108" s="1"/>
  <c r="A446" i="108" s="1"/>
  <c r="A447" i="108" s="1"/>
  <c r="A448" i="108" s="1"/>
  <c r="A449" i="108" s="1"/>
  <c r="A450" i="108" s="1"/>
  <c r="A451" i="108" s="1"/>
  <c r="A452" i="108" s="1"/>
  <c r="A453" i="108" s="1"/>
  <c r="A454" i="108" s="1"/>
  <c r="A455" i="108" s="1"/>
  <c r="A456" i="108" s="1"/>
  <c r="A457" i="108" s="1"/>
  <c r="A458" i="108" s="1"/>
  <c r="A459" i="108" s="1"/>
  <c r="A460" i="108" s="1"/>
  <c r="A461" i="108" s="1"/>
  <c r="A462" i="108" s="1"/>
  <c r="A463" i="108" s="1"/>
  <c r="A464" i="108" s="1"/>
  <c r="A465" i="108" s="1"/>
  <c r="A466" i="108" s="1"/>
  <c r="A467" i="108" s="1"/>
  <c r="A468" i="108" s="1"/>
  <c r="A469" i="108" s="1"/>
  <c r="A470" i="108" s="1"/>
  <c r="A471" i="108" s="1"/>
  <c r="A472" i="108" s="1"/>
  <c r="A473" i="108" s="1"/>
  <c r="A474" i="108" s="1"/>
  <c r="A475" i="108" s="1"/>
  <c r="A476" i="108" s="1"/>
  <c r="A477" i="108" s="1"/>
  <c r="A478" i="108" s="1"/>
  <c r="A479" i="108" s="1"/>
  <c r="A480" i="108" s="1"/>
  <c r="A481" i="108" s="1"/>
  <c r="A482" i="108" s="1"/>
  <c r="A483" i="108" s="1"/>
  <c r="A484" i="108" s="1"/>
  <c r="A485" i="108" s="1"/>
  <c r="A486" i="108" s="1"/>
  <c r="A487" i="108" s="1"/>
  <c r="C25" i="44"/>
  <c r="D25" i="44"/>
  <c r="D24" i="44"/>
  <c r="C24" i="44"/>
  <c r="F24" i="44"/>
  <c r="F25" i="44"/>
  <c r="P24" i="44"/>
  <c r="P25" i="44"/>
  <c r="B2" i="109"/>
  <c r="B130" i="109"/>
  <c r="B129" i="109"/>
  <c r="B128" i="109"/>
  <c r="B127" i="109"/>
  <c r="B126" i="109"/>
  <c r="B125" i="109"/>
  <c r="B124" i="109"/>
  <c r="B123" i="109"/>
  <c r="B122" i="109"/>
  <c r="B121" i="109"/>
  <c r="B95" i="109"/>
  <c r="B94" i="109"/>
  <c r="B93" i="109"/>
  <c r="B92" i="109"/>
  <c r="B91" i="109"/>
  <c r="B90" i="109"/>
  <c r="B89" i="109"/>
  <c r="B88" i="109"/>
  <c r="B87" i="109"/>
  <c r="B86" i="109"/>
  <c r="B85" i="109"/>
  <c r="B84" i="109"/>
  <c r="B83" i="109"/>
  <c r="B82" i="109"/>
  <c r="B81" i="109"/>
  <c r="B80" i="109"/>
  <c r="B79" i="109"/>
  <c r="B78" i="109"/>
  <c r="B77" i="109"/>
  <c r="B76" i="109"/>
  <c r="B159" i="109"/>
  <c r="B160" i="109"/>
  <c r="B161" i="109"/>
  <c r="B162" i="109"/>
  <c r="B163" i="109"/>
  <c r="B164" i="109"/>
  <c r="B165" i="109"/>
  <c r="B166" i="109"/>
  <c r="B167" i="109"/>
  <c r="B168" i="109"/>
  <c r="B169" i="109"/>
  <c r="B170" i="109"/>
  <c r="B171" i="109"/>
  <c r="B172" i="109"/>
  <c r="B173" i="109"/>
  <c r="B174" i="109"/>
  <c r="B175" i="109"/>
  <c r="B176" i="109"/>
  <c r="B177" i="109"/>
  <c r="B178" i="109"/>
  <c r="B179" i="109"/>
  <c r="B180" i="109"/>
  <c r="B181" i="109"/>
  <c r="B182" i="109"/>
  <c r="B183" i="109"/>
  <c r="B184" i="109"/>
  <c r="B185" i="109"/>
  <c r="B186" i="109"/>
  <c r="B187" i="109"/>
  <c r="B188" i="109"/>
  <c r="B189" i="109"/>
  <c r="B190" i="109"/>
  <c r="B191" i="109"/>
  <c r="B192" i="109"/>
  <c r="B193" i="109"/>
  <c r="B194" i="109"/>
  <c r="B195" i="109"/>
  <c r="B196" i="109"/>
  <c r="B197" i="109"/>
  <c r="B198" i="109"/>
  <c r="B199" i="109"/>
  <c r="B105" i="109"/>
  <c r="B106" i="109"/>
  <c r="B107" i="109"/>
  <c r="B108" i="109"/>
  <c r="B109" i="109"/>
  <c r="B110" i="109"/>
  <c r="B111" i="109"/>
  <c r="B112" i="109"/>
  <c r="B113" i="109"/>
  <c r="B114" i="109"/>
  <c r="B115" i="109"/>
  <c r="B116" i="109"/>
  <c r="B117" i="109"/>
  <c r="B118" i="109"/>
  <c r="B119" i="109"/>
  <c r="B120" i="109"/>
  <c r="B104" i="109"/>
  <c r="A201" i="35" l="1"/>
  <c r="D201" i="35"/>
  <c r="D193" i="34"/>
  <c r="B158" i="109"/>
  <c r="B157" i="109"/>
  <c r="B156" i="109"/>
  <c r="B155" i="109"/>
  <c r="B154" i="109"/>
  <c r="B153" i="109"/>
  <c r="B152" i="109"/>
  <c r="B151" i="109"/>
  <c r="B45" i="109"/>
  <c r="B44" i="109"/>
  <c r="B43" i="109"/>
  <c r="B42" i="109"/>
  <c r="B41" i="109"/>
  <c r="B40" i="109"/>
  <c r="B39" i="109"/>
  <c r="B38" i="109"/>
  <c r="B35" i="109"/>
  <c r="B34" i="109"/>
  <c r="B150" i="109"/>
  <c r="B149" i="109"/>
  <c r="B148" i="109"/>
  <c r="B147" i="109"/>
  <c r="B146" i="109"/>
  <c r="B145" i="109"/>
  <c r="B144" i="109"/>
  <c r="B143" i="109"/>
  <c r="B142" i="109"/>
  <c r="B141" i="109"/>
  <c r="B140" i="109"/>
  <c r="B139" i="109"/>
  <c r="B138" i="109"/>
  <c r="B137" i="109"/>
  <c r="B136" i="109"/>
  <c r="B135" i="109"/>
  <c r="B134" i="109"/>
  <c r="B133" i="109"/>
  <c r="B132" i="109"/>
  <c r="B131" i="109"/>
  <c r="A2" i="109"/>
  <c r="B75" i="109"/>
  <c r="B74" i="109"/>
  <c r="B73" i="109"/>
  <c r="B72" i="109"/>
  <c r="B71" i="109"/>
  <c r="B70" i="109"/>
  <c r="B69" i="109"/>
  <c r="B68" i="109"/>
  <c r="B67" i="109"/>
  <c r="B66" i="109"/>
  <c r="B65" i="109"/>
  <c r="B64" i="109"/>
  <c r="B63" i="109"/>
  <c r="B62" i="109"/>
  <c r="B61" i="109"/>
  <c r="B60" i="109"/>
  <c r="B59" i="109"/>
  <c r="B58" i="109"/>
  <c r="B57" i="109"/>
  <c r="B56" i="109"/>
  <c r="B55" i="109"/>
  <c r="B54" i="109"/>
  <c r="B53" i="109"/>
  <c r="B52" i="109"/>
  <c r="B51" i="109"/>
  <c r="B50" i="109"/>
  <c r="B49" i="109"/>
  <c r="B48" i="109"/>
  <c r="B47" i="109"/>
  <c r="B46" i="109"/>
  <c r="B33" i="109"/>
  <c r="B32" i="109"/>
  <c r="B31" i="109"/>
  <c r="B30" i="109"/>
  <c r="B29" i="109"/>
  <c r="B28" i="109"/>
  <c r="B27" i="109"/>
  <c r="B26" i="109"/>
  <c r="B25" i="109"/>
  <c r="B24" i="109"/>
  <c r="B23" i="109"/>
  <c r="B22" i="109"/>
  <c r="B21" i="109"/>
  <c r="B20" i="109"/>
  <c r="B19" i="109"/>
  <c r="B18" i="109"/>
  <c r="B17" i="109"/>
  <c r="B16" i="109"/>
  <c r="B15" i="109"/>
  <c r="B14" i="109"/>
  <c r="B13" i="109"/>
  <c r="B12" i="109"/>
  <c r="B11" i="109"/>
  <c r="B10" i="109"/>
  <c r="B9" i="109"/>
  <c r="B8" i="109"/>
  <c r="B7" i="109"/>
  <c r="B6" i="109"/>
  <c r="B5" i="109"/>
  <c r="B4" i="109"/>
  <c r="C646" i="108"/>
  <c r="A214" i="35" l="1"/>
  <c r="A202" i="35"/>
  <c r="D197" i="34"/>
  <c r="B25" i="93" a="1"/>
  <c r="B25" i="93" s="1"/>
  <c r="B24" i="93" a="1"/>
  <c r="B24" i="93" s="1"/>
  <c r="A488" i="108" a="1"/>
  <c r="A488" i="108" s="1"/>
  <c r="A489" i="108" s="1"/>
  <c r="A490" i="108" s="1"/>
  <c r="A491" i="108" s="1"/>
  <c r="A492" i="108" s="1"/>
  <c r="A493" i="108" s="1"/>
  <c r="A494" i="108" s="1"/>
  <c r="A495" i="108" s="1"/>
  <c r="A496" i="108" s="1"/>
  <c r="A497" i="108" s="1"/>
  <c r="A498" i="108" s="1"/>
  <c r="A499" i="108" s="1"/>
  <c r="A500" i="108" s="1"/>
  <c r="A501" i="108" s="1"/>
  <c r="A502" i="108" s="1"/>
  <c r="A503" i="108" s="1"/>
  <c r="A504" i="108" s="1"/>
  <c r="A505" i="108" s="1"/>
  <c r="A506" i="108" s="1"/>
  <c r="A507" i="108" s="1"/>
  <c r="A508" i="108" s="1"/>
  <c r="A509" i="108" s="1"/>
  <c r="A510" i="108" s="1"/>
  <c r="A511" i="108" s="1"/>
  <c r="A512" i="108" s="1"/>
  <c r="A513" i="108" s="1"/>
  <c r="A514" i="108" s="1"/>
  <c r="A515" i="108" s="1"/>
  <c r="A516" i="108" s="1"/>
  <c r="A517" i="108" s="1"/>
  <c r="A518" i="108" s="1"/>
  <c r="A519" i="108" s="1"/>
  <c r="A520" i="108" s="1"/>
  <c r="A521" i="108" s="1"/>
  <c r="A522" i="108" s="1"/>
  <c r="A523" i="108" s="1"/>
  <c r="A524" i="108" s="1"/>
  <c r="A525" i="108" s="1"/>
  <c r="A526" i="108" s="1"/>
  <c r="A527" i="108" s="1"/>
  <c r="A528" i="108" s="1"/>
  <c r="A529" i="108" s="1"/>
  <c r="A530" i="108" s="1"/>
  <c r="A531" i="108" s="1"/>
  <c r="A532" i="108" s="1"/>
  <c r="A533" i="108" s="1"/>
  <c r="A534" i="108" s="1"/>
  <c r="A535" i="108" s="1"/>
  <c r="A536" i="108" s="1"/>
  <c r="A537" i="108" s="1"/>
  <c r="A538" i="108" s="1"/>
  <c r="A539" i="108" s="1"/>
  <c r="A540" i="108" s="1"/>
  <c r="A541" i="108" s="1"/>
  <c r="A542" i="108" s="1"/>
  <c r="A543" i="108" s="1"/>
  <c r="A544" i="108" s="1"/>
  <c r="A545" i="108" s="1"/>
  <c r="A546" i="108" s="1"/>
  <c r="A547" i="108" s="1"/>
  <c r="A548" i="108" s="1"/>
  <c r="A549" i="108" s="1"/>
  <c r="A550" i="108" s="1"/>
  <c r="A551" i="108" s="1"/>
  <c r="A552" i="108" s="1"/>
  <c r="A553" i="108" s="1"/>
  <c r="A554" i="108" s="1"/>
  <c r="A555" i="108" s="1"/>
  <c r="A556" i="108" s="1"/>
  <c r="A557" i="108" s="1"/>
  <c r="A558" i="108" s="1"/>
  <c r="A559" i="108" s="1"/>
  <c r="A560" i="108" s="1"/>
  <c r="A561" i="108" s="1"/>
  <c r="A562" i="108" s="1"/>
  <c r="A563" i="108" s="1"/>
  <c r="A564" i="108" s="1"/>
  <c r="A565" i="108" s="1"/>
  <c r="A566" i="108" s="1"/>
  <c r="A567" i="108" s="1"/>
  <c r="A568" i="108" s="1"/>
  <c r="A569" i="108" s="1"/>
  <c r="A570" i="108" s="1"/>
  <c r="A571" i="108" s="1"/>
  <c r="A572" i="108" s="1"/>
  <c r="A573" i="108" s="1"/>
  <c r="A574" i="108" s="1"/>
  <c r="A575" i="108" s="1"/>
  <c r="A576" i="108" s="1"/>
  <c r="A577" i="108" s="1"/>
  <c r="A578" i="108" s="1"/>
  <c r="A579" i="108" s="1"/>
  <c r="A580" i="108" s="1"/>
  <c r="A581" i="108" s="1"/>
  <c r="A582" i="108" s="1"/>
  <c r="A583" i="108" s="1"/>
  <c r="A584" i="108" s="1"/>
  <c r="A585" i="108" s="1"/>
  <c r="A586" i="108" s="1"/>
  <c r="A587" i="108" s="1"/>
  <c r="A588" i="108" s="1"/>
  <c r="A589" i="108" s="1"/>
  <c r="A590" i="108" s="1"/>
  <c r="A591" i="108" s="1"/>
  <c r="A592" i="108" s="1"/>
  <c r="A593" i="108" s="1"/>
  <c r="A594" i="108" s="1"/>
  <c r="A595" i="108" s="1"/>
  <c r="A596" i="108" s="1"/>
  <c r="A597" i="108" s="1"/>
  <c r="A598" i="108" s="1"/>
  <c r="A599" i="108" s="1"/>
  <c r="A600" i="108" s="1"/>
  <c r="A601" i="108" s="1"/>
  <c r="A602" i="108" s="1"/>
  <c r="A603" i="108" s="1"/>
  <c r="A604" i="108" s="1"/>
  <c r="A605" i="108" s="1"/>
  <c r="A606" i="108" s="1"/>
  <c r="A607" i="108" s="1"/>
  <c r="A608" i="108" s="1"/>
  <c r="A609" i="108" s="1"/>
  <c r="A610" i="108" s="1"/>
  <c r="A611" i="108" s="1"/>
  <c r="A612" i="108" s="1"/>
  <c r="A613" i="108" s="1"/>
  <c r="A614" i="108" s="1"/>
  <c r="A615" i="108" s="1"/>
  <c r="A616" i="108" s="1"/>
  <c r="A617" i="108" s="1"/>
  <c r="A618" i="108" s="1"/>
  <c r="A619" i="108" s="1"/>
  <c r="A620" i="108" s="1"/>
  <c r="A621" i="108" s="1"/>
  <c r="A622" i="108" s="1"/>
  <c r="A623" i="108" s="1"/>
  <c r="A624" i="108" s="1"/>
  <c r="A625" i="108" s="1"/>
  <c r="A626" i="108" s="1"/>
  <c r="A627" i="108" s="1"/>
  <c r="A628" i="108" s="1"/>
  <c r="A629" i="108" s="1"/>
  <c r="A630" i="108" s="1"/>
  <c r="A631" i="108" s="1"/>
  <c r="A632" i="108" s="1"/>
  <c r="A633" i="108" s="1"/>
  <c r="A634" i="108" s="1"/>
  <c r="A635" i="108" s="1"/>
  <c r="A636" i="108" s="1"/>
  <c r="A637" i="108" s="1"/>
  <c r="A638" i="108" s="1"/>
  <c r="A639" i="108" s="1"/>
  <c r="A640" i="108" s="1"/>
  <c r="A641" i="108" s="1"/>
  <c r="A642" i="108" s="1"/>
  <c r="A643" i="108" s="1"/>
  <c r="A644" i="108" s="1"/>
  <c r="A645" i="108" s="1"/>
  <c r="A646" i="108" s="1"/>
  <c r="A647" i="108" s="1"/>
  <c r="C2" i="109" a="1"/>
  <c r="C2" i="109" s="1"/>
  <c r="D2" i="109" a="1"/>
  <c r="D2" i="109" s="1"/>
  <c r="C28" i="108"/>
  <c r="C29" i="108"/>
  <c r="C30" i="108"/>
  <c r="C31" i="108"/>
  <c r="C32" i="108"/>
  <c r="C35" i="108"/>
  <c r="C36" i="108"/>
  <c r="C37" i="108"/>
  <c r="C38" i="108"/>
  <c r="C39" i="108"/>
  <c r="C40" i="108"/>
  <c r="C41" i="108"/>
  <c r="C42" i="108"/>
  <c r="C43" i="108"/>
  <c r="C44" i="108"/>
  <c r="C45" i="108"/>
  <c r="C48" i="108"/>
  <c r="C49" i="108"/>
  <c r="C50" i="108"/>
  <c r="C51" i="108"/>
  <c r="C52" i="108"/>
  <c r="C55" i="108"/>
  <c r="C56" i="108"/>
  <c r="C57" i="108"/>
  <c r="C58" i="108"/>
  <c r="C59" i="108"/>
  <c r="C62" i="108"/>
  <c r="C63" i="108"/>
  <c r="C64" i="108"/>
  <c r="C65" i="108"/>
  <c r="C66" i="108"/>
  <c r="C67" i="108"/>
  <c r="C68" i="108"/>
  <c r="C71" i="108"/>
  <c r="C72" i="108"/>
  <c r="C73" i="108"/>
  <c r="C74" i="108"/>
  <c r="C75" i="108"/>
  <c r="C76" i="108"/>
  <c r="C77" i="108"/>
  <c r="C78" i="108"/>
  <c r="C79" i="108"/>
  <c r="C80" i="108"/>
  <c r="C81" i="108"/>
  <c r="C82" i="108"/>
  <c r="C83" i="108"/>
  <c r="C84" i="108"/>
  <c r="C85" i="108"/>
  <c r="C87" i="108"/>
  <c r="C91" i="108"/>
  <c r="C92" i="108"/>
  <c r="C93" i="108"/>
  <c r="C94" i="108"/>
  <c r="C95" i="108"/>
  <c r="C96" i="108"/>
  <c r="C97" i="108"/>
  <c r="C100" i="108"/>
  <c r="C101" i="108"/>
  <c r="C102" i="108"/>
  <c r="C105" i="108"/>
  <c r="C108" i="108"/>
  <c r="C109" i="108"/>
  <c r="C110" i="108"/>
  <c r="C111" i="108"/>
  <c r="C112" i="108"/>
  <c r="C115" i="108"/>
  <c r="C116" i="108"/>
  <c r="C117" i="108"/>
  <c r="C118" i="108"/>
  <c r="C119" i="108"/>
  <c r="C120" i="108"/>
  <c r="C121" i="108"/>
  <c r="C122" i="108"/>
  <c r="C123" i="108"/>
  <c r="C124" i="108"/>
  <c r="C125" i="108"/>
  <c r="C128" i="108"/>
  <c r="C129" i="108"/>
  <c r="C130" i="108"/>
  <c r="C131" i="108"/>
  <c r="C132" i="108"/>
  <c r="C135" i="108"/>
  <c r="C136" i="108"/>
  <c r="C137" i="108"/>
  <c r="C138" i="108"/>
  <c r="C139" i="108"/>
  <c r="C142" i="108"/>
  <c r="C143" i="108"/>
  <c r="C144" i="108"/>
  <c r="C145" i="108"/>
  <c r="C146" i="108"/>
  <c r="C147" i="108"/>
  <c r="C148" i="108"/>
  <c r="C151" i="108"/>
  <c r="C152" i="108"/>
  <c r="C153" i="108"/>
  <c r="C154" i="108"/>
  <c r="C155" i="108"/>
  <c r="C156" i="108"/>
  <c r="C157" i="108"/>
  <c r="C158" i="108"/>
  <c r="C159" i="108"/>
  <c r="C160" i="108"/>
  <c r="C161" i="108"/>
  <c r="C162" i="108"/>
  <c r="C163" i="108"/>
  <c r="C164" i="108"/>
  <c r="C165" i="108"/>
  <c r="C167" i="108"/>
  <c r="C171" i="108"/>
  <c r="C172" i="108"/>
  <c r="C173" i="108"/>
  <c r="C174" i="108"/>
  <c r="C175" i="108"/>
  <c r="C176" i="108"/>
  <c r="C177" i="108"/>
  <c r="C180" i="108"/>
  <c r="C181" i="108"/>
  <c r="C182" i="108"/>
  <c r="C185" i="108"/>
  <c r="C188" i="108"/>
  <c r="C189" i="108"/>
  <c r="C190" i="108"/>
  <c r="C191" i="108"/>
  <c r="C192" i="108"/>
  <c r="C195" i="108"/>
  <c r="C196" i="108"/>
  <c r="C197" i="108"/>
  <c r="C198" i="108"/>
  <c r="C199" i="108"/>
  <c r="C200" i="108"/>
  <c r="C201" i="108"/>
  <c r="C202" i="108"/>
  <c r="C203" i="108"/>
  <c r="C204" i="108"/>
  <c r="C205" i="108"/>
  <c r="C208" i="108"/>
  <c r="C209" i="108"/>
  <c r="C210" i="108"/>
  <c r="C211" i="108"/>
  <c r="C212" i="108"/>
  <c r="C215" i="108"/>
  <c r="C216" i="108"/>
  <c r="C217" i="108"/>
  <c r="C218" i="108"/>
  <c r="C219" i="108"/>
  <c r="C222" i="108"/>
  <c r="C223" i="108"/>
  <c r="C224" i="108"/>
  <c r="C225" i="108"/>
  <c r="C226" i="108"/>
  <c r="C227" i="108"/>
  <c r="C228" i="108"/>
  <c r="C231" i="108"/>
  <c r="C232" i="108"/>
  <c r="C233" i="108"/>
  <c r="C234" i="108"/>
  <c r="C235" i="108"/>
  <c r="C236" i="108"/>
  <c r="C237" i="108"/>
  <c r="C238" i="108"/>
  <c r="C239" i="108"/>
  <c r="C240" i="108"/>
  <c r="C241" i="108"/>
  <c r="C242" i="108"/>
  <c r="C243" i="108"/>
  <c r="C244" i="108"/>
  <c r="C245" i="108"/>
  <c r="C247" i="108"/>
  <c r="C251" i="108"/>
  <c r="C252" i="108"/>
  <c r="C253" i="108"/>
  <c r="C254" i="108"/>
  <c r="C255" i="108"/>
  <c r="C256" i="108"/>
  <c r="C257" i="108"/>
  <c r="C260" i="108"/>
  <c r="C261" i="108"/>
  <c r="C262" i="108"/>
  <c r="C265" i="108"/>
  <c r="C268" i="108"/>
  <c r="C269" i="108"/>
  <c r="C270" i="108"/>
  <c r="C271" i="108"/>
  <c r="C272" i="108"/>
  <c r="C275" i="108"/>
  <c r="C276" i="108"/>
  <c r="C277" i="108"/>
  <c r="C278" i="108"/>
  <c r="C279" i="108"/>
  <c r="C280" i="108"/>
  <c r="C281" i="108"/>
  <c r="C282" i="108"/>
  <c r="C283" i="108"/>
  <c r="C284" i="108"/>
  <c r="C285" i="108"/>
  <c r="C288" i="108"/>
  <c r="C289" i="108"/>
  <c r="C290" i="108"/>
  <c r="C291" i="108"/>
  <c r="C292" i="108"/>
  <c r="C295" i="108"/>
  <c r="C296" i="108"/>
  <c r="C297" i="108"/>
  <c r="C298" i="108"/>
  <c r="C299" i="108"/>
  <c r="C302" i="108"/>
  <c r="C303" i="108"/>
  <c r="C304" i="108"/>
  <c r="C305" i="108"/>
  <c r="C306" i="108"/>
  <c r="C307" i="108"/>
  <c r="C308" i="108"/>
  <c r="C311" i="108"/>
  <c r="C312" i="108"/>
  <c r="C313" i="108"/>
  <c r="C314" i="108"/>
  <c r="C315" i="108"/>
  <c r="C316" i="108"/>
  <c r="C317" i="108"/>
  <c r="C318" i="108"/>
  <c r="C319" i="108"/>
  <c r="C320" i="108"/>
  <c r="C321" i="108"/>
  <c r="C322" i="108"/>
  <c r="C323" i="108"/>
  <c r="C324" i="108"/>
  <c r="C325" i="108"/>
  <c r="C327" i="108"/>
  <c r="C331" i="108"/>
  <c r="C332" i="108"/>
  <c r="C333" i="108"/>
  <c r="C334" i="108"/>
  <c r="C335" i="108"/>
  <c r="C336" i="108"/>
  <c r="C337" i="108"/>
  <c r="C340" i="108"/>
  <c r="C341" i="108"/>
  <c r="C342" i="108"/>
  <c r="C345" i="108"/>
  <c r="C348" i="108"/>
  <c r="C349" i="108"/>
  <c r="C350" i="108"/>
  <c r="C351" i="108"/>
  <c r="C352" i="108"/>
  <c r="C355" i="108"/>
  <c r="C356" i="108"/>
  <c r="C357" i="108"/>
  <c r="C358" i="108"/>
  <c r="C359" i="108"/>
  <c r="C360" i="108"/>
  <c r="C361" i="108"/>
  <c r="C362" i="108"/>
  <c r="C363" i="108"/>
  <c r="C364" i="108"/>
  <c r="C365" i="108"/>
  <c r="C368" i="108"/>
  <c r="C369" i="108"/>
  <c r="C370" i="108"/>
  <c r="C371" i="108"/>
  <c r="C372" i="108"/>
  <c r="C375" i="108"/>
  <c r="C376" i="108"/>
  <c r="C377" i="108"/>
  <c r="C378" i="108"/>
  <c r="C379" i="108"/>
  <c r="C382" i="108"/>
  <c r="C383" i="108"/>
  <c r="C384" i="108"/>
  <c r="C385" i="108"/>
  <c r="C386" i="108"/>
  <c r="C387" i="108"/>
  <c r="C388" i="108"/>
  <c r="C391" i="108"/>
  <c r="C392" i="108"/>
  <c r="C393" i="108"/>
  <c r="C394" i="108"/>
  <c r="C395" i="108"/>
  <c r="C396" i="108"/>
  <c r="C397" i="108"/>
  <c r="C398" i="108"/>
  <c r="C399" i="108"/>
  <c r="C400" i="108"/>
  <c r="C401" i="108"/>
  <c r="C402" i="108"/>
  <c r="C403" i="108"/>
  <c r="C404" i="108"/>
  <c r="C405" i="108"/>
  <c r="C407" i="108"/>
  <c r="C411" i="108"/>
  <c r="C412" i="108"/>
  <c r="C413" i="108"/>
  <c r="C414" i="108"/>
  <c r="C415" i="108"/>
  <c r="C416" i="108"/>
  <c r="C417" i="108"/>
  <c r="C420" i="108"/>
  <c r="C421" i="108"/>
  <c r="C422" i="108"/>
  <c r="C425" i="108"/>
  <c r="C428" i="108"/>
  <c r="C429" i="108"/>
  <c r="C430" i="108"/>
  <c r="C431" i="108"/>
  <c r="C432" i="108"/>
  <c r="C435" i="108"/>
  <c r="C436" i="108"/>
  <c r="C437" i="108"/>
  <c r="C438" i="108"/>
  <c r="C439" i="108"/>
  <c r="C440" i="108"/>
  <c r="C441" i="108"/>
  <c r="C442" i="108"/>
  <c r="C443" i="108"/>
  <c r="C444" i="108"/>
  <c r="C445" i="108"/>
  <c r="C448" i="108"/>
  <c r="C449" i="108"/>
  <c r="C450" i="108"/>
  <c r="C451" i="108"/>
  <c r="C452" i="108"/>
  <c r="C455" i="108"/>
  <c r="C456" i="108"/>
  <c r="C457" i="108"/>
  <c r="C458" i="108"/>
  <c r="C459" i="108"/>
  <c r="C462" i="108"/>
  <c r="C463" i="108"/>
  <c r="C464" i="108"/>
  <c r="C465" i="108"/>
  <c r="C466" i="108"/>
  <c r="C467" i="108"/>
  <c r="C468" i="108"/>
  <c r="C471" i="108"/>
  <c r="C472" i="108"/>
  <c r="C473" i="108"/>
  <c r="C474" i="108"/>
  <c r="C475" i="108"/>
  <c r="C476" i="108"/>
  <c r="C477" i="108"/>
  <c r="C478" i="108"/>
  <c r="C479" i="108"/>
  <c r="C480" i="108"/>
  <c r="C481" i="108"/>
  <c r="C482" i="108"/>
  <c r="C483" i="108"/>
  <c r="C484" i="108"/>
  <c r="C485" i="108"/>
  <c r="C487" i="108"/>
  <c r="C491" i="108"/>
  <c r="C492" i="108"/>
  <c r="C493" i="108"/>
  <c r="C494" i="108"/>
  <c r="C495" i="108"/>
  <c r="C496" i="108"/>
  <c r="C497" i="108"/>
  <c r="C500" i="108"/>
  <c r="C501" i="108"/>
  <c r="C502" i="108"/>
  <c r="C505" i="108"/>
  <c r="C508" i="108"/>
  <c r="C509" i="108"/>
  <c r="C510" i="108"/>
  <c r="C511" i="108"/>
  <c r="C512" i="108"/>
  <c r="C515" i="108"/>
  <c r="C516" i="108"/>
  <c r="C517" i="108"/>
  <c r="C518" i="108"/>
  <c r="C519" i="108"/>
  <c r="C520" i="108"/>
  <c r="C521" i="108"/>
  <c r="C522" i="108"/>
  <c r="C523" i="108"/>
  <c r="C524" i="108"/>
  <c r="C525" i="108"/>
  <c r="C528" i="108"/>
  <c r="C529" i="108"/>
  <c r="C530" i="108"/>
  <c r="C531" i="108"/>
  <c r="C532" i="108"/>
  <c r="C535" i="108"/>
  <c r="C536" i="108"/>
  <c r="C537" i="108"/>
  <c r="C538" i="108"/>
  <c r="C539" i="108"/>
  <c r="C542" i="108"/>
  <c r="C543" i="108"/>
  <c r="C544" i="108"/>
  <c r="C545" i="108"/>
  <c r="C546" i="108"/>
  <c r="C547" i="108"/>
  <c r="C548" i="108"/>
  <c r="C551" i="108"/>
  <c r="C552" i="108"/>
  <c r="C553" i="108"/>
  <c r="C554" i="108"/>
  <c r="C555" i="108"/>
  <c r="C556" i="108"/>
  <c r="C557" i="108"/>
  <c r="C558" i="108"/>
  <c r="C559" i="108"/>
  <c r="C560" i="108"/>
  <c r="C561" i="108"/>
  <c r="C562" i="108"/>
  <c r="C563" i="108"/>
  <c r="C564" i="108"/>
  <c r="C565" i="108"/>
  <c r="C567" i="108"/>
  <c r="C571" i="108"/>
  <c r="C572" i="108"/>
  <c r="C573" i="108"/>
  <c r="C574" i="108"/>
  <c r="C575" i="108"/>
  <c r="C576" i="108"/>
  <c r="C577" i="108"/>
  <c r="C580" i="108"/>
  <c r="C581" i="108"/>
  <c r="C582" i="108"/>
  <c r="C588" i="108"/>
  <c r="C589" i="108"/>
  <c r="C590" i="108"/>
  <c r="C591" i="108"/>
  <c r="C592" i="108"/>
  <c r="C595" i="108"/>
  <c r="C596" i="108"/>
  <c r="C597" i="108"/>
  <c r="C598" i="108"/>
  <c r="C599" i="108"/>
  <c r="C600" i="108"/>
  <c r="C601" i="108"/>
  <c r="C602" i="108"/>
  <c r="C603" i="108"/>
  <c r="C604" i="108"/>
  <c r="C605" i="108"/>
  <c r="C608" i="108"/>
  <c r="C609" i="108"/>
  <c r="C610" i="108"/>
  <c r="C611" i="108"/>
  <c r="C612" i="108"/>
  <c r="C615" i="108"/>
  <c r="C616" i="108"/>
  <c r="C617" i="108"/>
  <c r="C618" i="108"/>
  <c r="C619" i="108"/>
  <c r="C622" i="108"/>
  <c r="C623" i="108"/>
  <c r="C624" i="108"/>
  <c r="C625" i="108"/>
  <c r="C626" i="108"/>
  <c r="C627" i="108"/>
  <c r="C628" i="108"/>
  <c r="C631" i="108"/>
  <c r="C632" i="108"/>
  <c r="C633" i="108"/>
  <c r="C634" i="108"/>
  <c r="C635" i="108"/>
  <c r="C636" i="108"/>
  <c r="C637" i="108"/>
  <c r="C638" i="108"/>
  <c r="C639" i="108"/>
  <c r="C640" i="108"/>
  <c r="C641" i="108"/>
  <c r="C642" i="108"/>
  <c r="C643" i="108"/>
  <c r="C644" i="108"/>
  <c r="C645" i="108"/>
  <c r="C647" i="108"/>
  <c r="C650" i="108"/>
  <c r="C651" i="108"/>
  <c r="C652" i="108"/>
  <c r="C653" i="108"/>
  <c r="C649" i="108"/>
  <c r="C630" i="108"/>
  <c r="C621" i="108"/>
  <c r="C614" i="108"/>
  <c r="C607" i="108"/>
  <c r="C594" i="108"/>
  <c r="C587" i="108"/>
  <c r="C585" i="108"/>
  <c r="C584" i="108"/>
  <c r="C579" i="108"/>
  <c r="C570" i="108"/>
  <c r="B568" i="108" s="1"/>
  <c r="C550" i="108"/>
  <c r="C541" i="108"/>
  <c r="C534" i="108"/>
  <c r="C527" i="108"/>
  <c r="C514" i="108"/>
  <c r="C507" i="108"/>
  <c r="C504" i="108"/>
  <c r="C499" i="108"/>
  <c r="C490" i="108"/>
  <c r="B488" i="108" s="1"/>
  <c r="C470" i="108"/>
  <c r="C461" i="108"/>
  <c r="C454" i="108"/>
  <c r="C447" i="108"/>
  <c r="C434" i="108"/>
  <c r="C427" i="108"/>
  <c r="C424" i="108"/>
  <c r="C419" i="108"/>
  <c r="C410" i="108"/>
  <c r="B408" i="108" s="1"/>
  <c r="C390" i="108"/>
  <c r="C381" i="108"/>
  <c r="C374" i="108"/>
  <c r="C367" i="108"/>
  <c r="C354" i="108"/>
  <c r="C347" i="108"/>
  <c r="C344" i="108"/>
  <c r="C339" i="108"/>
  <c r="C330" i="108"/>
  <c r="B328" i="108" s="1"/>
  <c r="C310" i="108"/>
  <c r="C301" i="108"/>
  <c r="C294" i="108"/>
  <c r="C287" i="108"/>
  <c r="C274" i="108"/>
  <c r="C267" i="108"/>
  <c r="C264" i="108"/>
  <c r="C259" i="108"/>
  <c r="C250" i="108"/>
  <c r="B248" i="108" s="1"/>
  <c r="C230" i="108"/>
  <c r="C221" i="108"/>
  <c r="C214" i="108"/>
  <c r="C207" i="108"/>
  <c r="C194" i="108"/>
  <c r="C187" i="108"/>
  <c r="C184" i="108"/>
  <c r="C179" i="108"/>
  <c r="C170" i="108"/>
  <c r="B168" i="108" s="1"/>
  <c r="C150" i="108"/>
  <c r="C141" i="108"/>
  <c r="C134" i="108"/>
  <c r="C127" i="108"/>
  <c r="C114" i="108"/>
  <c r="C107" i="108"/>
  <c r="C104" i="108"/>
  <c r="C99" i="108"/>
  <c r="C90" i="108"/>
  <c r="B88" i="108" s="1"/>
  <c r="C70" i="108"/>
  <c r="C61" i="108"/>
  <c r="C54" i="108"/>
  <c r="C47" i="108"/>
  <c r="C34" i="108"/>
  <c r="C27" i="108"/>
  <c r="C25" i="108"/>
  <c r="C24" i="108"/>
  <c r="C20" i="108"/>
  <c r="C21" i="108"/>
  <c r="C22" i="108"/>
  <c r="C19" i="108"/>
  <c r="C11" i="108"/>
  <c r="C12" i="108"/>
  <c r="C13" i="108"/>
  <c r="C14" i="108"/>
  <c r="C15" i="108"/>
  <c r="C16" i="108"/>
  <c r="C17" i="108"/>
  <c r="C10" i="108"/>
  <c r="B8" i="108" s="1"/>
  <c r="D203" i="35" l="1"/>
  <c r="A203" i="35"/>
  <c r="A204" i="35" s="1"/>
  <c r="D199" i="34"/>
  <c r="A648" i="108" a="1"/>
  <c r="A648" i="108" s="1"/>
  <c r="A649" i="108" s="1"/>
  <c r="A650" i="108" s="1"/>
  <c r="A651" i="108" s="1"/>
  <c r="A652" i="108" s="1"/>
  <c r="A653" i="108" s="1"/>
  <c r="A654" i="108" s="1"/>
  <c r="A655" i="108" s="1"/>
  <c r="A656" i="108" s="1"/>
  <c r="A657" i="108" s="1"/>
  <c r="A7" i="108"/>
  <c r="C2" i="108"/>
  <c r="D205" i="35" l="1"/>
  <c r="A205" i="35"/>
  <c r="A18" i="55"/>
  <c r="D203" i="34" l="1"/>
  <c r="F53" i="50"/>
  <c r="F47" i="50"/>
  <c r="D205" i="34" l="1"/>
  <c r="D89" i="77"/>
  <c r="D88" i="77"/>
  <c r="D87" i="77"/>
  <c r="D86" i="77"/>
  <c r="D85" i="77"/>
  <c r="D84" i="77"/>
  <c r="D83" i="77"/>
  <c r="D82" i="77"/>
  <c r="D81" i="77"/>
  <c r="D80" i="77"/>
  <c r="D79" i="77"/>
  <c r="D48" i="77"/>
  <c r="D47" i="77"/>
  <c r="D46" i="77"/>
  <c r="D45" i="77"/>
  <c r="D44" i="77"/>
  <c r="D43" i="77"/>
  <c r="D42" i="77"/>
  <c r="D41" i="77"/>
  <c r="D40" i="77"/>
  <c r="D39" i="77"/>
  <c r="D38" i="77"/>
  <c r="D36" i="79"/>
  <c r="D26" i="79"/>
  <c r="D18" i="91"/>
  <c r="D18" i="79"/>
  <c r="A8" i="73"/>
  <c r="A9" i="73" s="1"/>
  <c r="A10" i="73" s="1"/>
  <c r="A11" i="73" s="1"/>
  <c r="A12" i="73" s="1"/>
  <c r="A13" i="73" s="1"/>
  <c r="A14" i="73" s="1"/>
  <c r="A15" i="73" s="1"/>
  <c r="A16" i="73" s="1"/>
  <c r="A17" i="73" s="1"/>
  <c r="A18" i="73" s="1"/>
  <c r="A19" i="73" s="1"/>
  <c r="A20" i="73" s="1"/>
  <c r="A21" i="73" s="1"/>
  <c r="A22" i="73" s="1"/>
  <c r="A23" i="73" s="1"/>
  <c r="A24" i="73" s="1"/>
  <c r="A25" i="73" s="1"/>
  <c r="A26" i="73" s="1"/>
  <c r="A27" i="73" s="1"/>
  <c r="A28" i="73" s="1"/>
  <c r="A29" i="73" s="1"/>
  <c r="A30" i="73" s="1"/>
  <c r="A31" i="73" s="1"/>
  <c r="A32" i="73" s="1"/>
  <c r="A33" i="73" s="1"/>
  <c r="A34" i="73" s="1"/>
  <c r="A35" i="73" s="1"/>
  <c r="A36" i="73" s="1"/>
  <c r="A37" i="73" s="1"/>
  <c r="A38" i="73" s="1"/>
  <c r="A39" i="73" s="1"/>
  <c r="A40" i="73" s="1"/>
  <c r="A41" i="73" s="1"/>
  <c r="A42" i="73" s="1"/>
  <c r="A43" i="73" s="1"/>
  <c r="A44" i="73" s="1"/>
  <c r="A45" i="73" s="1"/>
  <c r="A46" i="73" s="1"/>
  <c r="A47" i="73" s="1"/>
  <c r="A48" i="73" s="1"/>
  <c r="A49" i="73" s="1"/>
  <c r="A50" i="73" s="1"/>
  <c r="A51" i="73" s="1"/>
  <c r="A52" i="73" s="1"/>
  <c r="A53" i="73" s="1"/>
  <c r="A7" i="73"/>
  <c r="A17" i="74"/>
  <c r="A18" i="74" s="1"/>
  <c r="D207" i="34" l="1"/>
  <c r="C2" i="32"/>
  <c r="C2" i="31"/>
  <c r="C2" i="30"/>
  <c r="C2" i="29"/>
  <c r="D209" i="34" l="1"/>
  <c r="A7" i="28"/>
  <c r="A8" i="28" s="1"/>
  <c r="A9" i="28" s="1"/>
  <c r="A10" i="28" s="1"/>
  <c r="D211" i="34" l="1"/>
  <c r="A11" i="28"/>
  <c r="A12" i="28" s="1"/>
  <c r="A13" i="28" s="1"/>
  <c r="A14" i="28" s="1"/>
  <c r="A15" i="28" s="1"/>
  <c r="A16" i="28" s="1"/>
  <c r="A17" i="28" s="1"/>
  <c r="A18" i="28" s="1"/>
  <c r="A19" i="28" s="1"/>
  <c r="A20" i="28" s="1"/>
  <c r="A21" i="28" s="1"/>
  <c r="A22" i="28" s="1"/>
  <c r="A23" i="28" s="1"/>
  <c r="A24" i="28" s="1"/>
  <c r="Q19" i="50"/>
  <c r="N19" i="50"/>
  <c r="N13" i="50"/>
  <c r="N14" i="50"/>
  <c r="N15" i="50"/>
  <c r="N16" i="50"/>
  <c r="N17" i="50"/>
  <c r="N12" i="50"/>
  <c r="M24" i="50"/>
  <c r="L12" i="50"/>
  <c r="L17" i="50"/>
  <c r="L16" i="50"/>
  <c r="L15" i="50"/>
  <c r="L14" i="50"/>
  <c r="L13" i="50"/>
  <c r="I48" i="50"/>
  <c r="I51" i="50" s="1"/>
  <c r="I24" i="50"/>
  <c r="I23" i="50"/>
  <c r="F7" i="44"/>
  <c r="F6" i="44"/>
  <c r="F15" i="44"/>
  <c r="F13" i="44"/>
  <c r="F5" i="44"/>
  <c r="F4" i="44"/>
  <c r="D213" i="34" l="1"/>
  <c r="E21" i="44"/>
  <c r="E22" i="44"/>
  <c r="B76" i="106" a="1"/>
  <c r="B76" i="106" s="1"/>
  <c r="B42" i="106" a="1"/>
  <c r="B42" i="106" s="1"/>
  <c r="B8" i="106" a="1"/>
  <c r="B8" i="106" s="1"/>
  <c r="C109" i="106" a="1"/>
  <c r="C109" i="106" s="1"/>
  <c r="C108" i="106" a="1"/>
  <c r="C108" i="106" s="1"/>
  <c r="C107" i="106" a="1"/>
  <c r="C107" i="106" s="1"/>
  <c r="C106" i="106" a="1"/>
  <c r="C106" i="106" s="1"/>
  <c r="C105" i="106" a="1"/>
  <c r="C105" i="106" s="1"/>
  <c r="C104" i="106" a="1"/>
  <c r="C104" i="106" s="1"/>
  <c r="C103" i="106" a="1"/>
  <c r="C103" i="106" s="1"/>
  <c r="C101" i="106" a="1"/>
  <c r="C101" i="106" s="1"/>
  <c r="C100" i="106" a="1"/>
  <c r="C100" i="106" s="1"/>
  <c r="C99" i="106" a="1"/>
  <c r="C99" i="106" s="1"/>
  <c r="C98" i="106" a="1"/>
  <c r="C98" i="106" s="1"/>
  <c r="C96" i="106" a="1"/>
  <c r="C96" i="106" s="1"/>
  <c r="C95" i="106" a="1"/>
  <c r="C95" i="106" s="1"/>
  <c r="C94" i="106" a="1"/>
  <c r="C94" i="106" s="1"/>
  <c r="C93" i="106" a="1"/>
  <c r="C93" i="106" s="1"/>
  <c r="C92" i="106" a="1"/>
  <c r="C92" i="106" s="1"/>
  <c r="C91" i="106" a="1"/>
  <c r="C91" i="106" s="1"/>
  <c r="C90" i="106" a="1"/>
  <c r="C90" i="106" s="1"/>
  <c r="C88" i="106" a="1"/>
  <c r="C88" i="106" s="1"/>
  <c r="C87" i="106" a="1"/>
  <c r="C87" i="106" s="1"/>
  <c r="C86" i="106" a="1"/>
  <c r="C86" i="106" s="1"/>
  <c r="C85" i="106" a="1"/>
  <c r="C85" i="106" s="1"/>
  <c r="C84" i="106" a="1"/>
  <c r="C84" i="106" s="1"/>
  <c r="C82" i="106" a="1"/>
  <c r="C82" i="106" s="1"/>
  <c r="C81" i="106" a="1"/>
  <c r="C81" i="106" s="1"/>
  <c r="C80" i="106" a="1"/>
  <c r="C80" i="106" s="1"/>
  <c r="C79" i="106" a="1"/>
  <c r="C79" i="106" s="1"/>
  <c r="C78" i="106" a="1"/>
  <c r="C78" i="106" s="1"/>
  <c r="C77" i="106" a="1"/>
  <c r="C77" i="106" s="1"/>
  <c r="C75" i="106" a="1"/>
  <c r="C75" i="106" s="1"/>
  <c r="C74" i="106" a="1"/>
  <c r="C74" i="106" s="1"/>
  <c r="C73" i="106" a="1"/>
  <c r="C73" i="106" s="1"/>
  <c r="C72" i="106" a="1"/>
  <c r="C72" i="106" s="1"/>
  <c r="C71" i="106" a="1"/>
  <c r="C71" i="106" s="1"/>
  <c r="C70" i="106" a="1"/>
  <c r="C70" i="106" s="1"/>
  <c r="C69" i="106" a="1"/>
  <c r="C69" i="106" s="1"/>
  <c r="C67" i="106" a="1"/>
  <c r="C67" i="106" s="1"/>
  <c r="C66" i="106" a="1"/>
  <c r="C66" i="106" s="1"/>
  <c r="C65" i="106" a="1"/>
  <c r="C65" i="106" s="1"/>
  <c r="C64" i="106" a="1"/>
  <c r="C64" i="106" s="1"/>
  <c r="C62" i="106" a="1"/>
  <c r="C62" i="106" s="1"/>
  <c r="C61" i="106" a="1"/>
  <c r="C61" i="106" s="1"/>
  <c r="C60" i="106" a="1"/>
  <c r="C60" i="106" s="1"/>
  <c r="C59" i="106" a="1"/>
  <c r="C59" i="106" s="1"/>
  <c r="C58" i="106" a="1"/>
  <c r="C58" i="106" s="1"/>
  <c r="C57" i="106" a="1"/>
  <c r="C57" i="106" s="1"/>
  <c r="C56" i="106" a="1"/>
  <c r="C56" i="106" s="1"/>
  <c r="C54" i="106" a="1"/>
  <c r="C54" i="106" s="1"/>
  <c r="C53" i="106" a="1"/>
  <c r="C53" i="106" s="1"/>
  <c r="C52" i="106" a="1"/>
  <c r="C52" i="106" s="1"/>
  <c r="C51" i="106" a="1"/>
  <c r="C51" i="106" s="1"/>
  <c r="C50" i="106" a="1"/>
  <c r="C50" i="106" s="1"/>
  <c r="C48" i="106" a="1"/>
  <c r="C48" i="106" s="1"/>
  <c r="C47" i="106" a="1"/>
  <c r="C47" i="106" s="1"/>
  <c r="C46" i="106" a="1"/>
  <c r="C46" i="106" s="1"/>
  <c r="C45" i="106" a="1"/>
  <c r="C45" i="106" s="1"/>
  <c r="C44" i="106" a="1"/>
  <c r="C44" i="106" s="1"/>
  <c r="C43" i="106" a="1"/>
  <c r="C43" i="106" s="1"/>
  <c r="C41" i="106" a="1"/>
  <c r="C41" i="106" s="1"/>
  <c r="C40" i="106" a="1"/>
  <c r="C40" i="106" s="1"/>
  <c r="C39" i="106" a="1"/>
  <c r="C39" i="106" s="1"/>
  <c r="C38" i="106" a="1"/>
  <c r="C38" i="106" s="1"/>
  <c r="C37" i="106" a="1"/>
  <c r="C37" i="106" s="1"/>
  <c r="C36" i="106" a="1"/>
  <c r="C36" i="106" s="1"/>
  <c r="C35" i="106" a="1"/>
  <c r="C35" i="106" s="1"/>
  <c r="C33" i="106" a="1"/>
  <c r="C33" i="106" s="1"/>
  <c r="C32" i="106" a="1"/>
  <c r="C32" i="106" s="1"/>
  <c r="C31" i="106" a="1"/>
  <c r="C31" i="106" s="1"/>
  <c r="C30" i="106" a="1"/>
  <c r="C30" i="106" s="1"/>
  <c r="C28" i="106" a="1"/>
  <c r="C28" i="106" s="1"/>
  <c r="C27" i="106" a="1"/>
  <c r="C27" i="106" s="1"/>
  <c r="C26" i="106" a="1"/>
  <c r="C26" i="106" s="1"/>
  <c r="C25" i="106" a="1"/>
  <c r="C25" i="106" s="1"/>
  <c r="C24" i="106" a="1"/>
  <c r="C24" i="106" s="1"/>
  <c r="C23" i="106" a="1"/>
  <c r="C23" i="106" s="1"/>
  <c r="C22" i="106" a="1"/>
  <c r="C22" i="106" s="1"/>
  <c r="C20" i="106" a="1"/>
  <c r="C20" i="106" s="1"/>
  <c r="C19" i="106" a="1"/>
  <c r="C19" i="106" s="1"/>
  <c r="C18" i="106" a="1"/>
  <c r="C18" i="106" s="1"/>
  <c r="C17" i="106" a="1"/>
  <c r="C17" i="106" s="1"/>
  <c r="C16" i="106" a="1"/>
  <c r="C16" i="106" s="1"/>
  <c r="C14" i="106" a="1"/>
  <c r="C14" i="106" s="1"/>
  <c r="C13" i="106" a="1"/>
  <c r="C13" i="106" s="1"/>
  <c r="C12" i="106" a="1"/>
  <c r="C12" i="106" s="1"/>
  <c r="C11" i="106" a="1"/>
  <c r="C11" i="106" s="1"/>
  <c r="C10" i="106" a="1"/>
  <c r="C10" i="106" s="1"/>
  <c r="C9" i="106" a="1"/>
  <c r="C9" i="106" s="1"/>
  <c r="C2" i="106"/>
  <c r="AH24" i="87"/>
  <c r="AF24" i="87"/>
  <c r="AE24" i="87"/>
  <c r="AD24" i="87"/>
  <c r="AC24" i="87"/>
  <c r="AB24" i="87"/>
  <c r="AA24" i="87"/>
  <c r="Z24" i="87"/>
  <c r="Y24" i="87"/>
  <c r="X24" i="87"/>
  <c r="W24" i="87"/>
  <c r="V24" i="87"/>
  <c r="U24" i="87"/>
  <c r="T24" i="87"/>
  <c r="S24" i="87"/>
  <c r="R24" i="87"/>
  <c r="Q24" i="87"/>
  <c r="O24" i="87"/>
  <c r="N24" i="87"/>
  <c r="M24" i="87"/>
  <c r="L24" i="87"/>
  <c r="K24" i="87"/>
  <c r="J24" i="87"/>
  <c r="I24" i="87"/>
  <c r="H24" i="87"/>
  <c r="G24" i="87"/>
  <c r="L24" i="82"/>
  <c r="K24" i="82"/>
  <c r="J24" i="82"/>
  <c r="I24" i="82"/>
  <c r="H24" i="82"/>
  <c r="G24" i="82"/>
  <c r="F24" i="82"/>
  <c r="G24" i="81"/>
  <c r="F24" i="81"/>
  <c r="E24" i="81"/>
  <c r="D24" i="81"/>
  <c r="C24" i="81"/>
  <c r="AF24" i="81"/>
  <c r="AE24" i="81"/>
  <c r="AD24" i="81"/>
  <c r="AA24" i="81"/>
  <c r="Z24" i="81"/>
  <c r="Y24" i="81"/>
  <c r="V24" i="81"/>
  <c r="U24" i="81"/>
  <c r="Q24" i="81"/>
  <c r="P24" i="81"/>
  <c r="L24" i="81"/>
  <c r="K24" i="81"/>
  <c r="P21" i="44"/>
  <c r="F21" i="44"/>
  <c r="B23" i="93" l="1" a="1"/>
  <c r="B23" i="93" s="1"/>
  <c r="B2" i="98" l="1"/>
  <c r="C58" i="105" l="1"/>
  <c r="C57" i="105"/>
  <c r="C56" i="105"/>
  <c r="C55" i="105"/>
  <c r="C54" i="105"/>
  <c r="C53" i="105"/>
  <c r="C52" i="105"/>
  <c r="C51" i="105"/>
  <c r="C50" i="105"/>
  <c r="C49" i="105"/>
  <c r="C48" i="105"/>
  <c r="C47" i="105"/>
  <c r="C41" i="105"/>
  <c r="C40" i="105"/>
  <c r="C39" i="105"/>
  <c r="C38" i="105"/>
  <c r="C37" i="105"/>
  <c r="C36" i="105"/>
  <c r="C35" i="105"/>
  <c r="C34" i="105"/>
  <c r="C33" i="105"/>
  <c r="C32" i="105"/>
  <c r="C31" i="105"/>
  <c r="C30" i="105"/>
  <c r="C16" i="105"/>
  <c r="C24" i="105"/>
  <c r="C23" i="105"/>
  <c r="C22" i="105"/>
  <c r="C21" i="105"/>
  <c r="C20" i="105"/>
  <c r="C19" i="105"/>
  <c r="C18" i="105"/>
  <c r="C17" i="105"/>
  <c r="C15" i="105"/>
  <c r="C14" i="105"/>
  <c r="C13" i="105"/>
  <c r="A7" i="105"/>
  <c r="A8" i="105" s="1"/>
  <c r="A9" i="105" s="1"/>
  <c r="A10" i="105" s="1"/>
  <c r="A11" i="105" s="1"/>
  <c r="A12" i="105" s="1"/>
  <c r="A13" i="105" s="1"/>
  <c r="A14" i="105" s="1"/>
  <c r="A15" i="105" s="1"/>
  <c r="C2" i="105"/>
  <c r="AH25" i="87"/>
  <c r="Q25" i="87"/>
  <c r="R25" i="87"/>
  <c r="S25" i="87"/>
  <c r="T25" i="87"/>
  <c r="U25" i="87"/>
  <c r="V25" i="87"/>
  <c r="W25" i="87"/>
  <c r="X25" i="87"/>
  <c r="Y25" i="87"/>
  <c r="Z25" i="87"/>
  <c r="AA25" i="87"/>
  <c r="AB25" i="87"/>
  <c r="AC25" i="87"/>
  <c r="AD25" i="87"/>
  <c r="AE25" i="87"/>
  <c r="AF25" i="87"/>
  <c r="M25" i="87"/>
  <c r="N25" i="87"/>
  <c r="O25" i="87"/>
  <c r="G25" i="87"/>
  <c r="H25" i="87"/>
  <c r="I25" i="87"/>
  <c r="J25" i="87"/>
  <c r="K25" i="87"/>
  <c r="L25" i="87"/>
  <c r="A16" i="105" l="1"/>
  <c r="A17" i="105" s="1"/>
  <c r="A18" i="105" s="1"/>
  <c r="A19" i="105" s="1"/>
  <c r="A20" i="105" s="1"/>
  <c r="A21" i="105" l="1"/>
  <c r="A22" i="105" s="1"/>
  <c r="A23" i="105" s="1"/>
  <c r="A24" i="105" s="1"/>
  <c r="A25" i="105" s="1"/>
  <c r="A26" i="105" s="1"/>
  <c r="A27" i="105" s="1"/>
  <c r="A28" i="105" s="1"/>
  <c r="A29" i="105" s="1"/>
  <c r="A30" i="105" s="1"/>
  <c r="A31" i="105" s="1"/>
  <c r="A32" i="105" s="1"/>
  <c r="A33" i="105" s="1"/>
  <c r="A34" i="105" s="1"/>
  <c r="A35" i="105" s="1"/>
  <c r="A36" i="105" s="1"/>
  <c r="A37" i="105" s="1"/>
  <c r="A38" i="105" s="1"/>
  <c r="A39" i="105" s="1"/>
  <c r="A40" i="105" s="1"/>
  <c r="A41" i="105" s="1"/>
  <c r="A7" i="97"/>
  <c r="A8" i="97" s="1"/>
  <c r="C2" i="97"/>
  <c r="F25" i="82"/>
  <c r="G25" i="82"/>
  <c r="H25" i="82"/>
  <c r="I25" i="82"/>
  <c r="J25" i="82"/>
  <c r="K25" i="82"/>
  <c r="L25" i="82"/>
  <c r="C25" i="81"/>
  <c r="D25" i="81"/>
  <c r="E25" i="81"/>
  <c r="F25" i="81"/>
  <c r="G25" i="81"/>
  <c r="Q25" i="81"/>
  <c r="V25" i="81"/>
  <c r="Z25" i="81"/>
  <c r="AA25" i="81"/>
  <c r="AE25" i="81"/>
  <c r="AF25" i="81"/>
  <c r="P22" i="44"/>
  <c r="F22" i="44"/>
  <c r="A10" i="97" l="1"/>
  <c r="A11" i="97" s="1"/>
  <c r="A12" i="97" s="1"/>
  <c r="A13" i="97" s="1"/>
  <c r="A14" i="97" s="1"/>
  <c r="A15" i="97" s="1"/>
  <c r="A16" i="97" s="1"/>
  <c r="A17" i="97" s="1"/>
  <c r="A18" i="97" s="1"/>
  <c r="A19" i="97" s="1"/>
  <c r="A20" i="97" s="1"/>
  <c r="A21" i="97" s="1"/>
  <c r="A22" i="97" s="1"/>
  <c r="A23" i="97" s="1"/>
  <c r="A24" i="97" s="1"/>
  <c r="A25" i="97" s="1"/>
  <c r="A26" i="97" s="1"/>
  <c r="A27" i="97" s="1"/>
  <c r="A28" i="97" s="1"/>
  <c r="A29" i="97" s="1"/>
  <c r="A30" i="97" s="1"/>
  <c r="A31" i="97" s="1"/>
  <c r="A32" i="97" s="1"/>
  <c r="A33" i="97" s="1"/>
  <c r="A34" i="97" s="1"/>
  <c r="A35" i="97" s="1"/>
  <c r="A36" i="97" s="1"/>
  <c r="A37" i="97" s="1"/>
  <c r="A38" i="97" s="1"/>
  <c r="A39" i="97" s="1"/>
  <c r="A40" i="97" s="1"/>
  <c r="A41" i="97" s="1"/>
  <c r="A42" i="97" s="1"/>
  <c r="A43" i="97" s="1"/>
  <c r="A44" i="97" s="1"/>
  <c r="A45" i="97" s="1"/>
  <c r="A46" i="97" s="1"/>
  <c r="A47" i="97" s="1"/>
  <c r="A48" i="97" s="1"/>
  <c r="A49" i="97" s="1"/>
  <c r="A50" i="97" s="1"/>
  <c r="A51" i="97" s="1"/>
  <c r="A52" i="97" s="1"/>
  <c r="A53" i="97" s="1"/>
  <c r="A54" i="97" s="1"/>
  <c r="A55" i="97" s="1"/>
  <c r="A56" i="97" s="1"/>
  <c r="A57" i="97" s="1"/>
  <c r="A58" i="97" s="1"/>
  <c r="A59" i="97" s="1"/>
  <c r="A60" i="97" s="1"/>
  <c r="A61" i="97" s="1"/>
  <c r="A62" i="97" s="1"/>
  <c r="A63" i="97" s="1"/>
  <c r="A64" i="97" s="1"/>
  <c r="A65" i="97" s="1"/>
  <c r="A66" i="97" s="1"/>
  <c r="A67" i="97" s="1"/>
  <c r="A68" i="97" s="1"/>
  <c r="A69" i="97" s="1"/>
  <c r="A70" i="97" s="1"/>
  <c r="A71" i="97" s="1"/>
  <c r="A72" i="97" s="1"/>
  <c r="A73" i="97" s="1"/>
  <c r="A74" i="97" s="1"/>
  <c r="A75" i="97" s="1"/>
  <c r="A76" i="97" s="1"/>
  <c r="A77" i="97" s="1"/>
  <c r="A78" i="97" s="1"/>
  <c r="A9" i="97"/>
  <c r="A42" i="105"/>
  <c r="A43" i="105" s="1"/>
  <c r="A44" i="105" s="1"/>
  <c r="A45" i="105" s="1"/>
  <c r="A46" i="105" s="1"/>
  <c r="A47" i="105" s="1"/>
  <c r="A48" i="105" s="1"/>
  <c r="A49" i="105" s="1"/>
  <c r="A50" i="105" s="1"/>
  <c r="A51" i="105" s="1"/>
  <c r="A52" i="105" s="1"/>
  <c r="A53" i="105" s="1"/>
  <c r="A54" i="105" s="1"/>
  <c r="A55" i="105" s="1"/>
  <c r="A56" i="105" s="1"/>
  <c r="A57" i="105" s="1"/>
  <c r="A58" i="105" s="1"/>
  <c r="A59" i="105" s="1"/>
  <c r="A79" i="97" l="1"/>
  <c r="A80" i="97" s="1"/>
  <c r="A81" i="97" s="1"/>
  <c r="A82" i="97" s="1"/>
  <c r="A83" i="97" s="1"/>
  <c r="A84" i="97" s="1"/>
  <c r="A85" i="97" s="1"/>
  <c r="A86" i="97" s="1"/>
  <c r="A87" i="97" s="1"/>
  <c r="A88" i="97" s="1"/>
  <c r="A89" i="97" s="1"/>
  <c r="A90" i="97" l="1"/>
  <c r="A91" i="97" s="1"/>
  <c r="A92" i="97" s="1"/>
  <c r="A93" i="97" s="1"/>
  <c r="A94" i="97" s="1"/>
  <c r="A95" i="97" s="1"/>
  <c r="A96" i="97" s="1"/>
  <c r="A97" i="97" s="1"/>
  <c r="A98" i="97" s="1"/>
  <c r="A99" i="97" s="1"/>
  <c r="A100" i="97" s="1"/>
  <c r="A101" i="97" s="1"/>
  <c r="A102" i="97" s="1"/>
  <c r="A103" i="97" s="1"/>
  <c r="A104" i="97" s="1"/>
  <c r="A105" i="97" s="1"/>
  <c r="A106" i="97" s="1"/>
  <c r="A107" i="97" s="1"/>
  <c r="A108" i="97" s="1"/>
  <c r="A109" i="97" s="1"/>
  <c r="A110" i="97" s="1"/>
  <c r="A111" i="97" s="1"/>
  <c r="A112" i="97" s="1"/>
  <c r="A113" i="97" s="1"/>
  <c r="A114" i="97" s="1" a="1"/>
  <c r="A114" i="97" s="1"/>
  <c r="G4" i="102" l="1"/>
  <c r="B2" i="100"/>
  <c r="D2" i="99"/>
  <c r="O141" i="17"/>
  <c r="B7" i="98" s="1"/>
  <c r="N141" i="17"/>
  <c r="B6" i="98" s="1"/>
  <c r="M141" i="17"/>
  <c r="B4" i="98" s="1"/>
  <c r="I141" i="17"/>
  <c r="O139" i="17"/>
  <c r="N139" i="17"/>
  <c r="M139" i="17"/>
  <c r="I139" i="17"/>
  <c r="O138" i="17"/>
  <c r="N138" i="17"/>
  <c r="M138" i="17"/>
  <c r="O104" i="17"/>
  <c r="A9" i="55" l="1"/>
  <c r="A2" i="55"/>
  <c r="C2" i="89"/>
  <c r="C84" i="89"/>
  <c r="C83" i="89"/>
  <c r="C82" i="89"/>
  <c r="C81" i="89"/>
  <c r="C80" i="89"/>
  <c r="C79" i="89"/>
  <c r="C78" i="89"/>
  <c r="C77" i="89"/>
  <c r="C68" i="89"/>
  <c r="C67" i="89"/>
  <c r="C66" i="89"/>
  <c r="C65" i="89"/>
  <c r="C64" i="89"/>
  <c r="C63" i="89"/>
  <c r="C62" i="89"/>
  <c r="C61" i="89"/>
  <c r="C60" i="89"/>
  <c r="C59" i="89"/>
  <c r="C58" i="89"/>
  <c r="C57" i="89"/>
  <c r="C56" i="89"/>
  <c r="C55" i="89"/>
  <c r="C54" i="89"/>
  <c r="C53" i="89"/>
  <c r="C52" i="89"/>
  <c r="C51" i="89"/>
  <c r="C50" i="89"/>
  <c r="C49" i="89"/>
  <c r="C48" i="89"/>
  <c r="C47" i="89"/>
  <c r="C46" i="89"/>
  <c r="C44" i="89"/>
  <c r="C37" i="89"/>
  <c r="C36" i="89"/>
  <c r="C35" i="89"/>
  <c r="C34" i="89"/>
  <c r="C33" i="89"/>
  <c r="C32" i="89"/>
  <c r="B14" i="93" l="1" a="1"/>
  <c r="B14" i="93" s="1"/>
  <c r="G7" i="44"/>
  <c r="G6" i="44"/>
  <c r="B3" i="56"/>
  <c r="B12" i="93" a="1"/>
  <c r="B12" i="93" s="1"/>
  <c r="B11" i="93" a="1"/>
  <c r="B11" i="93" s="1"/>
  <c r="S5" i="44"/>
  <c r="R5" i="44"/>
  <c r="G5" i="44"/>
  <c r="S4" i="44"/>
  <c r="R4" i="44"/>
  <c r="G4" i="44"/>
  <c r="D134" i="84"/>
  <c r="C134" i="84"/>
  <c r="C133" i="84"/>
  <c r="C132" i="84"/>
  <c r="D131" i="84"/>
  <c r="C131" i="84"/>
  <c r="D78" i="84"/>
  <c r="C38" i="84"/>
  <c r="D37" i="84"/>
  <c r="C37" i="84"/>
  <c r="D36" i="84"/>
  <c r="C36" i="84"/>
  <c r="D67" i="76"/>
  <c r="D64" i="76"/>
  <c r="C64" i="76"/>
  <c r="D63" i="76"/>
  <c r="C63" i="76"/>
  <c r="D17" i="76"/>
  <c r="D16" i="76"/>
  <c r="C16" i="76"/>
  <c r="C82" i="65"/>
  <c r="C81" i="65"/>
  <c r="C80" i="65"/>
  <c r="C79" i="65"/>
  <c r="C77" i="65"/>
  <c r="C75" i="65"/>
  <c r="C74" i="65"/>
  <c r="C73" i="65"/>
  <c r="C72" i="65"/>
  <c r="C71" i="65"/>
  <c r="C70" i="65"/>
  <c r="C69" i="65"/>
  <c r="C68" i="65"/>
  <c r="C67" i="65"/>
  <c r="C65" i="65"/>
  <c r="C64" i="65"/>
  <c r="C63" i="65"/>
  <c r="C62" i="65"/>
  <c r="C61" i="65"/>
  <c r="C60" i="65"/>
  <c r="C59" i="65"/>
  <c r="C58" i="65"/>
  <c r="C56" i="65"/>
  <c r="C55" i="65"/>
  <c r="C54" i="65"/>
  <c r="C53" i="65"/>
  <c r="C52" i="65"/>
  <c r="C51" i="65"/>
  <c r="C50" i="65"/>
  <c r="C48" i="65"/>
  <c r="C47" i="65"/>
  <c r="C46" i="65"/>
  <c r="C45" i="65"/>
  <c r="C44" i="65"/>
  <c r="C43" i="65"/>
  <c r="C41" i="65"/>
  <c r="C40" i="65"/>
  <c r="C39" i="65"/>
  <c r="C38" i="65"/>
  <c r="C37" i="65"/>
  <c r="C36" i="65"/>
  <c r="C35" i="65"/>
  <c r="C34" i="65"/>
  <c r="C33" i="65"/>
  <c r="C32" i="65"/>
  <c r="C31" i="65"/>
  <c r="C30" i="65"/>
  <c r="C28" i="65"/>
  <c r="C27" i="65"/>
  <c r="C26" i="65"/>
  <c r="C25" i="65"/>
  <c r="C24" i="65"/>
  <c r="C23" i="65"/>
  <c r="C21" i="65"/>
  <c r="C20" i="65"/>
  <c r="C18" i="65"/>
  <c r="C17" i="65"/>
  <c r="C16" i="65"/>
  <c r="C15" i="65"/>
  <c r="C13" i="65"/>
  <c r="C12" i="65"/>
  <c r="C11" i="65"/>
  <c r="C9" i="65"/>
  <c r="C55" i="62"/>
  <c r="C54" i="62"/>
  <c r="C53" i="62"/>
  <c r="C52" i="62"/>
  <c r="C50" i="62"/>
  <c r="C48" i="62"/>
  <c r="C47" i="62"/>
  <c r="C46" i="62"/>
  <c r="C45" i="62"/>
  <c r="C44" i="62"/>
  <c r="C43" i="62"/>
  <c r="C42" i="62"/>
  <c r="C41" i="62"/>
  <c r="C40" i="62"/>
  <c r="C38" i="62"/>
  <c r="C37" i="62"/>
  <c r="C36" i="62"/>
  <c r="C35" i="62"/>
  <c r="C34" i="62"/>
  <c r="C33" i="62"/>
  <c r="C32" i="62"/>
  <c r="C30" i="62"/>
  <c r="C29" i="62"/>
  <c r="C28" i="62"/>
  <c r="C27" i="62"/>
  <c r="C26" i="62"/>
  <c r="C25" i="62"/>
  <c r="C24" i="62"/>
  <c r="C23" i="62"/>
  <c r="C21" i="62"/>
  <c r="C20" i="62"/>
  <c r="C18" i="62"/>
  <c r="C17" i="62"/>
  <c r="C16" i="62"/>
  <c r="C15" i="62"/>
  <c r="C13" i="62"/>
  <c r="C12" i="62"/>
  <c r="C11" i="62"/>
  <c r="C9" i="62"/>
  <c r="D101" i="67"/>
  <c r="C100" i="67"/>
  <c r="C99" i="67"/>
  <c r="C98" i="67"/>
  <c r="C97" i="67"/>
  <c r="C96" i="67"/>
  <c r="C95" i="67"/>
  <c r="C94" i="67"/>
  <c r="C93" i="67"/>
  <c r="C92" i="67"/>
  <c r="C91" i="67"/>
  <c r="C90" i="67"/>
  <c r="C89" i="67"/>
  <c r="C88" i="67"/>
  <c r="C87" i="67"/>
  <c r="C86" i="67"/>
  <c r="C85" i="67"/>
  <c r="C84" i="67"/>
  <c r="C83" i="67"/>
  <c r="C82" i="67"/>
  <c r="C81" i="67"/>
  <c r="C80" i="67"/>
  <c r="C79" i="67"/>
  <c r="C78" i="67"/>
  <c r="C77" i="67"/>
  <c r="C76" i="67"/>
  <c r="C75" i="67"/>
  <c r="C74" i="67"/>
  <c r="C73" i="67"/>
  <c r="C72" i="67"/>
  <c r="C71" i="67"/>
  <c r="C70" i="67"/>
  <c r="C69" i="67"/>
  <c r="C68" i="67"/>
  <c r="C67" i="67"/>
  <c r="C66" i="67"/>
  <c r="C65" i="67"/>
  <c r="C64" i="67"/>
  <c r="C63" i="67"/>
  <c r="C62" i="67"/>
  <c r="C61" i="67"/>
  <c r="C59" i="67"/>
  <c r="C58" i="67"/>
  <c r="C57" i="67"/>
  <c r="C56" i="67"/>
  <c r="C55" i="67"/>
  <c r="C54" i="67"/>
  <c r="C53" i="67"/>
  <c r="C52" i="67"/>
  <c r="C51" i="67"/>
  <c r="C50" i="67"/>
  <c r="C49" i="67"/>
  <c r="C48" i="67"/>
  <c r="C47" i="67"/>
  <c r="C46" i="67"/>
  <c r="C45" i="67"/>
  <c r="C44" i="67"/>
  <c r="C43" i="67"/>
  <c r="C42" i="67"/>
  <c r="C41" i="67"/>
  <c r="C40" i="67"/>
  <c r="C39" i="67"/>
  <c r="C38" i="67"/>
  <c r="C37" i="67"/>
  <c r="C36" i="67"/>
  <c r="C35" i="67"/>
  <c r="C34" i="67"/>
  <c r="C33" i="67"/>
  <c r="C32" i="67"/>
  <c r="C31" i="67"/>
  <c r="C30" i="67"/>
  <c r="C29" i="67"/>
  <c r="C28" i="67"/>
  <c r="C27" i="67"/>
  <c r="C26" i="67"/>
  <c r="C25" i="67"/>
  <c r="C24" i="67"/>
  <c r="C23" i="67"/>
  <c r="C20" i="67"/>
  <c r="C19" i="67"/>
  <c r="C18" i="67"/>
  <c r="C17" i="67"/>
  <c r="C16" i="67"/>
  <c r="C15" i="67"/>
  <c r="C14" i="67"/>
  <c r="C13" i="67"/>
  <c r="C12" i="67"/>
  <c r="C11" i="67"/>
  <c r="C10" i="67"/>
  <c r="D7" i="67"/>
  <c r="C114" i="54"/>
  <c r="C113" i="54"/>
  <c r="C104" i="54"/>
  <c r="C103" i="54"/>
  <c r="C87" i="54"/>
  <c r="B86" i="54"/>
  <c r="C85" i="54"/>
  <c r="C48" i="54"/>
  <c r="C11" i="54"/>
  <c r="C121" i="77"/>
  <c r="C120" i="77"/>
  <c r="C113" i="77"/>
  <c r="C112" i="77"/>
  <c r="C98" i="77"/>
  <c r="B97" i="77"/>
  <c r="C96" i="77"/>
  <c r="C94" i="77"/>
  <c r="C53" i="77"/>
  <c r="C11" i="77"/>
  <c r="B10" i="77" a="1"/>
  <c r="B10" i="77" s="1"/>
  <c r="C82" i="78"/>
  <c r="B74" i="78"/>
  <c r="C45" i="78"/>
  <c r="C44" i="78"/>
  <c r="B10" i="78" a="1"/>
  <c r="B10" i="78" s="1"/>
  <c r="C113" i="79"/>
  <c r="D112" i="79"/>
  <c r="C112" i="79"/>
  <c r="C104" i="79"/>
  <c r="C103" i="79"/>
  <c r="C87" i="79"/>
  <c r="B86" i="79"/>
  <c r="D85" i="79"/>
  <c r="C85" i="79"/>
  <c r="C50" i="79"/>
  <c r="C12" i="79"/>
  <c r="C30" i="92"/>
  <c r="C29" i="92"/>
  <c r="C28" i="92"/>
  <c r="C27" i="92"/>
  <c r="C26" i="92"/>
  <c r="C24" i="92"/>
  <c r="B17" i="92"/>
  <c r="C16" i="92"/>
  <c r="C11" i="92"/>
  <c r="B10" i="92"/>
  <c r="C36" i="91"/>
  <c r="C35" i="91"/>
  <c r="C34" i="91"/>
  <c r="C33" i="91"/>
  <c r="C32" i="91"/>
  <c r="C31" i="91"/>
  <c r="C30" i="91"/>
  <c r="C29" i="91"/>
  <c r="B28" i="91"/>
  <c r="C27" i="91"/>
  <c r="B20" i="91"/>
  <c r="C19" i="91"/>
  <c r="B10" i="91"/>
  <c r="D55" i="90"/>
  <c r="C54" i="90"/>
  <c r="C53" i="90"/>
  <c r="C52" i="90"/>
  <c r="C51" i="90"/>
  <c r="C50" i="90"/>
  <c r="C49" i="90"/>
  <c r="C48" i="90"/>
  <c r="C47" i="90"/>
  <c r="C46" i="90"/>
  <c r="C45" i="90"/>
  <c r="C44" i="90"/>
  <c r="C43" i="90"/>
  <c r="C42" i="90"/>
  <c r="C41" i="90"/>
  <c r="C40" i="90"/>
  <c r="C39" i="90"/>
  <c r="C38" i="90"/>
  <c r="C37" i="90"/>
  <c r="C35" i="90"/>
  <c r="C34" i="90"/>
  <c r="C33" i="90"/>
  <c r="C32" i="90"/>
  <c r="C31" i="90"/>
  <c r="C30" i="90"/>
  <c r="C29" i="90"/>
  <c r="C28" i="90"/>
  <c r="C27" i="90"/>
  <c r="C26" i="90"/>
  <c r="C25" i="90"/>
  <c r="C24" i="90"/>
  <c r="C23" i="90"/>
  <c r="C22" i="90"/>
  <c r="C21" i="90"/>
  <c r="C20" i="90"/>
  <c r="C19" i="90"/>
  <c r="C18" i="90"/>
  <c r="C17" i="90"/>
  <c r="C16" i="90"/>
  <c r="C15" i="90"/>
  <c r="C14" i="90"/>
  <c r="C13" i="90"/>
  <c r="C12" i="90"/>
  <c r="C11" i="90"/>
  <c r="C9" i="90"/>
  <c r="D7" i="90"/>
  <c r="F2" i="53" a="1"/>
  <c r="F2" i="53" s="1"/>
  <c r="G2" i="53" a="1"/>
  <c r="G2" i="53" s="1"/>
  <c r="H2" i="53" a="1"/>
  <c r="H2" i="53" s="1"/>
  <c r="I2" i="53" a="1"/>
  <c r="I2" i="53" s="1"/>
  <c r="B2" i="53" a="1"/>
  <c r="B2" i="53" s="1"/>
  <c r="I2" i="98" l="1"/>
  <c r="T12" i="81" l="1"/>
  <c r="AG26" i="87"/>
  <c r="AG13" i="87"/>
  <c r="AG12" i="87"/>
  <c r="AG9" i="87"/>
  <c r="AG8" i="87"/>
  <c r="AH26" i="87"/>
  <c r="AH13" i="87"/>
  <c r="AH12" i="87"/>
  <c r="AH9" i="87"/>
  <c r="AH8" i="87"/>
  <c r="C2" i="84"/>
  <c r="C2" i="83"/>
  <c r="C2" i="76"/>
  <c r="C2" i="72"/>
  <c r="C2" i="68"/>
  <c r="C2" i="74"/>
  <c r="C2" i="73"/>
  <c r="C2" i="65"/>
  <c r="C2" i="51"/>
  <c r="C2" i="62"/>
  <c r="C2" i="67"/>
  <c r="C2" i="90"/>
  <c r="C2" i="54"/>
  <c r="C2" i="77"/>
  <c r="C2" i="78"/>
  <c r="C2" i="79"/>
  <c r="C2" i="92"/>
  <c r="C2" i="91"/>
  <c r="C2" i="80"/>
  <c r="C2" i="46"/>
  <c r="C2" i="41"/>
  <c r="C2" i="40"/>
  <c r="C2" i="39"/>
  <c r="C2" i="38"/>
  <c r="C2" i="36"/>
  <c r="C2" i="35"/>
  <c r="C2" i="34"/>
  <c r="C2" i="33"/>
  <c r="C2" i="23"/>
  <c r="C2" i="22"/>
  <c r="C2" i="24"/>
  <c r="C2" i="25"/>
  <c r="C2" i="28"/>
  <c r="F12" i="44"/>
  <c r="F10" i="44"/>
  <c r="B5" i="56"/>
  <c r="D125" i="68"/>
  <c r="P28" i="44"/>
  <c r="P20" i="44"/>
  <c r="P19" i="44"/>
  <c r="F19" i="44"/>
  <c r="P18" i="44"/>
  <c r="F18" i="44"/>
  <c r="P17" i="44"/>
  <c r="F17" i="44"/>
  <c r="P16" i="44"/>
  <c r="F16" i="44"/>
  <c r="P15" i="44"/>
  <c r="P14" i="44"/>
  <c r="P13" i="44"/>
  <c r="P12" i="44"/>
  <c r="P11" i="44"/>
  <c r="F11" i="44"/>
  <c r="P10" i="44"/>
  <c r="P9" i="44"/>
  <c r="F9" i="44"/>
  <c r="P8" i="44"/>
  <c r="F8" i="44"/>
  <c r="P7" i="44"/>
  <c r="P6" i="44"/>
  <c r="P5" i="44"/>
  <c r="P4" i="44"/>
  <c r="B1" i="44" l="1"/>
  <c r="B13" i="24" s="1" a="1"/>
  <c r="B13" i="24" s="1"/>
  <c r="B16" i="41" l="1" a="1"/>
  <c r="B16" i="41" s="1"/>
  <c r="C16" i="41" a="1"/>
  <c r="C16" i="41" s="1"/>
  <c r="B17" i="39" a="1"/>
  <c r="B17" i="39" s="1"/>
  <c r="C17" i="40" a="1"/>
  <c r="C17" i="40" s="1"/>
  <c r="B17" i="41" a="1"/>
  <c r="B17" i="41" s="1"/>
  <c r="B16" i="39" a="1"/>
  <c r="B16" i="39" s="1"/>
  <c r="B17" i="40" a="1"/>
  <c r="B17" i="40" s="1"/>
  <c r="C17" i="39" a="1"/>
  <c r="C17" i="39" s="1"/>
  <c r="C16" i="40" a="1"/>
  <c r="C16" i="40" s="1"/>
  <c r="C16" i="38" a="1"/>
  <c r="C16" i="38" s="1"/>
  <c r="C17" i="41" a="1"/>
  <c r="C17" i="41" s="1"/>
  <c r="B16" i="40" a="1"/>
  <c r="B16" i="40" s="1"/>
  <c r="C16" i="39" a="1"/>
  <c r="C16" i="39" s="1"/>
  <c r="B17" i="38" a="1"/>
  <c r="B17" i="38" s="1"/>
  <c r="B16" i="38" a="1"/>
  <c r="B16" i="38" s="1"/>
  <c r="C17" i="38" a="1"/>
  <c r="C17" i="38" s="1"/>
  <c r="B14" i="23" a="1"/>
  <c r="B14" i="23" s="1"/>
  <c r="C14" i="24" a="1"/>
  <c r="C14" i="24" s="1"/>
  <c r="B13" i="25" a="1"/>
  <c r="B13" i="25" s="1"/>
  <c r="C14" i="25" a="1"/>
  <c r="C14" i="25" s="1"/>
  <c r="C13" i="25" a="1"/>
  <c r="C13" i="25" s="1"/>
  <c r="B14" i="24" a="1"/>
  <c r="B14" i="24" s="1"/>
  <c r="C13" i="22" a="1"/>
  <c r="C13" i="22" s="1"/>
  <c r="B13" i="23" a="1"/>
  <c r="B13" i="23" s="1"/>
  <c r="C14" i="23" a="1"/>
  <c r="C14" i="23" s="1"/>
  <c r="C13" i="23" a="1"/>
  <c r="C13" i="23" s="1"/>
  <c r="B14" i="22" a="1"/>
  <c r="B14" i="22" s="1"/>
  <c r="C13" i="24" a="1"/>
  <c r="C13" i="24" s="1"/>
  <c r="B14" i="25" a="1"/>
  <c r="B14" i="25" s="1"/>
  <c r="A9" i="66"/>
  <c r="D214" i="36"/>
  <c r="B208" i="36"/>
  <c r="B200" i="36"/>
  <c r="B26" i="36" a="1"/>
  <c r="B26" i="36" s="1"/>
  <c r="B20" i="36"/>
  <c r="B207" i="36"/>
  <c r="B199" i="36"/>
  <c r="B193" i="36"/>
  <c r="C25" i="36" a="1"/>
  <c r="C25" i="36" s="1"/>
  <c r="B19" i="36"/>
  <c r="B206" i="36"/>
  <c r="B198" i="36"/>
  <c r="B192" i="36"/>
  <c r="B18" i="36"/>
  <c r="B11" i="36"/>
  <c r="B213" i="36"/>
  <c r="B205" i="36"/>
  <c r="B197" i="36"/>
  <c r="B191" i="36"/>
  <c r="B25" i="36" a="1"/>
  <c r="B25" i="36" s="1"/>
  <c r="B17" i="36"/>
  <c r="B10" i="36"/>
  <c r="D7" i="36"/>
  <c r="B211" i="36"/>
  <c r="B203" i="36"/>
  <c r="B23" i="36"/>
  <c r="B15" i="36"/>
  <c r="B210" i="36"/>
  <c r="B202" i="36"/>
  <c r="B22" i="36"/>
  <c r="B14" i="36"/>
  <c r="B201" i="36"/>
  <c r="B13" i="36"/>
  <c r="B211" i="35"/>
  <c r="B206" i="35"/>
  <c r="B198" i="35"/>
  <c r="B192" i="35"/>
  <c r="C25" i="35" a="1"/>
  <c r="C25" i="35" s="1"/>
  <c r="B18" i="35"/>
  <c r="B11" i="35"/>
  <c r="B196" i="36"/>
  <c r="B210" i="35"/>
  <c r="B205" i="35"/>
  <c r="B197" i="35"/>
  <c r="B191" i="35"/>
  <c r="B25" i="35" a="1"/>
  <c r="B25" i="35" s="1"/>
  <c r="B17" i="35"/>
  <c r="B209" i="35"/>
  <c r="B204" i="35"/>
  <c r="B196" i="35"/>
  <c r="B190" i="35"/>
  <c r="B24" i="35"/>
  <c r="B16" i="35"/>
  <c r="B208" i="34"/>
  <c r="B200" i="34"/>
  <c r="B190" i="34"/>
  <c r="B23" i="34"/>
  <c r="B15" i="34"/>
  <c r="B212" i="33"/>
  <c r="B204" i="33"/>
  <c r="B196" i="33"/>
  <c r="C25" i="33" a="1"/>
  <c r="C25" i="33" s="1"/>
  <c r="B18" i="33"/>
  <c r="B17" i="33"/>
  <c r="B202" i="35"/>
  <c r="B22" i="35"/>
  <c r="B190" i="36"/>
  <c r="B203" i="35"/>
  <c r="B23" i="35"/>
  <c r="B15" i="35"/>
  <c r="D7" i="35"/>
  <c r="B207" i="34"/>
  <c r="B199" i="34"/>
  <c r="B22" i="34"/>
  <c r="B14" i="34"/>
  <c r="B211" i="33"/>
  <c r="B203" i="33"/>
  <c r="B193" i="33"/>
  <c r="B25" i="33" a="1"/>
  <c r="B25" i="33" s="1"/>
  <c r="B14" i="35"/>
  <c r="C26" i="36" a="1"/>
  <c r="C26" i="36" s="1"/>
  <c r="D214" i="35"/>
  <c r="B208" i="35"/>
  <c r="B212" i="36"/>
  <c r="B24" i="36"/>
  <c r="B213" i="35"/>
  <c r="B201" i="35"/>
  <c r="C26" i="35" a="1"/>
  <c r="C26" i="35" s="1"/>
  <c r="B21" i="35"/>
  <c r="B209" i="36"/>
  <c r="B21" i="36"/>
  <c r="B212" i="35"/>
  <c r="B207" i="35"/>
  <c r="B200" i="35"/>
  <c r="B26" i="35" a="1"/>
  <c r="B26" i="35" s="1"/>
  <c r="B20" i="35"/>
  <c r="B212" i="34"/>
  <c r="B204" i="34"/>
  <c r="B196" i="34"/>
  <c r="B19" i="34"/>
  <c r="B10" i="34"/>
  <c r="B208" i="33"/>
  <c r="B200" i="33"/>
  <c r="B190" i="33"/>
  <c r="B22" i="33"/>
  <c r="B14" i="33"/>
  <c r="B204" i="36"/>
  <c r="B16" i="36"/>
  <c r="B199" i="35"/>
  <c r="B209" i="34"/>
  <c r="B193" i="34"/>
  <c r="B21" i="34"/>
  <c r="B201" i="33"/>
  <c r="B26" i="33" a="1"/>
  <c r="B26" i="33" s="1"/>
  <c r="B13" i="33"/>
  <c r="B191" i="34"/>
  <c r="B210" i="33"/>
  <c r="B23" i="33"/>
  <c r="B201" i="34"/>
  <c r="B191" i="33"/>
  <c r="B211" i="34"/>
  <c r="B25" i="34" a="1"/>
  <c r="B25" i="34" s="1"/>
  <c r="B16" i="33"/>
  <c r="B197" i="34"/>
  <c r="B202" i="33"/>
  <c r="B193" i="35"/>
  <c r="B206" i="34"/>
  <c r="B192" i="34"/>
  <c r="B20" i="34"/>
  <c r="B213" i="33"/>
  <c r="B199" i="33"/>
  <c r="B24" i="33"/>
  <c r="B11" i="33"/>
  <c r="B205" i="34"/>
  <c r="B18" i="34"/>
  <c r="B198" i="33"/>
  <c r="B10" i="33"/>
  <c r="B13" i="34"/>
  <c r="B19" i="33"/>
  <c r="B11" i="34"/>
  <c r="B24" i="34"/>
  <c r="B15" i="33"/>
  <c r="B19" i="35"/>
  <c r="B203" i="34"/>
  <c r="C26" i="34" a="1"/>
  <c r="C26" i="34" s="1"/>
  <c r="B17" i="34"/>
  <c r="B209" i="33"/>
  <c r="B197" i="33"/>
  <c r="B21" i="33"/>
  <c r="B13" i="35"/>
  <c r="D214" i="34"/>
  <c r="B26" i="34" a="1"/>
  <c r="B26" i="34" s="1"/>
  <c r="B207" i="33"/>
  <c r="B20" i="33"/>
  <c r="B213" i="34"/>
  <c r="B206" i="33"/>
  <c r="B205" i="33"/>
  <c r="D7" i="34"/>
  <c r="B202" i="34"/>
  <c r="B16" i="34"/>
  <c r="B192" i="33"/>
  <c r="C25" i="34" a="1"/>
  <c r="C25" i="34" s="1"/>
  <c r="B10" i="35"/>
  <c r="B198" i="34"/>
  <c r="B210" i="34"/>
  <c r="C26" i="33" a="1"/>
  <c r="C26" i="33" s="1"/>
  <c r="B13" i="22" a="1"/>
  <c r="B13" i="22" s="1"/>
  <c r="C14" i="22" a="1"/>
  <c r="C14" i="22" s="1"/>
  <c r="A8" i="66"/>
  <c r="A7" i="66"/>
  <c r="A11" i="66"/>
  <c r="A12" i="66"/>
  <c r="A13" i="66"/>
  <c r="A14" i="66"/>
  <c r="A10" i="66"/>
  <c r="C39" i="82" a="1"/>
  <c r="C39" i="82" s="1"/>
  <c r="C40" i="82" a="1"/>
  <c r="C40" i="82" s="1"/>
  <c r="B40" i="82" a="1"/>
  <c r="B40" i="82" s="1"/>
  <c r="B39" i="82" a="1"/>
  <c r="B39" i="82" s="1"/>
  <c r="E23" i="44"/>
  <c r="Q23" i="44" a="1"/>
  <c r="Q23" i="44" s="1"/>
  <c r="B18" i="92" a="1"/>
  <c r="B18" i="92" s="1"/>
  <c r="D69" i="54"/>
  <c r="D53" i="54"/>
  <c r="D62" i="54"/>
  <c r="D68" i="54"/>
  <c r="D52" i="54"/>
  <c r="D28" i="54"/>
  <c r="D39" i="54"/>
  <c r="D37" i="54"/>
  <c r="D14" i="54"/>
  <c r="D98" i="54"/>
  <c r="D35" i="54"/>
  <c r="D15" i="54"/>
  <c r="D33" i="54"/>
  <c r="D76" i="54"/>
  <c r="D74" i="54"/>
  <c r="A90" i="78"/>
  <c r="A91" i="78" s="1"/>
  <c r="A92" i="78" s="1"/>
  <c r="A93" i="78" s="1"/>
  <c r="A94" i="78" s="1"/>
  <c r="D72" i="54"/>
  <c r="C70" i="78" a="1"/>
  <c r="C70" i="78" s="1"/>
  <c r="B18" i="78"/>
  <c r="B70" i="78" a="1"/>
  <c r="B70" i="78" s="1"/>
  <c r="A122" i="77"/>
  <c r="A123" i="77" s="1"/>
  <c r="A124" i="77" s="1"/>
  <c r="A125" i="77" s="1"/>
  <c r="A126" i="77" s="1"/>
  <c r="B37" i="78" a="1"/>
  <c r="B37" i="78" s="1"/>
  <c r="C26" i="30" a="1"/>
  <c r="C26" i="30" s="1"/>
  <c r="C26" i="29" a="1"/>
  <c r="C26" i="29" s="1"/>
  <c r="B26" i="28" a="1"/>
  <c r="B26" i="28" s="1"/>
  <c r="C26" i="28" a="1"/>
  <c r="C26" i="28" s="1"/>
  <c r="B26" i="30" a="1"/>
  <c r="B26" i="30" s="1"/>
  <c r="C26" i="32" a="1"/>
  <c r="C26" i="32" s="1"/>
  <c r="B26" i="31" a="1"/>
  <c r="B26" i="31" s="1"/>
  <c r="B26" i="29" a="1"/>
  <c r="B26" i="29" s="1"/>
  <c r="C26" i="31" a="1"/>
  <c r="C26" i="31" s="1"/>
  <c r="B26" i="32" a="1"/>
  <c r="B26" i="32" s="1"/>
  <c r="E26" i="44" a="1"/>
  <c r="E26" i="44" s="1"/>
  <c r="C25" i="28" a="1"/>
  <c r="C25" i="28" s="1"/>
  <c r="C25" i="32" a="1"/>
  <c r="C25" i="32" s="1"/>
  <c r="C25" i="31" a="1"/>
  <c r="C25" i="31" s="1"/>
  <c r="C25" i="30" a="1"/>
  <c r="C25" i="30" s="1"/>
  <c r="C25" i="29" a="1"/>
  <c r="C25" i="29" s="1"/>
  <c r="E27" i="44" a="1"/>
  <c r="E27" i="44" s="1"/>
  <c r="B274" i="32"/>
  <c r="B270" i="32"/>
  <c r="B262" i="32"/>
  <c r="B254" i="32"/>
  <c r="B246" i="32"/>
  <c r="B123" i="32"/>
  <c r="B22" i="32"/>
  <c r="B14" i="32"/>
  <c r="B9" i="32"/>
  <c r="B268" i="31"/>
  <c r="B260" i="31"/>
  <c r="B252" i="31"/>
  <c r="B129" i="31"/>
  <c r="B121" i="31"/>
  <c r="B21" i="31"/>
  <c r="B13" i="31"/>
  <c r="B267" i="30"/>
  <c r="B259" i="30"/>
  <c r="B251" i="30"/>
  <c r="B128" i="30"/>
  <c r="B120" i="30"/>
  <c r="B20" i="30"/>
  <c r="B12" i="30"/>
  <c r="B273" i="29"/>
  <c r="B265" i="29"/>
  <c r="B257" i="29"/>
  <c r="B249" i="29"/>
  <c r="B126" i="29"/>
  <c r="B18" i="29"/>
  <c r="B10" i="29"/>
  <c r="B24" i="31"/>
  <c r="B254" i="30"/>
  <c r="B269" i="32"/>
  <c r="B261" i="32"/>
  <c r="B253" i="32"/>
  <c r="B245" i="32"/>
  <c r="B122" i="32"/>
  <c r="B21" i="32"/>
  <c r="B13" i="32"/>
  <c r="B267" i="31"/>
  <c r="B259" i="31"/>
  <c r="B251" i="31"/>
  <c r="B128" i="31"/>
  <c r="B120" i="31"/>
  <c r="B20" i="31"/>
  <c r="B12" i="31"/>
  <c r="B274" i="30"/>
  <c r="B266" i="30"/>
  <c r="B258" i="30"/>
  <c r="B250" i="30"/>
  <c r="B127" i="30"/>
  <c r="B19" i="30"/>
  <c r="B11" i="30"/>
  <c r="B272" i="29"/>
  <c r="B264" i="29"/>
  <c r="B256" i="29"/>
  <c r="B248" i="29"/>
  <c r="B125" i="29"/>
  <c r="B25" i="29" a="1"/>
  <c r="B25" i="29" s="1"/>
  <c r="B17" i="29"/>
  <c r="B35" i="93" a="1"/>
  <c r="B35" i="93" s="1"/>
  <c r="B255" i="29"/>
  <c r="B247" i="29"/>
  <c r="B124" i="29"/>
  <c r="B24" i="29"/>
  <c r="B16" i="29"/>
  <c r="D9" i="29" a="1"/>
  <c r="D9" i="29" s="1"/>
  <c r="B273" i="32"/>
  <c r="B249" i="32"/>
  <c r="B17" i="32"/>
  <c r="B271" i="31"/>
  <c r="B247" i="31"/>
  <c r="B270" i="30"/>
  <c r="B123" i="30"/>
  <c r="B9" i="30"/>
  <c r="B252" i="29"/>
  <c r="B121" i="29"/>
  <c r="B9" i="29"/>
  <c r="B264" i="32"/>
  <c r="B248" i="32"/>
  <c r="B24" i="32"/>
  <c r="B270" i="31"/>
  <c r="B246" i="31"/>
  <c r="B23" i="31"/>
  <c r="B269" i="30"/>
  <c r="B245" i="30"/>
  <c r="B14" i="30"/>
  <c r="B259" i="29"/>
  <c r="B128" i="29"/>
  <c r="B12" i="29"/>
  <c r="B263" i="32"/>
  <c r="B124" i="32"/>
  <c r="B15" i="32"/>
  <c r="B261" i="31"/>
  <c r="B122" i="31"/>
  <c r="B14" i="31"/>
  <c r="B260" i="30"/>
  <c r="B129" i="30"/>
  <c r="B13" i="30"/>
  <c r="B258" i="29"/>
  <c r="B127" i="29"/>
  <c r="B11" i="29"/>
  <c r="B268" i="32"/>
  <c r="B260" i="32"/>
  <c r="B252" i="32"/>
  <c r="B129" i="32"/>
  <c r="B121" i="32"/>
  <c r="B20" i="32"/>
  <c r="B12" i="32"/>
  <c r="B274" i="31"/>
  <c r="B266" i="31"/>
  <c r="B258" i="31"/>
  <c r="B250" i="31"/>
  <c r="B127" i="31"/>
  <c r="B19" i="31"/>
  <c r="B11" i="31"/>
  <c r="B273" i="30"/>
  <c r="B265" i="30"/>
  <c r="B257" i="30"/>
  <c r="B249" i="30"/>
  <c r="B126" i="30"/>
  <c r="B18" i="30"/>
  <c r="B10" i="30"/>
  <c r="B271" i="29"/>
  <c r="B263" i="29"/>
  <c r="B267" i="32"/>
  <c r="B259" i="32"/>
  <c r="B251" i="32"/>
  <c r="B128" i="32"/>
  <c r="B120" i="32"/>
  <c r="B19" i="32"/>
  <c r="B11" i="32"/>
  <c r="B273" i="31"/>
  <c r="B265" i="31"/>
  <c r="B257" i="31"/>
  <c r="B249" i="31"/>
  <c r="B126" i="31"/>
  <c r="B18" i="31"/>
  <c r="B10" i="31"/>
  <c r="B272" i="30"/>
  <c r="B264" i="30"/>
  <c r="B256" i="30"/>
  <c r="B248" i="30"/>
  <c r="B125" i="30"/>
  <c r="B25" i="30" a="1"/>
  <c r="B25" i="30" s="1"/>
  <c r="B17" i="30"/>
  <c r="D9" i="30" a="1"/>
  <c r="D9" i="30" s="1"/>
  <c r="B270" i="29"/>
  <c r="B262" i="29"/>
  <c r="B254" i="29"/>
  <c r="B246" i="29"/>
  <c r="B123" i="29"/>
  <c r="B23" i="29"/>
  <c r="B15" i="29"/>
  <c r="B257" i="32"/>
  <c r="B25" i="32" a="1"/>
  <c r="B25" i="32" s="1"/>
  <c r="B263" i="31"/>
  <c r="B124" i="31"/>
  <c r="B262" i="30"/>
  <c r="B23" i="30"/>
  <c r="B268" i="29"/>
  <c r="B129" i="29"/>
  <c r="B21" i="29"/>
  <c r="B272" i="32"/>
  <c r="B125" i="32"/>
  <c r="B16" i="32"/>
  <c r="B262" i="31"/>
  <c r="B123" i="31"/>
  <c r="C9" i="31" a="1"/>
  <c r="C9" i="31" s="1"/>
  <c r="B253" i="30"/>
  <c r="B22" i="30"/>
  <c r="B267" i="29"/>
  <c r="B251" i="29"/>
  <c r="B20" i="29"/>
  <c r="B271" i="32"/>
  <c r="B255" i="32"/>
  <c r="B23" i="32"/>
  <c r="B269" i="31"/>
  <c r="B253" i="31"/>
  <c r="B22" i="31"/>
  <c r="B9" i="31"/>
  <c r="B252" i="30"/>
  <c r="B21" i="30"/>
  <c r="B274" i="29"/>
  <c r="B250" i="29"/>
  <c r="B19" i="29"/>
  <c r="B266" i="32"/>
  <c r="B258" i="32"/>
  <c r="B250" i="32"/>
  <c r="B127" i="32"/>
  <c r="B18" i="32"/>
  <c r="B10" i="32"/>
  <c r="B272" i="31"/>
  <c r="B264" i="31"/>
  <c r="B256" i="31"/>
  <c r="B248" i="31"/>
  <c r="B125" i="31"/>
  <c r="B25" i="31" a="1"/>
  <c r="B25" i="31" s="1"/>
  <c r="B17" i="31"/>
  <c r="D9" i="31" a="1"/>
  <c r="D9" i="31" s="1"/>
  <c r="B271" i="30"/>
  <c r="B263" i="30"/>
  <c r="B255" i="30"/>
  <c r="B247" i="30"/>
  <c r="B124" i="30"/>
  <c r="B24" i="30"/>
  <c r="B16" i="30"/>
  <c r="C9" i="30" a="1"/>
  <c r="C9" i="30" s="1"/>
  <c r="B269" i="29"/>
  <c r="B261" i="29"/>
  <c r="B253" i="29"/>
  <c r="B245" i="29"/>
  <c r="B122" i="29"/>
  <c r="B22" i="29"/>
  <c r="B14" i="29"/>
  <c r="C9" i="29" a="1"/>
  <c r="C9" i="29" s="1"/>
  <c r="B265" i="32"/>
  <c r="B126" i="32"/>
  <c r="D9" i="32" a="1"/>
  <c r="D9" i="32" s="1"/>
  <c r="B255" i="31"/>
  <c r="B16" i="31"/>
  <c r="B246" i="30"/>
  <c r="B15" i="30"/>
  <c r="B260" i="29"/>
  <c r="B13" i="29"/>
  <c r="B256" i="32"/>
  <c r="B254" i="31"/>
  <c r="B15" i="31"/>
  <c r="B261" i="30"/>
  <c r="B122" i="30"/>
  <c r="B120" i="29"/>
  <c r="B247" i="32"/>
  <c r="C9" i="32" a="1"/>
  <c r="C9" i="32" s="1"/>
  <c r="B245" i="31"/>
  <c r="B268" i="30"/>
  <c r="B121" i="30"/>
  <c r="B266" i="29"/>
  <c r="B25" i="28" a="1"/>
  <c r="B25" i="28" s="1"/>
  <c r="B32" i="93"/>
  <c r="B65" i="111" a="1"/>
  <c r="B65" i="111" s="1"/>
  <c r="B60" i="111" a="1"/>
  <c r="B60" i="111" s="1"/>
  <c r="B57" i="111" a="1"/>
  <c r="B57" i="111" s="1"/>
  <c r="B48" i="111" a="1"/>
  <c r="B48" i="111" s="1"/>
  <c r="B28" i="111" a="1"/>
  <c r="B28" i="111" s="1"/>
  <c r="B34" i="111" a="1"/>
  <c r="B34" i="111" s="1"/>
  <c r="B16" i="111" a="1"/>
  <c r="B16" i="111" s="1"/>
  <c r="B12" i="111"/>
  <c r="B39" i="111" a="1"/>
  <c r="B39" i="111" s="1"/>
  <c r="B36" i="111" a="1"/>
  <c r="B36" i="111" s="1"/>
  <c r="D10" i="111"/>
  <c r="B30" i="111" a="1"/>
  <c r="B30" i="111" s="1"/>
  <c r="B54" i="111" a="1"/>
  <c r="B54" i="111" s="1"/>
  <c r="B31" i="111" a="1"/>
  <c r="B31" i="111" s="1"/>
  <c r="B20" i="111" a="1"/>
  <c r="B20" i="111" s="1"/>
  <c r="B42" i="111" a="1"/>
  <c r="B42" i="111" s="1"/>
  <c r="B14" i="111" a="1"/>
  <c r="B14" i="111" s="1"/>
  <c r="B38" i="111" a="1"/>
  <c r="B38" i="111" s="1"/>
  <c r="B22" i="111" a="1"/>
  <c r="B22" i="111" s="1"/>
  <c r="B47" i="111" a="1"/>
  <c r="B47" i="111" s="1"/>
  <c r="B15" i="111" a="1"/>
  <c r="B15" i="111" s="1"/>
  <c r="B51" i="111" a="1"/>
  <c r="B51" i="111" s="1"/>
  <c r="B58" i="111" a="1"/>
  <c r="B58" i="111" s="1"/>
  <c r="B44" i="111" a="1"/>
  <c r="B44" i="111" s="1"/>
  <c r="B29" i="111" a="1"/>
  <c r="B29" i="111" s="1"/>
  <c r="B35" i="111" a="1"/>
  <c r="B35" i="111" s="1"/>
  <c r="B17" i="111" a="1"/>
  <c r="B17" i="111" s="1"/>
  <c r="B11" i="111"/>
  <c r="B52" i="111" a="1"/>
  <c r="B52" i="111" s="1"/>
  <c r="B18" i="111" a="1"/>
  <c r="B18" i="111" s="1"/>
  <c r="B53" i="111" a="1"/>
  <c r="B53" i="111" s="1"/>
  <c r="B59" i="111" a="1"/>
  <c r="B59" i="111" s="1"/>
  <c r="B40" i="111" a="1"/>
  <c r="B40" i="111" s="1"/>
  <c r="B26" i="111" a="1"/>
  <c r="B26" i="111" s="1"/>
  <c r="B19" i="111" a="1"/>
  <c r="B19" i="111" s="1"/>
  <c r="B50" i="111" a="1"/>
  <c r="B50" i="111" s="1"/>
  <c r="B41" i="111" a="1"/>
  <c r="B41" i="111" s="1"/>
  <c r="B23" i="111" a="1"/>
  <c r="B23" i="111" s="1"/>
  <c r="B6" i="111"/>
  <c r="B45" i="111" a="1"/>
  <c r="B45" i="111" s="1"/>
  <c r="B32" i="111" a="1"/>
  <c r="B32" i="111" s="1"/>
  <c r="B24" i="111" a="1"/>
  <c r="B24" i="111" s="1"/>
  <c r="B55" i="111" a="1"/>
  <c r="B55" i="111" s="1"/>
  <c r="B46" i="111" a="1"/>
  <c r="B46" i="111" s="1"/>
  <c r="B33" i="111" a="1"/>
  <c r="B33" i="111" s="1"/>
  <c r="B56" i="111" a="1"/>
  <c r="B56" i="111" s="1"/>
  <c r="B27" i="111" a="1"/>
  <c r="B27" i="111" s="1"/>
  <c r="B647" i="108" a="1"/>
  <c r="B647" i="108" s="1"/>
  <c r="B638" i="108" a="1"/>
  <c r="B638" i="108" s="1"/>
  <c r="B630" i="108" a="1"/>
  <c r="B630" i="108" s="1"/>
  <c r="B621" i="108" a="1"/>
  <c r="B621" i="108" s="1"/>
  <c r="B611" i="108" a="1"/>
  <c r="B611" i="108" s="1"/>
  <c r="B602" i="108" a="1"/>
  <c r="B602" i="108" s="1"/>
  <c r="B594" i="108" a="1"/>
  <c r="B594" i="108" s="1"/>
  <c r="B584" i="108" a="1"/>
  <c r="B584" i="108" s="1"/>
  <c r="B574" i="108" a="1"/>
  <c r="B574" i="108" s="1"/>
  <c r="B563" i="108" a="1"/>
  <c r="B563" i="108" s="1"/>
  <c r="B555" i="108" a="1"/>
  <c r="B555" i="108" s="1"/>
  <c r="B546" i="108" a="1"/>
  <c r="B546" i="108" s="1"/>
  <c r="B537" i="108" a="1"/>
  <c r="B537" i="108" s="1"/>
  <c r="B510" i="108" a="1"/>
  <c r="B510" i="108" s="1"/>
  <c r="B597" i="108" a="1"/>
  <c r="B597" i="108" s="1"/>
  <c r="B567" i="108" a="1"/>
  <c r="B567" i="108" s="1"/>
  <c r="B522" i="108" a="1"/>
  <c r="B522" i="108" s="1"/>
  <c r="B645" i="108" a="1"/>
  <c r="B645" i="108" s="1"/>
  <c r="B637" i="108" a="1"/>
  <c r="B637" i="108" s="1"/>
  <c r="B628" i="108" a="1"/>
  <c r="B628" i="108" s="1"/>
  <c r="B619" i="108" a="1"/>
  <c r="B619" i="108" s="1"/>
  <c r="B610" i="108" a="1"/>
  <c r="B610" i="108" s="1"/>
  <c r="B601" i="108" a="1"/>
  <c r="B601" i="108" s="1"/>
  <c r="B592" i="108" a="1"/>
  <c r="B592" i="108" s="1"/>
  <c r="B582" i="108" a="1"/>
  <c r="B582" i="108" s="1"/>
  <c r="B573" i="108" a="1"/>
  <c r="B573" i="108" s="1"/>
  <c r="B562" i="108" a="1"/>
  <c r="B562" i="108" s="1"/>
  <c r="B554" i="108" a="1"/>
  <c r="B554" i="108" s="1"/>
  <c r="B545" i="108" a="1"/>
  <c r="B545" i="108" s="1"/>
  <c r="B536" i="108" a="1"/>
  <c r="B536" i="108" s="1"/>
  <c r="B527" i="108" a="1"/>
  <c r="B527" i="108" s="1"/>
  <c r="B518" i="108" a="1"/>
  <c r="B518" i="108" s="1"/>
  <c r="B509" i="108" a="1"/>
  <c r="B509" i="108" s="1"/>
  <c r="B499" i="108" a="1"/>
  <c r="B499" i="108" s="1"/>
  <c r="B490" i="108" a="1"/>
  <c r="B490" i="108" s="1"/>
  <c r="B505" i="108" a="1"/>
  <c r="B505" i="108" s="1"/>
  <c r="B641" i="108" a="1"/>
  <c r="B641" i="108" s="1"/>
  <c r="B550" i="108" a="1"/>
  <c r="B550" i="108" s="1"/>
  <c r="B504" i="108" a="1"/>
  <c r="B504" i="108" s="1"/>
  <c r="B644" i="108" a="1"/>
  <c r="B644" i="108" s="1"/>
  <c r="B636" i="108" a="1"/>
  <c r="B636" i="108" s="1"/>
  <c r="B627" i="108" a="1"/>
  <c r="B627" i="108" s="1"/>
  <c r="B618" i="108" a="1"/>
  <c r="B618" i="108" s="1"/>
  <c r="B609" i="108" a="1"/>
  <c r="B609" i="108" s="1"/>
  <c r="B600" i="108" a="1"/>
  <c r="B600" i="108" s="1"/>
  <c r="B591" i="108" a="1"/>
  <c r="B591" i="108" s="1"/>
  <c r="B581" i="108" a="1"/>
  <c r="B581" i="108" s="1"/>
  <c r="B572" i="108" a="1"/>
  <c r="B572" i="108" s="1"/>
  <c r="B561" i="108" a="1"/>
  <c r="B561" i="108" s="1"/>
  <c r="B553" i="108" a="1"/>
  <c r="B553" i="108" s="1"/>
  <c r="B544" i="108" a="1"/>
  <c r="B544" i="108" s="1"/>
  <c r="B535" i="108" a="1"/>
  <c r="B535" i="108" s="1"/>
  <c r="B525" i="108" a="1"/>
  <c r="B525" i="108" s="1"/>
  <c r="B517" i="108" a="1"/>
  <c r="B517" i="108" s="1"/>
  <c r="B508" i="108" a="1"/>
  <c r="B508" i="108" s="1"/>
  <c r="B491" i="108" a="1"/>
  <c r="B491" i="108" s="1"/>
  <c r="B515" i="108" a="1"/>
  <c r="B515" i="108" s="1"/>
  <c r="B643" i="108" a="1"/>
  <c r="B643" i="108" s="1"/>
  <c r="B635" i="108" a="1"/>
  <c r="B635" i="108" s="1"/>
  <c r="B626" i="108" a="1"/>
  <c r="B626" i="108" s="1"/>
  <c r="B617" i="108" a="1"/>
  <c r="B617" i="108" s="1"/>
  <c r="B608" i="108" a="1"/>
  <c r="B608" i="108" s="1"/>
  <c r="B599" i="108" a="1"/>
  <c r="B599" i="108" s="1"/>
  <c r="B590" i="108" a="1"/>
  <c r="B590" i="108" s="1"/>
  <c r="B580" i="108" a="1"/>
  <c r="B580" i="108" s="1"/>
  <c r="B571" i="108" a="1"/>
  <c r="B571" i="108" s="1"/>
  <c r="B560" i="108" a="1"/>
  <c r="B560" i="108" s="1"/>
  <c r="B552" i="108" a="1"/>
  <c r="B552" i="108" s="1"/>
  <c r="B543" i="108" a="1"/>
  <c r="B543" i="108" s="1"/>
  <c r="B534" i="108" a="1"/>
  <c r="B534" i="108" s="1"/>
  <c r="B524" i="108" a="1"/>
  <c r="B524" i="108" s="1"/>
  <c r="B516" i="108" a="1"/>
  <c r="B516" i="108" s="1"/>
  <c r="B507" i="108" a="1"/>
  <c r="B507" i="108" s="1"/>
  <c r="B492" i="108" a="1"/>
  <c r="B492" i="108" s="1"/>
  <c r="B523" i="108" a="1"/>
  <c r="B523" i="108" s="1"/>
  <c r="B633" i="108" a="1"/>
  <c r="B633" i="108" s="1"/>
  <c r="B558" i="108" a="1"/>
  <c r="B558" i="108" s="1"/>
  <c r="Q25" i="44" a="1"/>
  <c r="Q25" i="44" s="1"/>
  <c r="B642" i="108" a="1"/>
  <c r="B642" i="108" s="1"/>
  <c r="B634" i="108" a="1"/>
  <c r="B634" i="108" s="1"/>
  <c r="B625" i="108" a="1"/>
  <c r="B625" i="108" s="1"/>
  <c r="B616" i="108" a="1"/>
  <c r="B616" i="108" s="1"/>
  <c r="B607" i="108" a="1"/>
  <c r="B607" i="108" s="1"/>
  <c r="B598" i="108" a="1"/>
  <c r="B598" i="108" s="1"/>
  <c r="B589" i="108" a="1"/>
  <c r="B589" i="108" s="1"/>
  <c r="B579" i="108" a="1"/>
  <c r="B579" i="108" s="1"/>
  <c r="B570" i="108" a="1"/>
  <c r="B570" i="108" s="1"/>
  <c r="B559" i="108" a="1"/>
  <c r="B559" i="108" s="1"/>
  <c r="B551" i="108" a="1"/>
  <c r="B551" i="108" s="1"/>
  <c r="B542" i="108" a="1"/>
  <c r="B542" i="108" s="1"/>
  <c r="B532" i="108" a="1"/>
  <c r="B532" i="108" s="1"/>
  <c r="B493" i="108" a="1"/>
  <c r="B493" i="108" s="1"/>
  <c r="B624" i="108" a="1"/>
  <c r="B624" i="108" s="1"/>
  <c r="B577" i="108" a="1"/>
  <c r="B577" i="108" s="1"/>
  <c r="B514" i="108" a="1"/>
  <c r="B514" i="108" s="1"/>
  <c r="B640" i="108" a="1"/>
  <c r="B640" i="108" s="1"/>
  <c r="B632" i="108" a="1"/>
  <c r="B632" i="108" s="1"/>
  <c r="B623" i="108" a="1"/>
  <c r="B623" i="108" s="1"/>
  <c r="B614" i="108" a="1"/>
  <c r="B614" i="108" s="1"/>
  <c r="B604" i="108" a="1"/>
  <c r="B604" i="108" s="1"/>
  <c r="B596" i="108" a="1"/>
  <c r="B596" i="108" s="1"/>
  <c r="B587" i="108" a="1"/>
  <c r="B587" i="108" s="1"/>
  <c r="B576" i="108" a="1"/>
  <c r="B576" i="108" s="1"/>
  <c r="B565" i="108" a="1"/>
  <c r="B565" i="108" s="1"/>
  <c r="B557" i="108" a="1"/>
  <c r="B557" i="108" s="1"/>
  <c r="B548" i="108" a="1"/>
  <c r="B548" i="108" s="1"/>
  <c r="B539" i="108" a="1"/>
  <c r="B539" i="108" s="1"/>
  <c r="B530" i="108" a="1"/>
  <c r="B530" i="108" s="1"/>
  <c r="B521" i="108" a="1"/>
  <c r="B521" i="108" s="1"/>
  <c r="B512" i="108" a="1"/>
  <c r="B512" i="108" s="1"/>
  <c r="B502" i="108" a="1"/>
  <c r="B502" i="108" s="1"/>
  <c r="B495" i="108" a="1"/>
  <c r="B495" i="108" s="1"/>
  <c r="Q24" i="44" a="1"/>
  <c r="Q24" i="44" s="1"/>
  <c r="B519" i="108" a="1"/>
  <c r="B519" i="108" s="1"/>
  <c r="B497" i="108" a="1"/>
  <c r="B497" i="108" s="1"/>
  <c r="B605" i="108" a="1"/>
  <c r="B605" i="108" s="1"/>
  <c r="B541" i="108" a="1"/>
  <c r="B541" i="108" s="1"/>
  <c r="B494" i="108" a="1"/>
  <c r="B494" i="108" s="1"/>
  <c r="B639" i="108" a="1"/>
  <c r="B639" i="108" s="1"/>
  <c r="B631" i="108" a="1"/>
  <c r="B631" i="108" s="1"/>
  <c r="B622" i="108" a="1"/>
  <c r="B622" i="108" s="1"/>
  <c r="B612" i="108" a="1"/>
  <c r="B612" i="108" s="1"/>
  <c r="B603" i="108" a="1"/>
  <c r="B603" i="108" s="1"/>
  <c r="B595" i="108" a="1"/>
  <c r="B595" i="108" s="1"/>
  <c r="B585" i="108" a="1"/>
  <c r="B585" i="108" s="1"/>
  <c r="B575" i="108" a="1"/>
  <c r="B575" i="108" s="1"/>
  <c r="B564" i="108" a="1"/>
  <c r="B564" i="108" s="1"/>
  <c r="B556" i="108" a="1"/>
  <c r="B556" i="108" s="1"/>
  <c r="B547" i="108" a="1"/>
  <c r="B547" i="108" s="1"/>
  <c r="B538" i="108" a="1"/>
  <c r="B538" i="108" s="1"/>
  <c r="B529" i="108" a="1"/>
  <c r="B529" i="108" s="1"/>
  <c r="B520" i="108" a="1"/>
  <c r="B520" i="108" s="1"/>
  <c r="B511" i="108" a="1"/>
  <c r="B511" i="108" s="1"/>
  <c r="B501" i="108" a="1"/>
  <c r="B501" i="108" s="1"/>
  <c r="B496" i="108" a="1"/>
  <c r="B496" i="108" s="1"/>
  <c r="B528" i="108" a="1"/>
  <c r="B528" i="108" s="1"/>
  <c r="B500" i="108" a="1"/>
  <c r="B500" i="108" s="1"/>
  <c r="B615" i="108" a="1"/>
  <c r="B615" i="108" s="1"/>
  <c r="B588" i="108" a="1"/>
  <c r="B588" i="108" s="1"/>
  <c r="B531" i="108" a="1"/>
  <c r="B531" i="108" s="1"/>
  <c r="B10" i="108" a="1"/>
  <c r="B10" i="108" s="1"/>
  <c r="E24" i="44"/>
  <c r="E25" i="44"/>
  <c r="B652" i="108" a="1"/>
  <c r="B652" i="108" s="1"/>
  <c r="B651" i="108" a="1"/>
  <c r="B651" i="108" s="1"/>
  <c r="B650" i="108" a="1"/>
  <c r="B650" i="108" s="1"/>
  <c r="B649" i="108" a="1"/>
  <c r="B649" i="108" s="1"/>
  <c r="B653" i="108" a="1"/>
  <c r="B653" i="108" s="1"/>
  <c r="B487" i="108" a="1"/>
  <c r="B487" i="108" s="1"/>
  <c r="B479" i="108" a="1"/>
  <c r="B479" i="108" s="1"/>
  <c r="B472" i="108" a="1"/>
  <c r="B472" i="108" s="1"/>
  <c r="B463" i="108" a="1"/>
  <c r="B463" i="108" s="1"/>
  <c r="B454" i="108" a="1"/>
  <c r="B454" i="108" s="1"/>
  <c r="B445" i="108" a="1"/>
  <c r="B445" i="108" s="1"/>
  <c r="B437" i="108" a="1"/>
  <c r="B437" i="108" s="1"/>
  <c r="B428" i="108" a="1"/>
  <c r="B428" i="108" s="1"/>
  <c r="B417" i="108" a="1"/>
  <c r="B417" i="108" s="1"/>
  <c r="B410" i="108" a="1"/>
  <c r="B410" i="108" s="1"/>
  <c r="B394" i="108" a="1"/>
  <c r="B394" i="108" s="1"/>
  <c r="B386" i="108" a="1"/>
  <c r="B386" i="108" s="1"/>
  <c r="B370" i="108" a="1"/>
  <c r="B370" i="108" s="1"/>
  <c r="B362" i="108" a="1"/>
  <c r="B362" i="108" s="1"/>
  <c r="B354" i="108" a="1"/>
  <c r="B354" i="108" s="1"/>
  <c r="B344" i="108" a="1"/>
  <c r="B344" i="108" s="1"/>
  <c r="B335" i="108" a="1"/>
  <c r="B335" i="108" s="1"/>
  <c r="B327" i="108" a="1"/>
  <c r="B327" i="108" s="1"/>
  <c r="B319" i="108" a="1"/>
  <c r="B319" i="108" s="1"/>
  <c r="B312" i="108" a="1"/>
  <c r="B312" i="108" s="1"/>
  <c r="B274" i="108" a="1"/>
  <c r="B274" i="108" s="1"/>
  <c r="B265" i="108" a="1"/>
  <c r="B265" i="108" s="1"/>
  <c r="B256" i="108" a="1"/>
  <c r="B256" i="108" s="1"/>
  <c r="B247" i="108" a="1"/>
  <c r="B247" i="108" s="1"/>
  <c r="B240" i="108" a="1"/>
  <c r="B240" i="108" s="1"/>
  <c r="B233" i="108" a="1"/>
  <c r="B233" i="108" s="1"/>
  <c r="B218" i="108" a="1"/>
  <c r="B218" i="108" s="1"/>
  <c r="B210" i="108" a="1"/>
  <c r="B210" i="108" s="1"/>
  <c r="B202" i="108" a="1"/>
  <c r="B202" i="108" s="1"/>
  <c r="B195" i="108" a="1"/>
  <c r="B195" i="108" s="1"/>
  <c r="B187" i="108" a="1"/>
  <c r="B187" i="108" s="1"/>
  <c r="B171" i="108" a="1"/>
  <c r="B171" i="108" s="1"/>
  <c r="B162" i="108" a="1"/>
  <c r="B162" i="108" s="1"/>
  <c r="B155" i="108" a="1"/>
  <c r="B155" i="108" s="1"/>
  <c r="B147" i="108" a="1"/>
  <c r="B147" i="108" s="1"/>
  <c r="B138" i="108" a="1"/>
  <c r="B138" i="108" s="1"/>
  <c r="B130" i="108" a="1"/>
  <c r="B130" i="108" s="1"/>
  <c r="B116" i="108" a="1"/>
  <c r="B116" i="108" s="1"/>
  <c r="B110" i="108" a="1"/>
  <c r="B110" i="108" s="1"/>
  <c r="B100" i="108" a="1"/>
  <c r="B100" i="108" s="1"/>
  <c r="B92" i="108" a="1"/>
  <c r="B92" i="108" s="1"/>
  <c r="B82" i="108" a="1"/>
  <c r="B82" i="108" s="1"/>
  <c r="B74" i="108" a="1"/>
  <c r="B74" i="108" s="1"/>
  <c r="B65" i="108" a="1"/>
  <c r="B65" i="108" s="1"/>
  <c r="B56" i="108" a="1"/>
  <c r="B56" i="108" s="1"/>
  <c r="B47" i="108" a="1"/>
  <c r="B47" i="108" s="1"/>
  <c r="B38" i="108" a="1"/>
  <c r="B38" i="108" s="1"/>
  <c r="B29" i="108" a="1"/>
  <c r="B29" i="108" s="1"/>
  <c r="B11" i="108" a="1"/>
  <c r="B11" i="108" s="1"/>
  <c r="B73" i="108" a="1"/>
  <c r="B73" i="108" s="1"/>
  <c r="B55" i="108" a="1"/>
  <c r="B55" i="108" s="1"/>
  <c r="B37" i="108" a="1"/>
  <c r="B37" i="108" s="1"/>
  <c r="B19" i="108" a="1"/>
  <c r="B19" i="108" s="1"/>
  <c r="B467" i="108" a="1"/>
  <c r="B467" i="108" s="1"/>
  <c r="B449" i="108" a="1"/>
  <c r="B449" i="108" s="1"/>
  <c r="B422" i="108" a="1"/>
  <c r="B422" i="108" s="1"/>
  <c r="B383" i="108" a="1"/>
  <c r="B383" i="108" s="1"/>
  <c r="B349" i="108" a="1"/>
  <c r="B349" i="108" s="1"/>
  <c r="B301" i="108" a="1"/>
  <c r="B301" i="108" s="1"/>
  <c r="B270" i="108" a="1"/>
  <c r="B270" i="108" s="1"/>
  <c r="B207" i="108" a="1"/>
  <c r="B207" i="108" s="1"/>
  <c r="B174" i="108" a="1"/>
  <c r="B174" i="108" s="1"/>
  <c r="B143" i="108" a="1"/>
  <c r="B143" i="108" s="1"/>
  <c r="B87" i="108" a="1"/>
  <c r="B87" i="108" s="1"/>
  <c r="B51" i="108" a="1"/>
  <c r="B51" i="108" s="1"/>
  <c r="B24" i="108" a="1"/>
  <c r="B24" i="108" s="1"/>
  <c r="B466" i="108" a="1"/>
  <c r="B466" i="108" s="1"/>
  <c r="B431" i="108" a="1"/>
  <c r="B431" i="108" s="1"/>
  <c r="B397" i="108" a="1"/>
  <c r="B397" i="108" s="1"/>
  <c r="B365" i="108" a="1"/>
  <c r="B365" i="108" s="1"/>
  <c r="B331" i="108" a="1"/>
  <c r="B331" i="108" s="1"/>
  <c r="B485" i="108" a="1"/>
  <c r="B485" i="108" s="1"/>
  <c r="B478" i="108" a="1"/>
  <c r="B478" i="108" s="1"/>
  <c r="B471" i="108" a="1"/>
  <c r="B471" i="108" s="1"/>
  <c r="B462" i="108" a="1"/>
  <c r="B462" i="108" s="1"/>
  <c r="B452" i="108" a="1"/>
  <c r="B452" i="108" s="1"/>
  <c r="B444" i="108" a="1"/>
  <c r="B444" i="108" s="1"/>
  <c r="B436" i="108" a="1"/>
  <c r="B436" i="108" s="1"/>
  <c r="B427" i="108" a="1"/>
  <c r="B427" i="108" s="1"/>
  <c r="B416" i="108" a="1"/>
  <c r="B416" i="108" s="1"/>
  <c r="B401" i="108" a="1"/>
  <c r="B401" i="108" s="1"/>
  <c r="B393" i="108" a="1"/>
  <c r="B393" i="108" s="1"/>
  <c r="B385" i="108" a="1"/>
  <c r="B385" i="108" s="1"/>
  <c r="B378" i="108" a="1"/>
  <c r="B378" i="108" s="1"/>
  <c r="B361" i="108" a="1"/>
  <c r="B361" i="108" s="1"/>
  <c r="B352" i="108" a="1"/>
  <c r="B352" i="108" s="1"/>
  <c r="B342" i="108" a="1"/>
  <c r="B342" i="108" s="1"/>
  <c r="B334" i="108" a="1"/>
  <c r="B334" i="108" s="1"/>
  <c r="B325" i="108" a="1"/>
  <c r="B325" i="108" s="1"/>
  <c r="B318" i="108" a="1"/>
  <c r="B318" i="108" s="1"/>
  <c r="B311" i="108" a="1"/>
  <c r="B311" i="108" s="1"/>
  <c r="B304" i="108" a="1"/>
  <c r="B304" i="108" s="1"/>
  <c r="B296" i="108" a="1"/>
  <c r="B296" i="108" s="1"/>
  <c r="B288" i="108" a="1"/>
  <c r="B288" i="108" s="1"/>
  <c r="B280" i="108" a="1"/>
  <c r="B280" i="108" s="1"/>
  <c r="B272" i="108" a="1"/>
  <c r="B272" i="108" s="1"/>
  <c r="B264" i="108" a="1"/>
  <c r="B264" i="108" s="1"/>
  <c r="B255" i="108" a="1"/>
  <c r="B255" i="108" s="1"/>
  <c r="B245" i="108" a="1"/>
  <c r="B245" i="108" s="1"/>
  <c r="B239" i="108" a="1"/>
  <c r="B239" i="108" s="1"/>
  <c r="B232" i="108" a="1"/>
  <c r="B232" i="108" s="1"/>
  <c r="B225" i="108" a="1"/>
  <c r="B225" i="108" s="1"/>
  <c r="B217" i="108" a="1"/>
  <c r="B217" i="108" s="1"/>
  <c r="B209" i="108" a="1"/>
  <c r="B209" i="108" s="1"/>
  <c r="B194" i="108" a="1"/>
  <c r="B194" i="108" s="1"/>
  <c r="B185" i="108" a="1"/>
  <c r="B185" i="108" s="1"/>
  <c r="B177" i="108" a="1"/>
  <c r="B177" i="108" s="1"/>
  <c r="B170" i="108" a="1"/>
  <c r="B170" i="108" s="1"/>
  <c r="B161" i="108" a="1"/>
  <c r="B161" i="108" s="1"/>
  <c r="B154" i="108" a="1"/>
  <c r="B154" i="108" s="1"/>
  <c r="B146" i="108" a="1"/>
  <c r="B146" i="108" s="1"/>
  <c r="B122" i="108" a="1"/>
  <c r="B122" i="108" s="1"/>
  <c r="B115" i="108" a="1"/>
  <c r="B115" i="108" s="1"/>
  <c r="B109" i="108" a="1"/>
  <c r="B109" i="108" s="1"/>
  <c r="B91" i="108" a="1"/>
  <c r="B91" i="108" s="1"/>
  <c r="B81" i="108" a="1"/>
  <c r="B81" i="108" s="1"/>
  <c r="B64" i="108" a="1"/>
  <c r="B64" i="108" s="1"/>
  <c r="B45" i="108" a="1"/>
  <c r="B45" i="108" s="1"/>
  <c r="B28" i="108" a="1"/>
  <c r="B28" i="108" s="1"/>
  <c r="B458" i="108" a="1"/>
  <c r="B458" i="108" s="1"/>
  <c r="B413" i="108" a="1"/>
  <c r="B413" i="108" s="1"/>
  <c r="B375" i="108" a="1"/>
  <c r="B375" i="108" s="1"/>
  <c r="B332" i="108" a="1"/>
  <c r="B332" i="108" s="1"/>
  <c r="B284" i="108" a="1"/>
  <c r="B284" i="108" s="1"/>
  <c r="B151" i="108" a="1"/>
  <c r="B151" i="108" s="1"/>
  <c r="B96" i="108" a="1"/>
  <c r="B96" i="108" s="1"/>
  <c r="B61" i="108" a="1"/>
  <c r="B61" i="108" s="1"/>
  <c r="B15" i="108" a="1"/>
  <c r="B15" i="108" s="1"/>
  <c r="B457" i="108" a="1"/>
  <c r="B457" i="108" s="1"/>
  <c r="B412" i="108" a="1"/>
  <c r="B412" i="108" s="1"/>
  <c r="B374" i="108" a="1"/>
  <c r="B374" i="108" s="1"/>
  <c r="B339" i="108" a="1"/>
  <c r="B339" i="108" s="1"/>
  <c r="B477" i="108" a="1"/>
  <c r="B477" i="108" s="1"/>
  <c r="B470" i="108" a="1"/>
  <c r="B470" i="108" s="1"/>
  <c r="B461" i="108" a="1"/>
  <c r="B461" i="108" s="1"/>
  <c r="B451" i="108" a="1"/>
  <c r="B451" i="108" s="1"/>
  <c r="B443" i="108" a="1"/>
  <c r="B443" i="108" s="1"/>
  <c r="B435" i="108" a="1"/>
  <c r="B435" i="108" s="1"/>
  <c r="B425" i="108" a="1"/>
  <c r="B425" i="108" s="1"/>
  <c r="B415" i="108" a="1"/>
  <c r="B415" i="108" s="1"/>
  <c r="B407" i="108" a="1"/>
  <c r="B407" i="108" s="1"/>
  <c r="B400" i="108" a="1"/>
  <c r="B400" i="108" s="1"/>
  <c r="B377" i="108" a="1"/>
  <c r="B377" i="108" s="1"/>
  <c r="B369" i="108" a="1"/>
  <c r="B369" i="108" s="1"/>
  <c r="B360" i="108" a="1"/>
  <c r="B360" i="108" s="1"/>
  <c r="B351" i="108" a="1"/>
  <c r="B351" i="108" s="1"/>
  <c r="B333" i="108" a="1"/>
  <c r="B333" i="108" s="1"/>
  <c r="B324" i="108" a="1"/>
  <c r="B324" i="108" s="1"/>
  <c r="B317" i="108" a="1"/>
  <c r="B317" i="108" s="1"/>
  <c r="B310" i="108" a="1"/>
  <c r="B310" i="108" s="1"/>
  <c r="B303" i="108" a="1"/>
  <c r="B303" i="108" s="1"/>
  <c r="B295" i="108" a="1"/>
  <c r="B295" i="108" s="1"/>
  <c r="B287" i="108" a="1"/>
  <c r="B287" i="108" s="1"/>
  <c r="B279" i="108" a="1"/>
  <c r="B279" i="108" s="1"/>
  <c r="B271" i="108" a="1"/>
  <c r="B271" i="108" s="1"/>
  <c r="B262" i="108" a="1"/>
  <c r="B262" i="108" s="1"/>
  <c r="B254" i="108" a="1"/>
  <c r="B254" i="108" s="1"/>
  <c r="B244" i="108" a="1"/>
  <c r="B244" i="108" s="1"/>
  <c r="B238" i="108" a="1"/>
  <c r="B238" i="108" s="1"/>
  <c r="B231" i="108" a="1"/>
  <c r="B231" i="108" s="1"/>
  <c r="B224" i="108" a="1"/>
  <c r="B224" i="108" s="1"/>
  <c r="B201" i="108" a="1"/>
  <c r="B201" i="108" s="1"/>
  <c r="B192" i="108" a="1"/>
  <c r="B192" i="108" s="1"/>
  <c r="B184" i="108" a="1"/>
  <c r="B184" i="108" s="1"/>
  <c r="B176" i="108" a="1"/>
  <c r="B176" i="108" s="1"/>
  <c r="B160" i="108" a="1"/>
  <c r="B160" i="108" s="1"/>
  <c r="B153" i="108" a="1"/>
  <c r="B153" i="108" s="1"/>
  <c r="B145" i="108" a="1"/>
  <c r="B145" i="108" s="1"/>
  <c r="B137" i="108" a="1"/>
  <c r="B137" i="108" s="1"/>
  <c r="B129" i="108" a="1"/>
  <c r="B129" i="108" s="1"/>
  <c r="B121" i="108" a="1"/>
  <c r="B121" i="108" s="1"/>
  <c r="B108" i="108" a="1"/>
  <c r="B108" i="108" s="1"/>
  <c r="B99" i="108" a="1"/>
  <c r="B99" i="108" s="1"/>
  <c r="B90" i="108" a="1"/>
  <c r="B90" i="108" s="1"/>
  <c r="B80" i="108" a="1"/>
  <c r="B80" i="108" s="1"/>
  <c r="B72" i="108" a="1"/>
  <c r="B72" i="108" s="1"/>
  <c r="B63" i="108" a="1"/>
  <c r="B63" i="108" s="1"/>
  <c r="B54" i="108" a="1"/>
  <c r="B54" i="108" s="1"/>
  <c r="B44" i="108" a="1"/>
  <c r="B44" i="108" s="1"/>
  <c r="B36" i="108" a="1"/>
  <c r="B36" i="108" s="1"/>
  <c r="B27" i="108" a="1"/>
  <c r="B27" i="108" s="1"/>
  <c r="B17" i="108" a="1"/>
  <c r="B17" i="108" s="1"/>
  <c r="B475" i="108" a="1"/>
  <c r="B475" i="108" s="1"/>
  <c r="B441" i="108" a="1"/>
  <c r="B441" i="108" s="1"/>
  <c r="B391" i="108" a="1"/>
  <c r="B391" i="108" s="1"/>
  <c r="B367" i="108" a="1"/>
  <c r="B367" i="108" s="1"/>
  <c r="B340" i="108" a="1"/>
  <c r="B340" i="108" s="1"/>
  <c r="B307" i="108" a="1"/>
  <c r="B307" i="108" s="1"/>
  <c r="B277" i="108" a="1"/>
  <c r="B277" i="108" s="1"/>
  <c r="B252" i="108" a="1"/>
  <c r="B252" i="108" s="1"/>
  <c r="B237" i="108" a="1"/>
  <c r="B237" i="108" s="1"/>
  <c r="B215" i="108" a="1"/>
  <c r="B215" i="108" s="1"/>
  <c r="B199" i="108" a="1"/>
  <c r="B199" i="108" s="1"/>
  <c r="B165" i="108" a="1"/>
  <c r="B165" i="108" s="1"/>
  <c r="B127" i="108" a="1"/>
  <c r="B127" i="108" s="1"/>
  <c r="B105" i="108" a="1"/>
  <c r="B105" i="108" s="1"/>
  <c r="B70" i="108" a="1"/>
  <c r="B70" i="108" s="1"/>
  <c r="B42" i="108" a="1"/>
  <c r="B42" i="108" s="1"/>
  <c r="B448" i="108" a="1"/>
  <c r="B448" i="108" s="1"/>
  <c r="B440" i="108" a="1"/>
  <c r="B440" i="108" s="1"/>
  <c r="B404" i="108" a="1"/>
  <c r="B404" i="108" s="1"/>
  <c r="B382" i="108" a="1"/>
  <c r="B382" i="108" s="1"/>
  <c r="B348" i="108" a="1"/>
  <c r="B348" i="108" s="1"/>
  <c r="B322" i="108" a="1"/>
  <c r="B322" i="108" s="1"/>
  <c r="B484" i="108" a="1"/>
  <c r="B484" i="108" s="1"/>
  <c r="B476" i="108" a="1"/>
  <c r="B476" i="108" s="1"/>
  <c r="B468" i="108" a="1"/>
  <c r="B468" i="108" s="1"/>
  <c r="B459" i="108" a="1"/>
  <c r="B459" i="108" s="1"/>
  <c r="B450" i="108" a="1"/>
  <c r="B450" i="108" s="1"/>
  <c r="B442" i="108" a="1"/>
  <c r="B442" i="108" s="1"/>
  <c r="B434" i="108" a="1"/>
  <c r="B434" i="108" s="1"/>
  <c r="B424" i="108" a="1"/>
  <c r="B424" i="108" s="1"/>
  <c r="B414" i="108" a="1"/>
  <c r="B414" i="108" s="1"/>
  <c r="B405" i="108" a="1"/>
  <c r="B405" i="108" s="1"/>
  <c r="B399" i="108" a="1"/>
  <c r="B399" i="108" s="1"/>
  <c r="B392" i="108" a="1"/>
  <c r="B392" i="108" s="1"/>
  <c r="B384" i="108" a="1"/>
  <c r="B384" i="108" s="1"/>
  <c r="B376" i="108" a="1"/>
  <c r="B376" i="108" s="1"/>
  <c r="B368" i="108" a="1"/>
  <c r="B368" i="108" s="1"/>
  <c r="B359" i="108" a="1"/>
  <c r="B359" i="108" s="1"/>
  <c r="B350" i="108" a="1"/>
  <c r="B350" i="108" s="1"/>
  <c r="B341" i="108" a="1"/>
  <c r="B341" i="108" s="1"/>
  <c r="B323" i="108" a="1"/>
  <c r="B323" i="108" s="1"/>
  <c r="B308" i="108" a="1"/>
  <c r="B308" i="108" s="1"/>
  <c r="B302" i="108" a="1"/>
  <c r="B302" i="108" s="1"/>
  <c r="B294" i="108" a="1"/>
  <c r="B294" i="108" s="1"/>
  <c r="B285" i="108" a="1"/>
  <c r="B285" i="108" s="1"/>
  <c r="B278" i="108" a="1"/>
  <c r="B278" i="108" s="1"/>
  <c r="B261" i="108" a="1"/>
  <c r="B261" i="108" s="1"/>
  <c r="B253" i="108" a="1"/>
  <c r="B253" i="108" s="1"/>
  <c r="B230" i="108" a="1"/>
  <c r="B230" i="108" s="1"/>
  <c r="B223" i="108" a="1"/>
  <c r="B223" i="108" s="1"/>
  <c r="B216" i="108" a="1"/>
  <c r="B216" i="108" s="1"/>
  <c r="B208" i="108" a="1"/>
  <c r="B208" i="108" s="1"/>
  <c r="B200" i="108" a="1"/>
  <c r="B200" i="108" s="1"/>
  <c r="B191" i="108" a="1"/>
  <c r="B191" i="108" s="1"/>
  <c r="B175" i="108" a="1"/>
  <c r="B175" i="108" s="1"/>
  <c r="B167" i="108" a="1"/>
  <c r="B167" i="108" s="1"/>
  <c r="B159" i="108" a="1"/>
  <c r="B159" i="108" s="1"/>
  <c r="B152" i="108" a="1"/>
  <c r="B152" i="108" s="1"/>
  <c r="B144" i="108" a="1"/>
  <c r="B144" i="108" s="1"/>
  <c r="B136" i="108" a="1"/>
  <c r="B136" i="108" s="1"/>
  <c r="B128" i="108" a="1"/>
  <c r="B128" i="108" s="1"/>
  <c r="B120" i="108" a="1"/>
  <c r="B120" i="108" s="1"/>
  <c r="B114" i="108" a="1"/>
  <c r="B114" i="108" s="1"/>
  <c r="B107" i="108" a="1"/>
  <c r="B107" i="108" s="1"/>
  <c r="B97" i="108" a="1"/>
  <c r="B97" i="108" s="1"/>
  <c r="B79" i="108" a="1"/>
  <c r="B79" i="108" s="1"/>
  <c r="B71" i="108" a="1"/>
  <c r="B71" i="108" s="1"/>
  <c r="B62" i="108" a="1"/>
  <c r="B62" i="108" s="1"/>
  <c r="B52" i="108" a="1"/>
  <c r="B52" i="108" s="1"/>
  <c r="B43" i="108" a="1"/>
  <c r="B43" i="108" s="1"/>
  <c r="B35" i="108" a="1"/>
  <c r="B35" i="108" s="1"/>
  <c r="B25" i="108" a="1"/>
  <c r="B25" i="108" s="1"/>
  <c r="B16" i="108" a="1"/>
  <c r="B16" i="108" s="1"/>
  <c r="B483" i="108" a="1"/>
  <c r="B483" i="108" s="1"/>
  <c r="B432" i="108" a="1"/>
  <c r="B432" i="108" s="1"/>
  <c r="B398" i="108" a="1"/>
  <c r="B398" i="108" s="1"/>
  <c r="B358" i="108" a="1"/>
  <c r="B358" i="108" s="1"/>
  <c r="B316" i="108" a="1"/>
  <c r="B316" i="108" s="1"/>
  <c r="B292" i="108" a="1"/>
  <c r="B292" i="108" s="1"/>
  <c r="B243" i="108" a="1"/>
  <c r="B243" i="108" s="1"/>
  <c r="B222" i="108" a="1"/>
  <c r="B222" i="108" s="1"/>
  <c r="B182" i="108" a="1"/>
  <c r="B182" i="108" s="1"/>
  <c r="B135" i="108" a="1"/>
  <c r="B135" i="108" s="1"/>
  <c r="B112" i="108" a="1"/>
  <c r="B112" i="108" s="1"/>
  <c r="B78" i="108" a="1"/>
  <c r="B78" i="108" s="1"/>
  <c r="B34" i="108" a="1"/>
  <c r="B34" i="108" s="1"/>
  <c r="B482" i="108" a="1"/>
  <c r="B482" i="108" s="1"/>
  <c r="B421" i="108" a="1"/>
  <c r="B421" i="108" s="1"/>
  <c r="B390" i="108" a="1"/>
  <c r="B390" i="108" s="1"/>
  <c r="B357" i="108" a="1"/>
  <c r="B357" i="108" s="1"/>
  <c r="B315" i="108" a="1"/>
  <c r="B315" i="108" s="1"/>
  <c r="B481" i="108" a="1"/>
  <c r="B481" i="108" s="1"/>
  <c r="B474" i="108" a="1"/>
  <c r="B474" i="108" s="1"/>
  <c r="B465" i="108" a="1"/>
  <c r="B465" i="108" s="1"/>
  <c r="B456" i="108" a="1"/>
  <c r="B456" i="108" s="1"/>
  <c r="B439" i="108" a="1"/>
  <c r="B439" i="108" s="1"/>
  <c r="B430" i="108" a="1"/>
  <c r="B430" i="108" s="1"/>
  <c r="B420" i="108" a="1"/>
  <c r="B420" i="108" s="1"/>
  <c r="B411" i="108" a="1"/>
  <c r="B411" i="108" s="1"/>
  <c r="B403" i="108" a="1"/>
  <c r="B403" i="108" s="1"/>
  <c r="B396" i="108" a="1"/>
  <c r="B396" i="108" s="1"/>
  <c r="B388" i="108" a="1"/>
  <c r="B388" i="108" s="1"/>
  <c r="B381" i="108" a="1"/>
  <c r="B381" i="108" s="1"/>
  <c r="B372" i="108" a="1"/>
  <c r="B372" i="108" s="1"/>
  <c r="B364" i="108" a="1"/>
  <c r="B364" i="108" s="1"/>
  <c r="B356" i="108" a="1"/>
  <c r="B356" i="108" s="1"/>
  <c r="B347" i="108" a="1"/>
  <c r="B347" i="108" s="1"/>
  <c r="B337" i="108" a="1"/>
  <c r="B337" i="108" s="1"/>
  <c r="B330" i="108" a="1"/>
  <c r="B330" i="108" s="1"/>
  <c r="B321" i="108" a="1"/>
  <c r="B321" i="108" s="1"/>
  <c r="B314" i="108" a="1"/>
  <c r="B314" i="108" s="1"/>
  <c r="B306" i="108" a="1"/>
  <c r="B306" i="108" s="1"/>
  <c r="B298" i="108" a="1"/>
  <c r="B298" i="108" s="1"/>
  <c r="B290" i="108" a="1"/>
  <c r="B290" i="108" s="1"/>
  <c r="B282" i="108" a="1"/>
  <c r="B282" i="108" s="1"/>
  <c r="B276" i="108" a="1"/>
  <c r="B276" i="108" s="1"/>
  <c r="B268" i="108" a="1"/>
  <c r="B268" i="108" s="1"/>
  <c r="B259" i="108" a="1"/>
  <c r="B259" i="108" s="1"/>
  <c r="B250" i="108" a="1"/>
  <c r="B250" i="108" s="1"/>
  <c r="B242" i="108" a="1"/>
  <c r="B242" i="108" s="1"/>
  <c r="B235" i="108" a="1"/>
  <c r="B235" i="108" s="1"/>
  <c r="B227" i="108" a="1"/>
  <c r="B227" i="108" s="1"/>
  <c r="B212" i="108" a="1"/>
  <c r="B212" i="108" s="1"/>
  <c r="B204" i="108" a="1"/>
  <c r="B204" i="108" s="1"/>
  <c r="B197" i="108" a="1"/>
  <c r="B197" i="108" s="1"/>
  <c r="B189" i="108" a="1"/>
  <c r="B189" i="108" s="1"/>
  <c r="B180" i="108" a="1"/>
  <c r="B180" i="108" s="1"/>
  <c r="B172" i="108" a="1"/>
  <c r="B172" i="108" s="1"/>
  <c r="B164" i="108" a="1"/>
  <c r="B164" i="108" s="1"/>
  <c r="B157" i="108" a="1"/>
  <c r="B157" i="108" s="1"/>
  <c r="B150" i="108" a="1"/>
  <c r="B150" i="108" s="1"/>
  <c r="B141" i="108" a="1"/>
  <c r="B141" i="108" s="1"/>
  <c r="B132" i="108" a="1"/>
  <c r="B132" i="108" s="1"/>
  <c r="B124" i="108" a="1"/>
  <c r="B124" i="108" s="1"/>
  <c r="B118" i="108" a="1"/>
  <c r="B118" i="108" s="1"/>
  <c r="B111" i="108" a="1"/>
  <c r="B111" i="108" s="1"/>
  <c r="B102" i="108" a="1"/>
  <c r="B102" i="108" s="1"/>
  <c r="B94" i="108" a="1"/>
  <c r="B94" i="108" s="1"/>
  <c r="B84" i="108" a="1"/>
  <c r="B84" i="108" s="1"/>
  <c r="B76" i="108" a="1"/>
  <c r="B76" i="108" s="1"/>
  <c r="B67" i="108" a="1"/>
  <c r="B67" i="108" s="1"/>
  <c r="B58" i="108" a="1"/>
  <c r="B58" i="108" s="1"/>
  <c r="B49" i="108" a="1"/>
  <c r="B49" i="108" s="1"/>
  <c r="B40" i="108" a="1"/>
  <c r="B40" i="108" s="1"/>
  <c r="B31" i="108" a="1"/>
  <c r="B31" i="108" s="1"/>
  <c r="B21" i="108" a="1"/>
  <c r="B21" i="108" s="1"/>
  <c r="B13" i="108" a="1"/>
  <c r="B13" i="108" s="1"/>
  <c r="B480" i="108" a="1"/>
  <c r="B480" i="108" s="1"/>
  <c r="B473" i="108" a="1"/>
  <c r="B473" i="108" s="1"/>
  <c r="B464" i="108" a="1"/>
  <c r="B464" i="108" s="1"/>
  <c r="B455" i="108" a="1"/>
  <c r="B455" i="108" s="1"/>
  <c r="B447" i="108" a="1"/>
  <c r="B447" i="108" s="1"/>
  <c r="B438" i="108" a="1"/>
  <c r="B438" i="108" s="1"/>
  <c r="B429" i="108" a="1"/>
  <c r="B429" i="108" s="1"/>
  <c r="B419" i="108" a="1"/>
  <c r="B419" i="108" s="1"/>
  <c r="B402" i="108" a="1"/>
  <c r="B402" i="108" s="1"/>
  <c r="B395" i="108" a="1"/>
  <c r="B395" i="108" s="1"/>
  <c r="B387" i="108" a="1"/>
  <c r="B387" i="108" s="1"/>
  <c r="B379" i="108" a="1"/>
  <c r="B379" i="108" s="1"/>
  <c r="B371" i="108" a="1"/>
  <c r="B371" i="108" s="1"/>
  <c r="B363" i="108" a="1"/>
  <c r="B363" i="108" s="1"/>
  <c r="B355" i="108" a="1"/>
  <c r="B355" i="108" s="1"/>
  <c r="B345" i="108" a="1"/>
  <c r="B345" i="108" s="1"/>
  <c r="B336" i="108" a="1"/>
  <c r="B336" i="108" s="1"/>
  <c r="B320" i="108" a="1"/>
  <c r="B320" i="108" s="1"/>
  <c r="B313" i="108" a="1"/>
  <c r="B313" i="108" s="1"/>
  <c r="B305" i="108" a="1"/>
  <c r="B305" i="108" s="1"/>
  <c r="B297" i="108" a="1"/>
  <c r="B297" i="108" s="1"/>
  <c r="B289" i="108" a="1"/>
  <c r="B289" i="108" s="1"/>
  <c r="B281" i="108" a="1"/>
  <c r="B281" i="108" s="1"/>
  <c r="B275" i="108" a="1"/>
  <c r="B275" i="108" s="1"/>
  <c r="B267" i="108" a="1"/>
  <c r="B267" i="108" s="1"/>
  <c r="B257" i="108" a="1"/>
  <c r="B257" i="108" s="1"/>
  <c r="B260" i="108" a="1"/>
  <c r="B260" i="108" s="1"/>
  <c r="B226" i="108" a="1"/>
  <c r="B226" i="108" s="1"/>
  <c r="B196" i="108" a="1"/>
  <c r="B196" i="108" s="1"/>
  <c r="B134" i="108" a="1"/>
  <c r="B134" i="108" s="1"/>
  <c r="B39" i="108" a="1"/>
  <c r="B39" i="108" s="1"/>
  <c r="B6" i="108"/>
  <c r="B173" i="108" a="1"/>
  <c r="B173" i="108" s="1"/>
  <c r="B251" i="108" a="1"/>
  <c r="B251" i="108" s="1"/>
  <c r="B221" i="108" a="1"/>
  <c r="B221" i="108" s="1"/>
  <c r="B190" i="108" a="1"/>
  <c r="B190" i="108" s="1"/>
  <c r="B163" i="108" a="1"/>
  <c r="B163" i="108" s="1"/>
  <c r="B131" i="108" a="1"/>
  <c r="B131" i="108" s="1"/>
  <c r="B101" i="108" a="1"/>
  <c r="B101" i="108" s="1"/>
  <c r="B68" i="108" a="1"/>
  <c r="B68" i="108" s="1"/>
  <c r="B32" i="108" a="1"/>
  <c r="B32" i="108" s="1"/>
  <c r="B95" i="108" a="1"/>
  <c r="B95" i="108" s="1"/>
  <c r="B179" i="108" a="1"/>
  <c r="B179" i="108" s="1"/>
  <c r="B205" i="108" a="1"/>
  <c r="B205" i="108" s="1"/>
  <c r="B50" i="108" a="1"/>
  <c r="B50" i="108" s="1"/>
  <c r="B219" i="108" a="1"/>
  <c r="B219" i="108" s="1"/>
  <c r="B188" i="108" a="1"/>
  <c r="B188" i="108" s="1"/>
  <c r="B158" i="108" a="1"/>
  <c r="B158" i="108" s="1"/>
  <c r="B125" i="108" a="1"/>
  <c r="B125" i="108" s="1"/>
  <c r="B66" i="108" a="1"/>
  <c r="B66" i="108" s="1"/>
  <c r="B211" i="108" a="1"/>
  <c r="B211" i="108" s="1"/>
  <c r="B20" i="108" a="1"/>
  <c r="B20" i="108" s="1"/>
  <c r="B148" i="108" a="1"/>
  <c r="B148" i="108" s="1"/>
  <c r="B299" i="108" a="1"/>
  <c r="B299" i="108" s="1"/>
  <c r="B214" i="108" a="1"/>
  <c r="B214" i="108" s="1"/>
  <c r="B181" i="108" a="1"/>
  <c r="B181" i="108" s="1"/>
  <c r="B156" i="108" a="1"/>
  <c r="B156" i="108" s="1"/>
  <c r="B123" i="108" a="1"/>
  <c r="B123" i="108" s="1"/>
  <c r="B93" i="108" a="1"/>
  <c r="B93" i="108" s="1"/>
  <c r="B59" i="108" a="1"/>
  <c r="B59" i="108" s="1"/>
  <c r="B22" i="108" a="1"/>
  <c r="B22" i="108" s="1"/>
  <c r="B291" i="108" a="1"/>
  <c r="B291" i="108" s="1"/>
  <c r="B236" i="108" a="1"/>
  <c r="B236" i="108" s="1"/>
  <c r="B14" i="108" a="1"/>
  <c r="B14" i="108" s="1"/>
  <c r="B234" i="108" a="1"/>
  <c r="B234" i="108" s="1"/>
  <c r="B203" i="108" a="1"/>
  <c r="B203" i="108" s="1"/>
  <c r="B142" i="108" a="1"/>
  <c r="B142" i="108" s="1"/>
  <c r="B83" i="108" a="1"/>
  <c r="B83" i="108" s="1"/>
  <c r="B48" i="108" a="1"/>
  <c r="B48" i="108" s="1"/>
  <c r="B12" i="108" a="1"/>
  <c r="B12" i="108" s="1"/>
  <c r="B75" i="108" a="1"/>
  <c r="B75" i="108" s="1"/>
  <c r="B30" i="108" a="1"/>
  <c r="B30" i="108" s="1"/>
  <c r="B241" i="108" a="1"/>
  <c r="B241" i="108" s="1"/>
  <c r="B57" i="108" a="1"/>
  <c r="B57" i="108" s="1"/>
  <c r="B117" i="108" a="1"/>
  <c r="B117" i="108" s="1"/>
  <c r="B269" i="108" a="1"/>
  <c r="B269" i="108" s="1"/>
  <c r="B228" i="108" a="1"/>
  <c r="B228" i="108" s="1"/>
  <c r="B198" i="108" a="1"/>
  <c r="B198" i="108" s="1"/>
  <c r="B139" i="108" a="1"/>
  <c r="B139" i="108" s="1"/>
  <c r="B77" i="108" a="1"/>
  <c r="B77" i="108" s="1"/>
  <c r="B41" i="108" a="1"/>
  <c r="B41" i="108" s="1"/>
  <c r="B104" i="108" a="1"/>
  <c r="B104" i="108" s="1"/>
  <c r="B119" i="108" a="1"/>
  <c r="B119" i="108" s="1"/>
  <c r="B283" i="108" a="1"/>
  <c r="B283" i="108" s="1"/>
  <c r="B85" i="108" a="1"/>
  <c r="B85" i="108" s="1"/>
  <c r="C35" i="77"/>
  <c r="B35" i="54"/>
  <c r="C34" i="54"/>
  <c r="C75" i="54"/>
  <c r="B73" i="54"/>
  <c r="C35" i="54"/>
  <c r="B75" i="54"/>
  <c r="C73" i="54"/>
  <c r="C36" i="54"/>
  <c r="B36" i="54"/>
  <c r="B34" i="54"/>
  <c r="D2" i="53" a="1"/>
  <c r="D2" i="53" s="1"/>
  <c r="B76" i="77"/>
  <c r="D43" i="54"/>
  <c r="B109" i="74"/>
  <c r="D17" i="74" a="1"/>
  <c r="D17" i="74" s="1"/>
  <c r="D109" i="74" a="1"/>
  <c r="D109" i="74" s="1"/>
  <c r="D42" i="54"/>
  <c r="C37" i="79"/>
  <c r="B46" i="73"/>
  <c r="C78" i="77"/>
  <c r="C75" i="77"/>
  <c r="D47" i="79"/>
  <c r="D41" i="54"/>
  <c r="D17" i="73" a="1"/>
  <c r="D17" i="73" s="1"/>
  <c r="B39" i="79"/>
  <c r="B35" i="77"/>
  <c r="B45" i="73"/>
  <c r="B78" i="77"/>
  <c r="B75" i="77"/>
  <c r="B22" i="73"/>
  <c r="D46" i="79"/>
  <c r="D40" i="54"/>
  <c r="D45" i="73" a="1"/>
  <c r="D45" i="73" s="1"/>
  <c r="D45" i="79"/>
  <c r="D46" i="73" a="1"/>
  <c r="D46" i="73" s="1"/>
  <c r="C39" i="79"/>
  <c r="D44" i="54"/>
  <c r="C77" i="77"/>
  <c r="D44" i="79"/>
  <c r="B37" i="77"/>
  <c r="D110" i="74" a="1"/>
  <c r="D110" i="74" s="1"/>
  <c r="B110" i="74"/>
  <c r="B37" i="79"/>
  <c r="B77" i="77"/>
  <c r="D43" i="79"/>
  <c r="C76" i="77"/>
  <c r="C37" i="77"/>
  <c r="B272" i="28"/>
  <c r="B264" i="28"/>
  <c r="B256" i="28"/>
  <c r="B248" i="28"/>
  <c r="B125" i="28"/>
  <c r="B259" i="28"/>
  <c r="B271" i="28"/>
  <c r="B263" i="28"/>
  <c r="B255" i="28"/>
  <c r="B247" i="28"/>
  <c r="B124" i="28"/>
  <c r="B267" i="28"/>
  <c r="B251" i="28"/>
  <c r="B270" i="28"/>
  <c r="B262" i="28"/>
  <c r="B254" i="28"/>
  <c r="B246" i="28"/>
  <c r="B127" i="28"/>
  <c r="D9" i="28" a="1"/>
  <c r="D9" i="28" s="1"/>
  <c r="B120" i="28"/>
  <c r="B269" i="28"/>
  <c r="B261" i="28"/>
  <c r="B253" i="28"/>
  <c r="B245" i="28"/>
  <c r="B126" i="28"/>
  <c r="B268" i="28"/>
  <c r="B260" i="28"/>
  <c r="B252" i="28"/>
  <c r="B129" i="28"/>
  <c r="B121" i="28"/>
  <c r="B128" i="28"/>
  <c r="B274" i="28"/>
  <c r="B266" i="28"/>
  <c r="B258" i="28"/>
  <c r="B250" i="28"/>
  <c r="B123" i="28"/>
  <c r="B273" i="28"/>
  <c r="B265" i="28"/>
  <c r="B257" i="28"/>
  <c r="B249" i="28"/>
  <c r="B122" i="28"/>
  <c r="B23" i="28"/>
  <c r="B22" i="28"/>
  <c r="B9" i="28"/>
  <c r="B24" i="28"/>
  <c r="B19" i="28"/>
  <c r="B20" i="28"/>
  <c r="B16" i="28"/>
  <c r="B18" i="28"/>
  <c r="B21" i="28"/>
  <c r="B13" i="28"/>
  <c r="B12" i="28"/>
  <c r="B15" i="28"/>
  <c r="C9" i="28" a="1"/>
  <c r="C9" i="28" s="1"/>
  <c r="B17" i="28"/>
  <c r="B11" i="28"/>
  <c r="B14" i="28"/>
  <c r="B10" i="28"/>
  <c r="Q21" i="44" a="1"/>
  <c r="Q21" i="44" s="1"/>
  <c r="C36" i="97" a="1"/>
  <c r="C36" i="97" s="1"/>
  <c r="C111" i="97" a="1"/>
  <c r="C111" i="97" s="1"/>
  <c r="C105" i="97" a="1"/>
  <c r="C105" i="97" s="1"/>
  <c r="C98" i="97" a="1"/>
  <c r="C98" i="97" s="1"/>
  <c r="C92" i="97" a="1"/>
  <c r="C92" i="97" s="1"/>
  <c r="C74" i="97" a="1"/>
  <c r="C74" i="97" s="1"/>
  <c r="C68" i="97" a="1"/>
  <c r="C68" i="97" s="1"/>
  <c r="C61" i="97" a="1"/>
  <c r="C61" i="97" s="1"/>
  <c r="C55" i="97" a="1"/>
  <c r="C55" i="97" s="1"/>
  <c r="C48" i="97" a="1"/>
  <c r="C48" i="97" s="1"/>
  <c r="C35" i="97" a="1"/>
  <c r="C35" i="97" s="1"/>
  <c r="C27" i="97" a="1"/>
  <c r="C27" i="97" s="1"/>
  <c r="C19" i="97" a="1"/>
  <c r="C19" i="97" s="1"/>
  <c r="B44" i="97" a="1"/>
  <c r="B44" i="97" s="1"/>
  <c r="C33" i="97" a="1"/>
  <c r="C33" i="97" s="1"/>
  <c r="C17" i="97" a="1"/>
  <c r="C17" i="97" s="1"/>
  <c r="C31" i="97" a="1"/>
  <c r="C31" i="97" s="1"/>
  <c r="C107" i="97" a="1"/>
  <c r="C107" i="97" s="1"/>
  <c r="C57" i="97" a="1"/>
  <c r="C57" i="97" s="1"/>
  <c r="C22" i="97" a="1"/>
  <c r="C22" i="97" s="1"/>
  <c r="C110" i="97" a="1"/>
  <c r="C110" i="97" s="1"/>
  <c r="C104" i="97" a="1"/>
  <c r="C104" i="97" s="1"/>
  <c r="C91" i="97" a="1"/>
  <c r="C91" i="97" s="1"/>
  <c r="C85" i="97" a="1"/>
  <c r="C85" i="97" s="1"/>
  <c r="C73" i="97" a="1"/>
  <c r="C73" i="97" s="1"/>
  <c r="C67" i="97" a="1"/>
  <c r="C67" i="97" s="1"/>
  <c r="C54" i="97" a="1"/>
  <c r="C54" i="97" s="1"/>
  <c r="C42" i="97" a="1"/>
  <c r="C42" i="97" s="1"/>
  <c r="C34" i="97" a="1"/>
  <c r="C34" i="97" s="1"/>
  <c r="C26" i="97" a="1"/>
  <c r="C26" i="97" s="1"/>
  <c r="C18" i="97" a="1"/>
  <c r="C18" i="97" s="1"/>
  <c r="B79" i="97" a="1"/>
  <c r="B79" i="97" s="1"/>
  <c r="C41" i="97" a="1"/>
  <c r="C41" i="97" s="1"/>
  <c r="C52" i="97" a="1"/>
  <c r="C52" i="97" s="1"/>
  <c r="C15" i="97" a="1"/>
  <c r="C15" i="97" s="1"/>
  <c r="C88" i="97" a="1"/>
  <c r="C88" i="97" s="1"/>
  <c r="C51" i="97" a="1"/>
  <c r="C51" i="97" s="1"/>
  <c r="C14" i="97" a="1"/>
  <c r="C14" i="97" s="1"/>
  <c r="C103" i="97" a="1"/>
  <c r="C103" i="97" s="1"/>
  <c r="C97" i="97" a="1"/>
  <c r="C97" i="97" s="1"/>
  <c r="C90" i="97" a="1"/>
  <c r="C90" i="97" s="1"/>
  <c r="C84" i="97" a="1"/>
  <c r="C84" i="97" s="1"/>
  <c r="C66" i="97" a="1"/>
  <c r="C66" i="97" s="1"/>
  <c r="C60" i="97" a="1"/>
  <c r="C60" i="97" s="1"/>
  <c r="C53" i="97" a="1"/>
  <c r="C53" i="97" s="1"/>
  <c r="C25" i="97" a="1"/>
  <c r="C25" i="97" s="1"/>
  <c r="C39" i="97" a="1"/>
  <c r="C39" i="97" s="1"/>
  <c r="C101" i="97" a="1"/>
  <c r="C101" i="97" s="1"/>
  <c r="C70" i="97" a="1"/>
  <c r="C70" i="97" s="1"/>
  <c r="C30" i="97" a="1"/>
  <c r="C30" i="97" s="1"/>
  <c r="C109" i="97" a="1"/>
  <c r="C109" i="97" s="1"/>
  <c r="C102" i="97" a="1"/>
  <c r="C102" i="97" s="1"/>
  <c r="C96" i="97" a="1"/>
  <c r="C96" i="97" s="1"/>
  <c r="C83" i="97" a="1"/>
  <c r="C83" i="97" s="1"/>
  <c r="C72" i="97" a="1"/>
  <c r="C72" i="97" s="1"/>
  <c r="C65" i="97" a="1"/>
  <c r="C65" i="97" s="1"/>
  <c r="C59" i="97" a="1"/>
  <c r="C59" i="97" s="1"/>
  <c r="C40" i="97" a="1"/>
  <c r="C40" i="97" s="1"/>
  <c r="C32" i="97" a="1"/>
  <c r="C32" i="97" s="1"/>
  <c r="C24" i="97" a="1"/>
  <c r="C24" i="97" s="1"/>
  <c r="C16" i="97" a="1"/>
  <c r="C16" i="97" s="1"/>
  <c r="C108" i="97" a="1"/>
  <c r="C108" i="97" s="1"/>
  <c r="C95" i="97" a="1"/>
  <c r="C95" i="97" s="1"/>
  <c r="C89" i="97" a="1"/>
  <c r="C89" i="97" s="1"/>
  <c r="C77" i="97" a="1"/>
  <c r="C77" i="97" s="1"/>
  <c r="C71" i="97" a="1"/>
  <c r="C71" i="97" s="1"/>
  <c r="C58" i="97" a="1"/>
  <c r="C58" i="97" s="1"/>
  <c r="C23" i="97" a="1"/>
  <c r="C23" i="97" s="1"/>
  <c r="C94" i="97" a="1"/>
  <c r="C94" i="97" s="1"/>
  <c r="C64" i="97" a="1"/>
  <c r="C64" i="97" s="1"/>
  <c r="C38" i="97" a="1"/>
  <c r="C38" i="97" s="1"/>
  <c r="B9" i="97" a="1"/>
  <c r="B9" i="97" s="1"/>
  <c r="C106" i="97" a="1"/>
  <c r="C106" i="97" s="1"/>
  <c r="C100" i="97" a="1"/>
  <c r="C100" i="97" s="1"/>
  <c r="C87" i="97" a="1"/>
  <c r="C87" i="97" s="1"/>
  <c r="C76" i="97" a="1"/>
  <c r="C76" i="97" s="1"/>
  <c r="C69" i="97" a="1"/>
  <c r="C69" i="97" s="1"/>
  <c r="C63" i="97" a="1"/>
  <c r="C63" i="97" s="1"/>
  <c r="C50" i="97" a="1"/>
  <c r="C50" i="97" s="1"/>
  <c r="C37" i="97" a="1"/>
  <c r="C37" i="97" s="1"/>
  <c r="C29" i="97" a="1"/>
  <c r="C29" i="97" s="1"/>
  <c r="C21" i="97" a="1"/>
  <c r="C21" i="97" s="1"/>
  <c r="C13" i="97" a="1"/>
  <c r="C13" i="97" s="1"/>
  <c r="C112" i="97" a="1"/>
  <c r="C112" i="97" s="1"/>
  <c r="C99" i="97" a="1"/>
  <c r="C99" i="97" s="1"/>
  <c r="C93" i="97" a="1"/>
  <c r="C93" i="97" s="1"/>
  <c r="C86" i="97" a="1"/>
  <c r="C86" i="97" s="1"/>
  <c r="C75" i="97" a="1"/>
  <c r="C75" i="97" s="1"/>
  <c r="C62" i="97" a="1"/>
  <c r="C62" i="97" s="1"/>
  <c r="C56" i="97" a="1"/>
  <c r="C56" i="97" s="1"/>
  <c r="C49" i="97" a="1"/>
  <c r="C49" i="97" s="1"/>
  <c r="C28" i="97" a="1"/>
  <c r="C28" i="97" s="1"/>
  <c r="C20" i="97" a="1"/>
  <c r="C20" i="97" s="1"/>
  <c r="C15" i="98"/>
  <c r="B13" i="98"/>
  <c r="B11" i="98"/>
  <c r="H14" i="98"/>
  <c r="H12" i="98"/>
  <c r="B15" i="98"/>
  <c r="F14" i="98"/>
  <c r="F12" i="98"/>
  <c r="B14" i="98"/>
  <c r="A22" i="98" a="1"/>
  <c r="A22" i="98" s="1"/>
  <c r="B12" i="98"/>
  <c r="H15" i="98"/>
  <c r="H13" i="98"/>
  <c r="H11" i="98"/>
  <c r="F15" i="98"/>
  <c r="F13" i="98"/>
  <c r="F11" i="98"/>
  <c r="B51" i="105" a="1"/>
  <c r="B51" i="105" s="1"/>
  <c r="B47" i="105" a="1"/>
  <c r="B47" i="105" s="1"/>
  <c r="B34" i="105" a="1"/>
  <c r="B34" i="105" s="1"/>
  <c r="B55" i="105" a="1"/>
  <c r="B55" i="105" s="1"/>
  <c r="B38" i="105" a="1"/>
  <c r="B38" i="105" s="1"/>
  <c r="B30" i="105" a="1"/>
  <c r="B30" i="105" s="1"/>
  <c r="B33" i="105" a="1"/>
  <c r="B33" i="105" s="1"/>
  <c r="B35" i="105" a="1"/>
  <c r="B35" i="105" s="1"/>
  <c r="B16" i="105" a="1"/>
  <c r="B16" i="105" s="1"/>
  <c r="B54" i="105" a="1"/>
  <c r="B54" i="105" s="1"/>
  <c r="B41" i="105" a="1"/>
  <c r="B41" i="105" s="1"/>
  <c r="B31" i="105" a="1"/>
  <c r="B31" i="105" s="1"/>
  <c r="B58" i="105" a="1"/>
  <c r="B58" i="105" s="1"/>
  <c r="B50" i="105" a="1"/>
  <c r="B50" i="105" s="1"/>
  <c r="B37" i="105" a="1"/>
  <c r="B37" i="105" s="1"/>
  <c r="B49" i="105" a="1"/>
  <c r="B49" i="105" s="1"/>
  <c r="B32" i="105" a="1"/>
  <c r="B32" i="105" s="1"/>
  <c r="B57" i="105" a="1"/>
  <c r="B57" i="105" s="1"/>
  <c r="B53" i="105" a="1"/>
  <c r="B53" i="105" s="1"/>
  <c r="B40" i="105" a="1"/>
  <c r="B40" i="105" s="1"/>
  <c r="B36" i="105" a="1"/>
  <c r="B36" i="105" s="1"/>
  <c r="B56" i="105" a="1"/>
  <c r="B56" i="105" s="1"/>
  <c r="B52" i="105" a="1"/>
  <c r="B52" i="105" s="1"/>
  <c r="B48" i="105" a="1"/>
  <c r="B48" i="105" s="1"/>
  <c r="B39" i="105" a="1"/>
  <c r="B39" i="105" s="1"/>
  <c r="B9" i="105" a="1"/>
  <c r="B9" i="105" s="1"/>
  <c r="A60" i="105" a="1"/>
  <c r="A60" i="105" s="1"/>
  <c r="B26" i="105" a="1"/>
  <c r="B26" i="105" s="1"/>
  <c r="B22" i="105" a="1"/>
  <c r="B22" i="105" s="1"/>
  <c r="B19" i="105" a="1"/>
  <c r="B19" i="105" s="1"/>
  <c r="B15" i="105" a="1"/>
  <c r="B15" i="105" s="1"/>
  <c r="B43" i="105" a="1"/>
  <c r="B43" i="105" s="1"/>
  <c r="B23" i="105" a="1"/>
  <c r="B23" i="105" s="1"/>
  <c r="B17" i="105" a="1"/>
  <c r="B17" i="105" s="1"/>
  <c r="B14" i="105" a="1"/>
  <c r="B14" i="105" s="1"/>
  <c r="B13" i="105" a="1"/>
  <c r="B13" i="105" s="1"/>
  <c r="B20" i="105" a="1"/>
  <c r="B20" i="105" s="1"/>
  <c r="B24" i="105" a="1"/>
  <c r="B24" i="105" s="1"/>
  <c r="B21" i="105" a="1"/>
  <c r="B21" i="105" s="1"/>
  <c r="B18" i="105" a="1"/>
  <c r="B18" i="105" s="1"/>
  <c r="B2" i="93"/>
  <c r="Q22" i="44" a="1"/>
  <c r="Q22" i="44" s="1"/>
  <c r="Q14" i="44" a="1"/>
  <c r="Q14" i="44" s="1"/>
  <c r="Q6" i="44" a="1"/>
  <c r="Q6" i="44" s="1"/>
  <c r="Q10" i="44" a="1"/>
  <c r="Q10" i="44" s="1"/>
  <c r="Q8" i="44" a="1"/>
  <c r="Q8" i="44" s="1"/>
  <c r="Q13" i="44" a="1"/>
  <c r="Q13" i="44" s="1"/>
  <c r="Q5" i="44" a="1"/>
  <c r="Q5" i="44" s="1"/>
  <c r="Q17" i="44" a="1"/>
  <c r="Q17" i="44" s="1"/>
  <c r="Q15" i="44" a="1"/>
  <c r="Q15" i="44" s="1"/>
  <c r="Q20" i="44" a="1"/>
  <c r="Q20" i="44" s="1"/>
  <c r="Q12" i="44" a="1"/>
  <c r="Q12" i="44" s="1"/>
  <c r="Q4" i="44" a="1"/>
  <c r="Q4" i="44" s="1"/>
  <c r="Q9" i="44" a="1"/>
  <c r="Q9" i="44" s="1"/>
  <c r="Q19" i="44" a="1"/>
  <c r="Q19" i="44" s="1"/>
  <c r="Q11" i="44" a="1"/>
  <c r="Q11" i="44" s="1"/>
  <c r="Q18" i="44" a="1"/>
  <c r="Q18" i="44" s="1"/>
  <c r="Q7" i="44" a="1"/>
  <c r="Q7" i="44" s="1"/>
  <c r="Q16" i="44" a="1"/>
  <c r="Q16" i="44" s="1"/>
  <c r="E13" i="44" a="1"/>
  <c r="E13" i="44" s="1"/>
  <c r="E15" i="44"/>
  <c r="E10" i="44" a="1"/>
  <c r="E10" i="44" s="1"/>
  <c r="E18" i="44" a="1"/>
  <c r="E18" i="44" s="1"/>
  <c r="E19" i="44" a="1"/>
  <c r="E19" i="44" s="1"/>
  <c r="S2" i="18"/>
  <c r="B30" i="93" s="1"/>
  <c r="F24" i="102" a="1"/>
  <c r="F24" i="102" s="1"/>
  <c r="F23" i="102" a="1"/>
  <c r="F23" i="102" s="1"/>
  <c r="F25" i="102" a="1"/>
  <c r="F25" i="102" s="1"/>
  <c r="P2" i="18"/>
  <c r="B27" i="93" s="1"/>
  <c r="Q2" i="18"/>
  <c r="B28" i="93" s="1"/>
  <c r="R2" i="18"/>
  <c r="B29" i="93" s="1"/>
  <c r="T2" i="18"/>
  <c r="B31" i="93" s="1"/>
  <c r="E98" i="67"/>
  <c r="E90" i="67"/>
  <c r="E80" i="67"/>
  <c r="E72" i="67"/>
  <c r="E64" i="67"/>
  <c r="E38" i="67"/>
  <c r="E30" i="67"/>
  <c r="E20" i="67"/>
  <c r="E11" i="67"/>
  <c r="E97" i="67"/>
  <c r="E87" i="67"/>
  <c r="E79" i="67"/>
  <c r="E71" i="67"/>
  <c r="E63" i="67"/>
  <c r="E37" i="67"/>
  <c r="E29" i="67"/>
  <c r="E18" i="67"/>
  <c r="E10" i="67"/>
  <c r="E26" i="67"/>
  <c r="E83" i="67"/>
  <c r="E67" i="67"/>
  <c r="E25" i="67"/>
  <c r="E66" i="67"/>
  <c r="E13" i="67"/>
  <c r="E96" i="67"/>
  <c r="E86" i="67"/>
  <c r="E78" i="67"/>
  <c r="E70" i="67"/>
  <c r="E44" i="67"/>
  <c r="E36" i="67"/>
  <c r="E28" i="67"/>
  <c r="E17" i="67"/>
  <c r="E19" i="67"/>
  <c r="E85" i="67"/>
  <c r="E77" i="67"/>
  <c r="E69" i="67"/>
  <c r="E43" i="67"/>
  <c r="E27" i="67"/>
  <c r="E68" i="67"/>
  <c r="E34" i="67"/>
  <c r="E93" i="67"/>
  <c r="E41" i="67"/>
  <c r="E82" i="67"/>
  <c r="E32" i="67"/>
  <c r="E95" i="67"/>
  <c r="E35" i="67"/>
  <c r="E16" i="67"/>
  <c r="E84" i="67"/>
  <c r="E42" i="67"/>
  <c r="E15" i="67"/>
  <c r="E75" i="67"/>
  <c r="E33" i="67"/>
  <c r="E14" i="67"/>
  <c r="E74" i="67"/>
  <c r="E94" i="67"/>
  <c r="E76" i="67"/>
  <c r="E91" i="67"/>
  <c r="E81" i="67"/>
  <c r="E73" i="67"/>
  <c r="E65" i="67"/>
  <c r="E39" i="67"/>
  <c r="E31" i="67"/>
  <c r="E23" i="67"/>
  <c r="E12" i="67"/>
  <c r="E92" i="67"/>
  <c r="E40" i="67"/>
  <c r="E24" i="67"/>
  <c r="B6" i="93" a="1"/>
  <c r="B6" i="93" s="1"/>
  <c r="D15" i="44" s="1"/>
  <c r="B70" i="65"/>
  <c r="B80" i="65"/>
  <c r="B74" i="65"/>
  <c r="B46" i="65"/>
  <c r="B26" i="65"/>
  <c r="B21" i="65"/>
  <c r="B16" i="65"/>
  <c r="B69" i="65"/>
  <c r="B15" i="65"/>
  <c r="B11" i="79"/>
  <c r="B48" i="65"/>
  <c r="B24" i="65"/>
  <c r="B79" i="65"/>
  <c r="B73" i="65"/>
  <c r="B45" i="65"/>
  <c r="B25" i="65"/>
  <c r="B20" i="65"/>
  <c r="B9" i="65"/>
  <c r="B10" i="54"/>
  <c r="B44" i="65"/>
  <c r="B18" i="65"/>
  <c r="B82" i="65"/>
  <c r="B77" i="65"/>
  <c r="B72" i="65"/>
  <c r="B28" i="65"/>
  <c r="B13" i="65"/>
  <c r="B81" i="65"/>
  <c r="B75" i="65"/>
  <c r="B47" i="65"/>
  <c r="B43" i="65"/>
  <c r="B27" i="65"/>
  <c r="B23" i="65"/>
  <c r="B17" i="65"/>
  <c r="B12" i="65"/>
  <c r="A86" i="79"/>
  <c r="B11" i="65"/>
  <c r="B45" i="100"/>
  <c r="B2" i="56" a="1"/>
  <c r="B2" i="56" s="1"/>
  <c r="E12" i="44"/>
  <c r="F20" i="89"/>
  <c r="F25" i="89"/>
  <c r="F65" i="89"/>
  <c r="F86" i="89"/>
  <c r="F90" i="89"/>
  <c r="F95" i="89"/>
  <c r="F100" i="89"/>
  <c r="G16" i="89"/>
  <c r="G20" i="89"/>
  <c r="G25" i="89"/>
  <c r="G30" i="89"/>
  <c r="G51" i="89"/>
  <c r="G65" i="89"/>
  <c r="G86" i="89"/>
  <c r="G90" i="89"/>
  <c r="G95" i="89"/>
  <c r="G100" i="89"/>
  <c r="F30" i="89"/>
  <c r="F17" i="89"/>
  <c r="F21" i="89"/>
  <c r="F26" i="89"/>
  <c r="F48" i="89"/>
  <c r="F52" i="89"/>
  <c r="F66" i="89"/>
  <c r="F87" i="89"/>
  <c r="F92" i="89"/>
  <c r="F96" i="89"/>
  <c r="F101" i="89"/>
  <c r="G17" i="89"/>
  <c r="G21" i="89"/>
  <c r="G26" i="89"/>
  <c r="G48" i="89"/>
  <c r="G52" i="89"/>
  <c r="G66" i="89"/>
  <c r="G87" i="89"/>
  <c r="G92" i="89"/>
  <c r="G96" i="89"/>
  <c r="G101" i="89"/>
  <c r="F18" i="89"/>
  <c r="F22" i="89"/>
  <c r="F27" i="89"/>
  <c r="F49" i="89"/>
  <c r="F53" i="89"/>
  <c r="F67" i="89"/>
  <c r="F88" i="89"/>
  <c r="F93" i="89"/>
  <c r="F98" i="89"/>
  <c r="F102" i="89"/>
  <c r="G27" i="89"/>
  <c r="G67" i="89"/>
  <c r="G93" i="89"/>
  <c r="G102" i="89"/>
  <c r="F16" i="89"/>
  <c r="F51" i="89"/>
  <c r="G18" i="89"/>
  <c r="G22" i="89"/>
  <c r="G49" i="89"/>
  <c r="G53" i="89"/>
  <c r="G88" i="89"/>
  <c r="G98" i="89"/>
  <c r="F15" i="89"/>
  <c r="F19" i="89"/>
  <c r="F23" i="89"/>
  <c r="F28" i="89"/>
  <c r="F50" i="89"/>
  <c r="F54" i="89"/>
  <c r="F68" i="89"/>
  <c r="F89" i="89"/>
  <c r="F94" i="89"/>
  <c r="F99" i="89"/>
  <c r="F103" i="89"/>
  <c r="G15" i="89"/>
  <c r="G19" i="89"/>
  <c r="G23" i="89"/>
  <c r="G28" i="89"/>
  <c r="G50" i="89"/>
  <c r="G54" i="89"/>
  <c r="G68" i="89"/>
  <c r="G89" i="89"/>
  <c r="G94" i="89"/>
  <c r="G99" i="89"/>
  <c r="G103" i="89"/>
  <c r="A115" i="97" l="1"/>
  <c r="A116" i="97" s="1"/>
  <c r="A117" i="97" s="1"/>
  <c r="A61" i="105"/>
  <c r="A62" i="105" s="1"/>
  <c r="A63" i="105" s="1"/>
  <c r="C15" i="44"/>
  <c r="A9" i="92"/>
  <c r="A11" i="92" s="1"/>
  <c r="C22" i="92"/>
  <c r="C20" i="92"/>
  <c r="A12" i="92" l="1"/>
  <c r="A13" i="92" l="1"/>
  <c r="A14" i="92" s="1"/>
  <c r="A15" i="92" s="1"/>
  <c r="A16" i="92" s="1"/>
  <c r="A17" i="92" s="1"/>
  <c r="A18" i="92" s="1"/>
  <c r="D15" i="92" l="1"/>
  <c r="A19" i="92"/>
  <c r="A20" i="92" s="1"/>
  <c r="A21" i="92" s="1"/>
  <c r="A22" i="92" s="1"/>
  <c r="A23" i="92" s="1"/>
  <c r="A24" i="92" s="1"/>
  <c r="C20" i="78"/>
  <c r="D23" i="92" l="1"/>
  <c r="C23" i="92" l="1"/>
  <c r="C21" i="92"/>
  <c r="C19" i="92"/>
  <c r="C15" i="92"/>
  <c r="C14" i="92"/>
  <c r="C13" i="92"/>
  <c r="C12" i="92"/>
  <c r="G3" i="82"/>
  <c r="L14" i="87" l="1"/>
  <c r="D26" i="67" l="1" a="1"/>
  <c r="D26" i="67" s="1"/>
  <c r="L30" i="82" l="1"/>
  <c r="K30" i="82"/>
  <c r="J30" i="82"/>
  <c r="I30" i="82"/>
  <c r="H30" i="82"/>
  <c r="G30" i="82"/>
  <c r="F30" i="82"/>
  <c r="E30" i="82"/>
  <c r="L23" i="82"/>
  <c r="K23" i="82"/>
  <c r="J23" i="82"/>
  <c r="I23" i="82"/>
  <c r="H23" i="82"/>
  <c r="G23" i="82"/>
  <c r="F23" i="82"/>
  <c r="E23" i="82"/>
  <c r="L22" i="82"/>
  <c r="K22" i="82"/>
  <c r="J22" i="82"/>
  <c r="I22" i="82"/>
  <c r="H22" i="82"/>
  <c r="G22" i="82"/>
  <c r="F22" i="82"/>
  <c r="E22" i="82"/>
  <c r="L21" i="82"/>
  <c r="K21" i="82"/>
  <c r="J21" i="82"/>
  <c r="I21" i="82"/>
  <c r="H21" i="82"/>
  <c r="G21" i="82"/>
  <c r="F21" i="82"/>
  <c r="L20" i="82"/>
  <c r="K20" i="82"/>
  <c r="J20" i="82"/>
  <c r="I20" i="82"/>
  <c r="H20" i="82"/>
  <c r="G20" i="82"/>
  <c r="F20" i="82"/>
  <c r="L19" i="82"/>
  <c r="K19" i="82"/>
  <c r="J19" i="82"/>
  <c r="I19" i="82"/>
  <c r="H19" i="82"/>
  <c r="G19" i="82"/>
  <c r="F19" i="82"/>
  <c r="E19" i="82"/>
  <c r="L18" i="82"/>
  <c r="K18" i="82"/>
  <c r="J18" i="82"/>
  <c r="I18" i="82"/>
  <c r="H18" i="82"/>
  <c r="G18" i="82"/>
  <c r="F18" i="82"/>
  <c r="L17" i="82"/>
  <c r="K17" i="82"/>
  <c r="J17" i="82"/>
  <c r="I17" i="82"/>
  <c r="H17" i="82"/>
  <c r="G17" i="82"/>
  <c r="L16" i="82"/>
  <c r="K16" i="82"/>
  <c r="J16" i="82"/>
  <c r="I16" i="82"/>
  <c r="H16" i="82"/>
  <c r="G16" i="82"/>
  <c r="F16" i="82"/>
  <c r="L15" i="82"/>
  <c r="K15" i="82"/>
  <c r="J15" i="82"/>
  <c r="I15" i="82"/>
  <c r="H15" i="82"/>
  <c r="G15" i="82"/>
  <c r="F15" i="82"/>
  <c r="L14" i="82"/>
  <c r="K14" i="82"/>
  <c r="J14" i="82"/>
  <c r="I14" i="82"/>
  <c r="H14" i="82"/>
  <c r="G14" i="82"/>
  <c r="F14" i="82"/>
  <c r="L13" i="82"/>
  <c r="K13" i="82"/>
  <c r="J13" i="82"/>
  <c r="I13" i="82"/>
  <c r="H13" i="82"/>
  <c r="G13" i="82"/>
  <c r="F13" i="82"/>
  <c r="L12" i="82"/>
  <c r="K12" i="82"/>
  <c r="J12" i="82"/>
  <c r="I12" i="82"/>
  <c r="H12" i="82"/>
  <c r="G12" i="82"/>
  <c r="F12" i="82"/>
  <c r="L11" i="82"/>
  <c r="K11" i="82"/>
  <c r="J11" i="82"/>
  <c r="I11" i="82"/>
  <c r="H11" i="82"/>
  <c r="G11" i="82"/>
  <c r="F11" i="82"/>
  <c r="L10" i="82"/>
  <c r="K10" i="82"/>
  <c r="J10" i="82"/>
  <c r="I10" i="82"/>
  <c r="H10" i="82"/>
  <c r="G10" i="82"/>
  <c r="F10" i="82"/>
  <c r="L9" i="82"/>
  <c r="K9" i="82"/>
  <c r="J9" i="82"/>
  <c r="I9" i="82"/>
  <c r="H9" i="82"/>
  <c r="G9" i="82"/>
  <c r="F9" i="82"/>
  <c r="E9" i="82"/>
  <c r="L8" i="82"/>
  <c r="K8" i="82"/>
  <c r="J8" i="82"/>
  <c r="I8" i="82"/>
  <c r="H8" i="82"/>
  <c r="G8" i="82"/>
  <c r="F8" i="82"/>
  <c r="E8" i="82"/>
  <c r="L7" i="82"/>
  <c r="K7" i="82"/>
  <c r="J7" i="82"/>
  <c r="I7" i="82"/>
  <c r="H7" i="82"/>
  <c r="G7" i="82"/>
  <c r="F7" i="82"/>
  <c r="L6" i="82"/>
  <c r="K6" i="82"/>
  <c r="J6" i="82"/>
  <c r="I6" i="82"/>
  <c r="H6" i="82"/>
  <c r="G6" i="82"/>
  <c r="L5" i="82"/>
  <c r="K5" i="82"/>
  <c r="J5" i="82"/>
  <c r="I5" i="82"/>
  <c r="H5" i="82"/>
  <c r="G5" i="82"/>
  <c r="L4" i="82"/>
  <c r="K4" i="82"/>
  <c r="J4" i="82"/>
  <c r="I4" i="82"/>
  <c r="H4" i="82"/>
  <c r="G4" i="82"/>
  <c r="L3" i="82"/>
  <c r="K3" i="82"/>
  <c r="J3" i="82"/>
  <c r="I3" i="82"/>
  <c r="H3" i="82"/>
  <c r="A146" i="53" l="1"/>
  <c r="C1" i="85" l="1"/>
  <c r="B13" i="93" l="1"/>
  <c r="D181" i="38" l="1"/>
  <c r="D163" i="38"/>
  <c r="D158" i="38"/>
  <c r="D148" i="38"/>
  <c r="D104" i="38"/>
  <c r="D52" i="38"/>
  <c r="D43" i="38"/>
  <c r="D31" i="38"/>
  <c r="D60" i="38"/>
  <c r="C23" i="87" l="1"/>
  <c r="C22" i="87"/>
  <c r="P28" i="81" l="1"/>
  <c r="K28" i="81"/>
  <c r="AF26" i="87" l="1"/>
  <c r="AE26" i="87"/>
  <c r="AD26" i="87"/>
  <c r="AC26" i="87"/>
  <c r="AB26" i="87"/>
  <c r="AA26" i="87"/>
  <c r="Z26" i="87"/>
  <c r="Y26" i="87"/>
  <c r="X26" i="87"/>
  <c r="W26" i="87"/>
  <c r="V26" i="87"/>
  <c r="U26" i="87"/>
  <c r="T26" i="87"/>
  <c r="S26" i="87"/>
  <c r="R26" i="87"/>
  <c r="Q26" i="87"/>
  <c r="P26" i="87"/>
  <c r="O26" i="87"/>
  <c r="N26" i="87"/>
  <c r="M26" i="87"/>
  <c r="L26" i="87"/>
  <c r="K26" i="87"/>
  <c r="J26" i="87"/>
  <c r="I26" i="87"/>
  <c r="H26" i="87"/>
  <c r="G26" i="87"/>
  <c r="F26" i="87"/>
  <c r="E26" i="87"/>
  <c r="D26" i="87"/>
  <c r="C26" i="87"/>
  <c r="AF28" i="81"/>
  <c r="AE28" i="81"/>
  <c r="AA28" i="81"/>
  <c r="Z28" i="81"/>
  <c r="V28" i="81"/>
  <c r="U28" i="81"/>
  <c r="Q28" i="81"/>
  <c r="L28" i="81"/>
  <c r="G28" i="81"/>
  <c r="F28" i="81"/>
  <c r="E28" i="81"/>
  <c r="D28" i="81"/>
  <c r="C28" i="81"/>
  <c r="AH23" i="87" l="1"/>
  <c r="AH22" i="87"/>
  <c r="AH21" i="87"/>
  <c r="AH20" i="87"/>
  <c r="AH19" i="87"/>
  <c r="AH18" i="87"/>
  <c r="AH17" i="87"/>
  <c r="AH16" i="87"/>
  <c r="AH15" i="87"/>
  <c r="AH14" i="87"/>
  <c r="AH11" i="87"/>
  <c r="AH10" i="87"/>
  <c r="AH7" i="87"/>
  <c r="AH6" i="87"/>
  <c r="AH5" i="87"/>
  <c r="AH4" i="87"/>
  <c r="AH3" i="87"/>
  <c r="J10" i="53" l="1"/>
  <c r="A6" i="39" l="1"/>
  <c r="A7" i="39" s="1"/>
  <c r="A8" i="39" s="1"/>
  <c r="D31" i="39" l="1"/>
  <c r="D43" i="39" l="1"/>
  <c r="D52" i="39"/>
  <c r="D10" i="89"/>
  <c r="D60" i="39" l="1"/>
  <c r="D104" i="39" l="1"/>
  <c r="D8" i="89"/>
  <c r="D148" i="39" l="1"/>
  <c r="L11" i="88"/>
  <c r="L12" i="88"/>
  <c r="L13" i="88"/>
  <c r="L14" i="88"/>
  <c r="L15" i="88"/>
  <c r="L16" i="88"/>
  <c r="L17" i="88"/>
  <c r="L18" i="88"/>
  <c r="L19" i="88"/>
  <c r="L20" i="88"/>
  <c r="L21" i="88"/>
  <c r="L22" i="88"/>
  <c r="L23" i="88"/>
  <c r="L24" i="88"/>
  <c r="L25" i="88"/>
  <c r="L26" i="88"/>
  <c r="L27" i="88"/>
  <c r="L28" i="88"/>
  <c r="L29" i="88"/>
  <c r="L30" i="88"/>
  <c r="L31" i="88"/>
  <c r="L32" i="88"/>
  <c r="L33" i="88"/>
  <c r="L34" i="88"/>
  <c r="L35" i="88"/>
  <c r="L36" i="88"/>
  <c r="L37" i="88"/>
  <c r="L38" i="88"/>
  <c r="L39" i="88"/>
  <c r="L40" i="88"/>
  <c r="L41" i="88"/>
  <c r="L42" i="88"/>
  <c r="L43" i="88"/>
  <c r="L44" i="88"/>
  <c r="L45" i="88"/>
  <c r="L46" i="88"/>
  <c r="L10" i="88"/>
  <c r="D158" i="39" l="1"/>
  <c r="AF23" i="87"/>
  <c r="AE23" i="87"/>
  <c r="AD23" i="87"/>
  <c r="AC23" i="87"/>
  <c r="AB23" i="87"/>
  <c r="AA23" i="87"/>
  <c r="Z23" i="87"/>
  <c r="Y23" i="87"/>
  <c r="X23" i="87"/>
  <c r="W23" i="87"/>
  <c r="V23" i="87"/>
  <c r="U23" i="87"/>
  <c r="T23" i="87"/>
  <c r="S23" i="87"/>
  <c r="R23" i="87"/>
  <c r="Q23" i="87"/>
  <c r="P23" i="87"/>
  <c r="O23" i="87"/>
  <c r="N23" i="87"/>
  <c r="L23" i="87"/>
  <c r="K23" i="87"/>
  <c r="J23" i="87"/>
  <c r="I23" i="87"/>
  <c r="H23" i="87"/>
  <c r="G23" i="87"/>
  <c r="F23" i="87"/>
  <c r="E23" i="87"/>
  <c r="D23" i="87"/>
  <c r="AF22" i="87"/>
  <c r="AE22" i="87"/>
  <c r="AD22" i="87"/>
  <c r="AC22" i="87"/>
  <c r="AB22" i="87"/>
  <c r="AA22" i="87"/>
  <c r="Z22" i="87"/>
  <c r="Y22" i="87"/>
  <c r="X22" i="87"/>
  <c r="W22" i="87"/>
  <c r="V22" i="87"/>
  <c r="U22" i="87"/>
  <c r="T22" i="87"/>
  <c r="S22" i="87"/>
  <c r="R22" i="87"/>
  <c r="Q22" i="87"/>
  <c r="P22" i="87"/>
  <c r="O22" i="87"/>
  <c r="N22" i="87"/>
  <c r="L22" i="87"/>
  <c r="K22" i="87"/>
  <c r="J22" i="87"/>
  <c r="I22" i="87"/>
  <c r="H22" i="87"/>
  <c r="G22" i="87"/>
  <c r="F22" i="87"/>
  <c r="E22" i="87"/>
  <c r="D22" i="87"/>
  <c r="K11" i="88"/>
  <c r="K12" i="88"/>
  <c r="K13" i="88"/>
  <c r="K14" i="88"/>
  <c r="K15" i="88"/>
  <c r="K16" i="88"/>
  <c r="K17" i="88"/>
  <c r="K18" i="88"/>
  <c r="K19" i="88"/>
  <c r="K20" i="88"/>
  <c r="K21" i="88"/>
  <c r="K22" i="88"/>
  <c r="K23" i="88"/>
  <c r="K24" i="88"/>
  <c r="K25" i="88"/>
  <c r="K26" i="88"/>
  <c r="K27" i="88"/>
  <c r="K28" i="88"/>
  <c r="K29" i="88"/>
  <c r="K30" i="88"/>
  <c r="K31" i="88"/>
  <c r="K32" i="88"/>
  <c r="K33" i="88"/>
  <c r="K34" i="88"/>
  <c r="K35" i="88"/>
  <c r="K36" i="88"/>
  <c r="K37" i="88"/>
  <c r="K38" i="88"/>
  <c r="K39" i="88"/>
  <c r="K40" i="88"/>
  <c r="K41" i="88"/>
  <c r="K42" i="88"/>
  <c r="K43" i="88"/>
  <c r="K44" i="88"/>
  <c r="K45" i="88"/>
  <c r="K46" i="88"/>
  <c r="K10" i="88"/>
  <c r="J10" i="88"/>
  <c r="J11" i="88"/>
  <c r="J12" i="88"/>
  <c r="J13" i="88"/>
  <c r="J14" i="88"/>
  <c r="J15" i="88"/>
  <c r="J16" i="88"/>
  <c r="J17" i="88"/>
  <c r="J18" i="88"/>
  <c r="J19" i="88"/>
  <c r="J20" i="88"/>
  <c r="J21" i="88"/>
  <c r="J22" i="88"/>
  <c r="J23" i="88"/>
  <c r="J24" i="88"/>
  <c r="J25" i="88"/>
  <c r="J26" i="88"/>
  <c r="J27" i="88"/>
  <c r="J28" i="88"/>
  <c r="J29" i="88"/>
  <c r="J30" i="88"/>
  <c r="J31" i="88"/>
  <c r="J32" i="88"/>
  <c r="J33" i="88"/>
  <c r="J34" i="88"/>
  <c r="J35" i="88"/>
  <c r="J36" i="88"/>
  <c r="J37" i="88"/>
  <c r="J38" i="88"/>
  <c r="J39" i="88"/>
  <c r="J40" i="88"/>
  <c r="J41" i="88"/>
  <c r="J42" i="88"/>
  <c r="J43" i="88"/>
  <c r="J44" i="88"/>
  <c r="J45" i="88"/>
  <c r="J46" i="88"/>
  <c r="F46" i="88"/>
  <c r="F45" i="88"/>
  <c r="F44" i="88"/>
  <c r="F43" i="88"/>
  <c r="F42" i="88"/>
  <c r="F41" i="88"/>
  <c r="F40" i="88"/>
  <c r="F39" i="88"/>
  <c r="F38" i="88"/>
  <c r="F37" i="88"/>
  <c r="F36" i="88"/>
  <c r="F35" i="88"/>
  <c r="F34" i="88"/>
  <c r="F33" i="88"/>
  <c r="F32" i="88"/>
  <c r="F31" i="88"/>
  <c r="F30" i="88"/>
  <c r="F29" i="88"/>
  <c r="F28" i="88"/>
  <c r="F27" i="88"/>
  <c r="F26" i="88"/>
  <c r="F25" i="88"/>
  <c r="F24" i="88"/>
  <c r="F23" i="88"/>
  <c r="F22" i="88"/>
  <c r="F21" i="88"/>
  <c r="F20" i="88"/>
  <c r="F19" i="88"/>
  <c r="F18" i="88"/>
  <c r="F17" i="88"/>
  <c r="F16" i="88"/>
  <c r="F15" i="88"/>
  <c r="F14" i="88"/>
  <c r="F13" i="88"/>
  <c r="F12" i="88"/>
  <c r="F11" i="88"/>
  <c r="F10" i="88"/>
  <c r="F9" i="88"/>
  <c r="F8" i="88"/>
  <c r="F7" i="88"/>
  <c r="F6" i="88"/>
  <c r="F47" i="88" s="1"/>
  <c r="F5" i="88"/>
  <c r="F4" i="88"/>
  <c r="F3" i="88"/>
  <c r="F2" i="88"/>
  <c r="D163" i="39" l="1"/>
  <c r="AF23" i="81"/>
  <c r="AE23" i="81"/>
  <c r="AA23" i="81"/>
  <c r="Z23" i="81"/>
  <c r="V23" i="81"/>
  <c r="Q23" i="81"/>
  <c r="L23" i="81"/>
  <c r="G23" i="81"/>
  <c r="F23" i="81"/>
  <c r="E23" i="81"/>
  <c r="D23" i="81"/>
  <c r="C23" i="81"/>
  <c r="AF22" i="81"/>
  <c r="AE22" i="81"/>
  <c r="AD22" i="81"/>
  <c r="AA22" i="81"/>
  <c r="Z22" i="81"/>
  <c r="Y22" i="81"/>
  <c r="V22" i="81"/>
  <c r="U22" i="81"/>
  <c r="Q22" i="81"/>
  <c r="P22" i="81"/>
  <c r="L22" i="81"/>
  <c r="K22" i="81"/>
  <c r="G22" i="81"/>
  <c r="F22" i="81"/>
  <c r="E22" i="81"/>
  <c r="D22" i="81"/>
  <c r="C22" i="81"/>
  <c r="D181" i="39" l="1"/>
  <c r="W21" i="87"/>
  <c r="M21" i="87"/>
  <c r="W20" i="87"/>
  <c r="M20" i="87"/>
  <c r="W19" i="87"/>
  <c r="M19" i="87"/>
  <c r="W18" i="87"/>
  <c r="M18" i="87"/>
  <c r="W17" i="87"/>
  <c r="M17" i="87"/>
  <c r="W16" i="87"/>
  <c r="M16" i="87"/>
  <c r="W15" i="87"/>
  <c r="M15" i="87"/>
  <c r="W11" i="87"/>
  <c r="M11" i="87"/>
  <c r="W10" i="87"/>
  <c r="M10" i="87"/>
  <c r="W7" i="87"/>
  <c r="M7" i="87"/>
  <c r="C21" i="87"/>
  <c r="C20" i="87"/>
  <c r="C19" i="87"/>
  <c r="C18" i="87"/>
  <c r="C17" i="87"/>
  <c r="C16" i="87"/>
  <c r="C15" i="87"/>
  <c r="C11" i="87"/>
  <c r="C10" i="87"/>
  <c r="C7" i="87"/>
  <c r="AF21" i="87"/>
  <c r="AE21" i="87"/>
  <c r="AD21" i="87"/>
  <c r="AC21" i="87"/>
  <c r="AB21" i="87"/>
  <c r="AA21" i="87"/>
  <c r="Z21" i="87"/>
  <c r="Y21" i="87"/>
  <c r="X21" i="87"/>
  <c r="V21" i="87"/>
  <c r="U21" i="87"/>
  <c r="T21" i="87"/>
  <c r="S21" i="87"/>
  <c r="R21" i="87"/>
  <c r="Q21" i="87"/>
  <c r="P21" i="87"/>
  <c r="O21" i="87"/>
  <c r="N21" i="87"/>
  <c r="L21" i="87"/>
  <c r="K21" i="87"/>
  <c r="J21" i="87"/>
  <c r="I21" i="87"/>
  <c r="H21" i="87"/>
  <c r="G21" i="87"/>
  <c r="F21" i="87"/>
  <c r="E21" i="87"/>
  <c r="D21" i="87"/>
  <c r="AF20" i="87"/>
  <c r="AE20" i="87"/>
  <c r="AD20" i="87"/>
  <c r="AC20" i="87"/>
  <c r="AB20" i="87"/>
  <c r="AA20" i="87"/>
  <c r="Z20" i="87"/>
  <c r="Y20" i="87"/>
  <c r="X20" i="87"/>
  <c r="V20" i="87"/>
  <c r="U20" i="87"/>
  <c r="T20" i="87"/>
  <c r="S20" i="87"/>
  <c r="R20" i="87"/>
  <c r="Q20" i="87"/>
  <c r="P20" i="87"/>
  <c r="O20" i="87"/>
  <c r="N20" i="87"/>
  <c r="L20" i="87"/>
  <c r="K20" i="87"/>
  <c r="J20" i="87"/>
  <c r="I20" i="87"/>
  <c r="H20" i="87"/>
  <c r="G20" i="87"/>
  <c r="F20" i="87"/>
  <c r="E20" i="87"/>
  <c r="D20" i="87"/>
  <c r="AF19" i="87"/>
  <c r="AE19" i="87"/>
  <c r="AD19" i="87"/>
  <c r="AC19" i="87"/>
  <c r="AB19" i="87"/>
  <c r="AA19" i="87"/>
  <c r="Z19" i="87"/>
  <c r="Y19" i="87"/>
  <c r="X19" i="87"/>
  <c r="V19" i="87"/>
  <c r="U19" i="87"/>
  <c r="T19" i="87"/>
  <c r="S19" i="87"/>
  <c r="R19" i="87"/>
  <c r="Q19" i="87"/>
  <c r="P19" i="87"/>
  <c r="O19" i="87"/>
  <c r="N19" i="87"/>
  <c r="L19" i="87"/>
  <c r="K19" i="87"/>
  <c r="J19" i="87"/>
  <c r="I19" i="87"/>
  <c r="H19" i="87"/>
  <c r="G19" i="87"/>
  <c r="F19" i="87"/>
  <c r="E19" i="87"/>
  <c r="D19" i="87"/>
  <c r="AF18" i="87"/>
  <c r="AE18" i="87"/>
  <c r="AD18" i="87"/>
  <c r="AC18" i="87"/>
  <c r="AB18" i="87"/>
  <c r="AA18" i="87"/>
  <c r="Z18" i="87"/>
  <c r="Y18" i="87"/>
  <c r="X18" i="87"/>
  <c r="V18" i="87"/>
  <c r="U18" i="87"/>
  <c r="T18" i="87"/>
  <c r="S18" i="87"/>
  <c r="R18" i="87"/>
  <c r="Q18" i="87"/>
  <c r="P18" i="87"/>
  <c r="O18" i="87"/>
  <c r="N18" i="87"/>
  <c r="L18" i="87"/>
  <c r="K18" i="87"/>
  <c r="J18" i="87"/>
  <c r="I18" i="87"/>
  <c r="H18" i="87"/>
  <c r="G18" i="87"/>
  <c r="F18" i="87"/>
  <c r="E18" i="87"/>
  <c r="D18" i="87"/>
  <c r="AF17" i="87"/>
  <c r="AE17" i="87"/>
  <c r="AD17" i="87"/>
  <c r="AC17" i="87"/>
  <c r="AB17" i="87"/>
  <c r="AA17" i="87"/>
  <c r="Z17" i="87"/>
  <c r="Y17" i="87"/>
  <c r="X17" i="87"/>
  <c r="V17" i="87"/>
  <c r="U17" i="87"/>
  <c r="T17" i="87"/>
  <c r="S17" i="87"/>
  <c r="R17" i="87"/>
  <c r="Q17" i="87"/>
  <c r="P17" i="87"/>
  <c r="O17" i="87"/>
  <c r="N17" i="87"/>
  <c r="L17" i="87"/>
  <c r="K17" i="87"/>
  <c r="J17" i="87"/>
  <c r="I17" i="87"/>
  <c r="H17" i="87"/>
  <c r="G17" i="87"/>
  <c r="F17" i="87"/>
  <c r="E17" i="87"/>
  <c r="D17" i="87"/>
  <c r="AF16" i="87"/>
  <c r="AE16" i="87"/>
  <c r="AD16" i="87"/>
  <c r="AC16" i="87"/>
  <c r="AB16" i="87"/>
  <c r="AA16" i="87"/>
  <c r="Z16" i="87"/>
  <c r="Y16" i="87"/>
  <c r="X16" i="87"/>
  <c r="V16" i="87"/>
  <c r="U16" i="87"/>
  <c r="T16" i="87"/>
  <c r="S16" i="87"/>
  <c r="R16" i="87"/>
  <c r="Q16" i="87"/>
  <c r="P16" i="87"/>
  <c r="O16" i="87"/>
  <c r="N16" i="87"/>
  <c r="L16" i="87"/>
  <c r="K16" i="87"/>
  <c r="J16" i="87"/>
  <c r="I16" i="87"/>
  <c r="H16" i="87"/>
  <c r="G16" i="87"/>
  <c r="F16" i="87"/>
  <c r="E16" i="87"/>
  <c r="D16" i="87"/>
  <c r="AF15" i="87"/>
  <c r="AE15" i="87"/>
  <c r="AD15" i="87"/>
  <c r="AC15" i="87"/>
  <c r="AB15" i="87"/>
  <c r="AA15" i="87"/>
  <c r="Z15" i="87"/>
  <c r="Y15" i="87"/>
  <c r="X15" i="87"/>
  <c r="V15" i="87"/>
  <c r="U15" i="87"/>
  <c r="T15" i="87"/>
  <c r="S15" i="87"/>
  <c r="R15" i="87"/>
  <c r="Q15" i="87"/>
  <c r="P15" i="87"/>
  <c r="O15" i="87"/>
  <c r="N15" i="87"/>
  <c r="L15" i="87"/>
  <c r="K15" i="87"/>
  <c r="J15" i="87"/>
  <c r="I15" i="87"/>
  <c r="H15" i="87"/>
  <c r="G15" i="87"/>
  <c r="F15" i="87"/>
  <c r="E15" i="87"/>
  <c r="D15" i="87"/>
  <c r="AF14" i="87"/>
  <c r="V14" i="87"/>
  <c r="AF13" i="87"/>
  <c r="AE13" i="87"/>
  <c r="AD13" i="87"/>
  <c r="AC13" i="87"/>
  <c r="AB13" i="87"/>
  <c r="AA13" i="87"/>
  <c r="Z13" i="87"/>
  <c r="Y13" i="87"/>
  <c r="X13" i="87"/>
  <c r="W13" i="87"/>
  <c r="V13" i="87"/>
  <c r="U13" i="87"/>
  <c r="T13" i="87"/>
  <c r="S13" i="87"/>
  <c r="R13" i="87"/>
  <c r="Q13" i="87"/>
  <c r="P13" i="87"/>
  <c r="O13" i="87"/>
  <c r="N13" i="87"/>
  <c r="M13" i="87"/>
  <c r="L13" i="87"/>
  <c r="K13" i="87"/>
  <c r="J13" i="87"/>
  <c r="I13" i="87"/>
  <c r="H13" i="87"/>
  <c r="G13" i="87"/>
  <c r="F13" i="87"/>
  <c r="E13" i="87"/>
  <c r="D13" i="87"/>
  <c r="AF12" i="87"/>
  <c r="AE12" i="87"/>
  <c r="AD12" i="87"/>
  <c r="AC12" i="87"/>
  <c r="AB12" i="87"/>
  <c r="AA12" i="87"/>
  <c r="Z12" i="87"/>
  <c r="Y12" i="87"/>
  <c r="X12" i="87"/>
  <c r="W12" i="87"/>
  <c r="V12" i="87"/>
  <c r="U12" i="87"/>
  <c r="T12" i="87"/>
  <c r="S12" i="87"/>
  <c r="R12" i="87"/>
  <c r="Q12" i="87"/>
  <c r="P12" i="87"/>
  <c r="O12" i="87"/>
  <c r="N12" i="87"/>
  <c r="M12" i="87"/>
  <c r="L12" i="87"/>
  <c r="K12" i="87"/>
  <c r="J12" i="87"/>
  <c r="I12" i="87"/>
  <c r="H12" i="87"/>
  <c r="G12" i="87"/>
  <c r="F12" i="87"/>
  <c r="E12" i="87"/>
  <c r="D12" i="87"/>
  <c r="AF11" i="87"/>
  <c r="AE11" i="87"/>
  <c r="AD11" i="87"/>
  <c r="AC11" i="87"/>
  <c r="AB11" i="87"/>
  <c r="AA11" i="87"/>
  <c r="Z11" i="87"/>
  <c r="Y11" i="87"/>
  <c r="X11" i="87"/>
  <c r="V11" i="87"/>
  <c r="U11" i="87"/>
  <c r="T11" i="87"/>
  <c r="S11" i="87"/>
  <c r="R11" i="87"/>
  <c r="Q11" i="87"/>
  <c r="P11" i="87"/>
  <c r="O11" i="87"/>
  <c r="N11" i="87"/>
  <c r="L11" i="87"/>
  <c r="K11" i="87"/>
  <c r="J11" i="87"/>
  <c r="I11" i="87"/>
  <c r="H11" i="87"/>
  <c r="G11" i="87"/>
  <c r="F11" i="87"/>
  <c r="E11" i="87"/>
  <c r="D11" i="87"/>
  <c r="AF10" i="87"/>
  <c r="AE10" i="87"/>
  <c r="AD10" i="87"/>
  <c r="AC10" i="87"/>
  <c r="AB10" i="87"/>
  <c r="AA10" i="87"/>
  <c r="Z10" i="87"/>
  <c r="Y10" i="87"/>
  <c r="X10" i="87"/>
  <c r="V10" i="87"/>
  <c r="U10" i="87"/>
  <c r="T10" i="87"/>
  <c r="S10" i="87"/>
  <c r="R10" i="87"/>
  <c r="Q10" i="87"/>
  <c r="P10" i="87"/>
  <c r="O10" i="87"/>
  <c r="N10" i="87"/>
  <c r="L10" i="87"/>
  <c r="K10" i="87"/>
  <c r="J10" i="87"/>
  <c r="I10" i="87"/>
  <c r="H10" i="87"/>
  <c r="G10" i="87"/>
  <c r="F10" i="87"/>
  <c r="E10" i="87"/>
  <c r="D10" i="87"/>
  <c r="AF9" i="87"/>
  <c r="AE9" i="87"/>
  <c r="AD9" i="87"/>
  <c r="AC9" i="87"/>
  <c r="AB9" i="87"/>
  <c r="AA9" i="87"/>
  <c r="Z9" i="87"/>
  <c r="Y9" i="87"/>
  <c r="X9" i="87"/>
  <c r="W9" i="87"/>
  <c r="V9" i="87"/>
  <c r="U9" i="87"/>
  <c r="T9" i="87"/>
  <c r="S9" i="87"/>
  <c r="R9" i="87"/>
  <c r="Q9" i="87"/>
  <c r="P9" i="87"/>
  <c r="O9" i="87"/>
  <c r="N9" i="87"/>
  <c r="M9" i="87"/>
  <c r="L9" i="87"/>
  <c r="K9" i="87"/>
  <c r="J9" i="87"/>
  <c r="I9" i="87"/>
  <c r="H9" i="87"/>
  <c r="G9" i="87"/>
  <c r="F9" i="87"/>
  <c r="E9" i="87"/>
  <c r="D9" i="87"/>
  <c r="AF8" i="87"/>
  <c r="AE8" i="87"/>
  <c r="AD8" i="87"/>
  <c r="AC8" i="87"/>
  <c r="AB8" i="87"/>
  <c r="AA8" i="87"/>
  <c r="Z8" i="87"/>
  <c r="Y8" i="87"/>
  <c r="X8" i="87"/>
  <c r="W8" i="87"/>
  <c r="V8" i="87"/>
  <c r="U8" i="87"/>
  <c r="T8" i="87"/>
  <c r="S8" i="87"/>
  <c r="R8" i="87"/>
  <c r="Q8" i="87"/>
  <c r="P8" i="87"/>
  <c r="O8" i="87"/>
  <c r="N8" i="87"/>
  <c r="M8" i="87"/>
  <c r="L8" i="87"/>
  <c r="K8" i="87"/>
  <c r="J8" i="87"/>
  <c r="I8" i="87"/>
  <c r="H8" i="87"/>
  <c r="G8" i="87"/>
  <c r="F8" i="87"/>
  <c r="E8" i="87"/>
  <c r="D8" i="87"/>
  <c r="AF7" i="87"/>
  <c r="AE7" i="87"/>
  <c r="AD7" i="87"/>
  <c r="AC7" i="87"/>
  <c r="AB7" i="87"/>
  <c r="AA7" i="87"/>
  <c r="Z7" i="87"/>
  <c r="Y7" i="87"/>
  <c r="X7" i="87"/>
  <c r="V7" i="87"/>
  <c r="U7" i="87"/>
  <c r="T7" i="87"/>
  <c r="S7" i="87"/>
  <c r="R7" i="87"/>
  <c r="Q7" i="87"/>
  <c r="P7" i="87"/>
  <c r="O7" i="87"/>
  <c r="N7" i="87"/>
  <c r="L7" i="87"/>
  <c r="K7" i="87"/>
  <c r="J7" i="87"/>
  <c r="I7" i="87"/>
  <c r="H7" i="87"/>
  <c r="G7" i="87"/>
  <c r="F7" i="87"/>
  <c r="E7" i="87"/>
  <c r="D7" i="87"/>
  <c r="AF6" i="87"/>
  <c r="AE6" i="87"/>
  <c r="AD6" i="87"/>
  <c r="AC6" i="87"/>
  <c r="AB6" i="87"/>
  <c r="AA6" i="87"/>
  <c r="Z6" i="87"/>
  <c r="Y6" i="87"/>
  <c r="X6" i="87"/>
  <c r="W6" i="87"/>
  <c r="AF5" i="87"/>
  <c r="AE5" i="87"/>
  <c r="AD5" i="87"/>
  <c r="AC5" i="87"/>
  <c r="AB5" i="87"/>
  <c r="AA5" i="87"/>
  <c r="Z5" i="87"/>
  <c r="Y5" i="87"/>
  <c r="X5" i="87"/>
  <c r="W5" i="87"/>
  <c r="AF4" i="87"/>
  <c r="AE4" i="87"/>
  <c r="AD4" i="87"/>
  <c r="AC4" i="87"/>
  <c r="AB4" i="87"/>
  <c r="AA4" i="87"/>
  <c r="Z4" i="87"/>
  <c r="Y4" i="87"/>
  <c r="X4" i="87"/>
  <c r="W4" i="87"/>
  <c r="V4" i="87"/>
  <c r="U4" i="87"/>
  <c r="T4" i="87"/>
  <c r="S4" i="87"/>
  <c r="R4" i="87"/>
  <c r="L4" i="87"/>
  <c r="K4" i="87"/>
  <c r="J4" i="87"/>
  <c r="I4" i="87"/>
  <c r="H4" i="87"/>
  <c r="AF3" i="87"/>
  <c r="AE3" i="87"/>
  <c r="AD3" i="87"/>
  <c r="AC3" i="87"/>
  <c r="AB3" i="87"/>
  <c r="AA3" i="87"/>
  <c r="Z3" i="87"/>
  <c r="Y3" i="87"/>
  <c r="X3" i="87"/>
  <c r="W3" i="87"/>
  <c r="V3" i="87"/>
  <c r="U3" i="87"/>
  <c r="T3" i="87"/>
  <c r="S3" i="87"/>
  <c r="R3" i="87"/>
  <c r="L3" i="87"/>
  <c r="K3" i="87"/>
  <c r="J3" i="87"/>
  <c r="I3" i="87"/>
  <c r="H3" i="87"/>
  <c r="C13" i="87"/>
  <c r="C12" i="87"/>
  <c r="C9" i="87"/>
  <c r="C8" i="87"/>
  <c r="A7" i="25" l="1"/>
  <c r="A8" i="25" s="1"/>
  <c r="A9" i="25" s="1"/>
  <c r="A10" i="25" s="1"/>
  <c r="A11" i="25" s="1"/>
  <c r="A12" i="25" l="1"/>
  <c r="A13" i="25" s="1"/>
  <c r="A14" i="25" s="1"/>
  <c r="A15" i="25" s="1"/>
  <c r="A16" i="25"/>
  <c r="A17" i="25" s="1"/>
  <c r="A18" i="25" s="1"/>
  <c r="A19" i="25" s="1"/>
  <c r="A20" i="25" s="1"/>
  <c r="A21" i="25" s="1"/>
  <c r="A22" i="25" s="1"/>
  <c r="A23" i="25" s="1"/>
  <c r="A24" i="25" s="1"/>
  <c r="A25" i="25" s="1"/>
  <c r="A26" i="25" s="1"/>
  <c r="A27" i="25" s="1"/>
  <c r="A28" i="25" s="1"/>
  <c r="A29" i="25" s="1"/>
  <c r="D30" i="25" s="1"/>
  <c r="A30" i="25" l="1"/>
  <c r="A31" i="25" s="1"/>
  <c r="A32" i="25" s="1"/>
  <c r="A33" i="25" s="1"/>
  <c r="A34" i="25" s="1"/>
  <c r="A35" i="25" s="1"/>
  <c r="A36" i="25" s="1"/>
  <c r="A37" i="25" s="1"/>
  <c r="A38" i="25" s="1"/>
  <c r="A39" i="25" s="1"/>
  <c r="A40" i="25" s="1"/>
  <c r="A41" i="25" s="1"/>
  <c r="D42" i="25" l="1"/>
  <c r="A42" i="25"/>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D50" i="25" l="1"/>
  <c r="A66" i="25"/>
  <c r="A67" i="25" s="1"/>
  <c r="A68" i="25" s="1"/>
  <c r="A69" i="25" s="1"/>
  <c r="A70" i="25" s="1"/>
  <c r="A71" i="25" s="1"/>
  <c r="A72" i="25" s="1"/>
  <c r="A73" i="25" s="1"/>
  <c r="A74" i="25" s="1"/>
  <c r="A75" i="25" s="1"/>
  <c r="A76" i="25" s="1"/>
  <c r="A77" i="25" s="1"/>
  <c r="A78" i="25"/>
  <c r="A79" i="25" s="1"/>
  <c r="A80" i="25" s="1"/>
  <c r="A81" i="25" s="1"/>
  <c r="A82" i="25" s="1"/>
  <c r="A83" i="25" s="1"/>
  <c r="A84" i="25" s="1"/>
  <c r="A85" i="25" s="1"/>
  <c r="A86" i="25" s="1"/>
  <c r="A87" i="25" s="1"/>
  <c r="A88" i="25" s="1"/>
  <c r="A89" i="25" s="1"/>
  <c r="A90" i="25" s="1"/>
  <c r="A91" i="25" s="1"/>
  <c r="A92" i="25" s="1"/>
  <c r="A93" i="25" s="1"/>
  <c r="A94" i="25" s="1"/>
  <c r="A95" i="25" s="1"/>
  <c r="D10" i="101" l="1"/>
  <c r="D62" i="100"/>
  <c r="O12" i="101" s="1"/>
  <c r="D69" i="100"/>
  <c r="O19" i="101" s="1"/>
  <c r="D61" i="100"/>
  <c r="O11" i="101" s="1"/>
  <c r="A10" i="99"/>
  <c r="A8" i="99"/>
  <c r="A45" i="100"/>
  <c r="A10" i="101" s="1"/>
  <c r="D60" i="100"/>
  <c r="O10" i="101" s="1"/>
  <c r="A9" i="99"/>
  <c r="A7" i="99"/>
  <c r="D65" i="100"/>
  <c r="O15" i="101" s="1"/>
  <c r="A6" i="99"/>
  <c r="D64" i="100"/>
  <c r="O14" i="101" s="1"/>
  <c r="A5" i="99"/>
  <c r="E5" i="99" s="1"/>
  <c r="A11" i="99"/>
  <c r="D63" i="100"/>
  <c r="O13" i="101" s="1"/>
  <c r="A12" i="99"/>
  <c r="E8" i="99" l="1"/>
  <c r="B18" i="93"/>
  <c r="E6" i="99"/>
  <c r="B16" i="93"/>
  <c r="E10" i="99"/>
  <c r="B20" i="93"/>
  <c r="B15" i="93"/>
  <c r="E12" i="99"/>
  <c r="B22" i="93"/>
  <c r="E7" i="99"/>
  <c r="B17" i="93"/>
  <c r="B21" i="93"/>
  <c r="E11" i="99"/>
  <c r="E9" i="99"/>
  <c r="B19" i="93"/>
  <c r="A26" i="92"/>
  <c r="A27" i="92" s="1"/>
  <c r="A28" i="92" s="1"/>
  <c r="A29" i="92" s="1"/>
  <c r="A30" i="92" s="1"/>
  <c r="A31" i="92" s="1"/>
  <c r="A29" i="91"/>
  <c r="A30" i="91" s="1"/>
  <c r="A31" i="91" s="1"/>
  <c r="A32" i="91" s="1"/>
  <c r="A33" i="91" s="1"/>
  <c r="A34" i="91" s="1"/>
  <c r="A35" i="91" s="1"/>
  <c r="A36" i="91" s="1"/>
  <c r="A37" i="91" s="1"/>
  <c r="A38" i="91" s="1"/>
  <c r="A39" i="91" s="1"/>
  <c r="A40" i="91" s="1"/>
  <c r="A41" i="91" s="1"/>
  <c r="AF4" i="81"/>
  <c r="AE4" i="81"/>
  <c r="AA4" i="81"/>
  <c r="Z4" i="81"/>
  <c r="V4" i="81"/>
  <c r="Q4" i="81"/>
  <c r="L4" i="81"/>
  <c r="G4" i="81"/>
  <c r="F4" i="81"/>
  <c r="E4" i="81"/>
  <c r="D4" i="81"/>
  <c r="C4" i="81"/>
  <c r="A32" i="92" l="1"/>
  <c r="A33" i="92" s="1"/>
  <c r="A7" i="68"/>
  <c r="A8" i="68" s="1"/>
  <c r="A9" i="68" s="1"/>
  <c r="A10" i="68" s="1"/>
  <c r="A11" i="68" s="1"/>
  <c r="A12" i="68" s="1"/>
  <c r="A13" i="68" s="1"/>
  <c r="A14" i="68" s="1"/>
  <c r="A7" i="74"/>
  <c r="A8" i="74" s="1"/>
  <c r="A9" i="74" s="1"/>
  <c r="A10" i="74" s="1"/>
  <c r="A11" i="74" s="1"/>
  <c r="A12" i="74" s="1"/>
  <c r="A13" i="74" s="1"/>
  <c r="A14" i="74" s="1"/>
  <c r="A15" i="74" s="1"/>
  <c r="A16" i="74" s="1"/>
  <c r="A19" i="74" s="1"/>
  <c r="A20" i="74" s="1"/>
  <c r="A21" i="74" s="1"/>
  <c r="A22" i="74" s="1"/>
  <c r="A23" i="74" s="1"/>
  <c r="A24" i="74" s="1"/>
  <c r="A25" i="74" s="1"/>
  <c r="A26" i="74" s="1"/>
  <c r="A27" i="74" s="1"/>
  <c r="A28" i="74" s="1"/>
  <c r="A29" i="74" s="1"/>
  <c r="A30" i="74" s="1"/>
  <c r="A31" i="74" s="1"/>
  <c r="A32" i="74" s="1"/>
  <c r="A33" i="74" s="1"/>
  <c r="A34" i="74" s="1"/>
  <c r="A35" i="74" s="1"/>
  <c r="A36" i="74" s="1"/>
  <c r="A37" i="74" s="1"/>
  <c r="A38" i="74" s="1"/>
  <c r="A39" i="74" s="1"/>
  <c r="A40" i="74" s="1"/>
  <c r="A41" i="74" s="1"/>
  <c r="A42" i="74" s="1"/>
  <c r="A43" i="74" s="1"/>
  <c r="A44" i="74" s="1"/>
  <c r="A45" i="74" s="1"/>
  <c r="A46" i="74" s="1"/>
  <c r="A47" i="74" s="1"/>
  <c r="A48" i="74" s="1"/>
  <c r="A49" i="74" s="1"/>
  <c r="A50" i="74" s="1"/>
  <c r="A51" i="74" s="1"/>
  <c r="A52" i="74" s="1"/>
  <c r="A15" i="68" l="1"/>
  <c r="A16" i="68" s="1"/>
  <c r="A17" i="68" s="1"/>
  <c r="A18" i="68" s="1"/>
  <c r="A19" i="68" s="1"/>
  <c r="A20" i="68" s="1"/>
  <c r="A21" i="68" s="1"/>
  <c r="A22" i="68" s="1"/>
  <c r="A23" i="68" s="1"/>
  <c r="A24" i="68" l="1"/>
  <c r="A25" i="68" s="1"/>
  <c r="A26" i="68" s="1"/>
  <c r="C101" i="84" l="1"/>
  <c r="D95" i="84"/>
  <c r="D94" i="84"/>
  <c r="C72" i="84"/>
  <c r="D71" i="84"/>
  <c r="D70" i="84" a="1"/>
  <c r="D70" i="84" s="1"/>
  <c r="D69" i="84" a="1"/>
  <c r="D69" i="84" s="1"/>
  <c r="D68" i="84" a="1"/>
  <c r="D68" i="84" s="1"/>
  <c r="C70" i="84"/>
  <c r="C69" i="84"/>
  <c r="C68" i="84"/>
  <c r="C42" i="84"/>
  <c r="D110" i="84" a="1"/>
  <c r="D110" i="84" s="1"/>
  <c r="C110" i="84"/>
  <c r="D109" i="84" a="1"/>
  <c r="D109" i="84" s="1"/>
  <c r="C109" i="84"/>
  <c r="D108" i="84" a="1"/>
  <c r="D108" i="84" s="1"/>
  <c r="C108" i="84"/>
  <c r="D15" i="84" a="1"/>
  <c r="D15" i="84" s="1"/>
  <c r="D14" i="84" a="1"/>
  <c r="D14" i="84" s="1"/>
  <c r="D13" i="84" a="1"/>
  <c r="D13" i="84" s="1"/>
  <c r="C13" i="84"/>
  <c r="C14" i="84"/>
  <c r="C15" i="84"/>
  <c r="D73" i="84"/>
  <c r="C76" i="84" l="1"/>
  <c r="C77" i="84"/>
  <c r="C78" i="84"/>
  <c r="D98" i="84" l="1"/>
  <c r="D97" i="84"/>
  <c r="D93" i="84"/>
  <c r="D92" i="84"/>
  <c r="D88" i="84"/>
  <c r="D87" i="84"/>
  <c r="D91" i="84"/>
  <c r="C91" i="84"/>
  <c r="D90" i="84"/>
  <c r="C90" i="84"/>
  <c r="C89" i="84"/>
  <c r="C88" i="84"/>
  <c r="C87" i="84"/>
  <c r="C86" i="84"/>
  <c r="D86" i="84"/>
  <c r="C66" i="84"/>
  <c r="C63" i="84"/>
  <c r="C64" i="84"/>
  <c r="D64" i="84"/>
  <c r="D63" i="84"/>
  <c r="D65" i="84"/>
  <c r="D60" i="84"/>
  <c r="C65" i="84"/>
  <c r="D59" i="84"/>
  <c r="C62" i="84"/>
  <c r="D62" i="84"/>
  <c r="D58" i="84"/>
  <c r="C40" i="84"/>
  <c r="D18" i="84"/>
  <c r="C18" i="84"/>
  <c r="D16" i="84"/>
  <c r="B138" i="84" l="1"/>
  <c r="D137" i="84"/>
  <c r="D136" i="84"/>
  <c r="C136" i="84"/>
  <c r="D135" i="84"/>
  <c r="C135" i="84"/>
  <c r="D133" i="84"/>
  <c r="B130" i="84"/>
  <c r="D129" i="84"/>
  <c r="B129" i="84"/>
  <c r="D128" i="84"/>
  <c r="B128" i="84"/>
  <c r="B127" i="84"/>
  <c r="D126" i="84"/>
  <c r="B126" i="84"/>
  <c r="D125" i="84"/>
  <c r="B125" i="84"/>
  <c r="B124" i="84"/>
  <c r="D123" i="84"/>
  <c r="B123" i="84"/>
  <c r="D122" i="84"/>
  <c r="B122" i="84"/>
  <c r="B121" i="84"/>
  <c r="D120" i="84"/>
  <c r="B120" i="84"/>
  <c r="D119" i="84"/>
  <c r="B119" i="84"/>
  <c r="D118" i="84"/>
  <c r="C118" i="84"/>
  <c r="D117" i="84"/>
  <c r="C117" i="84"/>
  <c r="D116" i="84"/>
  <c r="C116" i="84"/>
  <c r="D115" i="84"/>
  <c r="C115" i="84"/>
  <c r="D114" i="84"/>
  <c r="C114" i="84"/>
  <c r="D113" i="84"/>
  <c r="C113" i="84"/>
  <c r="D112" i="84"/>
  <c r="C112" i="84"/>
  <c r="D111" i="84"/>
  <c r="C111" i="84"/>
  <c r="D107" i="84"/>
  <c r="C107" i="84"/>
  <c r="D106" i="84"/>
  <c r="C106" i="84"/>
  <c r="C105" i="84"/>
  <c r="C104" i="84"/>
  <c r="C103" i="84"/>
  <c r="D102" i="84"/>
  <c r="C102" i="84"/>
  <c r="C100" i="84"/>
  <c r="C99" i="84"/>
  <c r="D85" i="84"/>
  <c r="C85" i="84"/>
  <c r="D84" i="84"/>
  <c r="C84" i="84"/>
  <c r="D83" i="84"/>
  <c r="C83" i="84"/>
  <c r="D82" i="84"/>
  <c r="C82" i="84"/>
  <c r="D81" i="84"/>
  <c r="C81" i="84"/>
  <c r="D80" i="84"/>
  <c r="C80" i="84"/>
  <c r="B79" i="84"/>
  <c r="C75" i="84"/>
  <c r="C74" i="84"/>
  <c r="C73" i="84"/>
  <c r="C71" i="84"/>
  <c r="D67" i="84"/>
  <c r="C67" i="84"/>
  <c r="D57" i="84"/>
  <c r="D56" i="84"/>
  <c r="C56" i="84"/>
  <c r="D55" i="84"/>
  <c r="C55" i="84"/>
  <c r="D54" i="84"/>
  <c r="C54" i="84"/>
  <c r="D53" i="84"/>
  <c r="C53" i="84"/>
  <c r="D52" i="84"/>
  <c r="C52" i="84"/>
  <c r="D51" i="84"/>
  <c r="C51" i="84"/>
  <c r="D50" i="84"/>
  <c r="C50" i="84"/>
  <c r="D49" i="84"/>
  <c r="C49" i="84"/>
  <c r="D48" i="84"/>
  <c r="C48" i="84"/>
  <c r="D47" i="84"/>
  <c r="C47" i="84"/>
  <c r="C46" i="84"/>
  <c r="C45" i="84"/>
  <c r="C44" i="84"/>
  <c r="D43" i="84"/>
  <c r="C43" i="84"/>
  <c r="C41" i="84"/>
  <c r="C39" i="84"/>
  <c r="B35" i="84"/>
  <c r="D34" i="84"/>
  <c r="B34" i="84"/>
  <c r="D33" i="84"/>
  <c r="B33" i="84"/>
  <c r="B32" i="84"/>
  <c r="D31" i="84"/>
  <c r="B31" i="84"/>
  <c r="D30" i="84"/>
  <c r="B30" i="84"/>
  <c r="B29" i="84"/>
  <c r="D28" i="84"/>
  <c r="B28" i="84"/>
  <c r="D27" i="84"/>
  <c r="B27" i="84"/>
  <c r="B26" i="84"/>
  <c r="D25" i="84"/>
  <c r="B25" i="84"/>
  <c r="D24" i="84"/>
  <c r="B24" i="84"/>
  <c r="D23" i="84"/>
  <c r="C23" i="84"/>
  <c r="D22" i="84"/>
  <c r="C22" i="84"/>
  <c r="D21" i="84"/>
  <c r="C21" i="84"/>
  <c r="D20" i="84"/>
  <c r="C20" i="84"/>
  <c r="D19" i="84"/>
  <c r="C19" i="84"/>
  <c r="D17" i="84"/>
  <c r="C17" i="84"/>
  <c r="C16" i="84"/>
  <c r="C12" i="84"/>
  <c r="B11" i="84"/>
  <c r="D7" i="84"/>
  <c r="A7" i="84"/>
  <c r="A8" i="84" s="1"/>
  <c r="A9" i="84" s="1"/>
  <c r="A10" i="84" s="1"/>
  <c r="A11" i="84" s="1"/>
  <c r="A12" i="84" s="1"/>
  <c r="A13" i="84" s="1"/>
  <c r="A14" i="84" s="1"/>
  <c r="A15" i="84" s="1"/>
  <c r="B6" i="84"/>
  <c r="B1570" i="83"/>
  <c r="B1569" i="83"/>
  <c r="B1568" i="83"/>
  <c r="B1567" i="83"/>
  <c r="B1566" i="83"/>
  <c r="B1565" i="83"/>
  <c r="B1564" i="83"/>
  <c r="B1563" i="83"/>
  <c r="B1562" i="83"/>
  <c r="B1561" i="83"/>
  <c r="B1560" i="83"/>
  <c r="B1559" i="83"/>
  <c r="B1558" i="83"/>
  <c r="B1557" i="83"/>
  <c r="D1556" i="83"/>
  <c r="B1556" i="83"/>
  <c r="D1555" i="83"/>
  <c r="B1555" i="83"/>
  <c r="B1554" i="83"/>
  <c r="B1553" i="83"/>
  <c r="B1552" i="83"/>
  <c r="B1551" i="83"/>
  <c r="B1550" i="83"/>
  <c r="B1549" i="83"/>
  <c r="B1548" i="83"/>
  <c r="B1547" i="83"/>
  <c r="B1546" i="83"/>
  <c r="B1545" i="83"/>
  <c r="D1543" i="83"/>
  <c r="B1543" i="83"/>
  <c r="B1542" i="83"/>
  <c r="B1541" i="83"/>
  <c r="D1540" i="83"/>
  <c r="B1540" i="83"/>
  <c r="B1539" i="83"/>
  <c r="B1538" i="83"/>
  <c r="D1537" i="83"/>
  <c r="B1537" i="83"/>
  <c r="B1536" i="83"/>
  <c r="B1535" i="83"/>
  <c r="D1534" i="83"/>
  <c r="B1534" i="83"/>
  <c r="B1533" i="83"/>
  <c r="B1532" i="83"/>
  <c r="D1531" i="83"/>
  <c r="B1531" i="83"/>
  <c r="B1530" i="83"/>
  <c r="B1529" i="83"/>
  <c r="B1528" i="83"/>
  <c r="B1527" i="83"/>
  <c r="B1526" i="83"/>
  <c r="B1525" i="83"/>
  <c r="B1524" i="83"/>
  <c r="B1523" i="83"/>
  <c r="B1522" i="83"/>
  <c r="B1521" i="83"/>
  <c r="B1520" i="83"/>
  <c r="B1519" i="83"/>
  <c r="B1518" i="83"/>
  <c r="D1517" i="83"/>
  <c r="B1517" i="83"/>
  <c r="B1516" i="83"/>
  <c r="B1515" i="83"/>
  <c r="B1513" i="83"/>
  <c r="B1512" i="83"/>
  <c r="B1511" i="83"/>
  <c r="B1510" i="83"/>
  <c r="B1509" i="83"/>
  <c r="B1508" i="83"/>
  <c r="B1507" i="83"/>
  <c r="B1506" i="83"/>
  <c r="B1505" i="83"/>
  <c r="B1504" i="83"/>
  <c r="B1503" i="83"/>
  <c r="B1502" i="83"/>
  <c r="B1501" i="83"/>
  <c r="B1500" i="83"/>
  <c r="B1499" i="83"/>
  <c r="B1498" i="83"/>
  <c r="B1497" i="83"/>
  <c r="B1496" i="83"/>
  <c r="B1495" i="83"/>
  <c r="B1494" i="83"/>
  <c r="B1493" i="83"/>
  <c r="B1492" i="83"/>
  <c r="B1491" i="83"/>
  <c r="B1490" i="83"/>
  <c r="B1489" i="83"/>
  <c r="B1488" i="83"/>
  <c r="B1487" i="83"/>
  <c r="B1486" i="83"/>
  <c r="B1485" i="83"/>
  <c r="B1484" i="83"/>
  <c r="B1483" i="83"/>
  <c r="B1481" i="83"/>
  <c r="B1480" i="83"/>
  <c r="B1479" i="83"/>
  <c r="B1478" i="83"/>
  <c r="B1477" i="83"/>
  <c r="B1476" i="83"/>
  <c r="B1475" i="83"/>
  <c r="B1474" i="83"/>
  <c r="B1473" i="83"/>
  <c r="B1471" i="83"/>
  <c r="B1470" i="83"/>
  <c r="B1469" i="83"/>
  <c r="B1468" i="83"/>
  <c r="B1467" i="83"/>
  <c r="B1466" i="83"/>
  <c r="B1465" i="83"/>
  <c r="B1464" i="83"/>
  <c r="B1463" i="83"/>
  <c r="B1462" i="83"/>
  <c r="B1461" i="83"/>
  <c r="B1460" i="83"/>
  <c r="B1459" i="83"/>
  <c r="B1458" i="83"/>
  <c r="B1457" i="83"/>
  <c r="B1456" i="83"/>
  <c r="D1454" i="83"/>
  <c r="B1454" i="83"/>
  <c r="D1453" i="83"/>
  <c r="B1453" i="83"/>
  <c r="D1452" i="83"/>
  <c r="B1452" i="83"/>
  <c r="D1451" i="83"/>
  <c r="B1451" i="83"/>
  <c r="D1450" i="83"/>
  <c r="B1450" i="83"/>
  <c r="D1449" i="83"/>
  <c r="B1449" i="83"/>
  <c r="B1448" i="83"/>
  <c r="D1447" i="83"/>
  <c r="B1447" i="83"/>
  <c r="D1446" i="83"/>
  <c r="B1446" i="83"/>
  <c r="D1445" i="83"/>
  <c r="B1445" i="83"/>
  <c r="D1444" i="83"/>
  <c r="B1444" i="83"/>
  <c r="D1443" i="83"/>
  <c r="B1443" i="83"/>
  <c r="D1442" i="83"/>
  <c r="B1442" i="83"/>
  <c r="B1441" i="83"/>
  <c r="D1440" i="83"/>
  <c r="B1440" i="83"/>
  <c r="D1439" i="83"/>
  <c r="B1439" i="83"/>
  <c r="D1438" i="83"/>
  <c r="B1438" i="83"/>
  <c r="D1437" i="83"/>
  <c r="B1437" i="83"/>
  <c r="D1436" i="83"/>
  <c r="B1436" i="83"/>
  <c r="D1435" i="83"/>
  <c r="B1435" i="83"/>
  <c r="B1434" i="83"/>
  <c r="D1433" i="83"/>
  <c r="B1433" i="83"/>
  <c r="D1432" i="83"/>
  <c r="B1432" i="83"/>
  <c r="D1431" i="83"/>
  <c r="B1431" i="83"/>
  <c r="D1430" i="83"/>
  <c r="B1430" i="83"/>
  <c r="D1429" i="83"/>
  <c r="B1429" i="83"/>
  <c r="D1428" i="83"/>
  <c r="B1428" i="83"/>
  <c r="B1427" i="83"/>
  <c r="D1426" i="83"/>
  <c r="B1426" i="83"/>
  <c r="D1425" i="83"/>
  <c r="B1425" i="83"/>
  <c r="D1424" i="83"/>
  <c r="B1424" i="83"/>
  <c r="D1423" i="83"/>
  <c r="B1423" i="83"/>
  <c r="D1422" i="83"/>
  <c r="B1422" i="83"/>
  <c r="D1421" i="83"/>
  <c r="B1421" i="83"/>
  <c r="B1420" i="83"/>
  <c r="B1418" i="83"/>
  <c r="B1417" i="83"/>
  <c r="D1416" i="83"/>
  <c r="B1415" i="83"/>
  <c r="B1414" i="83"/>
  <c r="D1413" i="83"/>
  <c r="B1413" i="83"/>
  <c r="D1412" i="83"/>
  <c r="B1412" i="83"/>
  <c r="D1411" i="83"/>
  <c r="B1411" i="83"/>
  <c r="D1410" i="83"/>
  <c r="B1410" i="83"/>
  <c r="D1409" i="83"/>
  <c r="B1409" i="83"/>
  <c r="B1407" i="83"/>
  <c r="B1406" i="83"/>
  <c r="B1405" i="83"/>
  <c r="B1404" i="83"/>
  <c r="B1403" i="83"/>
  <c r="B1402" i="83"/>
  <c r="B1401" i="83"/>
  <c r="B1400" i="83"/>
  <c r="B1399" i="83"/>
  <c r="B1398" i="83"/>
  <c r="B1397" i="83"/>
  <c r="B1396" i="83"/>
  <c r="B1395" i="83"/>
  <c r="B1394" i="83"/>
  <c r="B1393" i="83"/>
  <c r="B1392" i="83"/>
  <c r="B1391" i="83"/>
  <c r="B1390" i="83"/>
  <c r="B1389" i="83"/>
  <c r="B1387" i="83"/>
  <c r="B1386" i="83"/>
  <c r="B1385" i="83"/>
  <c r="B1384" i="83"/>
  <c r="B1383" i="83"/>
  <c r="B1382" i="83"/>
  <c r="B1381" i="83"/>
  <c r="B1380" i="83"/>
  <c r="B1379" i="83"/>
  <c r="B1378" i="83"/>
  <c r="B1377" i="83"/>
  <c r="B1376" i="83"/>
  <c r="B1375" i="83"/>
  <c r="B1374" i="83"/>
  <c r="B1373" i="83"/>
  <c r="B1372" i="83"/>
  <c r="B1371" i="83"/>
  <c r="B1370" i="83"/>
  <c r="B1369" i="83"/>
  <c r="B1368" i="83"/>
  <c r="B1367" i="83"/>
  <c r="B1366" i="83"/>
  <c r="B1365" i="83"/>
  <c r="B1364" i="83"/>
  <c r="B1363" i="83"/>
  <c r="B1362" i="83"/>
  <c r="B1361" i="83"/>
  <c r="B1360" i="83"/>
  <c r="B1359" i="83"/>
  <c r="B1358" i="83"/>
  <c r="B1357" i="83"/>
  <c r="B1356" i="83"/>
  <c r="B1355" i="83"/>
  <c r="B1354" i="83"/>
  <c r="B1353" i="83"/>
  <c r="B1352" i="83"/>
  <c r="B1351" i="83"/>
  <c r="B1350" i="83"/>
  <c r="B1349" i="83"/>
  <c r="B1348" i="83"/>
  <c r="B1347" i="83"/>
  <c r="B1346" i="83"/>
  <c r="B1345" i="83"/>
  <c r="B1344" i="83"/>
  <c r="B1343" i="83"/>
  <c r="B1342" i="83"/>
  <c r="B1341" i="83"/>
  <c r="B1340" i="83"/>
  <c r="B1339" i="83"/>
  <c r="B1338" i="83"/>
  <c r="B1337" i="83"/>
  <c r="B1336" i="83"/>
  <c r="D1334" i="83"/>
  <c r="C1334" i="83"/>
  <c r="B1334" i="83"/>
  <c r="B1333" i="83"/>
  <c r="B1332" i="83"/>
  <c r="B1331" i="83"/>
  <c r="B1330" i="83"/>
  <c r="B1329" i="83"/>
  <c r="D1328" i="83"/>
  <c r="C1328" i="83"/>
  <c r="B1328" i="83"/>
  <c r="B1327" i="83"/>
  <c r="B1326" i="83"/>
  <c r="B1325" i="83"/>
  <c r="B1324" i="83"/>
  <c r="B1323" i="83"/>
  <c r="B1322" i="83"/>
  <c r="B1321" i="83"/>
  <c r="B1320" i="83"/>
  <c r="B1319" i="83"/>
  <c r="D1318" i="83"/>
  <c r="C1318" i="83"/>
  <c r="B1318" i="83"/>
  <c r="D1317" i="83"/>
  <c r="C1317" i="83"/>
  <c r="B1317" i="83"/>
  <c r="B1316" i="83"/>
  <c r="B1315" i="83"/>
  <c r="B1314" i="83"/>
  <c r="B1313" i="83"/>
  <c r="D1311" i="83"/>
  <c r="C1311" i="83"/>
  <c r="B1311" i="83"/>
  <c r="D1310" i="83"/>
  <c r="C1310" i="83"/>
  <c r="B1310" i="83"/>
  <c r="B1309" i="83"/>
  <c r="B1308" i="83"/>
  <c r="D1307" i="83"/>
  <c r="C1307" i="83"/>
  <c r="D1306" i="83"/>
  <c r="B1306" i="83"/>
  <c r="B1305" i="83"/>
  <c r="B1304" i="83"/>
  <c r="B1303" i="83"/>
  <c r="B1302" i="83"/>
  <c r="B1301" i="83"/>
  <c r="B1300" i="83"/>
  <c r="B1299" i="83"/>
  <c r="B1298" i="83"/>
  <c r="B1297" i="83"/>
  <c r="B1296" i="83"/>
  <c r="B1295" i="83"/>
  <c r="B1294" i="83"/>
  <c r="D1293" i="83"/>
  <c r="C1293" i="83"/>
  <c r="B1287" i="83"/>
  <c r="B1286" i="83"/>
  <c r="B1285" i="83"/>
  <c r="D1283" i="83"/>
  <c r="C1283" i="83"/>
  <c r="D1282" i="83"/>
  <c r="B1282" i="83"/>
  <c r="B1281" i="83"/>
  <c r="B1280" i="83"/>
  <c r="B1279" i="83"/>
  <c r="B1278" i="83"/>
  <c r="B1277" i="83"/>
  <c r="B1276" i="83"/>
  <c r="B1275" i="83"/>
  <c r="B1274" i="83"/>
  <c r="B1273" i="83"/>
  <c r="B1272" i="83"/>
  <c r="B1271" i="83"/>
  <c r="B1270" i="83"/>
  <c r="D1269" i="83"/>
  <c r="C1269" i="83"/>
  <c r="B1269" i="83"/>
  <c r="D1268" i="83"/>
  <c r="C1268" i="83"/>
  <c r="B1268" i="83"/>
  <c r="B1267" i="83"/>
  <c r="B1266" i="83"/>
  <c r="B1265" i="83"/>
  <c r="B1264" i="83"/>
  <c r="D1262" i="83"/>
  <c r="C1262" i="83"/>
  <c r="B1262" i="83"/>
  <c r="D1261" i="83"/>
  <c r="C1261" i="83"/>
  <c r="B1261" i="83"/>
  <c r="B1260" i="83"/>
  <c r="B1259" i="83"/>
  <c r="B1258" i="83"/>
  <c r="B1257" i="83"/>
  <c r="D1256" i="83"/>
  <c r="C1256" i="83"/>
  <c r="B1256" i="83"/>
  <c r="B1255" i="83"/>
  <c r="B1254" i="83"/>
  <c r="B1253" i="83"/>
  <c r="B1252" i="83"/>
  <c r="B1251" i="83"/>
  <c r="D1250" i="83"/>
  <c r="C1250" i="83"/>
  <c r="B1250" i="83"/>
  <c r="B1249" i="83"/>
  <c r="B1248" i="83"/>
  <c r="B1247" i="83"/>
  <c r="B1246" i="83"/>
  <c r="B1245" i="83"/>
  <c r="B1244" i="83"/>
  <c r="B1243" i="83"/>
  <c r="B1241" i="83"/>
  <c r="B1240" i="83"/>
  <c r="B1239" i="83"/>
  <c r="B1238" i="83"/>
  <c r="B1237" i="83"/>
  <c r="B1236" i="83"/>
  <c r="B1235" i="83"/>
  <c r="B1234" i="83"/>
  <c r="B1233" i="83"/>
  <c r="B1232" i="83"/>
  <c r="B1231" i="83"/>
  <c r="B1230" i="83"/>
  <c r="B1229" i="83"/>
  <c r="B1228" i="83"/>
  <c r="B1227" i="83"/>
  <c r="B1226" i="83"/>
  <c r="B1225" i="83"/>
  <c r="B1224" i="83"/>
  <c r="B1223" i="83"/>
  <c r="B1222" i="83"/>
  <c r="B1221" i="83"/>
  <c r="B1220" i="83"/>
  <c r="B1219" i="83"/>
  <c r="B1218" i="83"/>
  <c r="B1217" i="83"/>
  <c r="B1216" i="83"/>
  <c r="B1215" i="83"/>
  <c r="B1214" i="83"/>
  <c r="B1213" i="83"/>
  <c r="B1212" i="83"/>
  <c r="B1211" i="83"/>
  <c r="B1210" i="83"/>
  <c r="B1209" i="83"/>
  <c r="B1208" i="83"/>
  <c r="B1207" i="83"/>
  <c r="B1206" i="83"/>
  <c r="B1204" i="83"/>
  <c r="B1203" i="83"/>
  <c r="B1202" i="83"/>
  <c r="D1201" i="83"/>
  <c r="B1200" i="83"/>
  <c r="B1199" i="83"/>
  <c r="B1198" i="83"/>
  <c r="B1197" i="83"/>
  <c r="B1196" i="83"/>
  <c r="B1195" i="83"/>
  <c r="B1194" i="83"/>
  <c r="B1193" i="83"/>
  <c r="B1192" i="83"/>
  <c r="B1191" i="83"/>
  <c r="B1190" i="83"/>
  <c r="B1189" i="83"/>
  <c r="B1188" i="83"/>
  <c r="D1186" i="83"/>
  <c r="B1186" i="83"/>
  <c r="B1185" i="83"/>
  <c r="B1184" i="83"/>
  <c r="B1183" i="83"/>
  <c r="B1182" i="83"/>
  <c r="B1181" i="83"/>
  <c r="B1180" i="83"/>
  <c r="B1179" i="83"/>
  <c r="B1178" i="83"/>
  <c r="B1177" i="83"/>
  <c r="B1176" i="83"/>
  <c r="B1175" i="83"/>
  <c r="B1174" i="83"/>
  <c r="B1173" i="83"/>
  <c r="B1172" i="83"/>
  <c r="B1171" i="83"/>
  <c r="B1170" i="83"/>
  <c r="D1169" i="83"/>
  <c r="B1169" i="83"/>
  <c r="B1168" i="83"/>
  <c r="B1167" i="83"/>
  <c r="B1166" i="83"/>
  <c r="B1165" i="83"/>
  <c r="B1164" i="83"/>
  <c r="B1163" i="83"/>
  <c r="B1162" i="83"/>
  <c r="B1161" i="83"/>
  <c r="B1160" i="83"/>
  <c r="B1159" i="83"/>
  <c r="B1158" i="83"/>
  <c r="B1157" i="83"/>
  <c r="B1156" i="83"/>
  <c r="B1155" i="83"/>
  <c r="B1154" i="83"/>
  <c r="B1153" i="83"/>
  <c r="D1152" i="83"/>
  <c r="B1152" i="83"/>
  <c r="B1151" i="83"/>
  <c r="B1150" i="83"/>
  <c r="B1149" i="83"/>
  <c r="B1148" i="83"/>
  <c r="B1147" i="83"/>
  <c r="B1146" i="83"/>
  <c r="B1145" i="83"/>
  <c r="B1144" i="83"/>
  <c r="B1143" i="83"/>
  <c r="B1142" i="83"/>
  <c r="B1141" i="83"/>
  <c r="B1140" i="83"/>
  <c r="B1139" i="83"/>
  <c r="B1138" i="83"/>
  <c r="B1137" i="83"/>
  <c r="B1136" i="83"/>
  <c r="D1135" i="83"/>
  <c r="B1135" i="83"/>
  <c r="B1134" i="83"/>
  <c r="B1133" i="83"/>
  <c r="B1132" i="83"/>
  <c r="B1131" i="83"/>
  <c r="B1130" i="83"/>
  <c r="B1129" i="83"/>
  <c r="B1128" i="83"/>
  <c r="B1127" i="83"/>
  <c r="B1126" i="83"/>
  <c r="B1125" i="83"/>
  <c r="B1124" i="83"/>
  <c r="B1123" i="83"/>
  <c r="B1122" i="83"/>
  <c r="B1121" i="83"/>
  <c r="B1120" i="83"/>
  <c r="B1119" i="83"/>
  <c r="D1118" i="83"/>
  <c r="B1118" i="83"/>
  <c r="B1117" i="83"/>
  <c r="B1116" i="83"/>
  <c r="B1115" i="83"/>
  <c r="B1114" i="83"/>
  <c r="B1113" i="83"/>
  <c r="B1112" i="83"/>
  <c r="B1111" i="83"/>
  <c r="B1110" i="83"/>
  <c r="B1109" i="83"/>
  <c r="B1108" i="83"/>
  <c r="B1107" i="83"/>
  <c r="B1106" i="83"/>
  <c r="B1105" i="83"/>
  <c r="B1104" i="83"/>
  <c r="B1103" i="83"/>
  <c r="B1102" i="83"/>
  <c r="D1100" i="83"/>
  <c r="B1100" i="83"/>
  <c r="B1099" i="83"/>
  <c r="B1098" i="83"/>
  <c r="D1097" i="83"/>
  <c r="B1097" i="83"/>
  <c r="B1096" i="83"/>
  <c r="B1095" i="83"/>
  <c r="D1094" i="83"/>
  <c r="B1094" i="83"/>
  <c r="B1093" i="83"/>
  <c r="B1092" i="83"/>
  <c r="D1091" i="83"/>
  <c r="B1091" i="83"/>
  <c r="B1090" i="83"/>
  <c r="B1089" i="83"/>
  <c r="D1088" i="83"/>
  <c r="B1088" i="83"/>
  <c r="B1087" i="83"/>
  <c r="B1086" i="83"/>
  <c r="B1085" i="83"/>
  <c r="B1084" i="83"/>
  <c r="B1083" i="83"/>
  <c r="B1082" i="83"/>
  <c r="B1081" i="83"/>
  <c r="B1080" i="83"/>
  <c r="B1079" i="83"/>
  <c r="B1078" i="83"/>
  <c r="B1077" i="83"/>
  <c r="B1076" i="83"/>
  <c r="B1075" i="83"/>
  <c r="D1074" i="83"/>
  <c r="B1074" i="83"/>
  <c r="B1073" i="83"/>
  <c r="B1072" i="83"/>
  <c r="B1070" i="83"/>
  <c r="B1069" i="83"/>
  <c r="B1068" i="83"/>
  <c r="B1067" i="83"/>
  <c r="B1066" i="83"/>
  <c r="B1065" i="83"/>
  <c r="B1064" i="83"/>
  <c r="B1063" i="83"/>
  <c r="B1062" i="83"/>
  <c r="B1061" i="83"/>
  <c r="B1060" i="83"/>
  <c r="B1059" i="83"/>
  <c r="B1058" i="83"/>
  <c r="B1057" i="83"/>
  <c r="B1056" i="83"/>
  <c r="B1055" i="83"/>
  <c r="B1054" i="83"/>
  <c r="B1053" i="83"/>
  <c r="B1052" i="83"/>
  <c r="B1051" i="83"/>
  <c r="B1050" i="83"/>
  <c r="B1049" i="83"/>
  <c r="B1048" i="83"/>
  <c r="B1047" i="83"/>
  <c r="B1046" i="83"/>
  <c r="B1045" i="83"/>
  <c r="B1044" i="83"/>
  <c r="B1043" i="83"/>
  <c r="B1042" i="83"/>
  <c r="B1041" i="83"/>
  <c r="B1040" i="83"/>
  <c r="B1039" i="83"/>
  <c r="B1038" i="83"/>
  <c r="B1037" i="83"/>
  <c r="B1036" i="83"/>
  <c r="B1035" i="83"/>
  <c r="B1034" i="83"/>
  <c r="B1033" i="83"/>
  <c r="B1032" i="83"/>
  <c r="B1031" i="83"/>
  <c r="B1030" i="83"/>
  <c r="B1029" i="83"/>
  <c r="B1028" i="83"/>
  <c r="B1027" i="83"/>
  <c r="B1026" i="83"/>
  <c r="B1025" i="83"/>
  <c r="B1024" i="83"/>
  <c r="B1023" i="83"/>
  <c r="B1022" i="83"/>
  <c r="B1021" i="83"/>
  <c r="B1020" i="83"/>
  <c r="B1019" i="83"/>
  <c r="B1018" i="83"/>
  <c r="B1017" i="83"/>
  <c r="B1016" i="83"/>
  <c r="B1015" i="83"/>
  <c r="B1014" i="83"/>
  <c r="B1013" i="83"/>
  <c r="B1012" i="83"/>
  <c r="B1011" i="83"/>
  <c r="B1010" i="83"/>
  <c r="B1009" i="83"/>
  <c r="B1008" i="83"/>
  <c r="B1007" i="83"/>
  <c r="B1006" i="83"/>
  <c r="B1005" i="83"/>
  <c r="B1004" i="83"/>
  <c r="B1003" i="83"/>
  <c r="B1002" i="83"/>
  <c r="B1001" i="83"/>
  <c r="B1000" i="83"/>
  <c r="B999" i="83"/>
  <c r="B998" i="83"/>
  <c r="B997" i="83"/>
  <c r="B996" i="83"/>
  <c r="B995" i="83"/>
  <c r="B994" i="83"/>
  <c r="B993" i="83"/>
  <c r="B992" i="83"/>
  <c r="B991" i="83"/>
  <c r="B990" i="83"/>
  <c r="B989" i="83"/>
  <c r="B988" i="83"/>
  <c r="B987" i="83"/>
  <c r="B986" i="83"/>
  <c r="B985" i="83"/>
  <c r="B984" i="83"/>
  <c r="B983" i="83"/>
  <c r="B982" i="83"/>
  <c r="B981" i="83"/>
  <c r="B980" i="83"/>
  <c r="B979" i="83"/>
  <c r="B978" i="83"/>
  <c r="B977" i="83"/>
  <c r="B976" i="83"/>
  <c r="B975" i="83"/>
  <c r="B974" i="83"/>
  <c r="B973" i="83"/>
  <c r="B972" i="83"/>
  <c r="B971" i="83"/>
  <c r="B970" i="83"/>
  <c r="B969" i="83"/>
  <c r="B968" i="83"/>
  <c r="B967" i="83"/>
  <c r="B966" i="83"/>
  <c r="B965" i="83"/>
  <c r="B964" i="83"/>
  <c r="B963" i="83"/>
  <c r="B962" i="83"/>
  <c r="B961" i="83"/>
  <c r="B960" i="83"/>
  <c r="B959" i="83"/>
  <c r="B958" i="83"/>
  <c r="B957" i="83"/>
  <c r="B956" i="83"/>
  <c r="B955" i="83"/>
  <c r="B954" i="83"/>
  <c r="B953" i="83"/>
  <c r="B952" i="83"/>
  <c r="B951" i="83"/>
  <c r="B950" i="83"/>
  <c r="B949" i="83"/>
  <c r="B948" i="83"/>
  <c r="B947" i="83"/>
  <c r="B946" i="83"/>
  <c r="B945" i="83"/>
  <c r="B944" i="83"/>
  <c r="B943" i="83"/>
  <c r="B942" i="83"/>
  <c r="B941" i="83"/>
  <c r="B940" i="83"/>
  <c r="B939" i="83"/>
  <c r="B938" i="83"/>
  <c r="B937" i="83"/>
  <c r="B936" i="83"/>
  <c r="B935" i="83"/>
  <c r="B934" i="83"/>
  <c r="B933" i="83"/>
  <c r="B932" i="83"/>
  <c r="B931" i="83"/>
  <c r="B930" i="83"/>
  <c r="B929" i="83"/>
  <c r="B928" i="83"/>
  <c r="B927" i="83"/>
  <c r="B926" i="83"/>
  <c r="B925" i="83"/>
  <c r="B924" i="83"/>
  <c r="B923" i="83"/>
  <c r="B922" i="83"/>
  <c r="B921" i="83"/>
  <c r="B920" i="83"/>
  <c r="B919" i="83"/>
  <c r="B918" i="83"/>
  <c r="B917" i="83"/>
  <c r="B916" i="83"/>
  <c r="B915" i="83"/>
  <c r="B914" i="83"/>
  <c r="B913" i="83"/>
  <c r="B912" i="83"/>
  <c r="B911" i="83"/>
  <c r="B910" i="83"/>
  <c r="B909" i="83"/>
  <c r="B908" i="83"/>
  <c r="B907" i="83"/>
  <c r="B906" i="83"/>
  <c r="B905" i="83"/>
  <c r="B904" i="83"/>
  <c r="B903" i="83"/>
  <c r="B902" i="83"/>
  <c r="B901" i="83"/>
  <c r="B900" i="83"/>
  <c r="B899" i="83"/>
  <c r="B897" i="83"/>
  <c r="B896" i="83"/>
  <c r="B895" i="83"/>
  <c r="B894" i="83"/>
  <c r="B893" i="83"/>
  <c r="B892" i="83"/>
  <c r="B891" i="83"/>
  <c r="B890" i="83"/>
  <c r="B889" i="83"/>
  <c r="B888" i="83"/>
  <c r="B887" i="83"/>
  <c r="B886" i="83"/>
  <c r="B885" i="83"/>
  <c r="B884" i="83"/>
  <c r="B883" i="83"/>
  <c r="B882" i="83"/>
  <c r="B881" i="83"/>
  <c r="B880" i="83"/>
  <c r="B879" i="83"/>
  <c r="B878" i="83"/>
  <c r="B877" i="83"/>
  <c r="B876" i="83"/>
  <c r="B875" i="83"/>
  <c r="B874" i="83"/>
  <c r="B873" i="83"/>
  <c r="B872" i="83"/>
  <c r="B871" i="83"/>
  <c r="B870" i="83"/>
  <c r="B869" i="83"/>
  <c r="B866" i="83"/>
  <c r="B865" i="83"/>
  <c r="B864" i="83"/>
  <c r="B863" i="83"/>
  <c r="B862" i="83"/>
  <c r="B861" i="83"/>
  <c r="B860" i="83"/>
  <c r="B859" i="83"/>
  <c r="B858" i="83"/>
  <c r="B857" i="83"/>
  <c r="B856" i="83"/>
  <c r="B855" i="83"/>
  <c r="B854" i="83"/>
  <c r="B853" i="83"/>
  <c r="D852" i="83"/>
  <c r="B852" i="83"/>
  <c r="D851" i="83"/>
  <c r="B851" i="83"/>
  <c r="B850" i="83"/>
  <c r="B849" i="83"/>
  <c r="B848" i="83"/>
  <c r="B847" i="83"/>
  <c r="B846" i="83"/>
  <c r="B845" i="83"/>
  <c r="B844" i="83"/>
  <c r="B843" i="83"/>
  <c r="B842" i="83"/>
  <c r="B841" i="83"/>
  <c r="B840" i="83"/>
  <c r="B839" i="83"/>
  <c r="B838" i="83"/>
  <c r="B837" i="83"/>
  <c r="B836" i="83"/>
  <c r="B835" i="83"/>
  <c r="B834" i="83"/>
  <c r="B833" i="83"/>
  <c r="B832" i="83"/>
  <c r="B831" i="83"/>
  <c r="B830" i="83"/>
  <c r="B829" i="83"/>
  <c r="B828" i="83"/>
  <c r="B825" i="83"/>
  <c r="B824" i="83"/>
  <c r="B823" i="83"/>
  <c r="B822" i="83"/>
  <c r="B821" i="83"/>
  <c r="B820" i="83"/>
  <c r="B819" i="83"/>
  <c r="B818" i="83"/>
  <c r="B817" i="83"/>
  <c r="B816" i="83"/>
  <c r="B815" i="83"/>
  <c r="B814" i="83"/>
  <c r="B813" i="83"/>
  <c r="B812" i="83"/>
  <c r="B811" i="83"/>
  <c r="B810" i="83"/>
  <c r="B809" i="83"/>
  <c r="B802" i="83"/>
  <c r="B801" i="83"/>
  <c r="B792" i="83"/>
  <c r="B791" i="83"/>
  <c r="B790" i="83"/>
  <c r="B789" i="83"/>
  <c r="B788" i="83"/>
  <c r="B787" i="83"/>
  <c r="B786" i="83"/>
  <c r="B785" i="83"/>
  <c r="B784" i="83"/>
  <c r="B783" i="83"/>
  <c r="B782" i="83"/>
  <c r="B781" i="83"/>
  <c r="B780" i="83"/>
  <c r="B779" i="83"/>
  <c r="B778" i="83"/>
  <c r="D777" i="83"/>
  <c r="B777" i="83"/>
  <c r="D776" i="83"/>
  <c r="B776" i="83"/>
  <c r="B775" i="83"/>
  <c r="B774" i="83"/>
  <c r="B773" i="83"/>
  <c r="B772" i="83"/>
  <c r="B771" i="83"/>
  <c r="B770" i="83"/>
  <c r="B769" i="83"/>
  <c r="B768" i="83"/>
  <c r="B767" i="83"/>
  <c r="B766" i="83"/>
  <c r="B765" i="83"/>
  <c r="D763" i="83"/>
  <c r="B763" i="83"/>
  <c r="B762" i="83"/>
  <c r="B761" i="83"/>
  <c r="D760" i="83"/>
  <c r="B760" i="83"/>
  <c r="B759" i="83"/>
  <c r="B758" i="83"/>
  <c r="D757" i="83"/>
  <c r="B757" i="83"/>
  <c r="B756" i="83"/>
  <c r="B755" i="83"/>
  <c r="D754" i="83"/>
  <c r="B754" i="83"/>
  <c r="B753" i="83"/>
  <c r="B752" i="83"/>
  <c r="D751" i="83"/>
  <c r="B751" i="83"/>
  <c r="B750" i="83"/>
  <c r="B749" i="83"/>
  <c r="B748" i="83"/>
  <c r="B747" i="83"/>
  <c r="B746" i="83"/>
  <c r="B745" i="83"/>
  <c r="B744" i="83"/>
  <c r="B743" i="83"/>
  <c r="B742" i="83"/>
  <c r="B741" i="83"/>
  <c r="B740" i="83"/>
  <c r="B739" i="83"/>
  <c r="B738" i="83"/>
  <c r="D737" i="83"/>
  <c r="B737" i="83"/>
  <c r="B736" i="83"/>
  <c r="B735" i="83"/>
  <c r="B733" i="83"/>
  <c r="B732" i="83"/>
  <c r="B731" i="83"/>
  <c r="B730" i="83"/>
  <c r="B729" i="83"/>
  <c r="B728" i="83"/>
  <c r="B727" i="83"/>
  <c r="B726" i="83"/>
  <c r="B725" i="83"/>
  <c r="B724" i="83"/>
  <c r="B723" i="83"/>
  <c r="B722" i="83"/>
  <c r="B721" i="83"/>
  <c r="B720" i="83"/>
  <c r="B719" i="83"/>
  <c r="B718" i="83"/>
  <c r="B717" i="83"/>
  <c r="B716" i="83"/>
  <c r="B715" i="83"/>
  <c r="B714" i="83"/>
  <c r="B713" i="83"/>
  <c r="B712" i="83"/>
  <c r="B711" i="83"/>
  <c r="B710" i="83"/>
  <c r="B709" i="83"/>
  <c r="B708" i="83"/>
  <c r="B707" i="83"/>
  <c r="B706" i="83"/>
  <c r="B705" i="83"/>
  <c r="B704" i="83"/>
  <c r="B703" i="83"/>
  <c r="B701" i="83"/>
  <c r="B700" i="83"/>
  <c r="B699" i="83"/>
  <c r="B698" i="83"/>
  <c r="B697" i="83"/>
  <c r="B696" i="83"/>
  <c r="B695" i="83"/>
  <c r="B694" i="83"/>
  <c r="B693" i="83"/>
  <c r="B691" i="83"/>
  <c r="B690" i="83"/>
  <c r="B689" i="83"/>
  <c r="B688" i="83"/>
  <c r="B687" i="83"/>
  <c r="B686" i="83"/>
  <c r="B685" i="83"/>
  <c r="B684" i="83"/>
  <c r="B683" i="83"/>
  <c r="B682" i="83"/>
  <c r="B681" i="83"/>
  <c r="B680" i="83"/>
  <c r="B679" i="83"/>
  <c r="B678" i="83"/>
  <c r="B677" i="83"/>
  <c r="B676" i="83"/>
  <c r="D674" i="83"/>
  <c r="B674" i="83"/>
  <c r="D673" i="83"/>
  <c r="B673" i="83"/>
  <c r="D672" i="83"/>
  <c r="B672" i="83"/>
  <c r="D671" i="83"/>
  <c r="B671" i="83"/>
  <c r="D670" i="83"/>
  <c r="B670" i="83"/>
  <c r="D669" i="83"/>
  <c r="B669" i="83"/>
  <c r="B668" i="83"/>
  <c r="D667" i="83"/>
  <c r="B667" i="83"/>
  <c r="D666" i="83"/>
  <c r="B666" i="83"/>
  <c r="D665" i="83"/>
  <c r="B665" i="83"/>
  <c r="D664" i="83"/>
  <c r="B664" i="83"/>
  <c r="D663" i="83"/>
  <c r="B663" i="83"/>
  <c r="D662" i="83"/>
  <c r="B662" i="83"/>
  <c r="B661" i="83"/>
  <c r="D660" i="83"/>
  <c r="B660" i="83"/>
  <c r="D659" i="83"/>
  <c r="B659" i="83"/>
  <c r="D658" i="83"/>
  <c r="B658" i="83"/>
  <c r="D657" i="83"/>
  <c r="B657" i="83"/>
  <c r="D656" i="83"/>
  <c r="B656" i="83"/>
  <c r="D655" i="83"/>
  <c r="B655" i="83"/>
  <c r="B654" i="83"/>
  <c r="D653" i="83"/>
  <c r="B653" i="83"/>
  <c r="D652" i="83"/>
  <c r="B652" i="83"/>
  <c r="D651" i="83"/>
  <c r="B651" i="83"/>
  <c r="D650" i="83"/>
  <c r="B650" i="83"/>
  <c r="D649" i="83"/>
  <c r="B649" i="83"/>
  <c r="D648" i="83"/>
  <c r="B648" i="83"/>
  <c r="B647" i="83"/>
  <c r="D646" i="83"/>
  <c r="B646" i="83"/>
  <c r="D645" i="83"/>
  <c r="B645" i="83"/>
  <c r="D644" i="83"/>
  <c r="B644" i="83"/>
  <c r="D643" i="83"/>
  <c r="B643" i="83"/>
  <c r="D642" i="83"/>
  <c r="B642" i="83"/>
  <c r="D641" i="83"/>
  <c r="B641" i="83"/>
  <c r="B640" i="83"/>
  <c r="B638" i="83"/>
  <c r="B637" i="83"/>
  <c r="D636" i="83"/>
  <c r="B635" i="83"/>
  <c r="B634" i="83"/>
  <c r="D633" i="83"/>
  <c r="B633" i="83"/>
  <c r="D632" i="83"/>
  <c r="B632" i="83"/>
  <c r="D631" i="83"/>
  <c r="B631" i="83"/>
  <c r="D630" i="83"/>
  <c r="B630" i="83"/>
  <c r="D629" i="83"/>
  <c r="B629" i="83"/>
  <c r="B627" i="83"/>
  <c r="B626" i="83"/>
  <c r="B625" i="83"/>
  <c r="B624" i="83"/>
  <c r="B623" i="83"/>
  <c r="B622" i="83"/>
  <c r="B621" i="83"/>
  <c r="B620" i="83"/>
  <c r="B619" i="83"/>
  <c r="B618" i="83"/>
  <c r="B617" i="83"/>
  <c r="B616" i="83"/>
  <c r="B615" i="83"/>
  <c r="B614" i="83"/>
  <c r="B613" i="83"/>
  <c r="B612" i="83"/>
  <c r="B611" i="83"/>
  <c r="B610" i="83"/>
  <c r="B609" i="83"/>
  <c r="B607" i="83"/>
  <c r="B606" i="83"/>
  <c r="B605" i="83"/>
  <c r="B604" i="83"/>
  <c r="B603" i="83"/>
  <c r="B602" i="83"/>
  <c r="B601" i="83"/>
  <c r="B600" i="83"/>
  <c r="B599" i="83"/>
  <c r="B598" i="83"/>
  <c r="B597" i="83"/>
  <c r="B596" i="83"/>
  <c r="B595" i="83"/>
  <c r="B594" i="83"/>
  <c r="B593" i="83"/>
  <c r="B592" i="83"/>
  <c r="B591" i="83"/>
  <c r="B590" i="83"/>
  <c r="B589" i="83"/>
  <c r="B588" i="83"/>
  <c r="B587" i="83"/>
  <c r="B586" i="83"/>
  <c r="B585" i="83"/>
  <c r="B584" i="83"/>
  <c r="B583" i="83"/>
  <c r="B582" i="83"/>
  <c r="B581" i="83"/>
  <c r="B580" i="83"/>
  <c r="B579" i="83"/>
  <c r="B578" i="83"/>
  <c r="B577" i="83"/>
  <c r="B576" i="83"/>
  <c r="B575" i="83"/>
  <c r="B574" i="83"/>
  <c r="B573" i="83"/>
  <c r="B572" i="83"/>
  <c r="B571" i="83"/>
  <c r="B570" i="83"/>
  <c r="B569" i="83"/>
  <c r="B568" i="83"/>
  <c r="B567" i="83"/>
  <c r="B566" i="83"/>
  <c r="B565" i="83"/>
  <c r="B564" i="83"/>
  <c r="B563" i="83"/>
  <c r="B562" i="83"/>
  <c r="B561" i="83"/>
  <c r="B560" i="83"/>
  <c r="B559" i="83"/>
  <c r="B558" i="83"/>
  <c r="B557" i="83"/>
  <c r="B556" i="83"/>
  <c r="D554" i="83"/>
  <c r="C554" i="83"/>
  <c r="B554" i="83"/>
  <c r="B553" i="83"/>
  <c r="B552" i="83"/>
  <c r="B551" i="83"/>
  <c r="B550" i="83"/>
  <c r="B549" i="83"/>
  <c r="D548" i="83"/>
  <c r="C548" i="83"/>
  <c r="B548" i="83"/>
  <c r="B547" i="83"/>
  <c r="B546" i="83"/>
  <c r="B545" i="83"/>
  <c r="B544" i="83"/>
  <c r="B543" i="83"/>
  <c r="B542" i="83"/>
  <c r="B541" i="83"/>
  <c r="B540" i="83"/>
  <c r="B539" i="83"/>
  <c r="D538" i="83"/>
  <c r="C538" i="83"/>
  <c r="B538" i="83"/>
  <c r="D537" i="83"/>
  <c r="C537" i="83"/>
  <c r="B537" i="83"/>
  <c r="B536" i="83"/>
  <c r="B535" i="83"/>
  <c r="B534" i="83"/>
  <c r="B533" i="83"/>
  <c r="D531" i="83"/>
  <c r="C531" i="83"/>
  <c r="B531" i="83"/>
  <c r="D530" i="83"/>
  <c r="C530" i="83"/>
  <c r="B530" i="83"/>
  <c r="B529" i="83"/>
  <c r="B528" i="83"/>
  <c r="B527" i="83"/>
  <c r="B526" i="83"/>
  <c r="B525" i="83"/>
  <c r="B524" i="83"/>
  <c r="B523" i="83"/>
  <c r="B522" i="83"/>
  <c r="B521" i="83"/>
  <c r="B520" i="83"/>
  <c r="B519" i="83"/>
  <c r="B518" i="83"/>
  <c r="D512" i="83"/>
  <c r="D511" i="83"/>
  <c r="B511" i="83"/>
  <c r="D510" i="83"/>
  <c r="B504" i="83"/>
  <c r="D503" i="83"/>
  <c r="B503" i="83"/>
  <c r="D502" i="83"/>
  <c r="B501" i="83"/>
  <c r="B500" i="83"/>
  <c r="D497" i="83"/>
  <c r="D496" i="83"/>
  <c r="D495" i="83"/>
  <c r="B489" i="83"/>
  <c r="B488" i="83"/>
  <c r="B487" i="83"/>
  <c r="B486" i="83"/>
  <c r="B485" i="83"/>
  <c r="B484" i="83"/>
  <c r="B483" i="83"/>
  <c r="B482" i="83"/>
  <c r="B481" i="83"/>
  <c r="B480" i="83"/>
  <c r="B479" i="83"/>
  <c r="D478" i="83"/>
  <c r="C478" i="83"/>
  <c r="B478" i="83"/>
  <c r="D477" i="83"/>
  <c r="C477" i="83"/>
  <c r="B477" i="83"/>
  <c r="B476" i="83"/>
  <c r="B475" i="83"/>
  <c r="B474" i="83"/>
  <c r="B473" i="83"/>
  <c r="D471" i="83"/>
  <c r="C471" i="83"/>
  <c r="B471" i="83"/>
  <c r="D470" i="83"/>
  <c r="C470" i="83"/>
  <c r="B470" i="83"/>
  <c r="B469" i="83"/>
  <c r="B468" i="83"/>
  <c r="B467" i="83"/>
  <c r="B466" i="83"/>
  <c r="D465" i="83"/>
  <c r="C465" i="83"/>
  <c r="B465" i="83"/>
  <c r="B464" i="83"/>
  <c r="B463" i="83"/>
  <c r="B462" i="83"/>
  <c r="B461" i="83"/>
  <c r="B460" i="83"/>
  <c r="D459" i="83"/>
  <c r="C459" i="83"/>
  <c r="B459" i="83"/>
  <c r="B458" i="83"/>
  <c r="B457" i="83"/>
  <c r="B456" i="83"/>
  <c r="B455" i="83"/>
  <c r="B454" i="83"/>
  <c r="B453" i="83"/>
  <c r="B452" i="83"/>
  <c r="B451" i="83"/>
  <c r="B449" i="83"/>
  <c r="B448" i="83"/>
  <c r="B447" i="83"/>
  <c r="B446" i="83"/>
  <c r="B445" i="83"/>
  <c r="B444" i="83"/>
  <c r="B443" i="83"/>
  <c r="B442" i="83"/>
  <c r="B441" i="83"/>
  <c r="B440" i="83"/>
  <c r="B439" i="83"/>
  <c r="B438" i="83"/>
  <c r="B437" i="83"/>
  <c r="B436" i="83"/>
  <c r="B435" i="83"/>
  <c r="B434" i="83"/>
  <c r="B433" i="83"/>
  <c r="B432" i="83"/>
  <c r="B431" i="83"/>
  <c r="B430" i="83"/>
  <c r="B429" i="83"/>
  <c r="B428" i="83"/>
  <c r="B427" i="83"/>
  <c r="B426" i="83"/>
  <c r="B425" i="83"/>
  <c r="B424" i="83"/>
  <c r="B423" i="83"/>
  <c r="B422" i="83"/>
  <c r="B421" i="83"/>
  <c r="B420" i="83"/>
  <c r="B419" i="83"/>
  <c r="B418" i="83"/>
  <c r="B417" i="83"/>
  <c r="B416" i="83"/>
  <c r="B415" i="83"/>
  <c r="B414" i="83"/>
  <c r="B412" i="83"/>
  <c r="B411" i="83"/>
  <c r="B410" i="83"/>
  <c r="D409" i="83"/>
  <c r="B408" i="83"/>
  <c r="B407" i="83"/>
  <c r="B406" i="83"/>
  <c r="B405" i="83"/>
  <c r="B404" i="83"/>
  <c r="B403" i="83"/>
  <c r="B402" i="83"/>
  <c r="B401" i="83"/>
  <c r="B400" i="83"/>
  <c r="B399" i="83"/>
  <c r="B398" i="83"/>
  <c r="B397" i="83"/>
  <c r="B396" i="83"/>
  <c r="D394" i="83"/>
  <c r="B394" i="83"/>
  <c r="B393" i="83"/>
  <c r="B392" i="83"/>
  <c r="B391" i="83"/>
  <c r="B390" i="83"/>
  <c r="B389" i="83"/>
  <c r="B388" i="83"/>
  <c r="B387" i="83"/>
  <c r="B386" i="83"/>
  <c r="B385" i="83"/>
  <c r="B384" i="83"/>
  <c r="B383" i="83"/>
  <c r="B382" i="83"/>
  <c r="B381" i="83"/>
  <c r="B380" i="83"/>
  <c r="B379" i="83"/>
  <c r="B378" i="83"/>
  <c r="D377" i="83"/>
  <c r="B377" i="83"/>
  <c r="B376" i="83"/>
  <c r="B375" i="83"/>
  <c r="B374" i="83"/>
  <c r="B373" i="83"/>
  <c r="B372" i="83"/>
  <c r="B371" i="83"/>
  <c r="B370" i="83"/>
  <c r="B369" i="83"/>
  <c r="B368" i="83"/>
  <c r="B367" i="83"/>
  <c r="B366" i="83"/>
  <c r="B365" i="83"/>
  <c r="B364" i="83"/>
  <c r="B363" i="83"/>
  <c r="B362" i="83"/>
  <c r="B361" i="83"/>
  <c r="D360" i="83"/>
  <c r="B360" i="83"/>
  <c r="B359" i="83"/>
  <c r="B358" i="83"/>
  <c r="B357" i="83"/>
  <c r="B356" i="83"/>
  <c r="B355" i="83"/>
  <c r="B354" i="83"/>
  <c r="B353" i="83"/>
  <c r="B352" i="83"/>
  <c r="B351" i="83"/>
  <c r="B350" i="83"/>
  <c r="B349" i="83"/>
  <c r="B348" i="83"/>
  <c r="B347" i="83"/>
  <c r="B346" i="83"/>
  <c r="B345" i="83"/>
  <c r="B344" i="83"/>
  <c r="D343" i="83"/>
  <c r="B343" i="83"/>
  <c r="B342" i="83"/>
  <c r="B341" i="83"/>
  <c r="B340" i="83"/>
  <c r="B339" i="83"/>
  <c r="B338" i="83"/>
  <c r="B337" i="83"/>
  <c r="B336" i="83"/>
  <c r="B335" i="83"/>
  <c r="B334" i="83"/>
  <c r="B333" i="83"/>
  <c r="B332" i="83"/>
  <c r="B331" i="83"/>
  <c r="B330" i="83"/>
  <c r="B329" i="83"/>
  <c r="B328" i="83"/>
  <c r="B327" i="83"/>
  <c r="D326" i="83"/>
  <c r="B326" i="83"/>
  <c r="B325" i="83"/>
  <c r="B324" i="83"/>
  <c r="B323" i="83"/>
  <c r="B322" i="83"/>
  <c r="B321" i="83"/>
  <c r="B320" i="83"/>
  <c r="B319" i="83"/>
  <c r="B318" i="83"/>
  <c r="B317" i="83"/>
  <c r="B316" i="83"/>
  <c r="B315" i="83"/>
  <c r="B314" i="83"/>
  <c r="B313" i="83"/>
  <c r="B312" i="83"/>
  <c r="B311" i="83"/>
  <c r="B310" i="83"/>
  <c r="D308" i="83"/>
  <c r="B308" i="83"/>
  <c r="B307" i="83"/>
  <c r="B306" i="83"/>
  <c r="D305" i="83"/>
  <c r="B305" i="83"/>
  <c r="B304" i="83"/>
  <c r="B303" i="83"/>
  <c r="D302" i="83"/>
  <c r="B302" i="83"/>
  <c r="B301" i="83"/>
  <c r="B300" i="83"/>
  <c r="D299" i="83"/>
  <c r="B299" i="83"/>
  <c r="B298" i="83"/>
  <c r="B297" i="83"/>
  <c r="D296" i="83"/>
  <c r="B296" i="83"/>
  <c r="B295" i="83"/>
  <c r="B294" i="83"/>
  <c r="B293" i="83"/>
  <c r="B292" i="83"/>
  <c r="B291" i="83"/>
  <c r="B290" i="83"/>
  <c r="B289" i="83"/>
  <c r="B288" i="83"/>
  <c r="B287" i="83"/>
  <c r="B286" i="83"/>
  <c r="B285" i="83"/>
  <c r="B284" i="83"/>
  <c r="B283" i="83"/>
  <c r="D282" i="83"/>
  <c r="B282" i="83"/>
  <c r="B281" i="83"/>
  <c r="B280" i="83"/>
  <c r="B278" i="83"/>
  <c r="B277" i="83"/>
  <c r="B276" i="83"/>
  <c r="B275" i="83"/>
  <c r="B274" i="83"/>
  <c r="B273" i="83"/>
  <c r="B272" i="83"/>
  <c r="B271" i="83"/>
  <c r="B270" i="83"/>
  <c r="B269" i="83"/>
  <c r="B268" i="83"/>
  <c r="B267" i="83"/>
  <c r="B266" i="83"/>
  <c r="B265" i="83"/>
  <c r="B264" i="83"/>
  <c r="B263" i="83"/>
  <c r="B262" i="83"/>
  <c r="B261" i="83"/>
  <c r="B260" i="83"/>
  <c r="B259" i="83"/>
  <c r="B258" i="83"/>
  <c r="B257" i="83"/>
  <c r="B256" i="83"/>
  <c r="B255" i="83"/>
  <c r="B254" i="83"/>
  <c r="B253" i="83"/>
  <c r="B252" i="83"/>
  <c r="B251" i="83"/>
  <c r="B250" i="83"/>
  <c r="B249" i="83"/>
  <c r="B248" i="83"/>
  <c r="B247" i="83"/>
  <c r="B246" i="83"/>
  <c r="B245" i="83"/>
  <c r="B244" i="83"/>
  <c r="B243" i="83"/>
  <c r="B242" i="83"/>
  <c r="B241" i="83"/>
  <c r="B240" i="83"/>
  <c r="B239" i="83"/>
  <c r="B238" i="83"/>
  <c r="B237" i="83"/>
  <c r="B236" i="83"/>
  <c r="B235" i="83"/>
  <c r="B234" i="83"/>
  <c r="B233" i="83"/>
  <c r="B232" i="83"/>
  <c r="B231" i="83"/>
  <c r="B230" i="83"/>
  <c r="B229" i="83"/>
  <c r="B228" i="83"/>
  <c r="B227" i="83"/>
  <c r="B226" i="83"/>
  <c r="B225" i="83"/>
  <c r="B224" i="83"/>
  <c r="B223" i="83"/>
  <c r="B222" i="83"/>
  <c r="B221" i="83"/>
  <c r="B220" i="83"/>
  <c r="B219" i="83"/>
  <c r="B218" i="83"/>
  <c r="B217" i="83"/>
  <c r="B216" i="83"/>
  <c r="B215" i="83"/>
  <c r="B214" i="83"/>
  <c r="B213" i="83"/>
  <c r="B212" i="83"/>
  <c r="B211" i="83"/>
  <c r="B210" i="83"/>
  <c r="B209" i="83"/>
  <c r="B208" i="83"/>
  <c r="B207" i="83"/>
  <c r="B206" i="83"/>
  <c r="B205" i="83"/>
  <c r="B204" i="83"/>
  <c r="B203" i="83"/>
  <c r="B202" i="83"/>
  <c r="B201" i="83"/>
  <c r="B200" i="83"/>
  <c r="B199" i="83"/>
  <c r="B198" i="83"/>
  <c r="B197" i="83"/>
  <c r="B196" i="83"/>
  <c r="B195" i="83"/>
  <c r="B194" i="83"/>
  <c r="B193" i="83"/>
  <c r="B192" i="83"/>
  <c r="B191" i="83"/>
  <c r="B190" i="83"/>
  <c r="B189" i="83"/>
  <c r="B188" i="83"/>
  <c r="B187" i="83"/>
  <c r="B186" i="83"/>
  <c r="B185" i="83"/>
  <c r="B184" i="83"/>
  <c r="B183" i="83"/>
  <c r="B182" i="83"/>
  <c r="B181" i="83"/>
  <c r="B180" i="83"/>
  <c r="B179" i="83"/>
  <c r="B178" i="83"/>
  <c r="B177" i="83"/>
  <c r="B176" i="83"/>
  <c r="B175" i="83"/>
  <c r="B174" i="83"/>
  <c r="B173" i="83"/>
  <c r="B172" i="83"/>
  <c r="B171" i="83"/>
  <c r="B170" i="83"/>
  <c r="B169" i="83"/>
  <c r="B168" i="83"/>
  <c r="B167" i="83"/>
  <c r="B166" i="83"/>
  <c r="B165" i="83"/>
  <c r="B164" i="83"/>
  <c r="B163" i="83"/>
  <c r="B162" i="83"/>
  <c r="B161" i="83"/>
  <c r="B160" i="83"/>
  <c r="B159" i="83"/>
  <c r="B158" i="83"/>
  <c r="B157" i="83"/>
  <c r="B156" i="83"/>
  <c r="B155" i="83"/>
  <c r="B154" i="83"/>
  <c r="B153" i="83"/>
  <c r="B152" i="83"/>
  <c r="B151" i="83"/>
  <c r="B150" i="83"/>
  <c r="B149" i="83"/>
  <c r="B148" i="83"/>
  <c r="B147" i="83"/>
  <c r="B146" i="83"/>
  <c r="B145" i="83"/>
  <c r="B144" i="83"/>
  <c r="B143" i="83"/>
  <c r="B142" i="83"/>
  <c r="B141" i="83"/>
  <c r="B140" i="83"/>
  <c r="B139" i="83"/>
  <c r="B138" i="83"/>
  <c r="B137" i="83"/>
  <c r="B136" i="83"/>
  <c r="B135" i="83"/>
  <c r="B134" i="83"/>
  <c r="B133" i="83"/>
  <c r="B132" i="83"/>
  <c r="B131" i="83"/>
  <c r="B130" i="83"/>
  <c r="B129" i="83"/>
  <c r="B128" i="83"/>
  <c r="B127" i="83"/>
  <c r="B126" i="83"/>
  <c r="B125" i="83"/>
  <c r="B124" i="83"/>
  <c r="B123" i="83"/>
  <c r="B122" i="83"/>
  <c r="B121" i="83"/>
  <c r="B120" i="83"/>
  <c r="B119" i="83"/>
  <c r="B118" i="83"/>
  <c r="B117" i="83"/>
  <c r="B116" i="83"/>
  <c r="B115" i="83"/>
  <c r="B114" i="83"/>
  <c r="B113" i="83"/>
  <c r="B112" i="83"/>
  <c r="B111" i="83"/>
  <c r="B110" i="83"/>
  <c r="B109" i="83"/>
  <c r="B108" i="83"/>
  <c r="B107" i="83"/>
  <c r="B105" i="83"/>
  <c r="B104" i="83"/>
  <c r="B103" i="83"/>
  <c r="B102" i="83"/>
  <c r="B101" i="83"/>
  <c r="B100" i="83"/>
  <c r="B99" i="83"/>
  <c r="B98" i="83"/>
  <c r="B97" i="83"/>
  <c r="B96" i="83"/>
  <c r="B95" i="83"/>
  <c r="B94" i="83"/>
  <c r="B93" i="83"/>
  <c r="B92" i="83"/>
  <c r="B91" i="83"/>
  <c r="B90" i="83"/>
  <c r="B89" i="83"/>
  <c r="B88" i="83"/>
  <c r="B87" i="83"/>
  <c r="B86" i="83"/>
  <c r="B85" i="83"/>
  <c r="B84" i="83"/>
  <c r="B83" i="83"/>
  <c r="B82" i="83"/>
  <c r="B81" i="83"/>
  <c r="B80" i="83"/>
  <c r="B79" i="83"/>
  <c r="B78" i="83"/>
  <c r="B77" i="83"/>
  <c r="C75" i="83"/>
  <c r="B73" i="83"/>
  <c r="B72" i="83"/>
  <c r="B71" i="83"/>
  <c r="B70" i="83"/>
  <c r="B69" i="83"/>
  <c r="B68" i="83"/>
  <c r="B67" i="83"/>
  <c r="B66" i="83"/>
  <c r="B65" i="83"/>
  <c r="B64" i="83"/>
  <c r="B63" i="83"/>
  <c r="B62" i="83"/>
  <c r="B61" i="83"/>
  <c r="B60" i="83"/>
  <c r="B59" i="83"/>
  <c r="B58" i="83"/>
  <c r="D57" i="83"/>
  <c r="B57" i="83"/>
  <c r="D56" i="83"/>
  <c r="B56" i="83"/>
  <c r="B55" i="83"/>
  <c r="B54" i="83"/>
  <c r="B53" i="83"/>
  <c r="B52" i="83"/>
  <c r="B51" i="83"/>
  <c r="B50" i="83"/>
  <c r="B49" i="83"/>
  <c r="B48" i="83"/>
  <c r="B47" i="83"/>
  <c r="B46" i="83"/>
  <c r="B45" i="83"/>
  <c r="B44" i="83"/>
  <c r="B43" i="83"/>
  <c r="B42" i="83"/>
  <c r="B41" i="83"/>
  <c r="B40" i="83"/>
  <c r="B39" i="83"/>
  <c r="B38" i="83"/>
  <c r="B37" i="83"/>
  <c r="B36" i="83"/>
  <c r="B35" i="83"/>
  <c r="B34" i="83"/>
  <c r="B33" i="83"/>
  <c r="B29" i="83"/>
  <c r="B28" i="83"/>
  <c r="B27" i="83"/>
  <c r="B26" i="83"/>
  <c r="B25" i="83"/>
  <c r="B24" i="83"/>
  <c r="B23" i="83"/>
  <c r="B22" i="83"/>
  <c r="B21" i="83"/>
  <c r="B20" i="83"/>
  <c r="B19" i="83"/>
  <c r="B18" i="83"/>
  <c r="B17" i="83"/>
  <c r="B16" i="83"/>
  <c r="B15" i="83"/>
  <c r="B14" i="83"/>
  <c r="B13" i="83"/>
  <c r="B6" i="83"/>
  <c r="A16" i="84" l="1"/>
  <c r="A17" i="84" s="1"/>
  <c r="A18" i="84" s="1"/>
  <c r="A19" i="84" s="1"/>
  <c r="A20" i="84" s="1"/>
  <c r="A21" i="84" s="1"/>
  <c r="A22" i="84" s="1"/>
  <c r="A24" i="84" l="1"/>
  <c r="A25" i="84" s="1"/>
  <c r="A26" i="84" s="1"/>
  <c r="A27" i="84" s="1"/>
  <c r="A28" i="84" s="1"/>
  <c r="A29" i="84" s="1"/>
  <c r="A30" i="84" s="1"/>
  <c r="A31" i="84" s="1"/>
  <c r="A32" i="84" s="1"/>
  <c r="A33" i="84" s="1"/>
  <c r="A34" i="84" s="1"/>
  <c r="A35" i="84" s="1"/>
  <c r="A36" i="84" s="1"/>
  <c r="A37" i="84" s="1"/>
  <c r="A38" i="84" s="1"/>
  <c r="A39" i="84" s="1"/>
  <c r="A23" i="84"/>
  <c r="B3" i="93" a="1"/>
  <c r="B3" i="93" s="1"/>
  <c r="A40" i="84" l="1"/>
  <c r="A41" i="84" s="1"/>
  <c r="A7" i="33"/>
  <c r="A8" i="33" s="1"/>
  <c r="A9" i="33" s="1"/>
  <c r="A13" i="33" l="1"/>
  <c r="A10" i="33"/>
  <c r="A11" i="33" s="1"/>
  <c r="A42" i="84"/>
  <c r="A43" i="84" s="1"/>
  <c r="A44" i="84" s="1"/>
  <c r="A45" i="84" s="1"/>
  <c r="A46" i="84" s="1"/>
  <c r="A47" i="84" s="1"/>
  <c r="A48" i="84" s="1"/>
  <c r="A49" i="84" s="1"/>
  <c r="A50" i="84" s="1"/>
  <c r="A51" i="84" s="1"/>
  <c r="A52" i="84" s="1"/>
  <c r="A53" i="84" s="1"/>
  <c r="A54" i="84" s="1"/>
  <c r="A55" i="84" s="1"/>
  <c r="A56" i="84" s="1"/>
  <c r="A57" i="84" s="1"/>
  <c r="A58" i="84" s="1"/>
  <c r="A59" i="84" s="1"/>
  <c r="A60" i="84" s="1"/>
  <c r="A61" i="84" s="1"/>
  <c r="A62" i="84" s="1"/>
  <c r="A63" i="84" s="1"/>
  <c r="A64" i="84" s="1"/>
  <c r="A65" i="84" s="1"/>
  <c r="A66" i="84" s="1"/>
  <c r="A67" i="84" s="1"/>
  <c r="A68" i="84" s="1"/>
  <c r="A69" i="84" s="1"/>
  <c r="A70" i="84" s="1"/>
  <c r="A71" i="84" s="1"/>
  <c r="A28" i="33"/>
  <c r="A29" i="33" s="1"/>
  <c r="A30" i="33" s="1"/>
  <c r="A31" i="33" s="1"/>
  <c r="A32" i="33" s="1"/>
  <c r="A33" i="33" s="1"/>
  <c r="A34" i="33" s="1"/>
  <c r="A35" i="33" s="1"/>
  <c r="A36" i="33" s="1"/>
  <c r="A37" i="33" s="1"/>
  <c r="A38" i="33" s="1"/>
  <c r="A39" i="33" s="1"/>
  <c r="A40" i="33" s="1"/>
  <c r="A41" i="33" s="1"/>
  <c r="A42" i="33" s="1"/>
  <c r="A43" i="33" s="1"/>
  <c r="A14" i="33" l="1"/>
  <c r="D44" i="33"/>
  <c r="A72" i="84"/>
  <c r="A73" i="84" s="1"/>
  <c r="A74" i="84" s="1"/>
  <c r="A75" i="84" s="1"/>
  <c r="A76" i="84" s="1"/>
  <c r="A77" i="84" s="1"/>
  <c r="A78" i="84" s="1"/>
  <c r="A79" i="84" s="1"/>
  <c r="A80" i="84" s="1"/>
  <c r="A81" i="84" s="1"/>
  <c r="A82" i="84" s="1"/>
  <c r="A83" i="84" s="1"/>
  <c r="A84" i="84" s="1"/>
  <c r="A85" i="84" s="1"/>
  <c r="A86" i="84" s="1"/>
  <c r="A87" i="84" s="1"/>
  <c r="A88" i="84" s="1"/>
  <c r="A89" i="84" s="1"/>
  <c r="A90" i="84" s="1"/>
  <c r="A91" i="84" s="1"/>
  <c r="A44" i="33"/>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157" i="33" s="1"/>
  <c r="A15" i="33" l="1"/>
  <c r="A158" i="33"/>
  <c r="A159" i="33" s="1"/>
  <c r="A160" i="33" s="1"/>
  <c r="A161" i="33" s="1"/>
  <c r="A162" i="33" s="1"/>
  <c r="A163" i="33" s="1"/>
  <c r="A164" i="33" s="1"/>
  <c r="A165" i="33" s="1"/>
  <c r="A166" i="33" s="1"/>
  <c r="A167" i="33" s="1"/>
  <c r="D168" i="33" s="1"/>
  <c r="D62" i="33"/>
  <c r="A92" i="84"/>
  <c r="A93" i="84" s="1"/>
  <c r="AD11" i="81"/>
  <c r="AD12" i="81"/>
  <c r="AD13" i="81"/>
  <c r="AD6" i="81"/>
  <c r="AD7" i="81"/>
  <c r="AD8" i="81"/>
  <c r="AD20" i="81"/>
  <c r="AD19" i="81"/>
  <c r="AD18" i="81"/>
  <c r="AD15" i="81"/>
  <c r="AD10" i="81"/>
  <c r="AD5" i="81"/>
  <c r="AC19" i="81"/>
  <c r="Y19" i="81"/>
  <c r="Y20" i="81"/>
  <c r="Y11" i="81"/>
  <c r="Y12" i="81"/>
  <c r="Y13" i="81"/>
  <c r="Y18" i="81"/>
  <c r="Y15" i="81"/>
  <c r="Y10" i="81"/>
  <c r="Y6" i="81"/>
  <c r="Y7" i="81"/>
  <c r="Y8" i="81"/>
  <c r="Y5" i="81"/>
  <c r="X19" i="81"/>
  <c r="AE21" i="81"/>
  <c r="AE20" i="81"/>
  <c r="AE19" i="81"/>
  <c r="AE18" i="81"/>
  <c r="AE17" i="81"/>
  <c r="AE16" i="81"/>
  <c r="AE15" i="81"/>
  <c r="AE14" i="81"/>
  <c r="AE13" i="81"/>
  <c r="AE12" i="81"/>
  <c r="AE11" i="81"/>
  <c r="AE10" i="81"/>
  <c r="AE9" i="81"/>
  <c r="AE8" i="81"/>
  <c r="AE7" i="81"/>
  <c r="AE6" i="81"/>
  <c r="AE5" i="81"/>
  <c r="AE3" i="81"/>
  <c r="AF21" i="81"/>
  <c r="AF20" i="81"/>
  <c r="AF19" i="81"/>
  <c r="AF18" i="81"/>
  <c r="AF17" i="81"/>
  <c r="AF16" i="81"/>
  <c r="AF15" i="81"/>
  <c r="AF14" i="81"/>
  <c r="AF13" i="81"/>
  <c r="AF12" i="81"/>
  <c r="AF11" i="81"/>
  <c r="AF10" i="81"/>
  <c r="AF9" i="81"/>
  <c r="AF8" i="81"/>
  <c r="AF7" i="81"/>
  <c r="AF6" i="81"/>
  <c r="AF5" i="81"/>
  <c r="AF3" i="81"/>
  <c r="Z21" i="81"/>
  <c r="Z20" i="81"/>
  <c r="Z19" i="81"/>
  <c r="Z18" i="81"/>
  <c r="Z17" i="81"/>
  <c r="Z16" i="81"/>
  <c r="Z15" i="81"/>
  <c r="Z14" i="81"/>
  <c r="Z13" i="81"/>
  <c r="Z12" i="81"/>
  <c r="Z11" i="81"/>
  <c r="Z10" i="81"/>
  <c r="Z9" i="81"/>
  <c r="Z8" i="81"/>
  <c r="Z7" i="81"/>
  <c r="Z6" i="81"/>
  <c r="Z5" i="81"/>
  <c r="Z3" i="81"/>
  <c r="AA21" i="81"/>
  <c r="AA20" i="81"/>
  <c r="AA19" i="81"/>
  <c r="AA18" i="81"/>
  <c r="AA17" i="81"/>
  <c r="AA16" i="81"/>
  <c r="AA15" i="81"/>
  <c r="AA14" i="81"/>
  <c r="AA13" i="81"/>
  <c r="AA12" i="81"/>
  <c r="AA11" i="81"/>
  <c r="AA10" i="81"/>
  <c r="AA9" i="81"/>
  <c r="AA8" i="81"/>
  <c r="AA7" i="81"/>
  <c r="AA6" i="81"/>
  <c r="AA5" i="81"/>
  <c r="AA3" i="81"/>
  <c r="V5" i="81"/>
  <c r="V6" i="81"/>
  <c r="V7" i="81"/>
  <c r="V8" i="81"/>
  <c r="V9" i="81"/>
  <c r="V10" i="81"/>
  <c r="V11" i="81"/>
  <c r="V12" i="81"/>
  <c r="V13" i="81"/>
  <c r="V14" i="81"/>
  <c r="V15" i="81"/>
  <c r="V16" i="81"/>
  <c r="V17" i="81"/>
  <c r="V18" i="81"/>
  <c r="V19" i="81"/>
  <c r="V20" i="81"/>
  <c r="V21" i="81"/>
  <c r="V3" i="81"/>
  <c r="U19" i="81"/>
  <c r="U20" i="81"/>
  <c r="U6" i="81"/>
  <c r="U7" i="81"/>
  <c r="U8" i="81"/>
  <c r="U9" i="81"/>
  <c r="U10" i="81"/>
  <c r="U11" i="81"/>
  <c r="U12" i="81"/>
  <c r="U13" i="81"/>
  <c r="U18" i="81"/>
  <c r="U15" i="81"/>
  <c r="U5" i="81"/>
  <c r="S19" i="81"/>
  <c r="T19" i="81"/>
  <c r="T13" i="81"/>
  <c r="T10" i="81"/>
  <c r="T8" i="81"/>
  <c r="Q5" i="81"/>
  <c r="Q6" i="81"/>
  <c r="Q7" i="81"/>
  <c r="Q8" i="81"/>
  <c r="Q9" i="81"/>
  <c r="Q10" i="81"/>
  <c r="Q11" i="81"/>
  <c r="Q12" i="81"/>
  <c r="Q13" i="81"/>
  <c r="Q14" i="81"/>
  <c r="Q15" i="81"/>
  <c r="Q16" i="81"/>
  <c r="Q17" i="81"/>
  <c r="Q18" i="81"/>
  <c r="Q19" i="81"/>
  <c r="Q20" i="81"/>
  <c r="Q21" i="81"/>
  <c r="Q3" i="81"/>
  <c r="P19" i="81"/>
  <c r="P20" i="81"/>
  <c r="P6" i="81"/>
  <c r="P7" i="81"/>
  <c r="P8" i="81"/>
  <c r="P9" i="81"/>
  <c r="P10" i="81"/>
  <c r="P11" i="81"/>
  <c r="P12" i="81"/>
  <c r="P13" i="81"/>
  <c r="P18" i="81"/>
  <c r="P15" i="81"/>
  <c r="P5" i="81"/>
  <c r="O19" i="81"/>
  <c r="O13" i="81"/>
  <c r="O10" i="81"/>
  <c r="O8" i="81"/>
  <c r="N19" i="81"/>
  <c r="L5" i="81"/>
  <c r="L6" i="81"/>
  <c r="L7" i="81"/>
  <c r="L8" i="81"/>
  <c r="L9" i="81"/>
  <c r="L10" i="81"/>
  <c r="L11" i="81"/>
  <c r="L12" i="81"/>
  <c r="L13" i="81"/>
  <c r="L14" i="81"/>
  <c r="L15" i="81"/>
  <c r="L16" i="81"/>
  <c r="L17" i="81"/>
  <c r="L18" i="81"/>
  <c r="L19" i="81"/>
  <c r="L20" i="81"/>
  <c r="L21" i="81"/>
  <c r="L3" i="81"/>
  <c r="K19" i="81"/>
  <c r="K20" i="81"/>
  <c r="K6" i="81"/>
  <c r="K7" i="81"/>
  <c r="K8" i="81"/>
  <c r="K9" i="81"/>
  <c r="K10" i="81"/>
  <c r="K11" i="81"/>
  <c r="K12" i="81"/>
  <c r="K13" i="81"/>
  <c r="K18" i="81"/>
  <c r="K15" i="81"/>
  <c r="K5" i="81"/>
  <c r="J19" i="81"/>
  <c r="J13" i="81"/>
  <c r="J10" i="81"/>
  <c r="J8" i="81"/>
  <c r="I19" i="81"/>
  <c r="D3" i="81"/>
  <c r="E3" i="81"/>
  <c r="F3" i="81"/>
  <c r="G3" i="81"/>
  <c r="D5" i="81"/>
  <c r="E5" i="81"/>
  <c r="F5" i="81"/>
  <c r="G5" i="81"/>
  <c r="D6" i="81"/>
  <c r="E6" i="81"/>
  <c r="F6" i="81"/>
  <c r="G6" i="81"/>
  <c r="D7" i="81"/>
  <c r="E7" i="81"/>
  <c r="F7" i="81"/>
  <c r="G7" i="81"/>
  <c r="D8" i="81"/>
  <c r="E8" i="81"/>
  <c r="F8" i="81"/>
  <c r="G8" i="81"/>
  <c r="D9" i="81"/>
  <c r="E9" i="81"/>
  <c r="F9" i="81"/>
  <c r="G9" i="81"/>
  <c r="D10" i="81"/>
  <c r="E10" i="81"/>
  <c r="F10" i="81"/>
  <c r="G10" i="81"/>
  <c r="D11" i="81"/>
  <c r="E11" i="81"/>
  <c r="F11" i="81"/>
  <c r="G11" i="81"/>
  <c r="D12" i="81"/>
  <c r="E12" i="81"/>
  <c r="F12" i="81"/>
  <c r="G12" i="81"/>
  <c r="D13" i="81"/>
  <c r="E13" i="81"/>
  <c r="F13" i="81"/>
  <c r="G13" i="81"/>
  <c r="D14" i="81"/>
  <c r="E14" i="81"/>
  <c r="F14" i="81"/>
  <c r="G14" i="81"/>
  <c r="D15" i="81"/>
  <c r="E15" i="81"/>
  <c r="F15" i="81"/>
  <c r="G15" i="81"/>
  <c r="D16" i="81"/>
  <c r="E16" i="81"/>
  <c r="F16" i="81"/>
  <c r="G16" i="81"/>
  <c r="D17" i="81"/>
  <c r="E17" i="81"/>
  <c r="F17" i="81"/>
  <c r="G17" i="81"/>
  <c r="D18" i="81"/>
  <c r="E18" i="81"/>
  <c r="F18" i="81"/>
  <c r="G18" i="81"/>
  <c r="D19" i="81"/>
  <c r="E19" i="81"/>
  <c r="F19" i="81"/>
  <c r="G19" i="81"/>
  <c r="D20" i="81"/>
  <c r="E20" i="81"/>
  <c r="F20" i="81"/>
  <c r="G20" i="81"/>
  <c r="D21" i="81"/>
  <c r="E21" i="81"/>
  <c r="F21" i="81"/>
  <c r="G21" i="81"/>
  <c r="C5" i="81"/>
  <c r="C6" i="81"/>
  <c r="C7" i="81"/>
  <c r="C8" i="81"/>
  <c r="C9" i="81"/>
  <c r="C10" i="81"/>
  <c r="C11" i="81"/>
  <c r="C12" i="81"/>
  <c r="C13" i="81"/>
  <c r="C14" i="81"/>
  <c r="C15" i="81"/>
  <c r="C16" i="81"/>
  <c r="C17" i="81"/>
  <c r="C18" i="81"/>
  <c r="C19" i="81"/>
  <c r="C20" i="81"/>
  <c r="C21" i="81"/>
  <c r="C3" i="81"/>
  <c r="A16" i="33" l="1"/>
  <c r="A17" i="33" s="1"/>
  <c r="A18" i="33" s="1"/>
  <c r="A19" i="33" s="1"/>
  <c r="A20" i="33" s="1"/>
  <c r="A21" i="33" s="1"/>
  <c r="A22" i="33" s="1"/>
  <c r="A23" i="33" s="1"/>
  <c r="A168" i="33"/>
  <c r="A169" i="33" s="1"/>
  <c r="A170" i="33" s="1"/>
  <c r="A171" i="33" s="1"/>
  <c r="A172" i="33" s="1"/>
  <c r="A173" i="33" s="1"/>
  <c r="A174" i="33" s="1"/>
  <c r="A175" i="33" s="1"/>
  <c r="A176" i="33" s="1"/>
  <c r="A177" i="33" s="1"/>
  <c r="A178" i="33" s="1"/>
  <c r="A179" i="33" s="1"/>
  <c r="A180" i="33" s="1"/>
  <c r="A181" i="33" s="1"/>
  <c r="A182" i="33" s="1"/>
  <c r="A183" i="33" s="1"/>
  <c r="A184" i="33" s="1"/>
  <c r="A185" i="33" s="1"/>
  <c r="A186" i="33" s="1"/>
  <c r="A187" i="33" s="1"/>
  <c r="A188" i="33" s="1"/>
  <c r="A189" i="33" s="1"/>
  <c r="A94" i="84"/>
  <c r="A95" i="84" s="1"/>
  <c r="A96" i="84" s="1"/>
  <c r="A97" i="84" s="1"/>
  <c r="A98" i="84" s="1"/>
  <c r="A99" i="84" s="1"/>
  <c r="A100" i="84" s="1"/>
  <c r="A101" i="84" s="1"/>
  <c r="A102" i="84" s="1"/>
  <c r="A24" i="33" l="1"/>
  <c r="A26" i="33"/>
  <c r="A194" i="33"/>
  <c r="A195" i="33" s="1"/>
  <c r="A190" i="33"/>
  <c r="D191" i="33" s="1"/>
  <c r="D195" i="33"/>
  <c r="A103" i="84"/>
  <c r="A104" i="84" s="1"/>
  <c r="A105" i="84" s="1"/>
  <c r="A106" i="84" s="1"/>
  <c r="A107" i="84" s="1"/>
  <c r="A108" i="84" s="1"/>
  <c r="A109" i="84" s="1"/>
  <c r="A110" i="84" s="1"/>
  <c r="A111" i="84" s="1"/>
  <c r="A112" i="84" s="1"/>
  <c r="A113" i="84" s="1"/>
  <c r="A114" i="84" s="1"/>
  <c r="A115" i="84" s="1"/>
  <c r="A116" i="84" s="1"/>
  <c r="A117" i="84" s="1"/>
  <c r="A118" i="84" s="1"/>
  <c r="A119" i="84" s="1"/>
  <c r="A120" i="84" s="1"/>
  <c r="A121" i="84" s="1"/>
  <c r="A122" i="84" s="1"/>
  <c r="A123" i="84" s="1"/>
  <c r="A124" i="84" s="1"/>
  <c r="A125" i="84" s="1"/>
  <c r="A126" i="84" s="1"/>
  <c r="A127" i="84" s="1"/>
  <c r="A128" i="84" s="1"/>
  <c r="A129" i="84" s="1"/>
  <c r="A130" i="84" s="1"/>
  <c r="A131" i="84" s="1"/>
  <c r="A132" i="84" s="1"/>
  <c r="A133" i="84" s="1"/>
  <c r="A134" i="84" s="1"/>
  <c r="A135" i="84" s="1"/>
  <c r="A136" i="84" s="1"/>
  <c r="A137" i="84" s="1"/>
  <c r="A138" i="84" s="1"/>
  <c r="A139" i="84" s="1"/>
  <c r="A140" i="84" s="1"/>
  <c r="A141" i="84" s="1"/>
  <c r="A196" i="33" l="1"/>
  <c r="D197" i="33" s="1"/>
  <c r="A191" i="33"/>
  <c r="A192" i="33" s="1"/>
  <c r="D193" i="33" s="1"/>
  <c r="A197" i="33" l="1"/>
  <c r="A198" i="33" s="1"/>
  <c r="D199" i="33" s="1"/>
  <c r="A193" i="33"/>
  <c r="A199" i="33" l="1"/>
  <c r="A200" i="33" s="1"/>
  <c r="D201" i="33" s="1"/>
  <c r="A201" i="33" l="1"/>
  <c r="A202" i="33" s="1"/>
  <c r="C33" i="78"/>
  <c r="C64" i="78"/>
  <c r="C34" i="78"/>
  <c r="C65" i="78"/>
  <c r="C48" i="78"/>
  <c r="B46" i="78"/>
  <c r="C36" i="78"/>
  <c r="C67" i="78"/>
  <c r="C66" i="78"/>
  <c r="C49" i="78"/>
  <c r="C19" i="78"/>
  <c r="C35" i="78"/>
  <c r="B55" i="77"/>
  <c r="D26" i="77"/>
  <c r="D67" i="77"/>
  <c r="D68" i="77"/>
  <c r="D27" i="77"/>
  <c r="A203" i="33" l="1"/>
  <c r="A204" i="33" s="1"/>
  <c r="D203" i="33"/>
  <c r="B68" i="76"/>
  <c r="B6" i="76"/>
  <c r="B10" i="76"/>
  <c r="A16" i="76"/>
  <c r="A17" i="76" s="1"/>
  <c r="A18" i="76" s="1"/>
  <c r="A19" i="76" s="1"/>
  <c r="A20" i="76" s="1"/>
  <c r="A21" i="76" s="1"/>
  <c r="A22" i="76" s="1"/>
  <c r="A23" i="76" s="1"/>
  <c r="A24" i="76" s="1"/>
  <c r="A25" i="76" s="1"/>
  <c r="A26" i="76" s="1"/>
  <c r="A27" i="76" s="1"/>
  <c r="A28" i="76" s="1"/>
  <c r="A29" i="76" s="1"/>
  <c r="A30" i="76" s="1"/>
  <c r="A31" i="76" s="1"/>
  <c r="A32" i="76" s="1"/>
  <c r="A33" i="76" s="1"/>
  <c r="A34" i="76" s="1"/>
  <c r="A35" i="76" s="1"/>
  <c r="A36" i="76" s="1"/>
  <c r="A37" i="76" s="1"/>
  <c r="A38" i="76" s="1"/>
  <c r="A39" i="76" s="1"/>
  <c r="A40" i="76" s="1"/>
  <c r="A41" i="76" s="1"/>
  <c r="A42" i="76" s="1"/>
  <c r="A43" i="76" s="1"/>
  <c r="A44" i="76" s="1"/>
  <c r="A45" i="76" s="1"/>
  <c r="A46" i="76" s="1"/>
  <c r="A47" i="76" s="1"/>
  <c r="A48" i="76" s="1"/>
  <c r="A49" i="76" s="1"/>
  <c r="A50" i="76" s="1"/>
  <c r="A51" i="76" s="1"/>
  <c r="A52" i="76" s="1"/>
  <c r="A53" i="76" s="1"/>
  <c r="A54" i="76" s="1"/>
  <c r="A55" i="76" s="1"/>
  <c r="A56" i="76" s="1"/>
  <c r="A57" i="76" s="1"/>
  <c r="A58" i="76" s="1"/>
  <c r="A59" i="76" s="1"/>
  <c r="A60" i="76" s="1"/>
  <c r="A61" i="76" s="1"/>
  <c r="A62" i="76" s="1"/>
  <c r="A63" i="76" s="1"/>
  <c r="C46" i="76"/>
  <c r="C47" i="76"/>
  <c r="C48" i="76"/>
  <c r="C49" i="76"/>
  <c r="C50" i="76"/>
  <c r="C51" i="76"/>
  <c r="C52" i="76"/>
  <c r="C53" i="76"/>
  <c r="C54" i="76"/>
  <c r="C55" i="76"/>
  <c r="C56" i="76"/>
  <c r="C57" i="76"/>
  <c r="C58" i="76"/>
  <c r="C45" i="76"/>
  <c r="C36" i="76"/>
  <c r="C37" i="76"/>
  <c r="C38" i="76"/>
  <c r="C39" i="76"/>
  <c r="C40" i="76"/>
  <c r="C41" i="76"/>
  <c r="C42" i="76"/>
  <c r="C35" i="76"/>
  <c r="C44" i="76"/>
  <c r="C43" i="76"/>
  <c r="C34" i="76"/>
  <c r="C33" i="76"/>
  <c r="C27" i="76"/>
  <c r="C28" i="76"/>
  <c r="C29" i="76"/>
  <c r="C30" i="76"/>
  <c r="C31" i="76"/>
  <c r="C32" i="76"/>
  <c r="C18" i="76"/>
  <c r="C19" i="76"/>
  <c r="C20" i="76"/>
  <c r="C21" i="76"/>
  <c r="C22" i="76"/>
  <c r="C23" i="76"/>
  <c r="C24" i="76"/>
  <c r="C25" i="76"/>
  <c r="C26" i="76"/>
  <c r="C17" i="76"/>
  <c r="C11" i="76"/>
  <c r="B15" i="76"/>
  <c r="B14" i="76"/>
  <c r="B13" i="76"/>
  <c r="B12" i="76"/>
  <c r="C65" i="76"/>
  <c r="C66" i="76"/>
  <c r="C67" i="76"/>
  <c r="B62" i="76"/>
  <c r="B61" i="76"/>
  <c r="B60" i="76"/>
  <c r="B59" i="76"/>
  <c r="D66" i="76"/>
  <c r="D65" i="76"/>
  <c r="D62" i="76"/>
  <c r="D61" i="76"/>
  <c r="D60" i="76"/>
  <c r="D59" i="76"/>
  <c r="D58" i="76"/>
  <c r="D57" i="76"/>
  <c r="D56" i="76"/>
  <c r="D55" i="76"/>
  <c r="D54" i="76"/>
  <c r="D53" i="76"/>
  <c r="D52" i="76"/>
  <c r="D51" i="76"/>
  <c r="D23" i="76"/>
  <c r="D24" i="76"/>
  <c r="D47" i="76"/>
  <c r="D45" i="76"/>
  <c r="D44" i="76"/>
  <c r="D43" i="76"/>
  <c r="D42" i="76"/>
  <c r="D36" i="76"/>
  <c r="D35" i="76"/>
  <c r="D34" i="76"/>
  <c r="D33" i="76"/>
  <c r="D11" i="76"/>
  <c r="D19" i="76"/>
  <c r="D32" i="76"/>
  <c r="D31" i="76"/>
  <c r="D30" i="76"/>
  <c r="D29" i="76"/>
  <c r="D28" i="76"/>
  <c r="D27" i="76"/>
  <c r="D26" i="76"/>
  <c r="D25" i="76"/>
  <c r="D15" i="76"/>
  <c r="D14" i="76"/>
  <c r="D13" i="76"/>
  <c r="D12" i="76"/>
  <c r="D205" i="33" l="1"/>
  <c r="A205" i="33"/>
  <c r="A206" i="33" s="1"/>
  <c r="A64" i="76"/>
  <c r="A65" i="76" s="1"/>
  <c r="A66" i="76" s="1"/>
  <c r="A67" i="76" s="1"/>
  <c r="A68" i="76" s="1"/>
  <c r="A69" i="76" s="1"/>
  <c r="A70" i="76" s="1"/>
  <c r="A71" i="76" s="1"/>
  <c r="D207" i="33" l="1"/>
  <c r="A207" i="33"/>
  <c r="A208" i="33" s="1"/>
  <c r="A19" i="67"/>
  <c r="A20" i="67" s="1"/>
  <c r="A16" i="67"/>
  <c r="A17" i="67" s="1"/>
  <c r="A11" i="67"/>
  <c r="A12" i="67" s="1"/>
  <c r="A13" i="67" s="1"/>
  <c r="A14" i="67" s="1"/>
  <c r="D209" i="33" l="1"/>
  <c r="A209" i="33"/>
  <c r="A210" i="33" s="1"/>
  <c r="B42" i="64"/>
  <c r="B41" i="64"/>
  <c r="B40" i="64"/>
  <c r="B39" i="64"/>
  <c r="B38" i="64"/>
  <c r="B37" i="64"/>
  <c r="B36" i="64"/>
  <c r="B35" i="64"/>
  <c r="B34" i="64"/>
  <c r="B33" i="64"/>
  <c r="B32" i="64"/>
  <c r="B31" i="64"/>
  <c r="B30" i="64"/>
  <c r="B29" i="64"/>
  <c r="B28" i="64"/>
  <c r="B4" i="64"/>
  <c r="B3" i="64"/>
  <c r="B27" i="64"/>
  <c r="B26" i="64"/>
  <c r="B25" i="64"/>
  <c r="B24" i="64"/>
  <c r="B23" i="64"/>
  <c r="B22" i="64"/>
  <c r="B21" i="64"/>
  <c r="B20" i="64"/>
  <c r="B19" i="64"/>
  <c r="B18" i="64"/>
  <c r="B17" i="64"/>
  <c r="B16" i="64"/>
  <c r="B15" i="64"/>
  <c r="B14" i="64"/>
  <c r="B13" i="64"/>
  <c r="B12" i="64"/>
  <c r="B11" i="64"/>
  <c r="B10" i="64"/>
  <c r="B9" i="64"/>
  <c r="B8" i="64"/>
  <c r="B7" i="64"/>
  <c r="B6" i="64"/>
  <c r="D211" i="33" l="1"/>
  <c r="A211" i="33"/>
  <c r="A212" i="33" s="1"/>
  <c r="B1" i="61"/>
  <c r="B2" i="61"/>
  <c r="B3"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50" i="61"/>
  <c r="B51" i="61"/>
  <c r="B52" i="61"/>
  <c r="B53" i="61"/>
  <c r="B54" i="61"/>
  <c r="B55" i="61"/>
  <c r="B56" i="61"/>
  <c r="B57" i="61"/>
  <c r="B58" i="61"/>
  <c r="B59" i="61"/>
  <c r="B60" i="61"/>
  <c r="B61" i="61"/>
  <c r="B62" i="61"/>
  <c r="B63" i="61"/>
  <c r="D213" i="33" l="1"/>
  <c r="A213" i="33"/>
  <c r="A87" i="79"/>
  <c r="A88" i="79" s="1"/>
  <c r="A89" i="79" s="1"/>
  <c r="A90" i="79" s="1"/>
  <c r="A91" i="79" s="1"/>
  <c r="A92" i="79" s="1"/>
  <c r="A93" i="79" s="1"/>
  <c r="A94" i="79" s="1"/>
  <c r="A95" i="79" s="1"/>
  <c r="A96" i="79" s="1"/>
  <c r="A97" i="79" s="1"/>
  <c r="A98" i="79" s="1"/>
  <c r="A99" i="79" s="1"/>
  <c r="A100" i="79" s="1"/>
  <c r="A101" i="79" s="1"/>
  <c r="A102" i="79" s="1"/>
  <c r="A103" i="79" s="1"/>
  <c r="A104" i="79" s="1"/>
  <c r="A105" i="79" s="1"/>
  <c r="A106" i="79" s="1"/>
  <c r="A107" i="79" s="1"/>
  <c r="A108" i="79" s="1"/>
  <c r="A109" i="79" s="1"/>
  <c r="A110" i="79" s="1"/>
  <c r="A111" i="79" s="1"/>
  <c r="A112" i="79" s="1"/>
  <c r="A113" i="79" s="1"/>
  <c r="A114" i="79" s="1"/>
  <c r="A115" i="79" s="1"/>
  <c r="A116" i="79" s="1"/>
  <c r="A117" i="79" s="1"/>
  <c r="B50" i="54" l="1"/>
  <c r="D80" i="54"/>
  <c r="D79" i="54"/>
  <c r="D81" i="54"/>
  <c r="D78" i="54"/>
  <c r="D77" i="54"/>
  <c r="D98" i="79"/>
  <c r="D77" i="79"/>
  <c r="D74" i="79"/>
  <c r="D82" i="79"/>
  <c r="D30" i="79"/>
  <c r="D15" i="79"/>
  <c r="D79" i="79"/>
  <c r="D70" i="79"/>
  <c r="D55" i="79"/>
  <c r="B52" i="79"/>
  <c r="D40" i="79"/>
  <c r="D81" i="79"/>
  <c r="D14" i="79"/>
  <c r="D80" i="79"/>
  <c r="D78" i="79"/>
  <c r="D75" i="79"/>
  <c r="D54" i="79"/>
  <c r="D71" i="79"/>
  <c r="D42" i="79"/>
  <c r="D35" i="79"/>
  <c r="D64" i="79"/>
  <c r="E4" i="102" l="1" a="1"/>
  <c r="E4" i="102" s="1"/>
  <c r="A87" i="54" l="1"/>
  <c r="F46" i="50"/>
  <c r="F45" i="50"/>
  <c r="F44" i="50"/>
  <c r="F43" i="50"/>
  <c r="F42" i="50"/>
  <c r="F41" i="50"/>
  <c r="F40" i="50"/>
  <c r="F39" i="50"/>
  <c r="F38" i="50"/>
  <c r="F37" i="50"/>
  <c r="F36" i="50"/>
  <c r="F35" i="50"/>
  <c r="F34" i="50"/>
  <c r="F33" i="50"/>
  <c r="F32" i="50"/>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A88" i="54" l="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l="1"/>
  <c r="A117" i="54" s="1"/>
  <c r="A118" i="54" s="1"/>
  <c r="A119" i="54" s="1"/>
  <c r="B22" i="92" l="1" a="1"/>
  <c r="B22" i="92" s="1"/>
  <c r="B20" i="92" a="1"/>
  <c r="B20" i="92" s="1"/>
  <c r="B81" i="78" a="1"/>
  <c r="B81" i="78" s="1"/>
  <c r="B31" i="78" a="1"/>
  <c r="B31" i="78" s="1"/>
  <c r="B67" i="78"/>
  <c r="B27" i="78" a="1"/>
  <c r="B27" i="78" s="1"/>
  <c r="B47" i="78"/>
  <c r="B59" i="78" a="1"/>
  <c r="B59" i="78" s="1"/>
  <c r="B68" i="78" a="1"/>
  <c r="B68" i="78" s="1"/>
  <c r="B50" i="78" a="1"/>
  <c r="B50" i="78" s="1"/>
  <c r="B51" i="78" a="1"/>
  <c r="B51" i="78" s="1"/>
  <c r="B43" i="78" a="1"/>
  <c r="B43" i="78" s="1"/>
  <c r="B35" i="78"/>
  <c r="B32" i="78"/>
  <c r="B80" i="78" a="1"/>
  <c r="B80" i="78" s="1"/>
  <c r="B26" i="78" a="1"/>
  <c r="B26" i="78" s="1"/>
  <c r="B61" i="78" a="1"/>
  <c r="B61" i="78" s="1"/>
  <c r="B24" i="78" a="1"/>
  <c r="B24" i="78" s="1"/>
  <c r="B41" i="78" a="1"/>
  <c r="B41" i="78" s="1"/>
  <c r="B63" i="78"/>
  <c r="B48" i="78"/>
  <c r="B75" i="78" a="1"/>
  <c r="B75" i="78" s="1"/>
  <c r="B15" i="78" a="1"/>
  <c r="B15" i="78" s="1"/>
  <c r="B77" i="78" a="1"/>
  <c r="B77" i="78" s="1"/>
  <c r="B38" i="78" a="1"/>
  <c r="B38" i="78" s="1"/>
  <c r="B12" i="78" a="1"/>
  <c r="B12" i="78" s="1"/>
  <c r="B22" i="78" a="1"/>
  <c r="B22" i="78" s="1"/>
  <c r="B64" i="78"/>
  <c r="B34" i="78"/>
  <c r="B17" i="78"/>
  <c r="B40" i="78" a="1"/>
  <c r="B40" i="78" s="1"/>
  <c r="B58" i="78" a="1"/>
  <c r="B58" i="78" s="1"/>
  <c r="B42" i="78" a="1"/>
  <c r="B42" i="78" s="1"/>
  <c r="B21" i="78" a="1"/>
  <c r="B21" i="78" s="1"/>
  <c r="B65" i="78"/>
  <c r="B79" i="78" a="1"/>
  <c r="B79" i="78" s="1"/>
  <c r="B57" i="78" a="1"/>
  <c r="B57" i="78" s="1"/>
  <c r="B14" i="78" a="1"/>
  <c r="B14" i="78" s="1"/>
  <c r="B56" i="78" a="1"/>
  <c r="B56" i="78" s="1"/>
  <c r="B36" i="78"/>
  <c r="B49" i="78"/>
  <c r="B11" i="78" a="1"/>
  <c r="B11" i="78" s="1"/>
  <c r="B20" i="78" a="1"/>
  <c r="B20" i="78" s="1"/>
  <c r="B39" i="78" a="1"/>
  <c r="B39" i="78" s="1"/>
  <c r="B84" i="78" a="1"/>
  <c r="B84" i="78" s="1"/>
  <c r="B55" i="78" a="1"/>
  <c r="B55" i="78" s="1"/>
  <c r="B83" i="78" a="1"/>
  <c r="B83" i="78" s="1"/>
  <c r="B66" i="78"/>
  <c r="D16" i="78"/>
  <c r="B76" i="78" a="1"/>
  <c r="B76" i="78" s="1"/>
  <c r="B54" i="78" a="1"/>
  <c r="B54" i="78" s="1"/>
  <c r="B29" i="78" a="1"/>
  <c r="B29" i="78" s="1"/>
  <c r="B85" i="78" a="1"/>
  <c r="B85" i="78" s="1"/>
  <c r="B86" i="78" a="1"/>
  <c r="B86" i="78" s="1"/>
  <c r="B69" i="78" a="1"/>
  <c r="B69" i="78" s="1"/>
  <c r="B53" i="78" a="1"/>
  <c r="B53" i="78" s="1"/>
  <c r="B19" i="78"/>
  <c r="B13" i="78" a="1"/>
  <c r="B13" i="78" s="1"/>
  <c r="B78" i="78" a="1"/>
  <c r="B78" i="78" s="1"/>
  <c r="B33" i="78"/>
  <c r="B23" i="78" a="1"/>
  <c r="B23" i="78" s="1"/>
  <c r="B25" i="78" a="1"/>
  <c r="B25" i="78" s="1"/>
  <c r="D132" i="68" a="1"/>
  <c r="D132" i="68" s="1"/>
  <c r="B60" i="78" a="1"/>
  <c r="B60" i="78" s="1"/>
  <c r="B30" i="78" a="1"/>
  <c r="B30" i="78" s="1"/>
  <c r="B28" i="78" a="1"/>
  <c r="B28" i="78" s="1"/>
  <c r="B62" i="78" a="1"/>
  <c r="B62" i="78" s="1"/>
  <c r="B52" i="78" a="1"/>
  <c r="B52" i="78" s="1"/>
  <c r="B140" i="68"/>
  <c r="B90" i="78"/>
  <c r="B6" i="78"/>
  <c r="B82" i="78" a="1"/>
  <c r="B82" i="78" s="1"/>
  <c r="B19" i="92" a="1"/>
  <c r="B19" i="92" s="1"/>
  <c r="B12" i="92" a="1"/>
  <c r="B12" i="92" s="1"/>
  <c r="B21" i="92" a="1"/>
  <c r="B21" i="92" s="1"/>
  <c r="B23" i="92" a="1"/>
  <c r="B23" i="92" s="1"/>
  <c r="B14" i="92" a="1"/>
  <c r="B14" i="92" s="1"/>
  <c r="B13" i="92" a="1"/>
  <c r="B13" i="92" s="1"/>
  <c r="B15" i="92" a="1"/>
  <c r="B15" i="92" s="1"/>
  <c r="D30" i="68" a="1"/>
  <c r="D30" i="68" s="1"/>
  <c r="B114" i="68"/>
  <c r="B113" i="68"/>
  <c r="B116" i="68"/>
  <c r="B1" i="70" a="1"/>
  <c r="B1" i="70" s="1"/>
  <c r="B118" i="68"/>
  <c r="I1" i="70"/>
  <c r="A53" i="74" s="1"/>
  <c r="A54" i="74" s="1"/>
  <c r="A55" i="74" s="1"/>
  <c r="A56" i="74" s="1"/>
  <c r="A57" i="74" s="1"/>
  <c r="A58" i="74" s="1"/>
  <c r="A59" i="74" s="1"/>
  <c r="A60" i="74" s="1"/>
  <c r="A61" i="74" s="1"/>
  <c r="A62" i="74" s="1"/>
  <c r="A63" i="74" s="1"/>
  <c r="A64" i="74" s="1"/>
  <c r="A65" i="74" s="1"/>
  <c r="A66" i="74" s="1"/>
  <c r="A67" i="74" s="1"/>
  <c r="A68" i="74" s="1"/>
  <c r="A69" i="74" s="1"/>
  <c r="A70" i="74" s="1"/>
  <c r="A71" i="74" s="1"/>
  <c r="A72" i="74" s="1"/>
  <c r="A73" i="74" s="1"/>
  <c r="A74" i="74" s="1"/>
  <c r="A75" i="74" s="1"/>
  <c r="A76" i="74" s="1"/>
  <c r="A77" i="74" s="1"/>
  <c r="A78" i="74" s="1"/>
  <c r="A79" i="74" s="1"/>
  <c r="A80" i="74" s="1"/>
  <c r="A81" i="74" s="1"/>
  <c r="A82" i="74" s="1"/>
  <c r="A83" i="74" s="1"/>
  <c r="A84" i="74" s="1"/>
  <c r="A85" i="74" s="1"/>
  <c r="A86" i="74" s="1"/>
  <c r="A87" i="74" s="1"/>
  <c r="A88" i="74" s="1"/>
  <c r="A89" i="74" s="1"/>
  <c r="A90" i="74" s="1"/>
  <c r="A91" i="74" s="1"/>
  <c r="A92" i="74" s="1"/>
  <c r="A93" i="74" s="1"/>
  <c r="A94" i="74" s="1"/>
  <c r="A95" i="74" s="1"/>
  <c r="A96" i="74" s="1"/>
  <c r="A97" i="74" s="1"/>
  <c r="A98" i="74" s="1"/>
  <c r="A99" i="74" s="1"/>
  <c r="A100" i="74" s="1"/>
  <c r="A101" i="74" s="1"/>
  <c r="A102" i="74" s="1"/>
  <c r="A103" i="74" s="1"/>
  <c r="A104" i="74" s="1"/>
  <c r="A105" i="74" s="1"/>
  <c r="A106" i="74" s="1"/>
  <c r="A107" i="74" s="1"/>
  <c r="A108" i="74" s="1"/>
  <c r="A109" i="74" s="1"/>
  <c r="A110" i="74" s="1"/>
  <c r="A111" i="74" s="1"/>
  <c r="A112" i="74" s="1"/>
  <c r="A113" i="74" s="1"/>
  <c r="A114" i="74" s="1"/>
  <c r="A115" i="74" s="1"/>
  <c r="A116" i="74" s="1"/>
  <c r="A117" i="74" s="1"/>
  <c r="B115" i="68"/>
  <c r="B122" i="68"/>
  <c r="B119" i="68" a="1"/>
  <c r="B119" i="68" s="1"/>
  <c r="B117" i="68"/>
  <c r="B112" i="68" a="1"/>
  <c r="B112" i="68" s="1"/>
  <c r="B132" i="68"/>
  <c r="B131" i="68"/>
  <c r="B125" i="68"/>
  <c r="C17" i="91" a="1"/>
  <c r="C17" i="91" s="1"/>
  <c r="C12" i="91" a="1"/>
  <c r="C12" i="91" s="1"/>
  <c r="B25" i="91" a="1"/>
  <c r="B25" i="91" s="1"/>
  <c r="B17" i="91" a="1"/>
  <c r="B17" i="91" s="1"/>
  <c r="B16" i="91" a="1"/>
  <c r="B16" i="91" s="1"/>
  <c r="B6" i="92"/>
  <c r="C25" i="91" a="1"/>
  <c r="C25" i="91" s="1"/>
  <c r="C23" i="91" a="1"/>
  <c r="C23" i="91" s="1"/>
  <c r="B6" i="91"/>
  <c r="C16" i="91" a="1"/>
  <c r="C16" i="91" s="1"/>
  <c r="B35" i="91" a="1"/>
  <c r="B35" i="91" s="1"/>
  <c r="B19" i="91" a="1"/>
  <c r="B19" i="91" s="1"/>
  <c r="B34" i="91" a="1"/>
  <c r="B34" i="91" s="1"/>
  <c r="B14" i="91" a="1"/>
  <c r="B14" i="91" s="1"/>
  <c r="B37" i="91"/>
  <c r="B26" i="91" a="1"/>
  <c r="B26" i="91" s="1"/>
  <c r="C26" i="91" a="1"/>
  <c r="C26" i="91" s="1"/>
  <c r="C22" i="91" a="1"/>
  <c r="C22" i="91" s="1"/>
  <c r="B29" i="91" a="1"/>
  <c r="B29" i="91" s="1"/>
  <c r="B21" i="91" a="1"/>
  <c r="B21" i="91" s="1"/>
  <c r="B4" i="93" a="1"/>
  <c r="B4" i="93" s="1"/>
  <c r="B33" i="91" a="1"/>
  <c r="B33" i="91" s="1"/>
  <c r="B15" i="91" a="1"/>
  <c r="B15" i="91" s="1"/>
  <c r="C24" i="91" a="1"/>
  <c r="C24" i="91" s="1"/>
  <c r="B30" i="91" a="1"/>
  <c r="B30" i="91" s="1"/>
  <c r="B22" i="91" a="1"/>
  <c r="B22" i="91" s="1"/>
  <c r="C11" i="91" a="1"/>
  <c r="C11" i="91" s="1"/>
  <c r="B31" i="92"/>
  <c r="B23" i="91" a="1"/>
  <c r="B23" i="91" s="1"/>
  <c r="B11" i="91" a="1"/>
  <c r="B11" i="91" s="1"/>
  <c r="B32" i="91" a="1"/>
  <c r="B32" i="91" s="1"/>
  <c r="C14" i="91" a="1"/>
  <c r="C14" i="91" s="1"/>
  <c r="C21" i="91" a="1"/>
  <c r="C21" i="91" s="1"/>
  <c r="C18" i="91" a="1"/>
  <c r="C18" i="91" s="1"/>
  <c r="B12" i="91" a="1"/>
  <c r="B12" i="91" s="1"/>
  <c r="C13" i="91" a="1"/>
  <c r="C13" i="91" s="1"/>
  <c r="B126" i="68"/>
  <c r="B31" i="91" a="1"/>
  <c r="B31" i="91" s="1"/>
  <c r="C15" i="91" a="1"/>
  <c r="C15" i="91" s="1"/>
  <c r="B13" i="91" a="1"/>
  <c r="B13" i="91" s="1"/>
  <c r="B18" i="91" a="1"/>
  <c r="B18" i="91" s="1"/>
  <c r="B24" i="91" a="1"/>
  <c r="B24" i="91" s="1"/>
  <c r="B7" i="93" a="1"/>
  <c r="B7" i="93" s="1"/>
  <c r="D16" i="68" a="1"/>
  <c r="D16" i="68" s="1"/>
  <c r="B22" i="68" a="1"/>
  <c r="B22" i="68" s="1"/>
  <c r="D131" i="68" a="1"/>
  <c r="D131" i="68" s="1"/>
  <c r="B28" i="68" a="1"/>
  <c r="B28" i="68" s="1"/>
  <c r="B32" i="89"/>
  <c r="B49" i="90"/>
  <c r="B26" i="90"/>
  <c r="B15" i="90"/>
  <c r="B20" i="90"/>
  <c r="B48" i="90"/>
  <c r="B19" i="90"/>
  <c r="B16" i="90"/>
  <c r="B51" i="90"/>
  <c r="B39" i="90"/>
  <c r="B52" i="90"/>
  <c r="B17" i="90"/>
  <c r="B47" i="90"/>
  <c r="B37" i="90"/>
  <c r="B9" i="90"/>
  <c r="B23" i="90"/>
  <c r="B18" i="90"/>
  <c r="B22" i="90"/>
  <c r="B35" i="90"/>
  <c r="B38" i="90"/>
  <c r="B21" i="90"/>
  <c r="B29" i="90"/>
  <c r="B11" i="90"/>
  <c r="B28" i="90"/>
  <c r="B46" i="90"/>
  <c r="B40" i="90"/>
  <c r="B30" i="90"/>
  <c r="B27" i="90"/>
  <c r="B43" i="90"/>
  <c r="B42" i="90"/>
  <c r="B41" i="90"/>
  <c r="B53" i="90"/>
  <c r="B54" i="90"/>
  <c r="B25" i="90"/>
  <c r="B44" i="90"/>
  <c r="B50" i="90"/>
  <c r="B45" i="90"/>
  <c r="B24" i="90"/>
  <c r="E5" i="44"/>
  <c r="B77" i="89"/>
  <c r="B37" i="89"/>
  <c r="B78" i="89"/>
  <c r="B62" i="67"/>
  <c r="B61" i="67"/>
  <c r="B75" i="89"/>
  <c r="B73" i="89"/>
  <c r="B68" i="89"/>
  <c r="B61" i="89"/>
  <c r="B41" i="89"/>
  <c r="B74" i="89"/>
  <c r="B71" i="89"/>
  <c r="B39" i="89"/>
  <c r="B62" i="89"/>
  <c r="B63" i="89"/>
  <c r="B72" i="89"/>
  <c r="B40" i="89"/>
  <c r="B64" i="89"/>
  <c r="B67" i="89"/>
  <c r="B42" i="89"/>
  <c r="B76" i="89"/>
  <c r="B38" i="89"/>
  <c r="B66" i="89"/>
  <c r="B43" i="89"/>
  <c r="B65" i="89"/>
  <c r="A6" i="40" a="1"/>
  <c r="A6" i="40" s="1"/>
  <c r="A7" i="40" s="1"/>
  <c r="A8" i="40" s="1"/>
  <c r="A9" i="40" s="1"/>
  <c r="A10" i="40" s="1"/>
  <c r="A11" i="40" s="1"/>
  <c r="A12" i="40" s="1"/>
  <c r="D177" i="41"/>
  <c r="D7" i="41"/>
  <c r="B177" i="41"/>
  <c r="C18" i="41" a="1"/>
  <c r="C18" i="41" s="1"/>
  <c r="D9" i="41"/>
  <c r="D182" i="41"/>
  <c r="B9" i="41"/>
  <c r="C177" i="41" a="1"/>
  <c r="C177" i="41" s="1"/>
  <c r="D177" i="40"/>
  <c r="B9" i="40"/>
  <c r="B18" i="41"/>
  <c r="D7" i="40"/>
  <c r="C9" i="41" a="1"/>
  <c r="C9" i="41" s="1"/>
  <c r="C177" i="40" a="1"/>
  <c r="C177" i="40" s="1"/>
  <c r="B177" i="40"/>
  <c r="C18" i="40" a="1"/>
  <c r="C18" i="40" s="1"/>
  <c r="B18" i="40"/>
  <c r="D182" i="40"/>
  <c r="C9" i="40" a="1"/>
  <c r="C9" i="40" s="1"/>
  <c r="D182" i="39"/>
  <c r="C9" i="39" a="1"/>
  <c r="C9" i="39" s="1"/>
  <c r="C177" i="38" a="1"/>
  <c r="C177" i="38" s="1"/>
  <c r="D177" i="39"/>
  <c r="B9" i="39"/>
  <c r="B177" i="38"/>
  <c r="C177" i="39" a="1"/>
  <c r="C177" i="39" s="1"/>
  <c r="D7" i="39"/>
  <c r="D177" i="38"/>
  <c r="D182" i="38"/>
  <c r="C9" i="38" a="1"/>
  <c r="C9" i="38" s="1"/>
  <c r="B177" i="39"/>
  <c r="C18" i="38" a="1"/>
  <c r="C18" i="38" s="1"/>
  <c r="D9" i="40"/>
  <c r="B18" i="39"/>
  <c r="C18" i="39" a="1"/>
  <c r="C18" i="39" s="1"/>
  <c r="B18" i="38"/>
  <c r="D9" i="39"/>
  <c r="B9" i="38"/>
  <c r="D7" i="38"/>
  <c r="D9" i="38"/>
  <c r="B7" i="89"/>
  <c r="B52" i="89"/>
  <c r="O2" i="88"/>
  <c r="B28" i="89"/>
  <c r="B95" i="89"/>
  <c r="B36" i="89"/>
  <c r="B60" i="89"/>
  <c r="B82" i="89"/>
  <c r="B59" i="89"/>
  <c r="B50" i="89"/>
  <c r="B30" i="89"/>
  <c r="B49" i="89"/>
  <c r="B89" i="89"/>
  <c r="B48" i="89"/>
  <c r="B35" i="89"/>
  <c r="B58" i="89"/>
  <c r="B69" i="89"/>
  <c r="B51" i="89"/>
  <c r="B53" i="89"/>
  <c r="B57" i="89"/>
  <c r="B56" i="89"/>
  <c r="B85" i="89"/>
  <c r="B87" i="89"/>
  <c r="B25" i="89"/>
  <c r="B90" i="89"/>
  <c r="B94" i="89"/>
  <c r="B55" i="89"/>
  <c r="B27" i="89"/>
  <c r="B54" i="89"/>
  <c r="B80" i="89"/>
  <c r="B47" i="89"/>
  <c r="B86" i="89"/>
  <c r="B83" i="89"/>
  <c r="B81" i="89"/>
  <c r="B84" i="89"/>
  <c r="B88" i="89"/>
  <c r="B33" i="89"/>
  <c r="B46" i="89"/>
  <c r="B79" i="89"/>
  <c r="B96" i="89"/>
  <c r="B34" i="89"/>
  <c r="P2" i="88"/>
  <c r="B93" i="89"/>
  <c r="B91" i="89"/>
  <c r="B24" i="89"/>
  <c r="B44" i="89"/>
  <c r="B92" i="89"/>
  <c r="B26" i="89"/>
  <c r="B13" i="89"/>
  <c r="B103" i="89"/>
  <c r="D104" i="89" a="1"/>
  <c r="D104" i="89" s="1"/>
  <c r="B23" i="89"/>
  <c r="D12" i="89" a="1"/>
  <c r="D12" i="89" s="1"/>
  <c r="D101" i="89"/>
  <c r="D18" i="89"/>
  <c r="B22" i="89"/>
  <c r="B9" i="23"/>
  <c r="B15" i="22"/>
  <c r="D291" i="24"/>
  <c r="D7" i="24"/>
  <c r="B250" i="24"/>
  <c r="D7" i="23"/>
  <c r="D9" i="22"/>
  <c r="D291" i="23"/>
  <c r="C9" i="22"/>
  <c r="C15" i="24"/>
  <c r="B250" i="23"/>
  <c r="B9" i="22"/>
  <c r="B15" i="24"/>
  <c r="C15" i="23"/>
  <c r="D7" i="22"/>
  <c r="D9" i="24"/>
  <c r="B15" i="23"/>
  <c r="C9" i="24"/>
  <c r="D291" i="22"/>
  <c r="D9" i="23"/>
  <c r="B250" i="22"/>
  <c r="B9" i="24"/>
  <c r="C9" i="23"/>
  <c r="C15" i="22"/>
  <c r="D9" i="25"/>
  <c r="C9" i="25"/>
  <c r="B9" i="25"/>
  <c r="B15" i="25"/>
  <c r="D7" i="25"/>
  <c r="D291" i="25"/>
  <c r="B250" i="25"/>
  <c r="C15" i="25"/>
  <c r="E4" i="44"/>
  <c r="H1" i="70"/>
  <c r="F1" i="70"/>
  <c r="D1" i="70"/>
  <c r="P28" i="70" a="1"/>
  <c r="P28" i="70" s="1"/>
  <c r="M8" i="45"/>
  <c r="N8" i="44" s="1"/>
  <c r="B13" i="84"/>
  <c r="B42" i="84"/>
  <c r="B77" i="84"/>
  <c r="B70" i="84"/>
  <c r="B109" i="84"/>
  <c r="B78" i="84"/>
  <c r="B94" i="84"/>
  <c r="B101" i="84"/>
  <c r="B68" i="84"/>
  <c r="B72" i="84"/>
  <c r="B108" i="84"/>
  <c r="B14" i="84"/>
  <c r="B76" i="84"/>
  <c r="B110" i="84"/>
  <c r="B95" i="84"/>
  <c r="B69" i="84"/>
  <c r="B15" i="84"/>
  <c r="B64" i="84"/>
  <c r="B63" i="84"/>
  <c r="B66" i="84"/>
  <c r="B89" i="84"/>
  <c r="B93" i="84"/>
  <c r="B40" i="84"/>
  <c r="B92" i="84"/>
  <c r="B18" i="84"/>
  <c r="B98" i="84"/>
  <c r="B97" i="84"/>
  <c r="B65" i="84"/>
  <c r="B91" i="84"/>
  <c r="B87" i="84"/>
  <c r="B86" i="84"/>
  <c r="B90" i="84"/>
  <c r="B60" i="84"/>
  <c r="B58" i="84"/>
  <c r="B88" i="84"/>
  <c r="B96" i="84"/>
  <c r="B62" i="84"/>
  <c r="D214" i="33"/>
  <c r="D7" i="33"/>
  <c r="E7" i="44"/>
  <c r="E20" i="44"/>
  <c r="E14" i="44"/>
  <c r="E28" i="44"/>
  <c r="E6" i="44"/>
  <c r="N8" i="45"/>
  <c r="B108" i="80"/>
  <c r="B99" i="80"/>
  <c r="B92" i="80"/>
  <c r="B106" i="80"/>
  <c r="B91" i="80"/>
  <c r="B97" i="80"/>
  <c r="B93" i="80"/>
  <c r="B89" i="80"/>
  <c r="B98" i="80"/>
  <c r="B96" i="80"/>
  <c r="B107" i="80"/>
  <c r="B103" i="80"/>
  <c r="B94" i="80"/>
  <c r="B102" i="80"/>
  <c r="B90" i="80"/>
  <c r="B105" i="80"/>
  <c r="B100" i="80"/>
  <c r="B101" i="80"/>
  <c r="B95" i="80"/>
  <c r="B104" i="80"/>
  <c r="B99" i="77"/>
  <c r="B51" i="54"/>
  <c r="B39" i="54"/>
  <c r="C78" i="54"/>
  <c r="B78" i="54"/>
  <c r="B80" i="54"/>
  <c r="C85" i="77"/>
  <c r="C83" i="77"/>
  <c r="C90" i="77"/>
  <c r="C38" i="77"/>
  <c r="C116" i="77"/>
  <c r="C57" i="77"/>
  <c r="B87" i="77"/>
  <c r="C80" i="77"/>
  <c r="B47" i="77"/>
  <c r="C44" i="77"/>
  <c r="B13" i="77"/>
  <c r="B21" i="77"/>
  <c r="B29" i="77"/>
  <c r="C118" i="77"/>
  <c r="B114" i="77"/>
  <c r="C23" i="77"/>
  <c r="C73" i="77"/>
  <c r="C107" i="77"/>
  <c r="B105" i="77"/>
  <c r="C25" i="77"/>
  <c r="C66" i="77"/>
  <c r="C108" i="77"/>
  <c r="B74" i="79"/>
  <c r="C106" i="79"/>
  <c r="C25" i="79"/>
  <c r="C30" i="79"/>
  <c r="B94" i="79"/>
  <c r="C56" i="79"/>
  <c r="B33" i="79"/>
  <c r="C79" i="79"/>
  <c r="C95" i="79"/>
  <c r="C96" i="79"/>
  <c r="C13" i="79"/>
  <c r="C31" i="79"/>
  <c r="C47" i="79"/>
  <c r="B14" i="79"/>
  <c r="C16" i="79"/>
  <c r="B38" i="79"/>
  <c r="B41" i="79"/>
  <c r="C63" i="79"/>
  <c r="C110" i="79"/>
  <c r="C75" i="79"/>
  <c r="B89" i="79"/>
  <c r="C21" i="77"/>
  <c r="B28" i="77"/>
  <c r="B76" i="79"/>
  <c r="B34" i="79"/>
  <c r="B99" i="79"/>
  <c r="C14" i="79"/>
  <c r="B104" i="77"/>
  <c r="C13" i="54"/>
  <c r="B71" i="54"/>
  <c r="C40" i="54"/>
  <c r="C77" i="54"/>
  <c r="B82" i="77"/>
  <c r="C15" i="77"/>
  <c r="B85" i="77"/>
  <c r="C68" i="77"/>
  <c r="B90" i="77"/>
  <c r="C61" i="77"/>
  <c r="B81" i="77"/>
  <c r="B43" i="77"/>
  <c r="B68" i="77"/>
  <c r="B44" i="77"/>
  <c r="C48" i="77"/>
  <c r="B74" i="77"/>
  <c r="C109" i="77"/>
  <c r="C16" i="77"/>
  <c r="C62" i="77"/>
  <c r="B107" i="77"/>
  <c r="C67" i="77"/>
  <c r="B106" i="77"/>
  <c r="C103" i="77"/>
  <c r="B65" i="77"/>
  <c r="B119" i="77"/>
  <c r="C104" i="77"/>
  <c r="C79" i="54"/>
  <c r="B79" i="54"/>
  <c r="B41" i="54"/>
  <c r="C15" i="54"/>
  <c r="C71" i="54"/>
  <c r="B77" i="54"/>
  <c r="C74" i="54"/>
  <c r="B79" i="77"/>
  <c r="B40" i="77"/>
  <c r="C60" i="77"/>
  <c r="C87" i="77"/>
  <c r="C115" i="77"/>
  <c r="B15" i="77"/>
  <c r="C47" i="77"/>
  <c r="B46" i="77"/>
  <c r="C18" i="77"/>
  <c r="B33" i="77"/>
  <c r="C105" i="77"/>
  <c r="B24" i="77"/>
  <c r="B22" i="77"/>
  <c r="B16" i="77"/>
  <c r="C111" i="77"/>
  <c r="B118" i="77"/>
  <c r="C32" i="77"/>
  <c r="B110" i="77"/>
  <c r="B63" i="77"/>
  <c r="C28" i="77"/>
  <c r="B40" i="79"/>
  <c r="C70" i="79"/>
  <c r="B32" i="79"/>
  <c r="C45" i="79"/>
  <c r="C18" i="79"/>
  <c r="C35" i="79"/>
  <c r="B56" i="79"/>
  <c r="C65" i="79"/>
  <c r="B46" i="79"/>
  <c r="B59" i="79"/>
  <c r="B21" i="79"/>
  <c r="B31" i="79"/>
  <c r="B26" i="79"/>
  <c r="C82" i="79"/>
  <c r="C27" i="79"/>
  <c r="B22" i="79"/>
  <c r="C59" i="79"/>
  <c r="C78" i="79"/>
  <c r="B30" i="79"/>
  <c r="C107" i="79"/>
  <c r="B20" i="79"/>
  <c r="C101" i="79"/>
  <c r="B57" i="79"/>
  <c r="B93" i="79"/>
  <c r="B44" i="79"/>
  <c r="B97" i="79"/>
  <c r="B78" i="79"/>
  <c r="B42" i="79"/>
  <c r="B101" i="77"/>
  <c r="C42" i="54"/>
  <c r="C76" i="54"/>
  <c r="C81" i="54"/>
  <c r="B44" i="54"/>
  <c r="B40" i="54"/>
  <c r="B43" i="54"/>
  <c r="B49" i="77"/>
  <c r="B80" i="77"/>
  <c r="C36" i="77"/>
  <c r="B86" i="77"/>
  <c r="B84" i="77"/>
  <c r="B59" i="77"/>
  <c r="C56" i="77"/>
  <c r="B48" i="77"/>
  <c r="B45" i="77"/>
  <c r="C119" i="77"/>
  <c r="C110" i="77"/>
  <c r="B67" i="77"/>
  <c r="B25" i="77"/>
  <c r="C102" i="77"/>
  <c r="C71" i="77"/>
  <c r="C33" i="77"/>
  <c r="C29" i="77"/>
  <c r="B108" i="77"/>
  <c r="B73" i="77"/>
  <c r="C106" i="54"/>
  <c r="B84" i="79"/>
  <c r="C54" i="79"/>
  <c r="C22" i="79"/>
  <c r="B91" i="79"/>
  <c r="B107" i="79"/>
  <c r="C97" i="79"/>
  <c r="C38" i="79"/>
  <c r="B98" i="79"/>
  <c r="C17" i="79"/>
  <c r="B45" i="79"/>
  <c r="C53" i="79"/>
  <c r="C99" i="79"/>
  <c r="C90" i="79"/>
  <c r="C26" i="79"/>
  <c r="B111" i="79"/>
  <c r="C67" i="79"/>
  <c r="C100" i="77"/>
  <c r="C72" i="54"/>
  <c r="B76" i="54"/>
  <c r="C37" i="54"/>
  <c r="C41" i="54"/>
  <c r="C80" i="54"/>
  <c r="B14" i="54"/>
  <c r="B14" i="77"/>
  <c r="B56" i="77"/>
  <c r="C58" i="77"/>
  <c r="C39" i="77"/>
  <c r="C81" i="77"/>
  <c r="B61" i="77"/>
  <c r="B115" i="77"/>
  <c r="B60" i="77"/>
  <c r="C34" i="77"/>
  <c r="C27" i="77"/>
  <c r="C63" i="77"/>
  <c r="B18" i="77"/>
  <c r="C70" i="77"/>
  <c r="C69" i="77"/>
  <c r="C72" i="77"/>
  <c r="B64" i="77"/>
  <c r="B20" i="77"/>
  <c r="B32" i="77"/>
  <c r="C31" i="77"/>
  <c r="B49" i="79"/>
  <c r="B54" i="79"/>
  <c r="C102" i="79"/>
  <c r="C80" i="79"/>
  <c r="C60" i="79"/>
  <c r="C36" i="79"/>
  <c r="B82" i="79"/>
  <c r="B23" i="79"/>
  <c r="C91" i="79"/>
  <c r="B96" i="79"/>
  <c r="C89" i="79"/>
  <c r="C77" i="79"/>
  <c r="B27" i="79"/>
  <c r="B58" i="79"/>
  <c r="C73" i="79"/>
  <c r="C23" i="79"/>
  <c r="B36" i="79"/>
  <c r="C68" i="79"/>
  <c r="C71" i="79"/>
  <c r="C62" i="79"/>
  <c r="B47" i="79"/>
  <c r="B109" i="79"/>
  <c r="B61" i="79"/>
  <c r="B28" i="79"/>
  <c r="B24" i="79"/>
  <c r="B77" i="79"/>
  <c r="B100" i="77"/>
  <c r="C52" i="54"/>
  <c r="C53" i="54"/>
  <c r="B72" i="54"/>
  <c r="B74" i="54"/>
  <c r="C38" i="54"/>
  <c r="B52" i="54"/>
  <c r="C82" i="77"/>
  <c r="B57" i="77"/>
  <c r="B42" i="77"/>
  <c r="C13" i="77"/>
  <c r="C88" i="77"/>
  <c r="B38" i="77"/>
  <c r="B89" i="77"/>
  <c r="C42" i="77"/>
  <c r="C45" i="77"/>
  <c r="B27" i="77"/>
  <c r="C54" i="77"/>
  <c r="C65" i="77"/>
  <c r="C26" i="77"/>
  <c r="B70" i="77"/>
  <c r="B54" i="77"/>
  <c r="B17" i="77"/>
  <c r="C20" i="77"/>
  <c r="B91" i="77"/>
  <c r="B66" i="77"/>
  <c r="C64" i="77"/>
  <c r="B111" i="77"/>
  <c r="B69" i="77"/>
  <c r="B13" i="79"/>
  <c r="C64" i="79"/>
  <c r="B51" i="79"/>
  <c r="C41" i="79"/>
  <c r="B19" i="79"/>
  <c r="B108" i="79"/>
  <c r="B55" i="79"/>
  <c r="B63" i="79"/>
  <c r="B25" i="79"/>
  <c r="B35" i="79"/>
  <c r="C29" i="79"/>
  <c r="C76" i="79"/>
  <c r="B90" i="79"/>
  <c r="C42" i="79"/>
  <c r="B67" i="79"/>
  <c r="B29" i="79"/>
  <c r="B18" i="79"/>
  <c r="C92" i="79"/>
  <c r="C101" i="77"/>
  <c r="B38" i="54"/>
  <c r="B42" i="54"/>
  <c r="B53" i="54"/>
  <c r="B37" i="54"/>
  <c r="C43" i="54"/>
  <c r="C117" i="77"/>
  <c r="C14" i="77"/>
  <c r="C49" i="77"/>
  <c r="C59" i="77"/>
  <c r="C40" i="77"/>
  <c r="C86" i="77"/>
  <c r="C79" i="77"/>
  <c r="C46" i="77"/>
  <c r="B93" i="77"/>
  <c r="B30" i="77"/>
  <c r="C30" i="77"/>
  <c r="C106" i="77"/>
  <c r="B19" i="77"/>
  <c r="C91" i="77"/>
  <c r="B103" i="77"/>
  <c r="C114" i="77"/>
  <c r="B31" i="77"/>
  <c r="B72" i="77"/>
  <c r="C22" i="77"/>
  <c r="B62" i="77"/>
  <c r="B23" i="77"/>
  <c r="B16" i="79"/>
  <c r="C20" i="79"/>
  <c r="C15" i="79"/>
  <c r="B60" i="79"/>
  <c r="C69" i="79"/>
  <c r="C81" i="79"/>
  <c r="C88" i="79"/>
  <c r="C24" i="79"/>
  <c r="C98" i="79"/>
  <c r="B102" i="79"/>
  <c r="B75" i="79"/>
  <c r="B106" i="79"/>
  <c r="B69" i="79"/>
  <c r="C40" i="79"/>
  <c r="B100" i="79"/>
  <c r="B65" i="79"/>
  <c r="C57" i="79"/>
  <c r="B71" i="79"/>
  <c r="C94" i="79"/>
  <c r="C46" i="79"/>
  <c r="C108" i="79"/>
  <c r="B15" i="54"/>
  <c r="B117" i="77"/>
  <c r="B39" i="77"/>
  <c r="B116" i="77"/>
  <c r="B83" i="77"/>
  <c r="C99" i="77"/>
  <c r="C51" i="54"/>
  <c r="C39" i="54"/>
  <c r="C44" i="54"/>
  <c r="B81" i="54"/>
  <c r="C14" i="54"/>
  <c r="B88" i="77"/>
  <c r="C41" i="77"/>
  <c r="B41" i="77"/>
  <c r="B36" i="77"/>
  <c r="C89" i="77"/>
  <c r="B58" i="77"/>
  <c r="B34" i="77"/>
  <c r="B106" i="54"/>
  <c r="C44" i="79"/>
  <c r="B101" i="79"/>
  <c r="B62" i="79"/>
  <c r="B81" i="79"/>
  <c r="C19" i="79"/>
  <c r="B17" i="79"/>
  <c r="B51" i="77"/>
  <c r="B64" i="79"/>
  <c r="C109" i="79"/>
  <c r="B72" i="79"/>
  <c r="B88" i="79"/>
  <c r="B95" i="79"/>
  <c r="C61" i="79"/>
  <c r="B71" i="77"/>
  <c r="B102" i="77"/>
  <c r="C72" i="79"/>
  <c r="B92" i="79"/>
  <c r="C43" i="79"/>
  <c r="C33" i="79"/>
  <c r="C32" i="79"/>
  <c r="C74" i="77"/>
  <c r="C19" i="77"/>
  <c r="B73" i="79"/>
  <c r="C105" i="79"/>
  <c r="C93" i="79"/>
  <c r="B66" i="79"/>
  <c r="B53" i="79"/>
  <c r="B26" i="77"/>
  <c r="C100" i="79"/>
  <c r="B80" i="79"/>
  <c r="C51" i="79"/>
  <c r="B110" i="79"/>
  <c r="B79" i="79"/>
  <c r="C17" i="77"/>
  <c r="C66" i="79"/>
  <c r="B15" i="79"/>
  <c r="B70" i="79"/>
  <c r="B43" i="79"/>
  <c r="B68" i="79"/>
  <c r="C58" i="79"/>
  <c r="C24" i="77"/>
  <c r="C21" i="79"/>
  <c r="C34" i="79"/>
  <c r="B109" i="77"/>
  <c r="C28" i="79"/>
  <c r="C111" i="79"/>
  <c r="C74" i="79"/>
  <c r="C55" i="79"/>
  <c r="B105" i="79"/>
  <c r="B6" i="77"/>
  <c r="D116" i="79"/>
  <c r="B114" i="79"/>
  <c r="D9" i="79"/>
  <c r="B6" i="79"/>
  <c r="B122" i="77"/>
  <c r="B16" i="76"/>
  <c r="B29" i="76"/>
  <c r="B46" i="76"/>
  <c r="B28" i="76"/>
  <c r="B40" i="76"/>
  <c r="B35" i="76"/>
  <c r="B56" i="76"/>
  <c r="B48" i="76"/>
  <c r="B65" i="76"/>
  <c r="B52" i="76"/>
  <c r="B66" i="76"/>
  <c r="B67" i="76"/>
  <c r="B27" i="76"/>
  <c r="B26" i="76"/>
  <c r="B22" i="76"/>
  <c r="B24" i="76"/>
  <c r="B17" i="76"/>
  <c r="B25" i="76"/>
  <c r="B38" i="76"/>
  <c r="B11" i="76"/>
  <c r="B37" i="76"/>
  <c r="B41" i="76"/>
  <c r="B36" i="76"/>
  <c r="B23" i="76"/>
  <c r="B64" i="76"/>
  <c r="B39" i="76"/>
  <c r="B19" i="76"/>
  <c r="B47" i="76"/>
  <c r="B30" i="76"/>
  <c r="B42" i="76"/>
  <c r="B51" i="76"/>
  <c r="B45" i="76"/>
  <c r="B54" i="76"/>
  <c r="B50" i="76"/>
  <c r="B57" i="76"/>
  <c r="B49" i="76"/>
  <c r="B18" i="76"/>
  <c r="B55" i="76"/>
  <c r="B32" i="76"/>
  <c r="B21" i="76"/>
  <c r="B31" i="76"/>
  <c r="B58" i="76"/>
  <c r="B63" i="76"/>
  <c r="B20" i="76"/>
  <c r="B53" i="76"/>
  <c r="B43" i="74"/>
  <c r="C61" i="70"/>
  <c r="C15" i="70"/>
  <c r="E62" i="70"/>
  <c r="B64" i="74"/>
  <c r="B26" i="74"/>
  <c r="B95" i="74"/>
  <c r="B33" i="74"/>
  <c r="E16" i="70"/>
  <c r="B70" i="74"/>
  <c r="B50" i="74"/>
  <c r="E43" i="70"/>
  <c r="E48" i="70"/>
  <c r="E32" i="70"/>
  <c r="B36" i="74"/>
  <c r="E29" i="70"/>
  <c r="C33" i="70"/>
  <c r="E49" i="70"/>
  <c r="C64" i="70"/>
  <c r="B58" i="74"/>
  <c r="C66" i="70"/>
  <c r="C20" i="70"/>
  <c r="E3" i="70"/>
  <c r="C54" i="70"/>
  <c r="B72" i="74"/>
  <c r="C12" i="70"/>
  <c r="B102" i="74"/>
  <c r="C56" i="70"/>
  <c r="E7" i="70"/>
  <c r="B41" i="74"/>
  <c r="B69" i="74"/>
  <c r="E53" i="70"/>
  <c r="G53" i="70"/>
  <c r="B48" i="74"/>
  <c r="E71" i="70"/>
  <c r="B96" i="74"/>
  <c r="E24" i="70"/>
  <c r="C32" i="70"/>
  <c r="E10" i="70"/>
  <c r="B73" i="74"/>
  <c r="C5" i="70"/>
  <c r="G56" i="70"/>
  <c r="C18" i="70"/>
  <c r="B24" i="74"/>
  <c r="B87" i="74"/>
  <c r="E55" i="70"/>
  <c r="B37" i="74"/>
  <c r="E66" i="70"/>
  <c r="E19" i="70"/>
  <c r="B56" i="74"/>
  <c r="B66" i="74"/>
  <c r="E70" i="70"/>
  <c r="E14" i="70"/>
  <c r="B63" i="74"/>
  <c r="B100" i="74"/>
  <c r="E69" i="70"/>
  <c r="B59" i="74"/>
  <c r="E4" i="70"/>
  <c r="C34" i="70"/>
  <c r="E36" i="70"/>
  <c r="E38" i="70"/>
  <c r="E26" i="70"/>
  <c r="G47" i="70"/>
  <c r="C62" i="70"/>
  <c r="G51" i="70"/>
  <c r="B88" i="74"/>
  <c r="C22" i="70"/>
  <c r="B53" i="74"/>
  <c r="E59" i="70"/>
  <c r="B45" i="74"/>
  <c r="B89" i="74"/>
  <c r="C9" i="70"/>
  <c r="B60" i="74"/>
  <c r="E5" i="70"/>
  <c r="B94" i="74"/>
  <c r="B71" i="74"/>
  <c r="B32" i="74"/>
  <c r="C3" i="70"/>
  <c r="B85" i="74"/>
  <c r="B78" i="74"/>
  <c r="B31" i="74"/>
  <c r="E20" i="70"/>
  <c r="B74" i="74"/>
  <c r="E18" i="70"/>
  <c r="B93" i="74"/>
  <c r="B30" i="74"/>
  <c r="E37" i="70"/>
  <c r="C47" i="70"/>
  <c r="E46" i="70"/>
  <c r="C30" i="70"/>
  <c r="G49" i="70"/>
  <c r="E27" i="70"/>
  <c r="C38" i="70"/>
  <c r="E12" i="70"/>
  <c r="B6" i="74"/>
  <c r="B35" i="74"/>
  <c r="E56" i="70"/>
  <c r="B38" i="74"/>
  <c r="B83" i="74"/>
  <c r="B29" i="74"/>
  <c r="B62" i="74"/>
  <c r="B44" i="74"/>
  <c r="B90" i="74"/>
  <c r="B51" i="74"/>
  <c r="C41" i="70"/>
  <c r="G48" i="70"/>
  <c r="E47" i="70"/>
  <c r="C46" i="70"/>
  <c r="B25" i="74"/>
  <c r="E44" i="70"/>
  <c r="C37" i="70"/>
  <c r="E25" i="70"/>
  <c r="E61" i="70"/>
  <c r="C71" i="70"/>
  <c r="B68" i="74"/>
  <c r="C16" i="70"/>
  <c r="G52" i="70"/>
  <c r="B86" i="74"/>
  <c r="E21" i="70"/>
  <c r="C58" i="70"/>
  <c r="G55" i="70"/>
  <c r="C31" i="70"/>
  <c r="E33" i="70"/>
  <c r="E28" i="70"/>
  <c r="C63" i="70"/>
  <c r="C25" i="70"/>
  <c r="E39" i="70"/>
  <c r="C48" i="70"/>
  <c r="C35" i="70"/>
  <c r="C53" i="70"/>
  <c r="E65" i="70"/>
  <c r="B39" i="74"/>
  <c r="C7" i="70"/>
  <c r="B80" i="74"/>
  <c r="C21" i="70"/>
  <c r="B92" i="74"/>
  <c r="E58" i="70"/>
  <c r="B99" i="74"/>
  <c r="E63" i="70"/>
  <c r="B52" i="74"/>
  <c r="C19" i="70"/>
  <c r="E67" i="70"/>
  <c r="B67" i="74"/>
  <c r="C69" i="70"/>
  <c r="E22" i="70"/>
  <c r="C65" i="70"/>
  <c r="B97" i="74"/>
  <c r="C27" i="70"/>
  <c r="G46" i="70"/>
  <c r="C67" i="70"/>
  <c r="B61" i="74"/>
  <c r="B54" i="74"/>
  <c r="E52" i="70"/>
  <c r="B46" i="74"/>
  <c r="C72" i="70"/>
  <c r="B27" i="74"/>
  <c r="E64" i="70"/>
  <c r="B34" i="74"/>
  <c r="C11" i="70"/>
  <c r="B75" i="74"/>
  <c r="B65" i="74"/>
  <c r="E6" i="70"/>
  <c r="B82" i="74"/>
  <c r="B28" i="74"/>
  <c r="C60" i="70"/>
  <c r="E9" i="70"/>
  <c r="B40" i="74"/>
  <c r="E11" i="70"/>
  <c r="C44" i="70"/>
  <c r="C28" i="70"/>
  <c r="E34" i="70"/>
  <c r="E40" i="70"/>
  <c r="C6" i="70"/>
  <c r="B84" i="74"/>
  <c r="C68" i="70"/>
  <c r="B79" i="74"/>
  <c r="C4" i="70"/>
  <c r="B42" i="74"/>
  <c r="E60" i="70"/>
  <c r="C10" i="70"/>
  <c r="B49" i="74"/>
  <c r="G54" i="70"/>
  <c r="B91" i="74"/>
  <c r="C52" i="70"/>
  <c r="B98" i="74"/>
  <c r="B81" i="74"/>
  <c r="C51" i="70"/>
  <c r="B77" i="74"/>
  <c r="B55" i="74"/>
  <c r="C59" i="70"/>
  <c r="B76" i="74"/>
  <c r="C43" i="70"/>
  <c r="C49" i="70"/>
  <c r="E41" i="70"/>
  <c r="C40" i="70"/>
  <c r="C29" i="70"/>
  <c r="C24" i="70"/>
  <c r="C55" i="70"/>
  <c r="C70" i="70"/>
  <c r="B57" i="74"/>
  <c r="E51" i="70"/>
  <c r="E68" i="70"/>
  <c r="E15" i="70"/>
  <c r="E72" i="70"/>
  <c r="B47" i="74"/>
  <c r="B101" i="74"/>
  <c r="C14" i="70"/>
  <c r="E42" i="70"/>
  <c r="E31" i="70"/>
  <c r="C26" i="70"/>
  <c r="C42" i="70"/>
  <c r="E54" i="70"/>
  <c r="E30" i="70"/>
  <c r="E35" i="70"/>
  <c r="C39" i="70"/>
  <c r="C36" i="70"/>
  <c r="B23" i="73"/>
  <c r="B39" i="73"/>
  <c r="B19" i="73"/>
  <c r="B15" i="73"/>
  <c r="B25" i="73"/>
  <c r="B36" i="73"/>
  <c r="B34" i="73"/>
  <c r="B105" i="74"/>
  <c r="B19" i="74"/>
  <c r="B44" i="73"/>
  <c r="B31" i="73"/>
  <c r="B30" i="73"/>
  <c r="B29" i="73"/>
  <c r="B23" i="74"/>
  <c r="B104" i="74"/>
  <c r="B37" i="73"/>
  <c r="B32" i="73"/>
  <c r="B20" i="73"/>
  <c r="B40" i="73"/>
  <c r="B107" i="74"/>
  <c r="B42" i="73"/>
  <c r="B106" i="74"/>
  <c r="B43" i="73"/>
  <c r="B35" i="73"/>
  <c r="B24" i="73"/>
  <c r="B15" i="74"/>
  <c r="B20" i="74"/>
  <c r="B33" i="73"/>
  <c r="B38" i="73"/>
  <c r="B21" i="74"/>
  <c r="D11" i="74"/>
  <c r="D115" i="74"/>
  <c r="D51" i="73"/>
  <c r="B16" i="73"/>
  <c r="B26" i="73"/>
  <c r="B28" i="73"/>
  <c r="B16" i="74"/>
  <c r="B117" i="74"/>
  <c r="B108" i="74"/>
  <c r="B21" i="73"/>
  <c r="B53" i="73"/>
  <c r="B27" i="73"/>
  <c r="B22" i="74"/>
  <c r="D11" i="73"/>
  <c r="B16" i="72"/>
  <c r="B33" i="72"/>
  <c r="D11" i="72"/>
  <c r="D41" i="72"/>
  <c r="B19" i="72"/>
  <c r="B21" i="72"/>
  <c r="B35" i="72"/>
  <c r="B34" i="72"/>
  <c r="B18" i="72"/>
  <c r="B15" i="72"/>
  <c r="B43" i="72"/>
  <c r="B20" i="72"/>
  <c r="B36" i="72"/>
  <c r="B31" i="72"/>
  <c r="E11" i="44"/>
  <c r="B120" i="68"/>
  <c r="B123" i="68"/>
  <c r="B121" i="68"/>
  <c r="B25" i="68"/>
  <c r="B26" i="68"/>
  <c r="B29" i="68"/>
  <c r="B24" i="68"/>
  <c r="B27" i="68"/>
  <c r="B23" i="68"/>
  <c r="B141" i="68"/>
  <c r="B129" i="68"/>
  <c r="B20" i="68"/>
  <c r="B127" i="68"/>
  <c r="B18" i="68"/>
  <c r="B21" i="68"/>
  <c r="D137" i="68"/>
  <c r="B128" i="68"/>
  <c r="D11" i="68"/>
  <c r="B19" i="68"/>
  <c r="B15" i="68"/>
  <c r="B130" i="68"/>
  <c r="E8" i="44"/>
  <c r="B13" i="67"/>
  <c r="B36" i="67"/>
  <c r="B57" i="67"/>
  <c r="B24" i="67"/>
  <c r="B25" i="67"/>
  <c r="B11" i="67"/>
  <c r="B80" i="67"/>
  <c r="B42" i="67"/>
  <c r="B45" i="67"/>
  <c r="B77" i="67"/>
  <c r="B53" i="67"/>
  <c r="B17" i="67"/>
  <c r="B58" i="67"/>
  <c r="B73" i="67"/>
  <c r="B85" i="67"/>
  <c r="B99" i="67"/>
  <c r="B48" i="67"/>
  <c r="B44" i="67"/>
  <c r="B68" i="67"/>
  <c r="B14" i="67"/>
  <c r="B34" i="67"/>
  <c r="B93" i="67"/>
  <c r="B72" i="67"/>
  <c r="B52" i="67"/>
  <c r="B20" i="67"/>
  <c r="B39" i="67"/>
  <c r="B40" i="67"/>
  <c r="B92" i="67"/>
  <c r="B95" i="67"/>
  <c r="B18" i="67"/>
  <c r="B51" i="67"/>
  <c r="B27" i="67"/>
  <c r="B32" i="67"/>
  <c r="B10" i="67"/>
  <c r="B59" i="67"/>
  <c r="B35" i="67"/>
  <c r="B23" i="67"/>
  <c r="B71" i="67"/>
  <c r="B28" i="67"/>
  <c r="B89" i="67"/>
  <c r="B41" i="67"/>
  <c r="B43" i="67"/>
  <c r="B66" i="67"/>
  <c r="B31" i="67"/>
  <c r="B16" i="67"/>
  <c r="B70" i="67"/>
  <c r="B46" i="67"/>
  <c r="B79" i="67"/>
  <c r="B30" i="67"/>
  <c r="B86" i="67"/>
  <c r="B26" i="67"/>
  <c r="B37" i="67"/>
  <c r="B33" i="67"/>
  <c r="B69" i="67"/>
  <c r="B12" i="67"/>
  <c r="B76" i="67"/>
  <c r="B55" i="67"/>
  <c r="B67" i="67"/>
  <c r="B81" i="67"/>
  <c r="B88" i="67"/>
  <c r="B47" i="67"/>
  <c r="B94" i="67"/>
  <c r="B90" i="67"/>
  <c r="B87" i="67"/>
  <c r="B97" i="67"/>
  <c r="B98" i="67"/>
  <c r="B78" i="67"/>
  <c r="B56" i="67"/>
  <c r="B29" i="67"/>
  <c r="B49" i="67"/>
  <c r="B84" i="67"/>
  <c r="B15" i="67"/>
  <c r="B54" i="67"/>
  <c r="B65" i="67"/>
  <c r="B83" i="67"/>
  <c r="B96" i="67"/>
  <c r="B82" i="67"/>
  <c r="B50" i="67"/>
  <c r="B100" i="67"/>
  <c r="B74" i="67"/>
  <c r="B63" i="67"/>
  <c r="B38" i="67"/>
  <c r="B91" i="67"/>
  <c r="B64" i="67"/>
  <c r="B75" i="67"/>
  <c r="B19" i="67"/>
  <c r="A3" i="66"/>
  <c r="A6" i="66"/>
  <c r="A4" i="66"/>
  <c r="A5" i="66"/>
  <c r="T12" i="44"/>
  <c r="B37" i="65"/>
  <c r="B32" i="65"/>
  <c r="B58" i="65"/>
  <c r="B68" i="65"/>
  <c r="B31" i="65"/>
  <c r="B40" i="65"/>
  <c r="B33" i="65"/>
  <c r="B38" i="65"/>
  <c r="B55" i="65"/>
  <c r="B39" i="65"/>
  <c r="B50" i="65"/>
  <c r="B41" i="65"/>
  <c r="B34" i="65"/>
  <c r="B65" i="65"/>
  <c r="B36" i="65"/>
  <c r="B64" i="65"/>
  <c r="B59" i="65"/>
  <c r="B60" i="65"/>
  <c r="B51" i="65"/>
  <c r="B54" i="65"/>
  <c r="B35" i="65"/>
  <c r="B67" i="65"/>
  <c r="B52" i="65"/>
  <c r="B71" i="65"/>
  <c r="B61" i="65"/>
  <c r="B53" i="65"/>
  <c r="B63" i="65"/>
  <c r="B30" i="65"/>
  <c r="B62" i="65"/>
  <c r="B56" i="65"/>
  <c r="N2" i="18"/>
  <c r="A6" i="63"/>
  <c r="B49" i="54"/>
  <c r="B19" i="54"/>
  <c r="B89" i="54"/>
  <c r="B96" i="54"/>
  <c r="B24" i="54"/>
  <c r="C16" i="54"/>
  <c r="B88" i="54"/>
  <c r="B91" i="54"/>
  <c r="C94" i="54"/>
  <c r="C101" i="54"/>
  <c r="B107" i="54"/>
  <c r="B56" i="54"/>
  <c r="C88" i="54"/>
  <c r="B111" i="54"/>
  <c r="A5" i="63"/>
  <c r="B59" i="54"/>
  <c r="B16" i="54"/>
  <c r="B25" i="54"/>
  <c r="B21" i="54"/>
  <c r="B17" i="54"/>
  <c r="C107" i="54"/>
  <c r="B27" i="54"/>
  <c r="C26" i="54"/>
  <c r="B100" i="54"/>
  <c r="C59" i="54"/>
  <c r="B22" i="54"/>
  <c r="A4" i="63"/>
  <c r="B54" i="54"/>
  <c r="B101" i="54"/>
  <c r="C22" i="54"/>
  <c r="C109" i="54"/>
  <c r="B108" i="54"/>
  <c r="C96" i="54"/>
  <c r="C21" i="54"/>
  <c r="C24" i="54"/>
  <c r="B20" i="54"/>
  <c r="C92" i="54"/>
  <c r="C97" i="54"/>
  <c r="C18" i="54"/>
  <c r="C102" i="54"/>
  <c r="B102" i="54"/>
  <c r="C20" i="54"/>
  <c r="B9" i="62"/>
  <c r="C93" i="54"/>
  <c r="C58" i="54"/>
  <c r="C112" i="54"/>
  <c r="B99" i="54"/>
  <c r="B109" i="54"/>
  <c r="C54" i="54"/>
  <c r="B18" i="54"/>
  <c r="C61" i="54"/>
  <c r="C17" i="54"/>
  <c r="C49" i="54"/>
  <c r="B112" i="54"/>
  <c r="B23" i="54"/>
  <c r="C90" i="54"/>
  <c r="B92" i="54"/>
  <c r="C23" i="54"/>
  <c r="C89" i="54"/>
  <c r="C100" i="54"/>
  <c r="C110" i="54"/>
  <c r="C95" i="54"/>
  <c r="B61" i="54"/>
  <c r="B94" i="54"/>
  <c r="B110" i="54"/>
  <c r="C55" i="54"/>
  <c r="C111" i="54"/>
  <c r="B98" i="54"/>
  <c r="C56" i="54"/>
  <c r="A3" i="63"/>
  <c r="B95" i="54"/>
  <c r="C25" i="54"/>
  <c r="B97" i="54"/>
  <c r="B58" i="54"/>
  <c r="C91" i="54"/>
  <c r="C98" i="54"/>
  <c r="B26" i="54"/>
  <c r="C99" i="54"/>
  <c r="C108" i="54"/>
  <c r="B90" i="54"/>
  <c r="B93" i="54"/>
  <c r="C27" i="54"/>
  <c r="C19" i="54"/>
  <c r="B55" i="54"/>
  <c r="S5" i="18"/>
  <c r="P5" i="18"/>
  <c r="O5" i="18"/>
  <c r="B34" i="93" s="1"/>
  <c r="O8" i="18"/>
  <c r="R5" i="18"/>
  <c r="N8" i="18"/>
  <c r="T5" i="18"/>
  <c r="Q5" i="18"/>
  <c r="N5" i="18"/>
  <c r="I2" i="50"/>
  <c r="B60" i="51"/>
  <c r="B58" i="51"/>
  <c r="B59" i="51"/>
  <c r="B57" i="51"/>
  <c r="B56" i="51"/>
  <c r="B61" i="51"/>
  <c r="B55" i="51"/>
  <c r="B54" i="51"/>
  <c r="B53" i="51"/>
  <c r="B78" i="51"/>
  <c r="B12" i="51"/>
  <c r="A35" i="52"/>
  <c r="A27" i="52"/>
  <c r="A19" i="52"/>
  <c r="A11" i="52"/>
  <c r="A3" i="52"/>
  <c r="B87" i="51"/>
  <c r="B77" i="51"/>
  <c r="B69" i="51"/>
  <c r="B51" i="51"/>
  <c r="B42" i="51"/>
  <c r="B32" i="51"/>
  <c r="B22" i="51"/>
  <c r="B11" i="51"/>
  <c r="A33" i="52"/>
  <c r="A17" i="52"/>
  <c r="B85" i="51"/>
  <c r="A34" i="52"/>
  <c r="A26" i="52"/>
  <c r="A18" i="52"/>
  <c r="A10" i="52"/>
  <c r="B86" i="51"/>
  <c r="B76" i="51"/>
  <c r="B68" i="51"/>
  <c r="B50" i="51"/>
  <c r="B41" i="51"/>
  <c r="B31" i="51"/>
  <c r="B21" i="51"/>
  <c r="A25" i="52"/>
  <c r="B92" i="51"/>
  <c r="B75" i="51"/>
  <c r="B40" i="51"/>
  <c r="A9" i="52"/>
  <c r="B67" i="51"/>
  <c r="B10" i="51"/>
  <c r="A32" i="52"/>
  <c r="A24" i="52"/>
  <c r="A16" i="52"/>
  <c r="A8" i="52"/>
  <c r="B91" i="51"/>
  <c r="B84" i="51"/>
  <c r="B74" i="51"/>
  <c r="B66" i="51"/>
  <c r="B48" i="51"/>
  <c r="B38" i="51"/>
  <c r="B29" i="51"/>
  <c r="B18" i="51"/>
  <c r="A4" i="52"/>
  <c r="B43" i="51"/>
  <c r="A39" i="52"/>
  <c r="A31" i="52"/>
  <c r="A23" i="52"/>
  <c r="A15" i="52"/>
  <c r="A7" i="52"/>
  <c r="B90" i="51"/>
  <c r="B83" i="51"/>
  <c r="B73" i="51"/>
  <c r="B65" i="51"/>
  <c r="B47" i="51"/>
  <c r="B37" i="51"/>
  <c r="B27" i="51"/>
  <c r="B17" i="51"/>
  <c r="B6" i="51"/>
  <c r="A36" i="52"/>
  <c r="A12" i="52"/>
  <c r="B23" i="51"/>
  <c r="B19" i="51"/>
  <c r="A38" i="52"/>
  <c r="A30" i="52"/>
  <c r="A22" i="52"/>
  <c r="A14" i="52"/>
  <c r="A6" i="52"/>
  <c r="B89" i="51"/>
  <c r="B81" i="51"/>
  <c r="B72" i="51"/>
  <c r="B64" i="51"/>
  <c r="B46" i="51"/>
  <c r="B36" i="51"/>
  <c r="B26" i="51"/>
  <c r="B16" i="51"/>
  <c r="B70" i="51"/>
  <c r="B33" i="51"/>
  <c r="B30" i="51"/>
  <c r="A37" i="52"/>
  <c r="A29" i="52"/>
  <c r="A21" i="52"/>
  <c r="A13" i="52"/>
  <c r="A5" i="52"/>
  <c r="B88" i="51"/>
  <c r="B79" i="51"/>
  <c r="B71" i="51"/>
  <c r="B63" i="51"/>
  <c r="B44" i="51"/>
  <c r="B34" i="51"/>
  <c r="B25" i="51"/>
  <c r="B15" i="51"/>
  <c r="A28" i="52"/>
  <c r="A20" i="52"/>
  <c r="B49" i="51"/>
  <c r="A19" i="55"/>
  <c r="B6" i="54"/>
  <c r="B115" i="54"/>
  <c r="B32" i="54"/>
  <c r="B105" i="54"/>
  <c r="C29" i="54"/>
  <c r="B83" i="54"/>
  <c r="B29" i="54"/>
  <c r="C65" i="54"/>
  <c r="C31" i="54"/>
  <c r="C68" i="54"/>
  <c r="B33" i="54"/>
  <c r="B57" i="54"/>
  <c r="B28" i="54"/>
  <c r="C64" i="54"/>
  <c r="B30" i="54"/>
  <c r="B13" i="54"/>
  <c r="C62" i="54"/>
  <c r="C63" i="54"/>
  <c r="B66" i="54"/>
  <c r="B60" i="54"/>
  <c r="B70" i="54"/>
  <c r="C69" i="54"/>
  <c r="C57" i="54"/>
  <c r="C30" i="54"/>
  <c r="C70" i="54"/>
  <c r="B46" i="54"/>
  <c r="B31" i="54"/>
  <c r="C67" i="54"/>
  <c r="C60" i="54"/>
  <c r="B68" i="54"/>
  <c r="C66" i="54"/>
  <c r="C105" i="54"/>
  <c r="C28" i="54"/>
  <c r="B64" i="54"/>
  <c r="B67" i="54"/>
  <c r="B69" i="54"/>
  <c r="B65" i="54"/>
  <c r="B63" i="54"/>
  <c r="B62" i="54"/>
  <c r="C33" i="54"/>
  <c r="C32" i="54"/>
  <c r="H2" i="50"/>
  <c r="E3" i="45"/>
  <c r="E4" i="45"/>
  <c r="E5" i="45"/>
  <c r="E6" i="45"/>
  <c r="E7" i="45"/>
  <c r="E8" i="45"/>
  <c r="E9" i="45"/>
  <c r="E10" i="45"/>
  <c r="E11" i="45"/>
  <c r="E12" i="45"/>
  <c r="E13" i="45"/>
  <c r="E14" i="45"/>
  <c r="E15" i="45"/>
  <c r="E16" i="45"/>
  <c r="E17" i="45"/>
  <c r="E18" i="45"/>
  <c r="E19" i="45"/>
  <c r="E20" i="45"/>
  <c r="E21" i="45"/>
  <c r="E22" i="45"/>
  <c r="E23" i="45"/>
  <c r="E24" i="45"/>
  <c r="E25" i="45"/>
  <c r="E26" i="45"/>
  <c r="E27" i="45"/>
  <c r="E28" i="45"/>
  <c r="E29" i="45"/>
  <c r="E30" i="45"/>
  <c r="E31" i="45"/>
  <c r="E32" i="45"/>
  <c r="E33" i="45"/>
  <c r="E34" i="45"/>
  <c r="E35" i="45"/>
  <c r="E36" i="45"/>
  <c r="E37" i="45"/>
  <c r="E38" i="45"/>
  <c r="E39" i="45"/>
  <c r="E40" i="45"/>
  <c r="E41" i="45"/>
  <c r="E42" i="45"/>
  <c r="E43" i="45"/>
  <c r="E44" i="45"/>
  <c r="E45" i="45"/>
  <c r="E46" i="45"/>
  <c r="E47" i="45"/>
  <c r="E48" i="45"/>
  <c r="E49" i="45"/>
  <c r="E50" i="45"/>
  <c r="E51" i="45"/>
  <c r="E52" i="45"/>
  <c r="E53" i="45"/>
  <c r="E54" i="45"/>
  <c r="E55" i="45"/>
  <c r="E56" i="45"/>
  <c r="E57" i="45"/>
  <c r="E58" i="45"/>
  <c r="E59" i="45"/>
  <c r="E60" i="45"/>
  <c r="E61" i="45"/>
  <c r="E62" i="45"/>
  <c r="E63" i="45"/>
  <c r="E64" i="45"/>
  <c r="E2" i="45"/>
  <c r="S5" i="45"/>
  <c r="R5" i="45"/>
  <c r="Q5" i="45"/>
  <c r="P5" i="45"/>
  <c r="O5" i="45"/>
  <c r="N5" i="45"/>
  <c r="M5" i="45"/>
  <c r="N2" i="45"/>
  <c r="M2" i="45"/>
  <c r="E9" i="44"/>
  <c r="B33" i="93" l="1"/>
  <c r="D17" i="44"/>
  <c r="B26" i="93"/>
  <c r="U17" i="44" s="1"/>
  <c r="B17" i="73"/>
  <c r="B17" i="74"/>
  <c r="C16" i="68"/>
  <c r="C17" i="73"/>
  <c r="C17" i="74"/>
  <c r="D16" i="44"/>
  <c r="F8" i="98" s="1"/>
  <c r="C16" i="44"/>
  <c r="C17" i="44"/>
  <c r="A27" i="68"/>
  <c r="A28" i="68" s="1"/>
  <c r="A29" i="68" s="1"/>
  <c r="A30" i="68" s="1"/>
  <c r="A31" i="68" s="1"/>
  <c r="A32" i="68" s="1"/>
  <c r="A33" i="68" s="1"/>
  <c r="A34" i="68" s="1"/>
  <c r="A35" i="68" s="1"/>
  <c r="A36" i="68" s="1"/>
  <c r="A37" i="68" s="1"/>
  <c r="A38" i="68" s="1"/>
  <c r="A39" i="68" s="1"/>
  <c r="A40" i="68" s="1"/>
  <c r="A41" i="68" s="1"/>
  <c r="A42" i="68" s="1"/>
  <c r="A43" i="68" s="1"/>
  <c r="A44" i="68" s="1"/>
  <c r="A45" i="68" s="1"/>
  <c r="A46" i="68" s="1"/>
  <c r="A47" i="68" s="1"/>
  <c r="A48" i="68" s="1"/>
  <c r="A49" i="68" s="1"/>
  <c r="A50" i="68" s="1"/>
  <c r="A51" i="68" s="1"/>
  <c r="A52" i="68" s="1"/>
  <c r="A53" i="68" s="1"/>
  <c r="A54" i="68" s="1"/>
  <c r="A55" i="68" s="1"/>
  <c r="A56" i="68" s="1"/>
  <c r="A57" i="68" s="1"/>
  <c r="B5" i="93"/>
  <c r="B16" i="68"/>
  <c r="B89" i="68"/>
  <c r="B62" i="68"/>
  <c r="B97" i="68"/>
  <c r="B64" i="68"/>
  <c r="B77" i="68"/>
  <c r="B107" i="68"/>
  <c r="B46" i="68"/>
  <c r="B99" i="68"/>
  <c r="B90" i="68"/>
  <c r="B98" i="68"/>
  <c r="B106" i="68"/>
  <c r="B45" i="68"/>
  <c r="B66" i="68"/>
  <c r="B39" i="68"/>
  <c r="B51" i="68"/>
  <c r="B50" i="68"/>
  <c r="B96" i="68"/>
  <c r="B74" i="68"/>
  <c r="B102" i="68"/>
  <c r="B71" i="68"/>
  <c r="B57" i="68"/>
  <c r="B86" i="68"/>
  <c r="B53" i="68"/>
  <c r="B108" i="68"/>
  <c r="D56" i="68"/>
  <c r="B105" i="68"/>
  <c r="B83" i="68"/>
  <c r="B88" i="68"/>
  <c r="B44" i="68"/>
  <c r="B87" i="68"/>
  <c r="C56" i="68"/>
  <c r="B70" i="68"/>
  <c r="B34" i="68"/>
  <c r="B52" i="68"/>
  <c r="B95" i="68"/>
  <c r="B73" i="68"/>
  <c r="C110" i="68"/>
  <c r="B40" i="68"/>
  <c r="B68" i="68"/>
  <c r="B37" i="68"/>
  <c r="B72" i="68"/>
  <c r="B54" i="68"/>
  <c r="B48" i="68"/>
  <c r="B41" i="68"/>
  <c r="B67" i="68"/>
  <c r="B65" i="68"/>
  <c r="B35" i="68"/>
  <c r="B56" i="68"/>
  <c r="B101" i="68"/>
  <c r="D110" i="68"/>
  <c r="C83" i="68"/>
  <c r="B47" i="68"/>
  <c r="B111" i="68"/>
  <c r="B79" i="68"/>
  <c r="B49" i="68"/>
  <c r="B94" i="68"/>
  <c r="B63" i="68"/>
  <c r="B33" i="68"/>
  <c r="B75" i="68"/>
  <c r="B38" i="68"/>
  <c r="B84" i="68"/>
  <c r="B104" i="68"/>
  <c r="B81" i="68"/>
  <c r="B109" i="68"/>
  <c r="B100" i="68"/>
  <c r="B93" i="68"/>
  <c r="B82" i="68"/>
  <c r="B42" i="68"/>
  <c r="B78" i="68"/>
  <c r="B103" i="68"/>
  <c r="B91" i="68"/>
  <c r="B69" i="68"/>
  <c r="B43" i="68"/>
  <c r="B76" i="68"/>
  <c r="B61" i="68"/>
  <c r="D83" i="68"/>
  <c r="B55" i="68"/>
  <c r="B110" i="68"/>
  <c r="B60" i="68"/>
  <c r="B80" i="68"/>
  <c r="B59" i="68"/>
  <c r="B92" i="68"/>
  <c r="B36" i="68"/>
  <c r="B32" i="68"/>
  <c r="K14" i="87"/>
  <c r="I14" i="87"/>
  <c r="J14" i="87"/>
  <c r="C14" i="87"/>
  <c r="D14" i="87"/>
  <c r="E14" i="87"/>
  <c r="H14" i="87"/>
  <c r="G14" i="87"/>
  <c r="F14" i="87"/>
  <c r="C107" i="68"/>
  <c r="C100" i="68"/>
  <c r="C92" i="68"/>
  <c r="D104" i="68"/>
  <c r="C89" i="68"/>
  <c r="C93" i="68"/>
  <c r="B85" i="68"/>
  <c r="C106" i="68"/>
  <c r="C99" i="68"/>
  <c r="C91" i="68"/>
  <c r="C108" i="68"/>
  <c r="C105" i="68"/>
  <c r="C98" i="68"/>
  <c r="C90" i="68"/>
  <c r="C97" i="68"/>
  <c r="C104" i="68"/>
  <c r="C96" i="68"/>
  <c r="C88" i="68"/>
  <c r="C101" i="68"/>
  <c r="C111" i="68"/>
  <c r="C103" i="68"/>
  <c r="C95" i="68"/>
  <c r="C87" i="68"/>
  <c r="C109" i="68"/>
  <c r="C102" i="68"/>
  <c r="C94" i="68"/>
  <c r="C86" i="68"/>
  <c r="C32" i="68"/>
  <c r="B31" i="68"/>
  <c r="C82" i="68"/>
  <c r="C75" i="68"/>
  <c r="C67" i="68"/>
  <c r="C59" i="68"/>
  <c r="C68" i="68"/>
  <c r="C81" i="68"/>
  <c r="C74" i="68"/>
  <c r="C66" i="68"/>
  <c r="B58" i="68"/>
  <c r="C64" i="68"/>
  <c r="C84" i="68"/>
  <c r="C80" i="68"/>
  <c r="C73" i="68"/>
  <c r="C65" i="68"/>
  <c r="C72" i="68"/>
  <c r="C79" i="68"/>
  <c r="C78" i="68"/>
  <c r="C71" i="68"/>
  <c r="C63" i="68"/>
  <c r="C60" i="68"/>
  <c r="D77" i="68"/>
  <c r="C70" i="68"/>
  <c r="C62" i="68"/>
  <c r="C77" i="68"/>
  <c r="C69" i="68"/>
  <c r="C61" i="68"/>
  <c r="C76" i="68"/>
  <c r="C55" i="68"/>
  <c r="C54" i="68"/>
  <c r="C35" i="68"/>
  <c r="C33" i="68"/>
  <c r="C34" i="68"/>
  <c r="A13" i="40"/>
  <c r="A14" i="40" s="1"/>
  <c r="A15" i="40" s="1"/>
  <c r="A16" i="40" s="1"/>
  <c r="A17" i="40" s="1"/>
  <c r="A18" i="40" s="1"/>
  <c r="Q1" i="44"/>
  <c r="E1" i="70"/>
  <c r="D79" i="74" s="1"/>
  <c r="C1" i="70"/>
  <c r="G1" i="70"/>
  <c r="D84" i="74" s="1"/>
  <c r="C46" i="74"/>
  <c r="C43" i="74"/>
  <c r="C42" i="74"/>
  <c r="C80" i="74"/>
  <c r="C79" i="74"/>
  <c r="C82" i="74"/>
  <c r="C45" i="74"/>
  <c r="C41" i="74"/>
  <c r="C81" i="74"/>
  <c r="C83" i="74"/>
  <c r="C44" i="74"/>
  <c r="C76" i="74"/>
  <c r="C74" i="74"/>
  <c r="C77" i="74"/>
  <c r="C35" i="74"/>
  <c r="C40" i="74"/>
  <c r="C75" i="74"/>
  <c r="C36" i="74"/>
  <c r="C38" i="74"/>
  <c r="C39" i="74"/>
  <c r="C78" i="74"/>
  <c r="C37" i="74"/>
  <c r="C47" i="74"/>
  <c r="C86" i="74"/>
  <c r="C87" i="74"/>
  <c r="C49" i="74"/>
  <c r="C88" i="74"/>
  <c r="C85" i="74"/>
  <c r="C51" i="74"/>
  <c r="C52" i="74"/>
  <c r="C50" i="74"/>
  <c r="C48" i="74"/>
  <c r="C84" i="74"/>
  <c r="C43" i="68"/>
  <c r="C40" i="68"/>
  <c r="C57" i="68"/>
  <c r="C36" i="68"/>
  <c r="C46" i="68"/>
  <c r="C45" i="68"/>
  <c r="C39" i="68"/>
  <c r="C50" i="68"/>
  <c r="C49" i="68"/>
  <c r="C52" i="68"/>
  <c r="C51" i="68"/>
  <c r="C48" i="68"/>
  <c r="D50" i="68"/>
  <c r="C47" i="68"/>
  <c r="C38" i="68"/>
  <c r="C37" i="68"/>
  <c r="C42" i="68"/>
  <c r="C53" i="68"/>
  <c r="C44" i="68"/>
  <c r="C41" i="68"/>
  <c r="H9" i="44"/>
  <c r="H8" i="44"/>
  <c r="I9" i="44"/>
  <c r="I8" i="44"/>
  <c r="L9" i="44"/>
  <c r="L8" i="44"/>
  <c r="J9" i="44"/>
  <c r="J8" i="44"/>
  <c r="K9" i="44"/>
  <c r="K8" i="44"/>
  <c r="M9" i="44"/>
  <c r="M8" i="44"/>
  <c r="E17" i="44"/>
  <c r="E16" i="44"/>
  <c r="A19" i="40" l="1"/>
  <c r="A20" i="40" s="1"/>
  <c r="A21" i="40" s="1"/>
  <c r="A22" i="40" s="1"/>
  <c r="A23" i="40" s="1"/>
  <c r="A24" i="40" s="1"/>
  <c r="A25" i="40" s="1"/>
  <c r="A26" i="40" s="1"/>
  <c r="A27" i="40" s="1"/>
  <c r="A28" i="40" s="1"/>
  <c r="A29" i="40" s="1"/>
  <c r="A30" i="40" s="1"/>
  <c r="B8" i="98"/>
  <c r="W16" i="44"/>
  <c r="W17" i="44"/>
  <c r="A26" i="98"/>
  <c r="X17" i="44"/>
  <c r="V17" i="44"/>
  <c r="V16" i="44"/>
  <c r="C25" i="98" s="1"/>
  <c r="X16" i="44"/>
  <c r="U16" i="44"/>
  <c r="H26" i="81"/>
  <c r="I27" i="81"/>
  <c r="H27" i="81"/>
  <c r="I26" i="81"/>
  <c r="J4" i="102" a="1"/>
  <c r="J4" i="102" s="1"/>
  <c r="B28" i="98"/>
  <c r="G24" i="104" a="1"/>
  <c r="G24" i="104" s="1"/>
  <c r="B5" i="98"/>
  <c r="B13" i="97" a="1"/>
  <c r="B13" i="97" s="1"/>
  <c r="B57" i="97" a="1"/>
  <c r="B57" i="97" s="1"/>
  <c r="B86" i="97" a="1"/>
  <c r="B86" i="97" s="1"/>
  <c r="B104" i="97" a="1"/>
  <c r="B104" i="97" s="1"/>
  <c r="B72" i="97" a="1"/>
  <c r="B72" i="97" s="1"/>
  <c r="B53" i="97" a="1"/>
  <c r="B53" i="97" s="1"/>
  <c r="B37" i="97" a="1"/>
  <c r="B37" i="97" s="1"/>
  <c r="B100" i="97" a="1"/>
  <c r="B100" i="97" s="1"/>
  <c r="B25" i="97" a="1"/>
  <c r="B25" i="97" s="1"/>
  <c r="B14" i="97" a="1"/>
  <c r="B14" i="97" s="1"/>
  <c r="B96" i="97" a="1"/>
  <c r="B96" i="97" s="1"/>
  <c r="B18" i="97" a="1"/>
  <c r="B18" i="97" s="1"/>
  <c r="B95" i="97" a="1"/>
  <c r="B95" i="97" s="1"/>
  <c r="B62" i="97" a="1"/>
  <c r="B62" i="97" s="1"/>
  <c r="B85" i="97" a="1"/>
  <c r="B85" i="97" s="1"/>
  <c r="B59" i="97" a="1"/>
  <c r="B59" i="97" s="1"/>
  <c r="B50" i="97" a="1"/>
  <c r="B50" i="97" s="1"/>
  <c r="B92" i="97" a="1"/>
  <c r="B92" i="97" s="1"/>
  <c r="B20" i="97" a="1"/>
  <c r="B20" i="97" s="1"/>
  <c r="B69" i="97" a="1"/>
  <c r="B69" i="97" s="1"/>
  <c r="B105" i="97" a="1"/>
  <c r="B105" i="97" s="1"/>
  <c r="B42" i="97" a="1"/>
  <c r="B42" i="97" s="1"/>
  <c r="B67" i="97" a="1"/>
  <c r="B67" i="97" s="1"/>
  <c r="B35" i="97" a="1"/>
  <c r="B35" i="97" s="1"/>
  <c r="B32" i="97" a="1"/>
  <c r="B32" i="97" s="1"/>
  <c r="B61" i="97" a="1"/>
  <c r="B61" i="97" s="1"/>
  <c r="B107" i="97" a="1"/>
  <c r="B107" i="97" s="1"/>
  <c r="B88" i="97" a="1"/>
  <c r="B88" i="97" s="1"/>
  <c r="B23" i="97" a="1"/>
  <c r="B23" i="97" s="1"/>
  <c r="B97" i="97" a="1"/>
  <c r="B97" i="97" s="1"/>
  <c r="B52" i="97" a="1"/>
  <c r="B52" i="97" s="1"/>
  <c r="B38" i="97" a="1"/>
  <c r="B38" i="97" s="1"/>
  <c r="B94" i="97" a="1"/>
  <c r="B94" i="97" s="1"/>
  <c r="B16" i="97" a="1"/>
  <c r="B16" i="97" s="1"/>
  <c r="B22" i="97" a="1"/>
  <c r="B22" i="97" s="1"/>
  <c r="B109" i="97" a="1"/>
  <c r="B109" i="97" s="1"/>
  <c r="B106" i="97" a="1"/>
  <c r="B106" i="97" s="1"/>
  <c r="B30" i="97" a="1"/>
  <c r="B30" i="97" s="1"/>
  <c r="B84" i="97" a="1"/>
  <c r="B84" i="97" s="1"/>
  <c r="B101" i="97" a="1"/>
  <c r="B101" i="97" s="1"/>
  <c r="B93" i="97" a="1"/>
  <c r="B93" i="97" s="1"/>
  <c r="B36" i="97" a="1"/>
  <c r="B36" i="97" s="1"/>
  <c r="B71" i="97" a="1"/>
  <c r="B71" i="97" s="1"/>
  <c r="B112" i="97" a="1"/>
  <c r="B112" i="97" s="1"/>
  <c r="B54" i="97" a="1"/>
  <c r="B54" i="97" s="1"/>
  <c r="B87" i="97" a="1"/>
  <c r="B87" i="97" s="1"/>
  <c r="B33" i="97" a="1"/>
  <c r="B33" i="97" s="1"/>
  <c r="B60" i="97" a="1"/>
  <c r="B60" i="97" s="1"/>
  <c r="B108" i="97" a="1"/>
  <c r="B108" i="97" s="1"/>
  <c r="B75" i="97" a="1"/>
  <c r="B75" i="97" s="1"/>
  <c r="B21" i="97" a="1"/>
  <c r="B21" i="97" s="1"/>
  <c r="B65" i="97" a="1"/>
  <c r="B65" i="97" s="1"/>
  <c r="B70" i="97" a="1"/>
  <c r="B70" i="97" s="1"/>
  <c r="B110" i="97" a="1"/>
  <c r="B110" i="97" s="1"/>
  <c r="B83" i="97" a="1"/>
  <c r="B83" i="97" s="1"/>
  <c r="B68" i="97" a="1"/>
  <c r="B68" i="97" s="1"/>
  <c r="B64" i="97" a="1"/>
  <c r="B64" i="97" s="1"/>
  <c r="B89" i="97" a="1"/>
  <c r="B89" i="97" s="1"/>
  <c r="B56" i="97" a="1"/>
  <c r="B56" i="97" s="1"/>
  <c r="B58" i="97" a="1"/>
  <c r="B58" i="97" s="1"/>
  <c r="B41" i="97" a="1"/>
  <c r="B41" i="97" s="1"/>
  <c r="H24" i="81"/>
  <c r="B91" i="97" a="1"/>
  <c r="B91" i="97" s="1"/>
  <c r="B40" i="97" a="1"/>
  <c r="B40" i="97" s="1"/>
  <c r="B63" i="97" a="1"/>
  <c r="B63" i="97" s="1"/>
  <c r="B98" i="97" a="1"/>
  <c r="B98" i="97" s="1"/>
  <c r="B28" i="97" a="1"/>
  <c r="B28" i="97" s="1"/>
  <c r="B76" i="97" a="1"/>
  <c r="B76" i="97" s="1"/>
  <c r="B111" i="97" a="1"/>
  <c r="B111" i="97" s="1"/>
  <c r="B27" i="97" a="1"/>
  <c r="B27" i="97" s="1"/>
  <c r="J24" i="81"/>
  <c r="B73" i="97" a="1"/>
  <c r="B73" i="97" s="1"/>
  <c r="B51" i="97" a="1"/>
  <c r="B51" i="97" s="1"/>
  <c r="B39" i="97" a="1"/>
  <c r="B39" i="97" s="1"/>
  <c r="B74" i="97" a="1"/>
  <c r="B74" i="97" s="1"/>
  <c r="B90" i="97" a="1"/>
  <c r="B90" i="97" s="1"/>
  <c r="B34" i="97" a="1"/>
  <c r="B34" i="97" s="1"/>
  <c r="B31" i="97" a="1"/>
  <c r="B31" i="97" s="1"/>
  <c r="B103" i="97" a="1"/>
  <c r="B103" i="97" s="1"/>
  <c r="B77" i="97" a="1"/>
  <c r="B77" i="97" s="1"/>
  <c r="B49" i="97" a="1"/>
  <c r="B49" i="97" s="1"/>
  <c r="B102" i="97" a="1"/>
  <c r="B102" i="97" s="1"/>
  <c r="B24" i="97" a="1"/>
  <c r="B24" i="97" s="1"/>
  <c r="B55" i="97" a="1"/>
  <c r="B55" i="97" s="1"/>
  <c r="B66" i="97" a="1"/>
  <c r="B66" i="97" s="1"/>
  <c r="B17" i="97" a="1"/>
  <c r="B17" i="97" s="1"/>
  <c r="B15" i="97" a="1"/>
  <c r="B15" i="97" s="1"/>
  <c r="B29" i="97" a="1"/>
  <c r="B29" i="97" s="1"/>
  <c r="B26" i="97" a="1"/>
  <c r="B26" i="97" s="1"/>
  <c r="B99" i="97" a="1"/>
  <c r="B99" i="97" s="1"/>
  <c r="B48" i="97" a="1"/>
  <c r="B48" i="97" s="1"/>
  <c r="B19" i="97" a="1"/>
  <c r="B19" i="97" s="1"/>
  <c r="H25" i="81"/>
  <c r="I25" i="81"/>
  <c r="K25" i="81"/>
  <c r="K23" i="81"/>
  <c r="I23" i="81"/>
  <c r="A58" i="68"/>
  <c r="A59" i="68" s="1"/>
  <c r="A60" i="68" s="1"/>
  <c r="A61" i="68" s="1"/>
  <c r="A62" i="68" s="1"/>
  <c r="A63" i="68" s="1"/>
  <c r="A64" i="68" s="1"/>
  <c r="A65" i="68" s="1"/>
  <c r="A66" i="68" s="1"/>
  <c r="A67" i="68" s="1"/>
  <c r="A68" i="68" s="1"/>
  <c r="A69" i="68" s="1"/>
  <c r="A70" i="68" s="1"/>
  <c r="A71" i="68" s="1"/>
  <c r="A72" i="68" s="1"/>
  <c r="A73" i="68" s="1"/>
  <c r="A74" i="68" s="1"/>
  <c r="A75" i="68" s="1"/>
  <c r="A76" i="68" s="1"/>
  <c r="A77" i="68" s="1"/>
  <c r="A78" i="68" s="1"/>
  <c r="A79" i="68" s="1"/>
  <c r="A80" i="68" s="1"/>
  <c r="A81" i="68" s="1"/>
  <c r="A82" i="68" s="1"/>
  <c r="A83" i="68" s="1"/>
  <c r="A84" i="68" s="1"/>
  <c r="A31" i="40"/>
  <c r="A32" i="40" s="1"/>
  <c r="A33" i="40" s="1"/>
  <c r="A34" i="40" s="1"/>
  <c r="A35" i="40" s="1"/>
  <c r="A36" i="40" s="1"/>
  <c r="A37" i="40" s="1"/>
  <c r="A38" i="40" s="1"/>
  <c r="A39" i="40" s="1"/>
  <c r="A40" i="40" s="1"/>
  <c r="A41" i="40" s="1"/>
  <c r="A42" i="40" s="1"/>
  <c r="D43" i="40" s="1"/>
  <c r="D31" i="40"/>
  <c r="I28" i="81"/>
  <c r="H28" i="81"/>
  <c r="H22" i="81"/>
  <c r="J22" i="81"/>
  <c r="H23" i="81"/>
  <c r="I4" i="81"/>
  <c r="H4" i="81"/>
  <c r="K4" i="81"/>
  <c r="H10" i="81"/>
  <c r="J18" i="81"/>
  <c r="J7" i="81"/>
  <c r="J12" i="81"/>
  <c r="H13" i="81"/>
  <c r="I3" i="81"/>
  <c r="J5" i="81"/>
  <c r="K14" i="81"/>
  <c r="H9" i="81"/>
  <c r="H14" i="81"/>
  <c r="H12" i="81"/>
  <c r="H15" i="81"/>
  <c r="I17" i="81"/>
  <c r="H18" i="81"/>
  <c r="K16" i="81"/>
  <c r="H21" i="81"/>
  <c r="H16" i="81"/>
  <c r="H11" i="81"/>
  <c r="H5" i="81"/>
  <c r="H6" i="81"/>
  <c r="J6" i="81"/>
  <c r="J20" i="81"/>
  <c r="I18" i="81"/>
  <c r="K3" i="81"/>
  <c r="I14" i="81"/>
  <c r="H7" i="81"/>
  <c r="J15" i="81"/>
  <c r="H17" i="81"/>
  <c r="J11" i="81"/>
  <c r="H20" i="81"/>
  <c r="H3" i="81"/>
  <c r="I9" i="81"/>
  <c r="K21" i="81"/>
  <c r="I16" i="81"/>
  <c r="I21" i="81"/>
  <c r="K17" i="81"/>
  <c r="H19" i="81"/>
  <c r="H8" i="81"/>
  <c r="D47" i="74"/>
  <c r="D41" i="74"/>
  <c r="D74" i="74"/>
  <c r="D35" i="74"/>
  <c r="B46" i="62"/>
  <c r="B40" i="62"/>
  <c r="B33" i="62"/>
  <c r="B18" i="62"/>
  <c r="B32" i="62"/>
  <c r="B48" i="62"/>
  <c r="B17" i="62"/>
  <c r="B20" i="62"/>
  <c r="B29" i="62"/>
  <c r="B44" i="62"/>
  <c r="B52" i="62"/>
  <c r="B11" i="62"/>
  <c r="B25" i="62"/>
  <c r="B26" i="62"/>
  <c r="B41" i="62"/>
  <c r="B16" i="62"/>
  <c r="B30" i="62"/>
  <c r="B50" i="62"/>
  <c r="B21" i="62"/>
  <c r="B28" i="62"/>
  <c r="B54" i="62"/>
  <c r="B35" i="62"/>
  <c r="B13" i="62"/>
  <c r="B42" i="62"/>
  <c r="B45" i="62"/>
  <c r="B53" i="62"/>
  <c r="B23" i="62"/>
  <c r="B55" i="62"/>
  <c r="B24" i="62"/>
  <c r="B34" i="62"/>
  <c r="B36" i="62"/>
  <c r="B43" i="62"/>
  <c r="B38" i="62"/>
  <c r="B15" i="62"/>
  <c r="B27" i="62"/>
  <c r="B47" i="62"/>
  <c r="B12" i="62"/>
  <c r="B37" i="62"/>
  <c r="AL25" i="18"/>
  <c r="AL17" i="18"/>
  <c r="AP25" i="18"/>
  <c r="AP26" i="18"/>
  <c r="AP27" i="18"/>
  <c r="AO27" i="18"/>
  <c r="AO26" i="18"/>
  <c r="AO25" i="18"/>
  <c r="AO23" i="18"/>
  <c r="AP23" i="18"/>
  <c r="AP22" i="18"/>
  <c r="AO22" i="18"/>
  <c r="AO21" i="18"/>
  <c r="AP21" i="18"/>
  <c r="AP17" i="18"/>
  <c r="AP18" i="18"/>
  <c r="AP19" i="18"/>
  <c r="AO19" i="18"/>
  <c r="AO18" i="18"/>
  <c r="AO17" i="18"/>
  <c r="AP12" i="18"/>
  <c r="AP13" i="18"/>
  <c r="AP14" i="18"/>
  <c r="AO14" i="18"/>
  <c r="AO13" i="18"/>
  <c r="AO12" i="18"/>
  <c r="AP10" i="18"/>
  <c r="AP9" i="18"/>
  <c r="AP8" i="18"/>
  <c r="AP5" i="18"/>
  <c r="AP4" i="18"/>
  <c r="AP3" i="18"/>
  <c r="AO10" i="18"/>
  <c r="AO9" i="18"/>
  <c r="AO8" i="18"/>
  <c r="AO5" i="18"/>
  <c r="AO4" i="18"/>
  <c r="AO3" i="18"/>
  <c r="AL21" i="18"/>
  <c r="AL12" i="18"/>
  <c r="AL8" i="18"/>
  <c r="AL3" i="18"/>
  <c r="AB3" i="18"/>
  <c r="AC40" i="18"/>
  <c r="AC39" i="18"/>
  <c r="AC38" i="18"/>
  <c r="AC37" i="18"/>
  <c r="AC35" i="18"/>
  <c r="AC34" i="18"/>
  <c r="AC33" i="18"/>
  <c r="AC32" i="18"/>
  <c r="AC30" i="18"/>
  <c r="AC29" i="18"/>
  <c r="AC27" i="18"/>
  <c r="AC26" i="18"/>
  <c r="AC25" i="18"/>
  <c r="AC24" i="18"/>
  <c r="AC22" i="18"/>
  <c r="AC21" i="18"/>
  <c r="AC20" i="18"/>
  <c r="AC19" i="18"/>
  <c r="AC17" i="18"/>
  <c r="AC16" i="18"/>
  <c r="AC15" i="18"/>
  <c r="AC14" i="18"/>
  <c r="AC11" i="18"/>
  <c r="AC10" i="18"/>
  <c r="AC9" i="18"/>
  <c r="AC8" i="18"/>
  <c r="AC4" i="18"/>
  <c r="AC3" i="18"/>
  <c r="AB40" i="18"/>
  <c r="AB39" i="18"/>
  <c r="AB38" i="18"/>
  <c r="AB37" i="18"/>
  <c r="AB35" i="18"/>
  <c r="AB34" i="18"/>
  <c r="AB33" i="18"/>
  <c r="AB32" i="18"/>
  <c r="AB30" i="18"/>
  <c r="AB29" i="18"/>
  <c r="AB27" i="18"/>
  <c r="AB26" i="18"/>
  <c r="AB25" i="18"/>
  <c r="AB24" i="18"/>
  <c r="AB22" i="18"/>
  <c r="AB21" i="18"/>
  <c r="AB20" i="18"/>
  <c r="AB19" i="18"/>
  <c r="AB17" i="18"/>
  <c r="AB16" i="18"/>
  <c r="AB15" i="18"/>
  <c r="AB14" i="18"/>
  <c r="AB11" i="18"/>
  <c r="AB10" i="18"/>
  <c r="AB9" i="18"/>
  <c r="AB8" i="18"/>
  <c r="AB4" i="18"/>
  <c r="C26" i="98" l="1"/>
  <c r="A25" i="98"/>
  <c r="AD29" i="18"/>
  <c r="AQ8" i="18"/>
  <c r="AD24" i="18"/>
  <c r="AD14" i="18"/>
  <c r="C14" i="98"/>
  <c r="C13" i="98"/>
  <c r="C12" i="98"/>
  <c r="C11" i="98"/>
  <c r="A85" i="68"/>
  <c r="A86" i="68" s="1"/>
  <c r="A87" i="68" s="1"/>
  <c r="A88" i="68" s="1"/>
  <c r="A89" i="68" s="1"/>
  <c r="A90" i="68" s="1"/>
  <c r="A91" i="68" s="1"/>
  <c r="A92" i="68" s="1"/>
  <c r="A93" i="68" s="1"/>
  <c r="A94" i="68" s="1"/>
  <c r="A95" i="68" s="1"/>
  <c r="A96" i="68" s="1"/>
  <c r="A97" i="68" s="1"/>
  <c r="A98" i="68" s="1"/>
  <c r="A99" i="68" s="1"/>
  <c r="A100" i="68" s="1"/>
  <c r="A101" i="68" s="1"/>
  <c r="A102" i="68" s="1"/>
  <c r="A103" i="68" s="1"/>
  <c r="A104" i="68" s="1"/>
  <c r="A105" i="68" s="1"/>
  <c r="A106" i="68" s="1"/>
  <c r="A107" i="68" s="1"/>
  <c r="A108" i="68" s="1"/>
  <c r="A109" i="68" s="1"/>
  <c r="A110" i="68" s="1"/>
  <c r="A111" i="68" s="1"/>
  <c r="A112" i="68" s="1"/>
  <c r="A43" i="40"/>
  <c r="A44" i="40" s="1"/>
  <c r="A45" i="40" s="1"/>
  <c r="A46" i="40" s="1"/>
  <c r="A47" i="40" s="1"/>
  <c r="A48" i="40" s="1"/>
  <c r="A49" i="40" s="1"/>
  <c r="A50" i="40" s="1"/>
  <c r="A51" i="40" s="1"/>
  <c r="D52" i="40" s="1"/>
  <c r="AQ17" i="18"/>
  <c r="AQ3" i="18"/>
  <c r="AQ12" i="18"/>
  <c r="AQ25" i="18"/>
  <c r="AQ21" i="18"/>
  <c r="AD37" i="18"/>
  <c r="AD32" i="18"/>
  <c r="AD19" i="18"/>
  <c r="AD8" i="18"/>
  <c r="AD3" i="18"/>
  <c r="Y3" i="18"/>
  <c r="Y29" i="18"/>
  <c r="Y37" i="18"/>
  <c r="Y32" i="18"/>
  <c r="Y24" i="18"/>
  <c r="Y19" i="18"/>
  <c r="Y14" i="18"/>
  <c r="Y8" i="18"/>
  <c r="A113" i="68" l="1"/>
  <c r="A114" i="68" s="1"/>
  <c r="A115" i="68" s="1"/>
  <c r="A116" i="68" s="1"/>
  <c r="A52" i="40"/>
  <c r="A53" i="40" s="1"/>
  <c r="A54" i="40" s="1"/>
  <c r="A55" i="40" s="1"/>
  <c r="A56" i="40" s="1"/>
  <c r="A57" i="40" s="1"/>
  <c r="A58" i="40" s="1"/>
  <c r="A59" i="40" s="1"/>
  <c r="A60" i="40" s="1"/>
  <c r="A61" i="40" s="1"/>
  <c r="A62" i="40" s="1"/>
  <c r="A63" i="40" s="1"/>
  <c r="A64" i="40" s="1"/>
  <c r="A65" i="40" s="1"/>
  <c r="A66" i="40" s="1"/>
  <c r="A67" i="40" s="1"/>
  <c r="A68" i="40" s="1"/>
  <c r="A69" i="40" s="1"/>
  <c r="A70" i="40" s="1"/>
  <c r="A71" i="40" s="1"/>
  <c r="A72" i="40" s="1"/>
  <c r="A73" i="40" s="1"/>
  <c r="A74" i="40" s="1"/>
  <c r="A75" i="40" s="1"/>
  <c r="A76" i="40" s="1"/>
  <c r="A77" i="40" s="1"/>
  <c r="A78" i="40" s="1"/>
  <c r="A79" i="40" s="1"/>
  <c r="A80" i="40" s="1"/>
  <c r="A81" i="40" s="1"/>
  <c r="A82" i="40" s="1"/>
  <c r="A83" i="40" s="1"/>
  <c r="A84" i="40" s="1"/>
  <c r="A85" i="40" s="1"/>
  <c r="A86" i="40" s="1"/>
  <c r="A87" i="40" s="1"/>
  <c r="A88" i="40" s="1"/>
  <c r="A89" i="40" s="1"/>
  <c r="A90" i="40" s="1"/>
  <c r="A91" i="40" s="1"/>
  <c r="A92" i="40" s="1"/>
  <c r="A93" i="40" s="1"/>
  <c r="A94" i="40" s="1"/>
  <c r="A95" i="40" s="1"/>
  <c r="A96" i="40" s="1"/>
  <c r="A97" i="40" s="1"/>
  <c r="A98" i="40" s="1"/>
  <c r="A99" i="40" s="1"/>
  <c r="A100" i="40" s="1"/>
  <c r="A101" i="40" s="1"/>
  <c r="A102" i="40" s="1"/>
  <c r="A103" i="40" s="1"/>
  <c r="E30" i="18"/>
  <c r="E29" i="18"/>
  <c r="E28" i="18"/>
  <c r="E27" i="18"/>
  <c r="E26" i="18"/>
  <c r="E20" i="18"/>
  <c r="E19" i="18"/>
  <c r="E18" i="18"/>
  <c r="E17" i="18"/>
  <c r="E16" i="18"/>
  <c r="E15" i="18"/>
  <c r="E14" i="18"/>
  <c r="E13" i="18"/>
  <c r="E12" i="18"/>
  <c r="E11" i="18"/>
  <c r="E10" i="18"/>
  <c r="E9" i="18"/>
  <c r="E8" i="18"/>
  <c r="E7" i="18"/>
  <c r="E6" i="18"/>
  <c r="E5" i="18"/>
  <c r="E4" i="18"/>
  <c r="E3" i="18"/>
  <c r="E2" i="18"/>
  <c r="A117" i="68" l="1"/>
  <c r="A118" i="68" s="1"/>
  <c r="A119" i="68" s="1"/>
  <c r="A120" i="68" s="1"/>
  <c r="A121" i="68" s="1"/>
  <c r="A122" i="68" s="1"/>
  <c r="A123" i="68" s="1"/>
  <c r="A124" i="68" s="1"/>
  <c r="A125" i="68" s="1"/>
  <c r="A126" i="68" s="1"/>
  <c r="A127" i="68" s="1"/>
  <c r="A128" i="68" s="1"/>
  <c r="A129" i="68" s="1"/>
  <c r="A130" i="68" s="1"/>
  <c r="A131" i="68" s="1"/>
  <c r="A132" i="68" s="1"/>
  <c r="D60" i="40"/>
  <c r="D104" i="40"/>
  <c r="A104" i="40"/>
  <c r="A105" i="40" s="1"/>
  <c r="A106" i="40" s="1"/>
  <c r="A107" i="40" s="1"/>
  <c r="A108" i="40" s="1"/>
  <c r="A109" i="40" s="1"/>
  <c r="A110" i="40" s="1"/>
  <c r="A111" i="40" s="1"/>
  <c r="A112" i="40" s="1"/>
  <c r="A113" i="40" s="1"/>
  <c r="A114" i="40" s="1"/>
  <c r="A115" i="40" s="1"/>
  <c r="A116" i="40" s="1"/>
  <c r="A117" i="40" s="1"/>
  <c r="A118" i="40" s="1"/>
  <c r="A119" i="40" s="1"/>
  <c r="A120" i="40" s="1"/>
  <c r="A121" i="40" s="1"/>
  <c r="A122" i="40" s="1"/>
  <c r="A123" i="40" s="1"/>
  <c r="A124" i="40" s="1"/>
  <c r="A125" i="40" s="1"/>
  <c r="A126" i="40" s="1"/>
  <c r="A127" i="40" s="1"/>
  <c r="A128" i="40" s="1"/>
  <c r="A129" i="40" s="1"/>
  <c r="A130" i="40" s="1"/>
  <c r="A131" i="40" s="1"/>
  <c r="A132" i="40" s="1"/>
  <c r="A133" i="40" s="1"/>
  <c r="A134" i="40" s="1"/>
  <c r="A135" i="40" s="1"/>
  <c r="A136" i="40" s="1"/>
  <c r="A137" i="40" s="1"/>
  <c r="A138" i="40" s="1"/>
  <c r="A139" i="40" s="1"/>
  <c r="A140" i="40" s="1"/>
  <c r="A141" i="40" s="1"/>
  <c r="A142" i="40" s="1"/>
  <c r="A143" i="40" s="1"/>
  <c r="A144" i="40" s="1"/>
  <c r="A145" i="40" s="1"/>
  <c r="A146" i="40" s="1"/>
  <c r="A147" i="40" s="1"/>
  <c r="G17" i="44"/>
  <c r="G16" i="44"/>
  <c r="J17" i="44"/>
  <c r="J16" i="44"/>
  <c r="K16" i="44"/>
  <c r="K17" i="44"/>
  <c r="L17" i="44"/>
  <c r="L16" i="44"/>
  <c r="O16" i="44"/>
  <c r="O17" i="44"/>
  <c r="M17" i="44"/>
  <c r="M16" i="44"/>
  <c r="N17" i="44"/>
  <c r="N16" i="44"/>
  <c r="H16" i="44"/>
  <c r="H17" i="44"/>
  <c r="I16" i="44"/>
  <c r="I17" i="44"/>
  <c r="D17" i="41" l="1" a="1"/>
  <c r="D17" i="41" s="1"/>
  <c r="D17" i="39" a="1"/>
  <c r="D17" i="39" s="1"/>
  <c r="D17" i="40" a="1"/>
  <c r="D17" i="40" s="1"/>
  <c r="D17" i="38" a="1"/>
  <c r="D17" i="38" s="1"/>
  <c r="C9" i="34"/>
  <c r="C27" i="34"/>
  <c r="B27" i="34"/>
  <c r="B9" i="34"/>
  <c r="B172" i="35"/>
  <c r="B139" i="35"/>
  <c r="C106" i="35"/>
  <c r="C74" i="35"/>
  <c r="C40" i="35"/>
  <c r="C184" i="35"/>
  <c r="C150" i="35"/>
  <c r="C118" i="35"/>
  <c r="B86" i="35"/>
  <c r="B53" i="35"/>
  <c r="B188" i="35"/>
  <c r="B154" i="35"/>
  <c r="B122" i="35"/>
  <c r="C89" i="35"/>
  <c r="C56" i="35"/>
  <c r="C174" i="35"/>
  <c r="C141" i="35"/>
  <c r="B109" i="35"/>
  <c r="B77" i="35"/>
  <c r="B43" i="35"/>
  <c r="C157" i="35"/>
  <c r="C124" i="35"/>
  <c r="B92" i="35"/>
  <c r="B59" i="35"/>
  <c r="B169" i="35"/>
  <c r="B136" i="35"/>
  <c r="C103" i="35"/>
  <c r="C71" i="35"/>
  <c r="C100" i="35"/>
  <c r="C147" i="35"/>
  <c r="C32" i="35"/>
  <c r="B145" i="35"/>
  <c r="B32" i="35"/>
  <c r="B62" i="35"/>
  <c r="B168" i="35"/>
  <c r="B135" i="35"/>
  <c r="C102" i="35"/>
  <c r="C70" i="35"/>
  <c r="C36" i="35"/>
  <c r="C9" i="35"/>
  <c r="C180" i="35"/>
  <c r="C146" i="35"/>
  <c r="C114" i="35"/>
  <c r="B82" i="35"/>
  <c r="B49" i="35"/>
  <c r="B184" i="35"/>
  <c r="B150" i="35"/>
  <c r="B118" i="35"/>
  <c r="C85" i="35"/>
  <c r="C52" i="35"/>
  <c r="C170" i="35"/>
  <c r="C137" i="35"/>
  <c r="B105" i="35"/>
  <c r="B73" i="35"/>
  <c r="B39" i="35"/>
  <c r="C186" i="35"/>
  <c r="C152" i="35"/>
  <c r="C120" i="35"/>
  <c r="B88" i="35"/>
  <c r="B55" i="35"/>
  <c r="B165" i="35"/>
  <c r="B132" i="35"/>
  <c r="C99" i="35"/>
  <c r="C66" i="35"/>
  <c r="C84" i="35"/>
  <c r="C131" i="35"/>
  <c r="B129" i="35"/>
  <c r="B9" i="35"/>
  <c r="B164" i="35"/>
  <c r="B131" i="35"/>
  <c r="C98" i="35"/>
  <c r="C65" i="35"/>
  <c r="C175" i="35"/>
  <c r="C142" i="35"/>
  <c r="B111" i="35"/>
  <c r="B78" i="35"/>
  <c r="B44" i="35"/>
  <c r="B180" i="35"/>
  <c r="B146" i="35"/>
  <c r="B114" i="35"/>
  <c r="C81" i="35"/>
  <c r="C48" i="35"/>
  <c r="C166" i="35"/>
  <c r="C133" i="35"/>
  <c r="B101" i="35"/>
  <c r="B68" i="35"/>
  <c r="B35" i="35"/>
  <c r="C27" i="35"/>
  <c r="C182" i="35"/>
  <c r="C148" i="35"/>
  <c r="C116" i="35"/>
  <c r="B84" i="35"/>
  <c r="B51" i="35"/>
  <c r="B161" i="35"/>
  <c r="B128" i="35"/>
  <c r="C95" i="35"/>
  <c r="C62" i="35"/>
  <c r="C67" i="35"/>
  <c r="C115" i="35"/>
  <c r="B113" i="35"/>
  <c r="C160" i="35"/>
  <c r="C37" i="35"/>
  <c r="B160" i="35"/>
  <c r="B127" i="35"/>
  <c r="C94" i="35"/>
  <c r="C61" i="35"/>
  <c r="C171" i="35"/>
  <c r="C138" i="35"/>
  <c r="B106" i="35"/>
  <c r="B74" i="35"/>
  <c r="B40" i="35"/>
  <c r="B175" i="35"/>
  <c r="B142" i="35"/>
  <c r="C109" i="35"/>
  <c r="C77" i="35"/>
  <c r="C43" i="35"/>
  <c r="C162" i="35"/>
  <c r="C129" i="35"/>
  <c r="B97" i="35"/>
  <c r="B64" i="35"/>
  <c r="C177" i="35"/>
  <c r="C144" i="35"/>
  <c r="D112" i="35" a="1"/>
  <c r="D112" i="35" s="1"/>
  <c r="B80" i="35"/>
  <c r="B47" i="35"/>
  <c r="B157" i="35"/>
  <c r="B124" i="35"/>
  <c r="C91" i="35"/>
  <c r="C58" i="35"/>
  <c r="B183" i="35"/>
  <c r="B54" i="35"/>
  <c r="B99" i="35"/>
  <c r="C96" i="35"/>
  <c r="B189" i="35"/>
  <c r="B155" i="35"/>
  <c r="B123" i="35"/>
  <c r="C90" i="35"/>
  <c r="C57" i="35"/>
  <c r="C167" i="35"/>
  <c r="C134" i="35"/>
  <c r="B102" i="35"/>
  <c r="B70" i="35"/>
  <c r="B171" i="35"/>
  <c r="B138" i="35"/>
  <c r="C105" i="35"/>
  <c r="C73" i="35"/>
  <c r="C39" i="35"/>
  <c r="C158" i="35"/>
  <c r="C125" i="35"/>
  <c r="B93" i="35"/>
  <c r="B60" i="35"/>
  <c r="C173" i="35"/>
  <c r="C140" i="35"/>
  <c r="B108" i="35"/>
  <c r="B76" i="35"/>
  <c r="B42" i="35"/>
  <c r="B186" i="35"/>
  <c r="B152" i="35"/>
  <c r="B120" i="35"/>
  <c r="C87" i="35"/>
  <c r="B166" i="35"/>
  <c r="C41" i="35"/>
  <c r="C9" i="36"/>
  <c r="B185" i="35"/>
  <c r="B151" i="35"/>
  <c r="B119" i="35"/>
  <c r="C86" i="35"/>
  <c r="C53" i="35"/>
  <c r="C163" i="35"/>
  <c r="C130" i="35"/>
  <c r="B98" i="35"/>
  <c r="B65" i="35"/>
  <c r="B167" i="35"/>
  <c r="B134" i="35"/>
  <c r="C101" i="35"/>
  <c r="C68" i="35"/>
  <c r="C35" i="35"/>
  <c r="C187" i="35"/>
  <c r="C153" i="35"/>
  <c r="C121" i="35"/>
  <c r="B89" i="35"/>
  <c r="B56" i="35"/>
  <c r="C169" i="35"/>
  <c r="C136" i="35"/>
  <c r="B104" i="35"/>
  <c r="B72" i="35"/>
  <c r="B38" i="35"/>
  <c r="B182" i="35"/>
  <c r="B148" i="35"/>
  <c r="B116" i="35"/>
  <c r="C83" i="35"/>
  <c r="B149" i="35"/>
  <c r="B33" i="35"/>
  <c r="B66" i="35"/>
  <c r="B9" i="36"/>
  <c r="C63" i="35"/>
  <c r="B112" i="35"/>
  <c r="B181" i="35"/>
  <c r="B147" i="35"/>
  <c r="B115" i="35"/>
  <c r="C82" i="35"/>
  <c r="C49" i="35"/>
  <c r="C159" i="35"/>
  <c r="C126" i="35"/>
  <c r="B94" i="35"/>
  <c r="B61" i="35"/>
  <c r="B163" i="35"/>
  <c r="B130" i="35"/>
  <c r="C97" i="35"/>
  <c r="C64" i="35"/>
  <c r="C31" i="35"/>
  <c r="C183" i="35"/>
  <c r="C149" i="35"/>
  <c r="C117" i="35"/>
  <c r="B85" i="35"/>
  <c r="B52" i="35"/>
  <c r="B27" i="36"/>
  <c r="C165" i="35"/>
  <c r="C132" i="35"/>
  <c r="B100" i="35"/>
  <c r="B67" i="35"/>
  <c r="B34" i="35"/>
  <c r="C27" i="36"/>
  <c r="B177" i="35"/>
  <c r="B144" i="35"/>
  <c r="C112" i="35"/>
  <c r="C79" i="35"/>
  <c r="B133" i="35"/>
  <c r="C181" i="35"/>
  <c r="C51" i="35"/>
  <c r="B179" i="35"/>
  <c r="B176" i="35"/>
  <c r="B143" i="35"/>
  <c r="C111" i="35"/>
  <c r="C78" i="35"/>
  <c r="C44" i="35"/>
  <c r="C188" i="35"/>
  <c r="C154" i="35"/>
  <c r="C122" i="35"/>
  <c r="B90" i="35"/>
  <c r="B57" i="35"/>
  <c r="B159" i="35"/>
  <c r="B126" i="35"/>
  <c r="C93" i="35"/>
  <c r="C60" i="35"/>
  <c r="C179" i="35"/>
  <c r="C145" i="35"/>
  <c r="C113" i="35"/>
  <c r="B81" i="35"/>
  <c r="B48" i="35"/>
  <c r="C161" i="35"/>
  <c r="C128" i="35"/>
  <c r="B96" i="35"/>
  <c r="B63" i="35"/>
  <c r="B173" i="35"/>
  <c r="B140" i="35"/>
  <c r="C107" i="35"/>
  <c r="C75" i="35"/>
  <c r="B117" i="35"/>
  <c r="C164" i="35"/>
  <c r="B41" i="35"/>
  <c r="B162" i="35"/>
  <c r="C38" i="35"/>
  <c r="B83" i="35"/>
  <c r="C80" i="35"/>
  <c r="B95" i="35"/>
  <c r="B174" i="35"/>
  <c r="C29" i="35"/>
  <c r="C172" i="35"/>
  <c r="C46" i="35"/>
  <c r="B170" i="35"/>
  <c r="B46" i="35"/>
  <c r="C54" i="35"/>
  <c r="C185" i="35"/>
  <c r="C168" i="35"/>
  <c r="B87" i="35"/>
  <c r="C42" i="35"/>
  <c r="C50" i="35"/>
  <c r="B79" i="35"/>
  <c r="B158" i="35"/>
  <c r="C155" i="35"/>
  <c r="B36" i="35"/>
  <c r="B153" i="35"/>
  <c r="C34" i="35"/>
  <c r="B103" i="35"/>
  <c r="C119" i="35"/>
  <c r="C59" i="35"/>
  <c r="B50" i="35"/>
  <c r="B141" i="35"/>
  <c r="C139" i="35"/>
  <c r="B29" i="35"/>
  <c r="B137" i="35"/>
  <c r="B27" i="35"/>
  <c r="B31" i="35"/>
  <c r="C76" i="35"/>
  <c r="B125" i="35"/>
  <c r="C123" i="35"/>
  <c r="B121" i="35"/>
  <c r="C135" i="35"/>
  <c r="C151" i="35"/>
  <c r="C108" i="35"/>
  <c r="B107" i="35"/>
  <c r="C104" i="35"/>
  <c r="C176" i="35"/>
  <c r="C92" i="35"/>
  <c r="B91" i="35"/>
  <c r="C88" i="35"/>
  <c r="C143" i="35"/>
  <c r="C47" i="35"/>
  <c r="B75" i="35"/>
  <c r="C72" i="35"/>
  <c r="C127" i="35"/>
  <c r="B37" i="35"/>
  <c r="C189" i="35"/>
  <c r="B58" i="35"/>
  <c r="B187" i="35"/>
  <c r="C55" i="35"/>
  <c r="C33" i="35"/>
  <c r="B71" i="35"/>
  <c r="D26" i="34" a="1"/>
  <c r="D26" i="34" s="1"/>
  <c r="D26" i="36" a="1"/>
  <c r="D26" i="36" s="1"/>
  <c r="D26" i="35" a="1"/>
  <c r="D26" i="35" s="1"/>
  <c r="D26" i="33" a="1"/>
  <c r="D26" i="33" s="1"/>
  <c r="B181" i="36"/>
  <c r="B147" i="36"/>
  <c r="B115" i="36"/>
  <c r="C82" i="36"/>
  <c r="C49" i="36"/>
  <c r="C180" i="36"/>
  <c r="C146" i="36"/>
  <c r="C114" i="36"/>
  <c r="B82" i="36"/>
  <c r="B49" i="36"/>
  <c r="B163" i="36"/>
  <c r="B130" i="36"/>
  <c r="C97" i="36"/>
  <c r="C64" i="36"/>
  <c r="C31" i="36"/>
  <c r="C170" i="36"/>
  <c r="C137" i="36"/>
  <c r="B105" i="36"/>
  <c r="B73" i="36"/>
  <c r="B39" i="36"/>
  <c r="B183" i="36"/>
  <c r="B149" i="36"/>
  <c r="B117" i="36"/>
  <c r="C84" i="36"/>
  <c r="C51" i="36"/>
  <c r="B169" i="36"/>
  <c r="B136" i="36"/>
  <c r="C103" i="36"/>
  <c r="C71" i="36"/>
  <c r="C37" i="36"/>
  <c r="C185" i="36"/>
  <c r="C151" i="36"/>
  <c r="C119" i="36"/>
  <c r="B87" i="36"/>
  <c r="B54" i="36"/>
  <c r="B38" i="36"/>
  <c r="C165" i="36"/>
  <c r="C128" i="36"/>
  <c r="B176" i="36"/>
  <c r="B143" i="36"/>
  <c r="C111" i="36"/>
  <c r="C78" i="36"/>
  <c r="C44" i="36"/>
  <c r="C175" i="36"/>
  <c r="C142" i="36"/>
  <c r="B111" i="36"/>
  <c r="B78" i="36"/>
  <c r="B44" i="36"/>
  <c r="B159" i="36"/>
  <c r="B126" i="36"/>
  <c r="C93" i="36"/>
  <c r="C60" i="36"/>
  <c r="C166" i="36"/>
  <c r="C133" i="36"/>
  <c r="B101" i="36"/>
  <c r="B68" i="36"/>
  <c r="B35" i="36"/>
  <c r="B179" i="36"/>
  <c r="B145" i="36"/>
  <c r="B113" i="36"/>
  <c r="C80" i="36"/>
  <c r="C47" i="36"/>
  <c r="B165" i="36"/>
  <c r="B132" i="36"/>
  <c r="C99" i="36"/>
  <c r="C66" i="36"/>
  <c r="C33" i="36"/>
  <c r="C181" i="36"/>
  <c r="C147" i="36"/>
  <c r="C115" i="36"/>
  <c r="B83" i="36"/>
  <c r="B50" i="36"/>
  <c r="C132" i="36"/>
  <c r="B96" i="36"/>
  <c r="B172" i="36"/>
  <c r="B139" i="36"/>
  <c r="C106" i="36"/>
  <c r="C74" i="36"/>
  <c r="C40" i="36"/>
  <c r="C171" i="36"/>
  <c r="C138" i="36"/>
  <c r="B106" i="36"/>
  <c r="B74" i="36"/>
  <c r="B40" i="36"/>
  <c r="B188" i="36"/>
  <c r="B154" i="36"/>
  <c r="B122" i="36"/>
  <c r="C89" i="36"/>
  <c r="C56" i="36"/>
  <c r="C162" i="36"/>
  <c r="C129" i="36"/>
  <c r="B97" i="36"/>
  <c r="B64" i="36"/>
  <c r="B31" i="36"/>
  <c r="B174" i="36"/>
  <c r="B141" i="36"/>
  <c r="C108" i="36"/>
  <c r="C76" i="36"/>
  <c r="C42" i="36"/>
  <c r="B161" i="36"/>
  <c r="B128" i="36"/>
  <c r="C95" i="36"/>
  <c r="C62" i="36"/>
  <c r="C176" i="36"/>
  <c r="C143" i="36"/>
  <c r="B112" i="36"/>
  <c r="B79" i="36"/>
  <c r="B46" i="36"/>
  <c r="B100" i="36"/>
  <c r="B63" i="36"/>
  <c r="B168" i="36"/>
  <c r="B135" i="36"/>
  <c r="C102" i="36"/>
  <c r="C70" i="36"/>
  <c r="C36" i="36"/>
  <c r="C167" i="36"/>
  <c r="C134" i="36"/>
  <c r="B102" i="36"/>
  <c r="B70" i="36"/>
  <c r="B36" i="36"/>
  <c r="B184" i="36"/>
  <c r="B150" i="36"/>
  <c r="B118" i="36"/>
  <c r="C85" i="36"/>
  <c r="C52" i="36"/>
  <c r="C158" i="36"/>
  <c r="C125" i="36"/>
  <c r="B93" i="36"/>
  <c r="B60" i="36"/>
  <c r="B170" i="36"/>
  <c r="B137" i="36"/>
  <c r="C104" i="36"/>
  <c r="C72" i="36"/>
  <c r="C38" i="36"/>
  <c r="B157" i="36"/>
  <c r="B124" i="36"/>
  <c r="C91" i="36"/>
  <c r="C58" i="36"/>
  <c r="C172" i="36"/>
  <c r="C139" i="36"/>
  <c r="B107" i="36"/>
  <c r="B75" i="36"/>
  <c r="B41" i="36"/>
  <c r="B67" i="36"/>
  <c r="B29" i="36"/>
  <c r="B164" i="36"/>
  <c r="B131" i="36"/>
  <c r="C98" i="36"/>
  <c r="C65" i="36"/>
  <c r="C32" i="36"/>
  <c r="C163" i="36"/>
  <c r="C130" i="36"/>
  <c r="B98" i="36"/>
  <c r="B65" i="36"/>
  <c r="B32" i="36"/>
  <c r="B180" i="36"/>
  <c r="B146" i="36"/>
  <c r="B114" i="36"/>
  <c r="C81" i="36"/>
  <c r="C48" i="36"/>
  <c r="C187" i="36"/>
  <c r="C153" i="36"/>
  <c r="C121" i="36"/>
  <c r="B89" i="36"/>
  <c r="B56" i="36"/>
  <c r="B166" i="36"/>
  <c r="B133" i="36"/>
  <c r="C100" i="36"/>
  <c r="C67" i="36"/>
  <c r="C34" i="36"/>
  <c r="B186" i="36"/>
  <c r="B152" i="36"/>
  <c r="B120" i="36"/>
  <c r="C87" i="36"/>
  <c r="C54" i="36"/>
  <c r="C168" i="36"/>
  <c r="C135" i="36"/>
  <c r="B103" i="36"/>
  <c r="B71" i="36"/>
  <c r="B37" i="36"/>
  <c r="C169" i="36"/>
  <c r="B160" i="36"/>
  <c r="B127" i="36"/>
  <c r="C94" i="36"/>
  <c r="C61" i="36"/>
  <c r="C159" i="36"/>
  <c r="C126" i="36"/>
  <c r="B94" i="36"/>
  <c r="B61" i="36"/>
  <c r="B175" i="36"/>
  <c r="B142" i="36"/>
  <c r="C109" i="36"/>
  <c r="C77" i="36"/>
  <c r="C43" i="36"/>
  <c r="C183" i="36"/>
  <c r="C149" i="36"/>
  <c r="C117" i="36"/>
  <c r="B85" i="36"/>
  <c r="B52" i="36"/>
  <c r="B162" i="36"/>
  <c r="B129" i="36"/>
  <c r="C96" i="36"/>
  <c r="C63" i="36"/>
  <c r="C29" i="36"/>
  <c r="B182" i="36"/>
  <c r="B148" i="36"/>
  <c r="B116" i="36"/>
  <c r="C83" i="36"/>
  <c r="C50" i="36"/>
  <c r="C164" i="36"/>
  <c r="C131" i="36"/>
  <c r="B99" i="36"/>
  <c r="B66" i="36"/>
  <c r="B33" i="36"/>
  <c r="C136" i="36"/>
  <c r="C124" i="36"/>
  <c r="B189" i="36"/>
  <c r="B155" i="36"/>
  <c r="B123" i="36"/>
  <c r="C90" i="36"/>
  <c r="C57" i="36"/>
  <c r="C188" i="36"/>
  <c r="C154" i="36"/>
  <c r="C122" i="36"/>
  <c r="B90" i="36"/>
  <c r="B57" i="36"/>
  <c r="B171" i="36"/>
  <c r="B138" i="36"/>
  <c r="C105" i="36"/>
  <c r="C73" i="36"/>
  <c r="C39" i="36"/>
  <c r="C179" i="36"/>
  <c r="C145" i="36"/>
  <c r="C113" i="36"/>
  <c r="B81" i="36"/>
  <c r="B48" i="36"/>
  <c r="B158" i="36"/>
  <c r="B125" i="36"/>
  <c r="C92" i="36"/>
  <c r="C59" i="36"/>
  <c r="B177" i="36"/>
  <c r="B144" i="36"/>
  <c r="C112" i="36"/>
  <c r="C79" i="36"/>
  <c r="C46" i="36"/>
  <c r="C160" i="36"/>
  <c r="C127" i="36"/>
  <c r="B95" i="36"/>
  <c r="B62" i="36"/>
  <c r="B104" i="36"/>
  <c r="B185" i="36"/>
  <c r="B151" i="36"/>
  <c r="B119" i="36"/>
  <c r="C86" i="36"/>
  <c r="C53" i="36"/>
  <c r="C184" i="36"/>
  <c r="C150" i="36"/>
  <c r="C118" i="36"/>
  <c r="B86" i="36"/>
  <c r="B53" i="36"/>
  <c r="B167" i="36"/>
  <c r="B134" i="36"/>
  <c r="C101" i="36"/>
  <c r="C68" i="36"/>
  <c r="C35" i="36"/>
  <c r="C174" i="36"/>
  <c r="C141" i="36"/>
  <c r="B109" i="36"/>
  <c r="B77" i="36"/>
  <c r="B43" i="36"/>
  <c r="B187" i="36"/>
  <c r="B153" i="36"/>
  <c r="B121" i="36"/>
  <c r="C88" i="36"/>
  <c r="C55" i="36"/>
  <c r="B173" i="36"/>
  <c r="B140" i="36"/>
  <c r="C107" i="36"/>
  <c r="C75" i="36"/>
  <c r="C41" i="36"/>
  <c r="C189" i="36"/>
  <c r="C155" i="36"/>
  <c r="C123" i="36"/>
  <c r="B91" i="36"/>
  <c r="B58" i="36"/>
  <c r="B72" i="36"/>
  <c r="C161" i="36"/>
  <c r="C182" i="36"/>
  <c r="C177" i="36"/>
  <c r="B42" i="36"/>
  <c r="C157" i="36"/>
  <c r="C148" i="36"/>
  <c r="C144" i="36"/>
  <c r="B92" i="36"/>
  <c r="C186" i="36"/>
  <c r="C116" i="36"/>
  <c r="D112" i="36" a="1"/>
  <c r="D112" i="36" s="1"/>
  <c r="B59" i="36"/>
  <c r="C152" i="36"/>
  <c r="B84" i="36"/>
  <c r="B80" i="36"/>
  <c r="C120" i="36"/>
  <c r="B51" i="36"/>
  <c r="B47" i="36"/>
  <c r="C173" i="36"/>
  <c r="B88" i="36"/>
  <c r="C140" i="36"/>
  <c r="B34" i="36"/>
  <c r="B55" i="36"/>
  <c r="B108" i="36"/>
  <c r="B76" i="36"/>
  <c r="B194" i="36"/>
  <c r="B195" i="34"/>
  <c r="C157" i="34"/>
  <c r="C124" i="34"/>
  <c r="B92" i="34"/>
  <c r="B59" i="34"/>
  <c r="C155" i="34"/>
  <c r="B161" i="34"/>
  <c r="B128" i="34"/>
  <c r="C95" i="34"/>
  <c r="C62" i="34"/>
  <c r="B12" i="34"/>
  <c r="C135" i="34"/>
  <c r="B195" i="36"/>
  <c r="C186" i="34"/>
  <c r="C182" i="34"/>
  <c r="C148" i="34"/>
  <c r="C116" i="34"/>
  <c r="B84" i="34"/>
  <c r="B51" i="34"/>
  <c r="C139" i="34"/>
  <c r="B186" i="34"/>
  <c r="B152" i="34"/>
  <c r="B120" i="34"/>
  <c r="B12" i="36"/>
  <c r="C177" i="34"/>
  <c r="C144" i="34"/>
  <c r="D112" i="34" a="1"/>
  <c r="D112" i="34" s="1"/>
  <c r="B80" i="34"/>
  <c r="B47" i="34"/>
  <c r="C195" i="36"/>
  <c r="C169" i="34"/>
  <c r="C136" i="34"/>
  <c r="B104" i="34"/>
  <c r="B72" i="34"/>
  <c r="B38" i="34"/>
  <c r="C195" i="35"/>
  <c r="B173" i="34"/>
  <c r="B140" i="34"/>
  <c r="C107" i="34"/>
  <c r="C75" i="34"/>
  <c r="C41" i="34"/>
  <c r="C172" i="34"/>
  <c r="C187" i="34"/>
  <c r="C183" i="34"/>
  <c r="C161" i="34"/>
  <c r="C128" i="34"/>
  <c r="B96" i="34"/>
  <c r="B63" i="34"/>
  <c r="C173" i="34"/>
  <c r="B88" i="34"/>
  <c r="C131" i="34"/>
  <c r="B194" i="34"/>
  <c r="B136" i="34"/>
  <c r="C87" i="34"/>
  <c r="C46" i="34"/>
  <c r="C151" i="34"/>
  <c r="C167" i="34"/>
  <c r="C134" i="34"/>
  <c r="B102" i="34"/>
  <c r="B70" i="34"/>
  <c r="B36" i="34"/>
  <c r="C158" i="34"/>
  <c r="C98" i="34"/>
  <c r="B46" i="34"/>
  <c r="C84" i="34"/>
  <c r="B141" i="34"/>
  <c r="B85" i="34"/>
  <c r="C31" i="34"/>
  <c r="C77" i="34"/>
  <c r="B159" i="34"/>
  <c r="B138" i="34"/>
  <c r="B83" i="34"/>
  <c r="C29" i="34"/>
  <c r="B189" i="34"/>
  <c r="C82" i="34"/>
  <c r="B175" i="34"/>
  <c r="C179" i="34"/>
  <c r="C42" i="34"/>
  <c r="B75" i="34"/>
  <c r="C60" i="34"/>
  <c r="C165" i="34"/>
  <c r="B76" i="34"/>
  <c r="B182" i="34"/>
  <c r="B132" i="34"/>
  <c r="C83" i="34"/>
  <c r="C37" i="34"/>
  <c r="C123" i="34"/>
  <c r="B12" i="35"/>
  <c r="C163" i="34"/>
  <c r="C130" i="34"/>
  <c r="B98" i="34"/>
  <c r="B65" i="34"/>
  <c r="B32" i="34"/>
  <c r="C149" i="34"/>
  <c r="C92" i="34"/>
  <c r="B39" i="34"/>
  <c r="B71" i="34"/>
  <c r="B170" i="34"/>
  <c r="B187" i="34"/>
  <c r="B133" i="34"/>
  <c r="C78" i="34"/>
  <c r="B181" i="34"/>
  <c r="B64" i="34"/>
  <c r="B153" i="34"/>
  <c r="B176" i="34"/>
  <c r="B134" i="34"/>
  <c r="B130" i="34"/>
  <c r="B77" i="34"/>
  <c r="C170" i="34"/>
  <c r="C68" i="34"/>
  <c r="B179" i="34"/>
  <c r="B168" i="34"/>
  <c r="B150" i="34"/>
  <c r="C145" i="34"/>
  <c r="B41" i="34"/>
  <c r="C34" i="34"/>
  <c r="C152" i="34"/>
  <c r="B67" i="34"/>
  <c r="B177" i="34"/>
  <c r="B124" i="34"/>
  <c r="C79" i="34"/>
  <c r="C33" i="34"/>
  <c r="C159" i="34"/>
  <c r="C126" i="34"/>
  <c r="B94" i="34"/>
  <c r="B61" i="34"/>
  <c r="C141" i="34"/>
  <c r="C85" i="34"/>
  <c r="C32" i="34"/>
  <c r="B172" i="34"/>
  <c r="C57" i="34"/>
  <c r="B145" i="34"/>
  <c r="B151" i="34"/>
  <c r="B167" i="34"/>
  <c r="B125" i="34"/>
  <c r="C72" i="34"/>
  <c r="B164" i="34"/>
  <c r="C51" i="34"/>
  <c r="B114" i="34"/>
  <c r="B135" i="34"/>
  <c r="B113" i="34"/>
  <c r="B122" i="34"/>
  <c r="C70" i="34"/>
  <c r="C162" i="34"/>
  <c r="B56" i="34"/>
  <c r="B137" i="34"/>
  <c r="B127" i="34"/>
  <c r="B119" i="34"/>
  <c r="C129" i="34"/>
  <c r="C140" i="34"/>
  <c r="B55" i="34"/>
  <c r="B169" i="34"/>
  <c r="B116" i="34"/>
  <c r="C71" i="34"/>
  <c r="C189" i="34"/>
  <c r="C188" i="34"/>
  <c r="C154" i="34"/>
  <c r="C122" i="34"/>
  <c r="B90" i="34"/>
  <c r="B57" i="34"/>
  <c r="C133" i="34"/>
  <c r="B79" i="34"/>
  <c r="B155" i="34"/>
  <c r="C43" i="34"/>
  <c r="B121" i="34"/>
  <c r="C119" i="34"/>
  <c r="B126" i="34"/>
  <c r="B183" i="34"/>
  <c r="C117" i="34"/>
  <c r="C64" i="34"/>
  <c r="B147" i="34"/>
  <c r="B37" i="34"/>
  <c r="C88" i="34"/>
  <c r="C106" i="34"/>
  <c r="B93" i="34"/>
  <c r="B180" i="34"/>
  <c r="C115" i="34"/>
  <c r="C63" i="34"/>
  <c r="C153" i="34"/>
  <c r="C49" i="34"/>
  <c r="B107" i="34"/>
  <c r="C100" i="34"/>
  <c r="C86" i="34"/>
  <c r="B115" i="34"/>
  <c r="C132" i="34"/>
  <c r="B42" i="34"/>
  <c r="B165" i="34"/>
  <c r="C112" i="34"/>
  <c r="C66" i="34"/>
  <c r="B195" i="35"/>
  <c r="C176" i="34"/>
  <c r="C184" i="34"/>
  <c r="C150" i="34"/>
  <c r="C118" i="34"/>
  <c r="B86" i="34"/>
  <c r="B53" i="34"/>
  <c r="C125" i="34"/>
  <c r="B73" i="34"/>
  <c r="B139" i="34"/>
  <c r="B31" i="34"/>
  <c r="C94" i="34"/>
  <c r="C93" i="34"/>
  <c r="B99" i="34"/>
  <c r="B174" i="34"/>
  <c r="C111" i="34"/>
  <c r="B58" i="34"/>
  <c r="B131" i="34"/>
  <c r="C61" i="34"/>
  <c r="C74" i="34"/>
  <c r="B66" i="34"/>
  <c r="B171" i="34"/>
  <c r="B109" i="34"/>
  <c r="C56" i="34"/>
  <c r="C137" i="34"/>
  <c r="C35" i="34"/>
  <c r="C81" i="34"/>
  <c r="B81" i="34"/>
  <c r="B60" i="34"/>
  <c r="C101" i="34"/>
  <c r="B188" i="34"/>
  <c r="B160" i="34"/>
  <c r="B142" i="34"/>
  <c r="C120" i="34"/>
  <c r="B34" i="34"/>
  <c r="C181" i="34"/>
  <c r="B157" i="34"/>
  <c r="C103" i="34"/>
  <c r="C58" i="34"/>
  <c r="C164" i="34"/>
  <c r="C194" i="35"/>
  <c r="C180" i="34"/>
  <c r="C146" i="34"/>
  <c r="C114" i="34"/>
  <c r="B82" i="34"/>
  <c r="B49" i="34"/>
  <c r="B184" i="34"/>
  <c r="B118" i="34"/>
  <c r="C65" i="34"/>
  <c r="B123" i="34"/>
  <c r="B68" i="34"/>
  <c r="C67" i="34"/>
  <c r="C73" i="34"/>
  <c r="B166" i="34"/>
  <c r="C104" i="34"/>
  <c r="B52" i="34"/>
  <c r="B117" i="34"/>
  <c r="B35" i="34"/>
  <c r="B48" i="34"/>
  <c r="C47" i="34"/>
  <c r="B163" i="34"/>
  <c r="C102" i="34"/>
  <c r="B50" i="34"/>
  <c r="C121" i="34"/>
  <c r="C55" i="34"/>
  <c r="C40" i="34"/>
  <c r="B33" i="34"/>
  <c r="B89" i="34"/>
  <c r="B162" i="34"/>
  <c r="B143" i="34"/>
  <c r="C105" i="34"/>
  <c r="B108" i="34"/>
  <c r="B29" i="34"/>
  <c r="C168" i="34"/>
  <c r="B148" i="34"/>
  <c r="C99" i="34"/>
  <c r="C54" i="34"/>
  <c r="C185" i="34"/>
  <c r="C143" i="34"/>
  <c r="B194" i="35"/>
  <c r="C175" i="34"/>
  <c r="C142" i="34"/>
  <c r="B111" i="34"/>
  <c r="B78" i="34"/>
  <c r="B44" i="34"/>
  <c r="C174" i="34"/>
  <c r="B112" i="34"/>
  <c r="C59" i="34"/>
  <c r="C109" i="34"/>
  <c r="C48" i="34"/>
  <c r="B54" i="34"/>
  <c r="C39" i="34"/>
  <c r="B158" i="34"/>
  <c r="C97" i="34"/>
  <c r="C44" i="34"/>
  <c r="B103" i="34"/>
  <c r="B154" i="34"/>
  <c r="C96" i="34"/>
  <c r="B43" i="34"/>
  <c r="C108" i="34"/>
  <c r="C76" i="34"/>
  <c r="B129" i="34"/>
  <c r="C113" i="34"/>
  <c r="C80" i="34"/>
  <c r="C194" i="36"/>
  <c r="B100" i="34"/>
  <c r="C147" i="34"/>
  <c r="B144" i="34"/>
  <c r="C91" i="34"/>
  <c r="C50" i="34"/>
  <c r="C160" i="34"/>
  <c r="C127" i="34"/>
  <c r="C171" i="34"/>
  <c r="C138" i="34"/>
  <c r="B106" i="34"/>
  <c r="B74" i="34"/>
  <c r="B40" i="34"/>
  <c r="C166" i="34"/>
  <c r="B105" i="34"/>
  <c r="C52" i="34"/>
  <c r="B97" i="34"/>
  <c r="B149" i="34"/>
  <c r="B91" i="34"/>
  <c r="C38" i="34"/>
  <c r="C90" i="34"/>
  <c r="B185" i="34"/>
  <c r="B146" i="34"/>
  <c r="C89" i="34"/>
  <c r="C36" i="34"/>
  <c r="B95" i="34"/>
  <c r="B62" i="34"/>
  <c r="B101" i="34"/>
  <c r="B87" i="34"/>
  <c r="C53" i="34"/>
  <c r="D14" i="24" a="1"/>
  <c r="D14" i="24" s="1"/>
  <c r="D14" i="23" a="1"/>
  <c r="D14" i="23" s="1"/>
  <c r="D14" i="25" a="1"/>
  <c r="D14" i="25" s="1"/>
  <c r="D14" i="22" a="1"/>
  <c r="D14" i="22" s="1"/>
  <c r="D26" i="30" a="1"/>
  <c r="D26" i="30" s="1"/>
  <c r="D26" i="31" a="1"/>
  <c r="D26" i="31" s="1"/>
  <c r="D26" i="29" a="1"/>
  <c r="D26" i="29" s="1"/>
  <c r="D26" i="32" a="1"/>
  <c r="D26" i="32" s="1"/>
  <c r="D26" i="28" a="1"/>
  <c r="D26" i="28" s="1"/>
  <c r="A25" i="28" a="1"/>
  <c r="A25" i="28" s="1"/>
  <c r="D222" i="30" a="1"/>
  <c r="D222" i="30" s="1"/>
  <c r="B198" i="30"/>
  <c r="B228" i="30"/>
  <c r="B195" i="30"/>
  <c r="C222" i="30" a="1"/>
  <c r="C222" i="30" s="1"/>
  <c r="D194" i="30" a="1"/>
  <c r="D194" i="30" s="1"/>
  <c r="B244" i="30"/>
  <c r="C218" i="30" a="1"/>
  <c r="C218" i="30" s="1"/>
  <c r="B239" i="30"/>
  <c r="C198" i="30" a="1"/>
  <c r="C198" i="30" s="1"/>
  <c r="C170" i="30" a="1"/>
  <c r="C170" i="30" s="1"/>
  <c r="D118" i="30" a="1"/>
  <c r="D118" i="30" s="1"/>
  <c r="D78" i="30" a="1"/>
  <c r="D78" i="30" s="1"/>
  <c r="B224" i="30"/>
  <c r="C181" i="30" a="1"/>
  <c r="C181" i="30" s="1"/>
  <c r="B155" i="30"/>
  <c r="D116" i="30" a="1"/>
  <c r="D116" i="30" s="1"/>
  <c r="D92" i="30" a="1"/>
  <c r="D92" i="30" s="1"/>
  <c r="B66" i="30"/>
  <c r="B196" i="30"/>
  <c r="C169" i="30" a="1"/>
  <c r="C169" i="30" s="1"/>
  <c r="B145" i="30"/>
  <c r="C110" i="30" a="1"/>
  <c r="C110" i="30" s="1"/>
  <c r="D84" i="30" a="1"/>
  <c r="D84" i="30" s="1"/>
  <c r="C59" i="30" a="1"/>
  <c r="C59" i="30" s="1"/>
  <c r="D195" i="30" a="1"/>
  <c r="D195" i="30" s="1"/>
  <c r="C161" i="30" a="1"/>
  <c r="C161" i="30" s="1"/>
  <c r="B138" i="30"/>
  <c r="B106" i="30"/>
  <c r="C80" i="30" a="1"/>
  <c r="C80" i="30" s="1"/>
  <c r="C211" i="30" a="1"/>
  <c r="C211" i="30" s="1"/>
  <c r="B178" i="30"/>
  <c r="C149" i="30" a="1"/>
  <c r="C149" i="30" s="1"/>
  <c r="C115" i="30" a="1"/>
  <c r="C115" i="30" s="1"/>
  <c r="C93" i="30" a="1"/>
  <c r="C93" i="30" s="1"/>
  <c r="C226" i="30" a="1"/>
  <c r="C226" i="30" s="1"/>
  <c r="B117" i="30"/>
  <c r="C75" i="30" a="1"/>
  <c r="C75" i="30" s="1"/>
  <c r="B43" i="30"/>
  <c r="C174" i="30" a="1"/>
  <c r="C174" i="30" s="1"/>
  <c r="B105" i="30"/>
  <c r="D58" i="30" a="1"/>
  <c r="D58" i="30" s="1"/>
  <c r="B31" i="30"/>
  <c r="C241" i="30" a="1"/>
  <c r="C241" i="30" s="1"/>
  <c r="C216" i="30" a="1"/>
  <c r="C216" i="30" s="1"/>
  <c r="D220" i="30" a="1"/>
  <c r="D220" i="30" s="1"/>
  <c r="C190" i="30" a="1"/>
  <c r="C190" i="30" s="1"/>
  <c r="C244" i="30" a="1"/>
  <c r="C244" i="30" s="1"/>
  <c r="C215" i="30" a="1"/>
  <c r="C215" i="30" s="1"/>
  <c r="B190" i="30"/>
  <c r="B237" i="30" a="1"/>
  <c r="B237" i="30" s="1"/>
  <c r="D211" i="30" a="1"/>
  <c r="D211" i="30" s="1"/>
  <c r="B189" i="30"/>
  <c r="B164" i="30"/>
  <c r="D106" i="30" a="1"/>
  <c r="D106" i="30" s="1"/>
  <c r="C74" i="30" a="1"/>
  <c r="C74" i="30" s="1"/>
  <c r="C209" i="30" a="1"/>
  <c r="C209" i="30" s="1"/>
  <c r="B173" i="30"/>
  <c r="C145" i="30" a="1"/>
  <c r="C145" i="30" s="1"/>
  <c r="C112" i="30" a="1"/>
  <c r="C112" i="30" s="1"/>
  <c r="D86" i="30" a="1"/>
  <c r="D86" i="30" s="1"/>
  <c r="C236" i="30" a="1"/>
  <c r="C236" i="30" s="1"/>
  <c r="D185" i="30" a="1"/>
  <c r="D185" i="30" s="1"/>
  <c r="D163" i="30" a="1"/>
  <c r="D163" i="30" s="1"/>
  <c r="C138" i="30" a="1"/>
  <c r="C138" i="30" s="1"/>
  <c r="C106" i="30" a="1"/>
  <c r="C106" i="30" s="1"/>
  <c r="C76" i="30" a="1"/>
  <c r="C76" i="30" s="1"/>
  <c r="C243" i="30" a="1"/>
  <c r="C243" i="30" s="1"/>
  <c r="B183" i="30"/>
  <c r="C156" i="30" a="1"/>
  <c r="C156" i="30" s="1"/>
  <c r="D119" i="30" a="1"/>
  <c r="D119" i="30" s="1"/>
  <c r="C94" i="30" a="1"/>
  <c r="C94" i="30" s="1"/>
  <c r="B76" i="30"/>
  <c r="C199" i="30" a="1"/>
  <c r="C199" i="30" s="1"/>
  <c r="B174" i="30"/>
  <c r="C139" i="30" a="1"/>
  <c r="C139" i="30" s="1"/>
  <c r="B111" i="30"/>
  <c r="C89" i="30" a="1"/>
  <c r="C89" i="30" s="1"/>
  <c r="C180" i="30" a="1"/>
  <c r="C180" i="30" s="1"/>
  <c r="C105" i="30" a="1"/>
  <c r="C105" i="30" s="1"/>
  <c r="B60" i="30"/>
  <c r="B35" i="30"/>
  <c r="B160" i="30"/>
  <c r="B93" i="30"/>
  <c r="C53" i="30" a="1"/>
  <c r="C53" i="30" s="1"/>
  <c r="C238" i="30" a="1"/>
  <c r="C238" i="30" s="1"/>
  <c r="C212" i="30" a="1"/>
  <c r="C212" i="30" s="1"/>
  <c r="B216" i="30"/>
  <c r="C240" i="30" a="1"/>
  <c r="C240" i="30" s="1"/>
  <c r="B210" i="30"/>
  <c r="C233" i="30" a="1"/>
  <c r="C233" i="30" s="1"/>
  <c r="B207" i="30"/>
  <c r="B232" i="30"/>
  <c r="C186" i="30" a="1"/>
  <c r="C186" i="30" s="1"/>
  <c r="C155" i="30" a="1"/>
  <c r="C155" i="30" s="1"/>
  <c r="B102" i="30"/>
  <c r="B70" i="30"/>
  <c r="C202" i="30" a="1"/>
  <c r="C202" i="30" s="1"/>
  <c r="B170" i="30"/>
  <c r="C143" i="30" a="1"/>
  <c r="C143" i="30" s="1"/>
  <c r="C108" i="30" a="1"/>
  <c r="C108" i="30" s="1"/>
  <c r="D82" i="30" a="1"/>
  <c r="D82" i="30" s="1"/>
  <c r="C229" i="30" a="1"/>
  <c r="C229" i="30" s="1"/>
  <c r="C183" i="30" a="1"/>
  <c r="C183" i="30" s="1"/>
  <c r="B159" i="30"/>
  <c r="B136" i="30"/>
  <c r="B104" i="30"/>
  <c r="D73" i="30" a="1"/>
  <c r="D73" i="30" s="1"/>
  <c r="B236" i="30"/>
  <c r="D180" i="30" a="1"/>
  <c r="D180" i="30" s="1"/>
  <c r="B154" i="30"/>
  <c r="B118" i="30"/>
  <c r="C92" i="30" a="1"/>
  <c r="C92" i="30" s="1"/>
  <c r="C68" i="30" a="1"/>
  <c r="C68" i="30" s="1"/>
  <c r="B194" i="30"/>
  <c r="C171" i="30" a="1"/>
  <c r="C171" i="30" s="1"/>
  <c r="B137" i="30"/>
  <c r="C109" i="30" a="1"/>
  <c r="C109" i="30" s="1"/>
  <c r="D174" i="30" a="1"/>
  <c r="D174" i="30" s="1"/>
  <c r="B100" i="30"/>
  <c r="B54" i="30"/>
  <c r="C31" i="30" a="1"/>
  <c r="C31" i="30" s="1"/>
  <c r="B242" i="30"/>
  <c r="C153" i="30" a="1"/>
  <c r="C153" i="30" s="1"/>
  <c r="B84" i="30"/>
  <c r="D50" i="30" a="1"/>
  <c r="D50" i="30" s="1"/>
  <c r="C228" i="30" a="1"/>
  <c r="C228" i="30" s="1"/>
  <c r="C204" i="30" a="1"/>
  <c r="C204" i="30" s="1"/>
  <c r="C234" i="30" a="1"/>
  <c r="C234" i="30" s="1"/>
  <c r="B204" i="30"/>
  <c r="D227" i="30" a="1"/>
  <c r="D227" i="30" s="1"/>
  <c r="C200" i="30" a="1"/>
  <c r="C200" i="30" s="1"/>
  <c r="B222" i="30"/>
  <c r="D196" i="30" a="1"/>
  <c r="D196" i="30" s="1"/>
  <c r="B217" i="30"/>
  <c r="D177" i="30" a="1"/>
  <c r="D177" i="30" s="1"/>
  <c r="D138" i="30" a="1"/>
  <c r="D138" i="30" s="1"/>
  <c r="D90" i="30" a="1"/>
  <c r="D90" i="30" s="1"/>
  <c r="D188" i="30" a="1"/>
  <c r="D188" i="30" s="1"/>
  <c r="C159" i="30" a="1"/>
  <c r="C159" i="30" s="1"/>
  <c r="B134" i="30"/>
  <c r="C99" i="30" a="1"/>
  <c r="C99" i="30" s="1"/>
  <c r="C72" i="30" a="1"/>
  <c r="C72" i="30" s="1"/>
  <c r="B209" i="30"/>
  <c r="C177" i="30" a="1"/>
  <c r="C177" i="30" s="1"/>
  <c r="C151" i="30" a="1"/>
  <c r="C151" i="30" s="1"/>
  <c r="C114" i="30" a="1"/>
  <c r="C114" i="30" s="1"/>
  <c r="D96" i="30" a="1"/>
  <c r="D96" i="30" s="1"/>
  <c r="C65" i="30" a="1"/>
  <c r="C65" i="30" s="1"/>
  <c r="D219" i="30" a="1"/>
  <c r="D219" i="30" s="1"/>
  <c r="C172" i="30" a="1"/>
  <c r="C172" i="30" s="1"/>
  <c r="C142" i="30" a="1"/>
  <c r="C142" i="30" s="1"/>
  <c r="D111" i="30" a="1"/>
  <c r="D111" i="30" s="1"/>
  <c r="C86" i="30" a="1"/>
  <c r="C86" i="30" s="1"/>
  <c r="C57" i="30" a="1"/>
  <c r="C57" i="30" s="1"/>
  <c r="B227" i="30"/>
  <c r="C182" i="30" a="1"/>
  <c r="C182" i="30" s="1"/>
  <c r="D155" i="30" a="1"/>
  <c r="D155" i="30" s="1"/>
  <c r="B119" i="30"/>
  <c r="D97" i="30" a="1"/>
  <c r="D97" i="30" s="1"/>
  <c r="B146" i="30"/>
  <c r="C84" i="30" a="1"/>
  <c r="C84" i="30" s="1"/>
  <c r="B47" i="30"/>
  <c r="C194" i="30" a="1"/>
  <c r="C194" i="30" s="1"/>
  <c r="C132" i="30" a="1"/>
  <c r="C132" i="30" s="1"/>
  <c r="B71" i="30"/>
  <c r="B39" i="30"/>
  <c r="D225" i="30" a="1"/>
  <c r="D225" i="30" s="1"/>
  <c r="C231" i="30" a="1"/>
  <c r="C231" i="30" s="1"/>
  <c r="B225" i="30"/>
  <c r="C220" i="30" a="1"/>
  <c r="C220" i="30" s="1"/>
  <c r="C242" i="30" a="1"/>
  <c r="C242" i="30" s="1"/>
  <c r="C173" i="30" a="1"/>
  <c r="C173" i="30" s="1"/>
  <c r="B85" i="30"/>
  <c r="B186" i="30"/>
  <c r="C130" i="30" a="1"/>
  <c r="C130" i="30" s="1"/>
  <c r="C69" i="30" a="1"/>
  <c r="C69" i="30" s="1"/>
  <c r="B175" i="30"/>
  <c r="B112" i="30"/>
  <c r="B62" i="30"/>
  <c r="B169" i="30"/>
  <c r="B110" i="30"/>
  <c r="C55" i="30" a="1"/>
  <c r="C55" i="30" s="1"/>
  <c r="B180" i="30"/>
  <c r="C117" i="30" a="1"/>
  <c r="C117" i="30" s="1"/>
  <c r="B243" i="30"/>
  <c r="B80" i="30"/>
  <c r="B116" i="30"/>
  <c r="C34" i="30" a="1"/>
  <c r="C34" i="30" s="1"/>
  <c r="C208" i="30" a="1"/>
  <c r="C208" i="30" s="1"/>
  <c r="D104" i="30" a="1"/>
  <c r="D104" i="30" s="1"/>
  <c r="B56" i="30"/>
  <c r="D176" i="30" a="1"/>
  <c r="D176" i="30" s="1"/>
  <c r="D100" i="30" a="1"/>
  <c r="D100" i="30" s="1"/>
  <c r="C49" i="30" a="1"/>
  <c r="C49" i="30" s="1"/>
  <c r="B115" i="30"/>
  <c r="B27" i="30" a="1"/>
  <c r="B27" i="30" s="1"/>
  <c r="B103" i="30"/>
  <c r="B33" i="30"/>
  <c r="D89" i="30" a="1"/>
  <c r="D89" i="30" s="1"/>
  <c r="B147" i="30"/>
  <c r="B32" i="30"/>
  <c r="B156" i="30"/>
  <c r="C36" i="30" a="1"/>
  <c r="C36" i="30" s="1"/>
  <c r="D117" i="30" a="1"/>
  <c r="D117" i="30" s="1"/>
  <c r="B58" i="30"/>
  <c r="C35" i="30" a="1"/>
  <c r="C35" i="30" s="1"/>
  <c r="C43" i="30" a="1"/>
  <c r="C43" i="30" s="1"/>
  <c r="D210" i="30" a="1"/>
  <c r="D210" i="30" s="1"/>
  <c r="B212" i="30"/>
  <c r="C207" i="30" a="1"/>
  <c r="C207" i="30" s="1"/>
  <c r="B203" i="30"/>
  <c r="B226" i="30"/>
  <c r="B152" i="30"/>
  <c r="C66" i="30" a="1"/>
  <c r="C66" i="30" s="1"/>
  <c r="C166" i="30" a="1"/>
  <c r="C166" i="30" s="1"/>
  <c r="C104" i="30" a="1"/>
  <c r="C104" i="30" s="1"/>
  <c r="D223" i="30" a="1"/>
  <c r="D223" i="30" s="1"/>
  <c r="B157" i="30"/>
  <c r="B101" i="30"/>
  <c r="B229" i="30"/>
  <c r="B151" i="30"/>
  <c r="B90" i="30"/>
  <c r="C162" i="30" a="1"/>
  <c r="C162" i="30" s="1"/>
  <c r="B107" i="30"/>
  <c r="C167" i="30" a="1"/>
  <c r="C167" i="30" s="1"/>
  <c r="B51" i="30"/>
  <c r="B223" i="30"/>
  <c r="C79" i="30" a="1"/>
  <c r="C79" i="30" s="1"/>
  <c r="B165" i="30"/>
  <c r="B92" i="30"/>
  <c r="C48" i="30" a="1"/>
  <c r="C48" i="30" s="1"/>
  <c r="B162" i="30"/>
  <c r="D85" i="30" a="1"/>
  <c r="D85" i="30" s="1"/>
  <c r="D43" i="30" a="1"/>
  <c r="D43" i="30" s="1"/>
  <c r="C221" i="30" a="1"/>
  <c r="C221" i="30" s="1"/>
  <c r="C91" i="30" a="1"/>
  <c r="C91" i="30" s="1"/>
  <c r="C219" i="30" a="1"/>
  <c r="C219" i="30" s="1"/>
  <c r="C73" i="30" a="1"/>
  <c r="C73" i="30" s="1"/>
  <c r="C189" i="30" a="1"/>
  <c r="C189" i="30" s="1"/>
  <c r="B73" i="30"/>
  <c r="B81" i="30"/>
  <c r="D107" i="30" a="1"/>
  <c r="D107" i="30" s="1"/>
  <c r="C58" i="30" a="1"/>
  <c r="C58" i="30" s="1"/>
  <c r="B184" i="30"/>
  <c r="C51" i="30" a="1"/>
  <c r="C51" i="30" s="1"/>
  <c r="B208" i="30"/>
  <c r="C210" i="30" a="1"/>
  <c r="C210" i="30" s="1"/>
  <c r="C203" i="30" a="1"/>
  <c r="C203" i="30" s="1"/>
  <c r="B200" i="30"/>
  <c r="B221" i="30"/>
  <c r="B141" i="30"/>
  <c r="B63" i="30" a="1"/>
  <c r="B63" i="30" s="1"/>
  <c r="D161" i="30" a="1"/>
  <c r="D161" i="30" s="1"/>
  <c r="C101" i="30" a="1"/>
  <c r="C101" i="30" s="1"/>
  <c r="C214" i="30" a="1"/>
  <c r="C214" i="30" s="1"/>
  <c r="C154" i="30" a="1"/>
  <c r="C154" i="30" s="1"/>
  <c r="B99" i="30"/>
  <c r="C223" i="30" a="1"/>
  <c r="C223" i="30" s="1"/>
  <c r="D144" i="30" a="1"/>
  <c r="D144" i="30" s="1"/>
  <c r="C88" i="30" a="1"/>
  <c r="C88" i="30" s="1"/>
  <c r="D232" i="30" a="1"/>
  <c r="D232" i="30" s="1"/>
  <c r="C160" i="30" a="1"/>
  <c r="C160" i="30" s="1"/>
  <c r="C100" i="30" a="1"/>
  <c r="C100" i="30" s="1"/>
  <c r="D160" i="30" a="1"/>
  <c r="D160" i="30" s="1"/>
  <c r="D48" i="30" a="1"/>
  <c r="D48" i="30" s="1"/>
  <c r="B211" i="30"/>
  <c r="B75" i="30"/>
  <c r="C158" i="30" a="1"/>
  <c r="C158" i="30" s="1"/>
  <c r="C87" i="30" a="1"/>
  <c r="C87" i="30" s="1"/>
  <c r="D46" i="30" a="1"/>
  <c r="D46" i="30" s="1"/>
  <c r="C147" i="30" a="1"/>
  <c r="C147" i="30" s="1"/>
  <c r="C81" i="30" a="1"/>
  <c r="C81" i="30" s="1"/>
  <c r="C40" i="30" a="1"/>
  <c r="C40" i="30" s="1"/>
  <c r="C191" i="30" a="1"/>
  <c r="C191" i="30" s="1"/>
  <c r="B83" i="30"/>
  <c r="B191" i="30"/>
  <c r="C61" i="30" a="1"/>
  <c r="C61" i="30" s="1"/>
  <c r="B163" i="30"/>
  <c r="B61" i="30"/>
  <c r="D72" i="30" a="1"/>
  <c r="D72" i="30" s="1"/>
  <c r="B96" i="30"/>
  <c r="C47" i="30" a="1"/>
  <c r="C47" i="30" s="1"/>
  <c r="B172" i="30"/>
  <c r="B168" i="30"/>
  <c r="B109" i="30"/>
  <c r="B233" i="30"/>
  <c r="B235" i="30"/>
  <c r="B241" i="30"/>
  <c r="B234" i="30"/>
  <c r="C230" i="30" a="1"/>
  <c r="C230" i="30" s="1"/>
  <c r="D183" i="30" a="1"/>
  <c r="D183" i="30" s="1"/>
  <c r="D99" i="30" a="1"/>
  <c r="D99" i="30" s="1"/>
  <c r="C196" i="30" a="1"/>
  <c r="C196" i="30" s="1"/>
  <c r="D140" i="30" a="1"/>
  <c r="D140" i="30" s="1"/>
  <c r="D80" i="30" a="1"/>
  <c r="D80" i="30" s="1"/>
  <c r="B181" i="30"/>
  <c r="B130" i="30"/>
  <c r="B72" i="30"/>
  <c r="B179" i="30"/>
  <c r="C116" i="30" a="1"/>
  <c r="C116" i="30" s="1"/>
  <c r="B65" i="30"/>
  <c r="C187" i="30" a="1"/>
  <c r="C187" i="30" s="1"/>
  <c r="D134" i="30" a="1"/>
  <c r="D134" i="30" s="1"/>
  <c r="D93" i="30" a="1"/>
  <c r="D93" i="30" s="1"/>
  <c r="C28" i="30" a="1"/>
  <c r="C28" i="30" s="1"/>
  <c r="C144" i="30" a="1"/>
  <c r="C144" i="30" s="1"/>
  <c r="B45" i="30"/>
  <c r="C239" i="30" a="1"/>
  <c r="C239" i="30" s="1"/>
  <c r="B131" i="30" a="1"/>
  <c r="B131" i="30" s="1"/>
  <c r="D74" i="30" a="1"/>
  <c r="D74" i="30" s="1"/>
  <c r="C37" i="30" a="1"/>
  <c r="C37" i="30" s="1"/>
  <c r="B188" i="30"/>
  <c r="D112" i="30" a="1"/>
  <c r="D112" i="30" s="1"/>
  <c r="D57" i="30" a="1"/>
  <c r="D57" i="30" s="1"/>
  <c r="D28" i="30" a="1"/>
  <c r="D28" i="30" s="1"/>
  <c r="C150" i="30" a="1"/>
  <c r="C150" i="30" s="1"/>
  <c r="B42" i="30"/>
  <c r="D136" i="30" a="1"/>
  <c r="D136" i="30" s="1"/>
  <c r="B46" i="30"/>
  <c r="C113" i="30" a="1"/>
  <c r="C113" i="30" s="1"/>
  <c r="B176" i="30"/>
  <c r="B49" i="30"/>
  <c r="C201" i="30" a="1"/>
  <c r="C201" i="30" s="1"/>
  <c r="D51" i="30" a="1"/>
  <c r="D51" i="30" s="1"/>
  <c r="C205" i="30" a="1"/>
  <c r="C205" i="30" s="1"/>
  <c r="D109" i="30" a="1"/>
  <c r="D109" i="30" s="1"/>
  <c r="B94" i="30"/>
  <c r="D77" i="30" a="1"/>
  <c r="D77" i="30" s="1"/>
  <c r="C97" i="30" a="1"/>
  <c r="C97" i="30" s="1"/>
  <c r="D231" i="30" a="1"/>
  <c r="D231" i="30" s="1"/>
  <c r="B238" i="30"/>
  <c r="B231" i="30"/>
  <c r="C224" i="30" a="1"/>
  <c r="C224" i="30" s="1"/>
  <c r="D179" i="30" a="1"/>
  <c r="D179" i="30" s="1"/>
  <c r="B97" i="30"/>
  <c r="C192" i="30" a="1"/>
  <c r="C192" i="30" s="1"/>
  <c r="C136" i="30" a="1"/>
  <c r="C136" i="30" s="1"/>
  <c r="B74" i="30"/>
  <c r="C179" i="30" a="1"/>
  <c r="C179" i="30" s="1"/>
  <c r="C118" i="30" a="1"/>
  <c r="C118" i="30" s="1"/>
  <c r="B69" i="30"/>
  <c r="B177" i="30"/>
  <c r="B114" i="30"/>
  <c r="B59" i="30"/>
  <c r="C184" i="30" a="1"/>
  <c r="C184" i="30" s="1"/>
  <c r="B132" i="30"/>
  <c r="B88" i="30"/>
  <c r="B139" i="30"/>
  <c r="D42" i="30" a="1"/>
  <c r="D42" i="30" s="1"/>
  <c r="B201" i="30"/>
  <c r="B197" i="30"/>
  <c r="D76" i="30" a="1"/>
  <c r="D76" i="30" s="1"/>
  <c r="C148" i="30" a="1"/>
  <c r="C148" i="30" s="1"/>
  <c r="B202" i="30"/>
  <c r="D52" i="30" a="1"/>
  <c r="D52" i="30" s="1"/>
  <c r="C133" i="30" a="1"/>
  <c r="C133" i="30" s="1"/>
  <c r="D217" i="30" a="1"/>
  <c r="D217" i="30" s="1"/>
  <c r="B187" i="30"/>
  <c r="C64" i="30" a="1"/>
  <c r="C64" i="30" s="1"/>
  <c r="B98" i="30"/>
  <c r="B95" i="30"/>
  <c r="B218" i="30"/>
  <c r="B29" i="30" a="1"/>
  <c r="B29" i="30" s="1"/>
  <c r="B86" i="30"/>
  <c r="D182" i="30" a="1"/>
  <c r="D182" i="30" s="1"/>
  <c r="C146" i="30" a="1"/>
  <c r="C146" i="30" s="1"/>
  <c r="D141" i="30" a="1"/>
  <c r="D141" i="30" s="1"/>
  <c r="C193" i="30" a="1"/>
  <c r="C193" i="30" s="1"/>
  <c r="B220" i="30"/>
  <c r="B113" i="30"/>
  <c r="C30" i="30" a="1"/>
  <c r="C30" i="30" s="1"/>
  <c r="C195" i="30" a="1"/>
  <c r="C195" i="30" s="1"/>
  <c r="B193" i="30"/>
  <c r="D114" i="30" a="1"/>
  <c r="D114" i="30" s="1"/>
  <c r="B192" i="30"/>
  <c r="D103" i="30" a="1"/>
  <c r="D103" i="30" s="1"/>
  <c r="B206" i="30"/>
  <c r="B133" i="30"/>
  <c r="C56" i="30" a="1"/>
  <c r="C56" i="30" s="1"/>
  <c r="C83" i="30" a="1"/>
  <c r="C83" i="30" s="1"/>
  <c r="D228" i="30" a="1"/>
  <c r="D228" i="30" s="1"/>
  <c r="B77" i="30"/>
  <c r="C178" i="30" a="1"/>
  <c r="C178" i="30" s="1"/>
  <c r="C163" i="30" a="1"/>
  <c r="C163" i="30" s="1"/>
  <c r="B149" i="30"/>
  <c r="B30" i="30"/>
  <c r="D143" i="30" a="1"/>
  <c r="D143" i="30" s="1"/>
  <c r="B68" i="30"/>
  <c r="C119" i="30" a="1"/>
  <c r="C119" i="30" s="1"/>
  <c r="C227" i="30" a="1"/>
  <c r="C227" i="30" s="1"/>
  <c r="C168" i="30" a="1"/>
  <c r="C168" i="30" s="1"/>
  <c r="B89" i="30"/>
  <c r="B48" i="30"/>
  <c r="D44" i="30" a="1"/>
  <c r="D44" i="30" s="1"/>
  <c r="B240" i="30"/>
  <c r="D94" i="30" a="1"/>
  <c r="D94" i="30" s="1"/>
  <c r="B166" i="30"/>
  <c r="C82" i="30" a="1"/>
  <c r="C82" i="30" s="1"/>
  <c r="C176" i="30" a="1"/>
  <c r="C176" i="30" s="1"/>
  <c r="C111" i="30" a="1"/>
  <c r="C111" i="30" s="1"/>
  <c r="B28" i="30"/>
  <c r="B79" i="30"/>
  <c r="C217" i="30" a="1"/>
  <c r="C217" i="30" s="1"/>
  <c r="B67" i="30"/>
  <c r="C164" i="30" a="1"/>
  <c r="C164" i="30" s="1"/>
  <c r="B150" i="30"/>
  <c r="C135" i="30" a="1"/>
  <c r="C135" i="30" s="1"/>
  <c r="C232" i="30" a="1"/>
  <c r="C232" i="30" s="1"/>
  <c r="C52" i="30" a="1"/>
  <c r="C52" i="30" s="1"/>
  <c r="B140" i="30"/>
  <c r="C235" i="30" a="1"/>
  <c r="C235" i="30" s="1"/>
  <c r="C96" i="30" a="1"/>
  <c r="C96" i="30" s="1"/>
  <c r="D189" i="30" a="1"/>
  <c r="D189" i="30" s="1"/>
  <c r="D193" i="30" a="1"/>
  <c r="D193" i="30" s="1"/>
  <c r="B230" i="30"/>
  <c r="C45" i="30" a="1"/>
  <c r="C45" i="30" s="1"/>
  <c r="B53" i="30"/>
  <c r="B199" i="30"/>
  <c r="B108" i="30"/>
  <c r="C152" i="30" a="1"/>
  <c r="C152" i="30" s="1"/>
  <c r="B36" i="30"/>
  <c r="D55" i="30" a="1"/>
  <c r="D55" i="30" s="1"/>
  <c r="C60" i="30" a="1"/>
  <c r="C60" i="30" s="1"/>
  <c r="D36" i="30" a="1"/>
  <c r="D36" i="30" s="1"/>
  <c r="B57" i="30"/>
  <c r="B37" i="30"/>
  <c r="C225" i="30" a="1"/>
  <c r="C225" i="30" s="1"/>
  <c r="B215" i="30"/>
  <c r="B205" i="30"/>
  <c r="D88" i="30" a="1"/>
  <c r="D88" i="30" s="1"/>
  <c r="B148" i="30"/>
  <c r="B78" i="30"/>
  <c r="B153" i="30"/>
  <c r="C71" i="30" a="1"/>
  <c r="C71" i="30" s="1"/>
  <c r="D221" i="30" a="1"/>
  <c r="D221" i="30" s="1"/>
  <c r="B64" i="30"/>
  <c r="B182" i="30"/>
  <c r="D54" i="30" a="1"/>
  <c r="D54" i="30" s="1"/>
  <c r="C137" i="30" a="1"/>
  <c r="C137" i="30" s="1"/>
  <c r="D113" i="30" a="1"/>
  <c r="D113" i="30" s="1"/>
  <c r="C102" i="30" a="1"/>
  <c r="C102" i="30" s="1"/>
  <c r="B161" i="30"/>
  <c r="B171" i="30"/>
  <c r="B142" i="30"/>
  <c r="C70" i="30" a="1"/>
  <c r="C70" i="30" s="1"/>
  <c r="C197" i="30" a="1"/>
  <c r="C197" i="30" s="1"/>
  <c r="B214" i="30"/>
  <c r="D45" i="30" a="1"/>
  <c r="D45" i="30" s="1"/>
  <c r="B82" i="30"/>
  <c r="C206" i="30" a="1"/>
  <c r="C206" i="30" s="1"/>
  <c r="C185" i="30" a="1"/>
  <c r="C185" i="30" s="1"/>
  <c r="C141" i="30" a="1"/>
  <c r="C141" i="30" s="1"/>
  <c r="C50" i="30" a="1"/>
  <c r="C50" i="30" s="1"/>
  <c r="B55" i="30"/>
  <c r="C77" i="30" a="1"/>
  <c r="C77" i="30" s="1"/>
  <c r="C134" i="30" a="1"/>
  <c r="C134" i="30" s="1"/>
  <c r="C175" i="30" a="1"/>
  <c r="C175" i="30" s="1"/>
  <c r="C90" i="30" a="1"/>
  <c r="C90" i="30" s="1"/>
  <c r="D158" i="30" a="1"/>
  <c r="D158" i="30" s="1"/>
  <c r="C95" i="30" a="1"/>
  <c r="C95" i="30" s="1"/>
  <c r="C165" i="30" a="1"/>
  <c r="C165" i="30" s="1"/>
  <c r="B144" i="30"/>
  <c r="C42" i="30" a="1"/>
  <c r="C42" i="30" s="1"/>
  <c r="B135" i="30"/>
  <c r="C32" i="30" a="1"/>
  <c r="C32" i="30" s="1"/>
  <c r="C46" i="30" a="1"/>
  <c r="C46" i="30" s="1"/>
  <c r="B50" i="30"/>
  <c r="B41" i="30"/>
  <c r="C54" i="30" a="1"/>
  <c r="C54" i="30" s="1"/>
  <c r="C67" i="30" a="1"/>
  <c r="C67" i="30" s="1"/>
  <c r="C85" i="30" a="1"/>
  <c r="C85" i="30" s="1"/>
  <c r="B44" i="30"/>
  <c r="C62" i="30" a="1"/>
  <c r="C62" i="30" s="1"/>
  <c r="D81" i="30" a="1"/>
  <c r="D81" i="30" s="1"/>
  <c r="B167" i="30"/>
  <c r="C39" i="30" a="1"/>
  <c r="C39" i="30" s="1"/>
  <c r="D157" i="30" a="1"/>
  <c r="D157" i="30" s="1"/>
  <c r="B219" i="30"/>
  <c r="D218" i="30" a="1"/>
  <c r="D218" i="30" s="1"/>
  <c r="D110" i="30" a="1"/>
  <c r="D110" i="30" s="1"/>
  <c r="C157" i="30" a="1"/>
  <c r="C157" i="30" s="1"/>
  <c r="C78" i="30" a="1"/>
  <c r="C78" i="30" s="1"/>
  <c r="C140" i="30" a="1"/>
  <c r="C140" i="30" s="1"/>
  <c r="B91" i="30"/>
  <c r="C98" i="30" a="1"/>
  <c r="C98" i="30" s="1"/>
  <c r="D115" i="30" a="1"/>
  <c r="D115" i="30" s="1"/>
  <c r="B34" i="30"/>
  <c r="C107" i="30" a="1"/>
  <c r="C107" i="30" s="1"/>
  <c r="C33" i="30" a="1"/>
  <c r="C33" i="30" s="1"/>
  <c r="C41" i="30" a="1"/>
  <c r="C41" i="30" s="1"/>
  <c r="B40" i="30"/>
  <c r="D47" i="30" a="1"/>
  <c r="D47" i="30" s="1"/>
  <c r="B158" i="30"/>
  <c r="C44" i="30" a="1"/>
  <c r="C44" i="30" s="1"/>
  <c r="B143" i="30"/>
  <c r="B185" i="30"/>
  <c r="C103" i="30" a="1"/>
  <c r="C103" i="30" s="1"/>
  <c r="B87" i="30"/>
  <c r="B52" i="30"/>
  <c r="C188" i="30" a="1"/>
  <c r="C188" i="30" s="1"/>
  <c r="C232" i="29" a="1"/>
  <c r="C232" i="29" s="1"/>
  <c r="B211" i="29"/>
  <c r="D177" i="29" a="1"/>
  <c r="D177" i="29" s="1"/>
  <c r="C153" i="29" a="1"/>
  <c r="C153" i="29" s="1"/>
  <c r="B223" i="29"/>
  <c r="D193" i="29" a="1"/>
  <c r="D193" i="29" s="1"/>
  <c r="C166" i="29" a="1"/>
  <c r="C166" i="29" s="1"/>
  <c r="C226" i="29" a="1"/>
  <c r="C226" i="29" s="1"/>
  <c r="B199" i="29"/>
  <c r="C170" i="29" a="1"/>
  <c r="C170" i="29" s="1"/>
  <c r="B147" i="29"/>
  <c r="B242" i="29"/>
  <c r="C219" i="29" a="1"/>
  <c r="C219" i="29" s="1"/>
  <c r="C223" i="29" a="1"/>
  <c r="C223" i="29" s="1"/>
  <c r="D195" i="29" a="1"/>
  <c r="D195" i="29" s="1"/>
  <c r="B167" i="29"/>
  <c r="B144" i="29"/>
  <c r="B239" i="29"/>
  <c r="B217" i="29"/>
  <c r="B186" i="29"/>
  <c r="C239" i="29" a="1"/>
  <c r="C239" i="29" s="1"/>
  <c r="C217" i="29" a="1"/>
  <c r="C217" i="29" s="1"/>
  <c r="D183" i="29" a="1"/>
  <c r="D183" i="29" s="1"/>
  <c r="C160" i="29" a="1"/>
  <c r="C160" i="29" s="1"/>
  <c r="D228" i="29" a="1"/>
  <c r="D228" i="29" s="1"/>
  <c r="C201" i="29" a="1"/>
  <c r="C201" i="29" s="1"/>
  <c r="B173" i="29"/>
  <c r="B236" i="29"/>
  <c r="D179" i="29" a="1"/>
  <c r="D179" i="29" s="1"/>
  <c r="C198" i="29" a="1"/>
  <c r="C198" i="29" s="1"/>
  <c r="C241" i="29" a="1"/>
  <c r="C241" i="29" s="1"/>
  <c r="C212" i="29" a="1"/>
  <c r="C212" i="29" s="1"/>
  <c r="D185" i="29" a="1"/>
  <c r="D185" i="29" s="1"/>
  <c r="D163" i="29" a="1"/>
  <c r="D163" i="29" s="1"/>
  <c r="B240" i="29"/>
  <c r="C209" i="29" a="1"/>
  <c r="C209" i="29" s="1"/>
  <c r="C182" i="29" a="1"/>
  <c r="C182" i="29" s="1"/>
  <c r="B154" i="29"/>
  <c r="C197" i="29" a="1"/>
  <c r="C197" i="29" s="1"/>
  <c r="C146" i="29" a="1"/>
  <c r="C146" i="29" s="1"/>
  <c r="B108" i="29"/>
  <c r="C78" i="29" a="1"/>
  <c r="C78" i="29" s="1"/>
  <c r="D52" i="29" a="1"/>
  <c r="D52" i="29" s="1"/>
  <c r="B197" i="29"/>
  <c r="D155" i="29" a="1"/>
  <c r="D155" i="29" s="1"/>
  <c r="B114" i="29"/>
  <c r="C88" i="29" a="1"/>
  <c r="C88" i="29" s="1"/>
  <c r="B69" i="29"/>
  <c r="C230" i="29" a="1"/>
  <c r="C230" i="29" s="1"/>
  <c r="B168" i="29"/>
  <c r="B133" i="29"/>
  <c r="C96" i="29" a="1"/>
  <c r="C96" i="29" s="1"/>
  <c r="B80" i="29"/>
  <c r="B52" i="29"/>
  <c r="B30" i="29"/>
  <c r="B196" i="29"/>
  <c r="C149" i="29" a="1"/>
  <c r="C149" i="29" s="1"/>
  <c r="D115" i="29" a="1"/>
  <c r="D115" i="29" s="1"/>
  <c r="B96" i="29"/>
  <c r="C73" i="29" a="1"/>
  <c r="C73" i="29" s="1"/>
  <c r="C36" i="29" a="1"/>
  <c r="C36" i="29" s="1"/>
  <c r="B200" i="29"/>
  <c r="B153" i="29"/>
  <c r="D99" i="29" a="1"/>
  <c r="D99" i="29" s="1"/>
  <c r="C60" i="29" a="1"/>
  <c r="C60" i="29" s="1"/>
  <c r="D42" i="29" a="1"/>
  <c r="D42" i="29" s="1"/>
  <c r="B176" i="29"/>
  <c r="B87" i="29"/>
  <c r="C148" i="29" a="1"/>
  <c r="C148" i="29" s="1"/>
  <c r="D86" i="29" a="1"/>
  <c r="D86" i="29" s="1"/>
  <c r="D94" i="29" a="1"/>
  <c r="D94" i="29" s="1"/>
  <c r="B93" i="29"/>
  <c r="B195" i="29"/>
  <c r="D85" i="29" a="1"/>
  <c r="D85" i="29" s="1"/>
  <c r="C33" i="29" a="1"/>
  <c r="C33" i="29" s="1"/>
  <c r="C108" i="29" a="1"/>
  <c r="C108" i="29" s="1"/>
  <c r="C45" i="29" a="1"/>
  <c r="C45" i="29" s="1"/>
  <c r="C221" i="29" a="1"/>
  <c r="C221" i="29" s="1"/>
  <c r="B164" i="29"/>
  <c r="C235" i="29" a="1"/>
  <c r="C235" i="29" s="1"/>
  <c r="D188" i="29" a="1"/>
  <c r="D188" i="29" s="1"/>
  <c r="D231" i="29" a="1"/>
  <c r="D231" i="29" s="1"/>
  <c r="B208" i="29"/>
  <c r="B181" i="29"/>
  <c r="D157" i="29" a="1"/>
  <c r="D157" i="29" s="1"/>
  <c r="B230" i="29"/>
  <c r="C202" i="29" a="1"/>
  <c r="C202" i="29" s="1"/>
  <c r="B178" i="29"/>
  <c r="D144" i="29" a="1"/>
  <c r="D144" i="29" s="1"/>
  <c r="C231" i="29" a="1"/>
  <c r="C231" i="29" s="1"/>
  <c r="C188" i="29" a="1"/>
  <c r="C188" i="29" s="1"/>
  <c r="B136" i="29"/>
  <c r="B104" i="29"/>
  <c r="B74" i="29"/>
  <c r="D46" i="29" a="1"/>
  <c r="D46" i="29" s="1"/>
  <c r="B238" i="29"/>
  <c r="B188" i="29"/>
  <c r="D141" i="29" a="1"/>
  <c r="D141" i="29" s="1"/>
  <c r="B110" i="29"/>
  <c r="C82" i="29" a="1"/>
  <c r="C82" i="29" s="1"/>
  <c r="B62" i="29"/>
  <c r="C220" i="29" a="1"/>
  <c r="C220" i="29" s="1"/>
  <c r="C155" i="29" a="1"/>
  <c r="C155" i="29" s="1"/>
  <c r="D113" i="29" a="1"/>
  <c r="D113" i="29" s="1"/>
  <c r="B92" i="29"/>
  <c r="C75" i="29" a="1"/>
  <c r="C75" i="29" s="1"/>
  <c r="B48" i="29"/>
  <c r="C236" i="29" a="1"/>
  <c r="C236" i="29" s="1"/>
  <c r="B187" i="29"/>
  <c r="D140" i="29" a="1"/>
  <c r="D140" i="29" s="1"/>
  <c r="C111" i="29" a="1"/>
  <c r="C111" i="29" s="1"/>
  <c r="C91" i="29" a="1"/>
  <c r="C91" i="29" s="1"/>
  <c r="B68" i="29"/>
  <c r="C240" i="29" a="1"/>
  <c r="C240" i="29" s="1"/>
  <c r="B185" i="29"/>
  <c r="C143" i="29" a="1"/>
  <c r="C143" i="29" s="1"/>
  <c r="D90" i="29" a="1"/>
  <c r="D90" i="29" s="1"/>
  <c r="D55" i="29" a="1"/>
  <c r="D55" i="29" s="1"/>
  <c r="B35" i="29"/>
  <c r="B139" i="29"/>
  <c r="B61" i="29"/>
  <c r="D227" i="29" a="1"/>
  <c r="D227" i="29" s="1"/>
  <c r="C130" i="29" a="1"/>
  <c r="C130" i="29" s="1"/>
  <c r="B70" i="29"/>
  <c r="B44" i="29"/>
  <c r="C164" i="29" a="1"/>
  <c r="C164" i="29" s="1"/>
  <c r="B63" i="29" a="1"/>
  <c r="B63" i="29" s="1"/>
  <c r="B172" i="29"/>
  <c r="D74" i="29" a="1"/>
  <c r="D74" i="29" s="1"/>
  <c r="D194" i="29" a="1"/>
  <c r="D194" i="29" s="1"/>
  <c r="C95" i="29" a="1"/>
  <c r="C95" i="29" s="1"/>
  <c r="C32" i="29" a="1"/>
  <c r="C32" i="29" s="1"/>
  <c r="C56" i="29" a="1"/>
  <c r="C56" i="29" s="1"/>
  <c r="B152" i="29"/>
  <c r="B194" i="29"/>
  <c r="D219" i="29" a="1"/>
  <c r="D219" i="29" s="1"/>
  <c r="B162" i="29"/>
  <c r="B232" i="29"/>
  <c r="C181" i="29" a="1"/>
  <c r="C181" i="29" s="1"/>
  <c r="C228" i="29" a="1"/>
  <c r="C228" i="29" s="1"/>
  <c r="C204" i="29" a="1"/>
  <c r="C204" i="29" s="1"/>
  <c r="C179" i="29" a="1"/>
  <c r="C179" i="29" s="1"/>
  <c r="C152" i="29" a="1"/>
  <c r="C152" i="29" s="1"/>
  <c r="C227" i="29" a="1"/>
  <c r="C227" i="29" s="1"/>
  <c r="C196" i="29" a="1"/>
  <c r="C196" i="29" s="1"/>
  <c r="C176" i="29" a="1"/>
  <c r="C176" i="29" s="1"/>
  <c r="B142" i="29"/>
  <c r="C225" i="29" a="1"/>
  <c r="C225" i="29" s="1"/>
  <c r="B183" i="29"/>
  <c r="B130" i="29"/>
  <c r="B101" i="29"/>
  <c r="C72" i="29" a="1"/>
  <c r="C72" i="29" s="1"/>
  <c r="C44" i="29" a="1"/>
  <c r="C44" i="29" s="1"/>
  <c r="B231" i="29"/>
  <c r="D182" i="29" a="1"/>
  <c r="D182" i="29" s="1"/>
  <c r="C138" i="29" a="1"/>
  <c r="C138" i="29" s="1"/>
  <c r="B106" i="29"/>
  <c r="C80" i="29" a="1"/>
  <c r="C80" i="29" s="1"/>
  <c r="C59" i="29" a="1"/>
  <c r="C59" i="29" s="1"/>
  <c r="B215" i="29"/>
  <c r="C150" i="29" a="1"/>
  <c r="C150" i="29" s="1"/>
  <c r="D107" i="29" a="1"/>
  <c r="D107" i="29" s="1"/>
  <c r="D89" i="29" a="1"/>
  <c r="D89" i="29" s="1"/>
  <c r="C68" i="29" a="1"/>
  <c r="C68" i="29" s="1"/>
  <c r="B46" i="29"/>
  <c r="C229" i="29" a="1"/>
  <c r="C229" i="29" s="1"/>
  <c r="B182" i="29"/>
  <c r="C137" i="29" a="1"/>
  <c r="C137" i="29" s="1"/>
  <c r="D109" i="29" a="1"/>
  <c r="D109" i="29" s="1"/>
  <c r="B84" i="29"/>
  <c r="C61" i="29" a="1"/>
  <c r="C61" i="29" s="1"/>
  <c r="C233" i="29" a="1"/>
  <c r="C233" i="29" s="1"/>
  <c r="C180" i="29" a="1"/>
  <c r="C180" i="29" s="1"/>
  <c r="C134" i="29" a="1"/>
  <c r="C134" i="29" s="1"/>
  <c r="B85" i="29"/>
  <c r="C53" i="29" a="1"/>
  <c r="C53" i="29" s="1"/>
  <c r="C31" i="29" a="1"/>
  <c r="C31" i="29" s="1"/>
  <c r="B131" i="29" a="1"/>
  <c r="B131" i="29" s="1"/>
  <c r="B51" i="29"/>
  <c r="B212" i="29"/>
  <c r="B115" i="29"/>
  <c r="B55" i="29"/>
  <c r="B111" i="29"/>
  <c r="C35" i="29" a="1"/>
  <c r="C35" i="29" s="1"/>
  <c r="C147" i="29" a="1"/>
  <c r="C147" i="29" s="1"/>
  <c r="C67" i="29" a="1"/>
  <c r="C67" i="29" s="1"/>
  <c r="D180" i="29" a="1"/>
  <c r="D180" i="29" s="1"/>
  <c r="C85" i="29" a="1"/>
  <c r="C85" i="29" s="1"/>
  <c r="C207" i="29" a="1"/>
  <c r="C207" i="29" s="1"/>
  <c r="B36" i="29"/>
  <c r="D116" i="29" a="1"/>
  <c r="D116" i="29" s="1"/>
  <c r="B157" i="29"/>
  <c r="B73" i="29"/>
  <c r="B27" i="29" a="1"/>
  <c r="B27" i="29" s="1"/>
  <c r="B56" i="29"/>
  <c r="B189" i="29"/>
  <c r="C139" i="29" a="1"/>
  <c r="C139" i="29" s="1"/>
  <c r="C208" i="29" a="1"/>
  <c r="C208" i="29" s="1"/>
  <c r="B160" i="29"/>
  <c r="B219" i="29"/>
  <c r="C195" i="29" a="1"/>
  <c r="C195" i="29" s="1"/>
  <c r="C169" i="29" a="1"/>
  <c r="C169" i="29" s="1"/>
  <c r="B141" i="29"/>
  <c r="B220" i="29"/>
  <c r="C187" i="29" a="1"/>
  <c r="C187" i="29" s="1"/>
  <c r="D158" i="29" a="1"/>
  <c r="D158" i="29" s="1"/>
  <c r="C210" i="29" a="1"/>
  <c r="C210" i="29" s="1"/>
  <c r="C159" i="29" a="1"/>
  <c r="C159" i="29" s="1"/>
  <c r="B112" i="29"/>
  <c r="C90" i="29" a="1"/>
  <c r="C90" i="29" s="1"/>
  <c r="C62" i="29" a="1"/>
  <c r="C62" i="29" s="1"/>
  <c r="B210" i="29"/>
  <c r="C163" i="29" a="1"/>
  <c r="C163" i="29" s="1"/>
  <c r="B118" i="29"/>
  <c r="C92" i="29" a="1"/>
  <c r="C92" i="29" s="1"/>
  <c r="D73" i="29" a="1"/>
  <c r="D73" i="29" s="1"/>
  <c r="B244" i="29"/>
  <c r="C178" i="29" a="1"/>
  <c r="C178" i="29" s="1"/>
  <c r="B138" i="29"/>
  <c r="D100" i="29" a="1"/>
  <c r="D100" i="29" s="1"/>
  <c r="C84" i="29" a="1"/>
  <c r="C84" i="29" s="1"/>
  <c r="B57" i="29"/>
  <c r="D36" i="29" a="1"/>
  <c r="D36" i="29" s="1"/>
  <c r="B209" i="29"/>
  <c r="C158" i="29" a="1"/>
  <c r="C158" i="29" s="1"/>
  <c r="C119" i="29" a="1"/>
  <c r="C119" i="29" s="1"/>
  <c r="B103" i="29"/>
  <c r="C77" i="29" a="1"/>
  <c r="C77" i="29" s="1"/>
  <c r="B50" i="29"/>
  <c r="D211" i="29" a="1"/>
  <c r="D211" i="29" s="1"/>
  <c r="B161" i="29"/>
  <c r="D106" i="29" a="1"/>
  <c r="D106" i="29" s="1"/>
  <c r="D72" i="29" a="1"/>
  <c r="D72" i="29" s="1"/>
  <c r="C47" i="29" a="1"/>
  <c r="C47" i="29" s="1"/>
  <c r="D217" i="29" a="1"/>
  <c r="D217" i="29" s="1"/>
  <c r="D97" i="29" a="1"/>
  <c r="D97" i="29" s="1"/>
  <c r="C34" i="29" a="1"/>
  <c r="C34" i="29" s="1"/>
  <c r="C172" i="29" a="1"/>
  <c r="C172" i="29" s="1"/>
  <c r="C97" i="29" a="1"/>
  <c r="C97" i="29" s="1"/>
  <c r="B34" i="29"/>
  <c r="B143" i="29"/>
  <c r="D51" i="29" a="1"/>
  <c r="D51" i="29" s="1"/>
  <c r="D218" i="29" a="1"/>
  <c r="D218" i="29" s="1"/>
  <c r="B241" i="29"/>
  <c r="D114" i="29" a="1"/>
  <c r="D114" i="29" s="1"/>
  <c r="D45" i="29" a="1"/>
  <c r="D45" i="29" s="1"/>
  <c r="C136" i="29" a="1"/>
  <c r="C136" i="29" s="1"/>
  <c r="B67" i="29"/>
  <c r="C83" i="29" a="1"/>
  <c r="C83" i="29" s="1"/>
  <c r="B190" i="29"/>
  <c r="B43" i="29"/>
  <c r="D112" i="29" a="1"/>
  <c r="D112" i="29" s="1"/>
  <c r="B53" i="29"/>
  <c r="C234" i="29" a="1"/>
  <c r="C234" i="29" s="1"/>
  <c r="B117" i="29"/>
  <c r="C242" i="29" a="1"/>
  <c r="C242" i="29" s="1"/>
  <c r="C186" i="29" a="1"/>
  <c r="C186" i="29" s="1"/>
  <c r="B205" i="29"/>
  <c r="C205" i="29" a="1"/>
  <c r="C205" i="29" s="1"/>
  <c r="B235" i="29"/>
  <c r="C183" i="29" a="1"/>
  <c r="C183" i="29" s="1"/>
  <c r="B233" i="29"/>
  <c r="B180" i="29"/>
  <c r="C238" i="29" a="1"/>
  <c r="C238" i="29" s="1"/>
  <c r="C142" i="29" a="1"/>
  <c r="C142" i="29" s="1"/>
  <c r="C76" i="29" a="1"/>
  <c r="C76" i="29" s="1"/>
  <c r="C244" i="29" a="1"/>
  <c r="C244" i="29" s="1"/>
  <c r="C151" i="29" a="1"/>
  <c r="C151" i="29" s="1"/>
  <c r="C86" i="29" a="1"/>
  <c r="C86" i="29" s="1"/>
  <c r="C224" i="29" a="1"/>
  <c r="C224" i="29" s="1"/>
  <c r="B116" i="29"/>
  <c r="D77" i="29" a="1"/>
  <c r="D77" i="29" s="1"/>
  <c r="B243" i="29"/>
  <c r="B145" i="29"/>
  <c r="D93" i="29" a="1"/>
  <c r="D93" i="29" s="1"/>
  <c r="B29" i="29" a="1"/>
  <c r="B29" i="29" s="1"/>
  <c r="B148" i="29"/>
  <c r="B58" i="29"/>
  <c r="C81" i="29" a="1"/>
  <c r="C81" i="29" s="1"/>
  <c r="C199" i="29" a="1"/>
  <c r="C199" i="29" s="1"/>
  <c r="C46" i="29" a="1"/>
  <c r="C46" i="29" s="1"/>
  <c r="C52" i="29" a="1"/>
  <c r="C52" i="29" s="1"/>
  <c r="B184" i="29"/>
  <c r="B28" i="29"/>
  <c r="B79" i="29"/>
  <c r="D134" i="29" a="1"/>
  <c r="D134" i="29" s="1"/>
  <c r="D44" i="29" a="1"/>
  <c r="D44" i="29" s="1"/>
  <c r="D210" i="29" a="1"/>
  <c r="D210" i="29" s="1"/>
  <c r="C206" i="29" a="1"/>
  <c r="C206" i="29" s="1"/>
  <c r="D50" i="29" a="1"/>
  <c r="D50" i="29" s="1"/>
  <c r="B163" i="29"/>
  <c r="D80" i="29" a="1"/>
  <c r="D80" i="29" s="1"/>
  <c r="B171" i="29"/>
  <c r="C89" i="29" a="1"/>
  <c r="C89" i="29" s="1"/>
  <c r="B77" i="29"/>
  <c r="C194" i="29" a="1"/>
  <c r="C194" i="29" s="1"/>
  <c r="B179" i="29"/>
  <c r="C145" i="29" a="1"/>
  <c r="C145" i="29" s="1"/>
  <c r="C107" i="29" a="1"/>
  <c r="C107" i="29" s="1"/>
  <c r="C115" i="29" a="1"/>
  <c r="C115" i="29" s="1"/>
  <c r="C104" i="29" a="1"/>
  <c r="C104" i="29" s="1"/>
  <c r="C173" i="29" a="1"/>
  <c r="C173" i="29" s="1"/>
  <c r="D225" i="29" a="1"/>
  <c r="D225" i="29" s="1"/>
  <c r="C177" i="29" a="1"/>
  <c r="C177" i="29" s="1"/>
  <c r="B224" i="29"/>
  <c r="B174" i="29"/>
  <c r="D220" i="29" a="1"/>
  <c r="D220" i="29" s="1"/>
  <c r="C118" i="29" a="1"/>
  <c r="C118" i="29" s="1"/>
  <c r="C69" i="29" a="1"/>
  <c r="C69" i="29" s="1"/>
  <c r="B225" i="29"/>
  <c r="C133" i="29" a="1"/>
  <c r="C133" i="29" s="1"/>
  <c r="B78" i="29"/>
  <c r="B203" i="29"/>
  <c r="C105" i="29" a="1"/>
  <c r="C105" i="29" s="1"/>
  <c r="B65" i="29"/>
  <c r="D223" i="29" a="1"/>
  <c r="D223" i="29" s="1"/>
  <c r="B135" i="29"/>
  <c r="D81" i="29" a="1"/>
  <c r="D81" i="29" s="1"/>
  <c r="B222" i="29"/>
  <c r="D118" i="29" a="1"/>
  <c r="D118" i="29" s="1"/>
  <c r="C51" i="29" a="1"/>
  <c r="C51" i="29" s="1"/>
  <c r="B47" i="29"/>
  <c r="C185" i="29" a="1"/>
  <c r="C185" i="29" s="1"/>
  <c r="C41" i="29" a="1"/>
  <c r="C41" i="29" s="1"/>
  <c r="D136" i="29" a="1"/>
  <c r="D136" i="29" s="1"/>
  <c r="C74" i="29" a="1"/>
  <c r="C74" i="29" s="1"/>
  <c r="B107" i="29"/>
  <c r="C37" i="29" a="1"/>
  <c r="C37" i="29" s="1"/>
  <c r="C106" i="29" a="1"/>
  <c r="C106" i="29" s="1"/>
  <c r="C65" i="29" a="1"/>
  <c r="C65" i="29" s="1"/>
  <c r="C161" i="29" a="1"/>
  <c r="C161" i="29" s="1"/>
  <c r="B140" i="29"/>
  <c r="D103" i="29" a="1"/>
  <c r="D103" i="29" s="1"/>
  <c r="C167" i="29" a="1"/>
  <c r="C167" i="29" s="1"/>
  <c r="D78" i="29" a="1"/>
  <c r="D78" i="29" s="1"/>
  <c r="B83" i="29"/>
  <c r="B158" i="29"/>
  <c r="D222" i="29" a="1"/>
  <c r="D222" i="29" s="1"/>
  <c r="B175" i="29"/>
  <c r="D221" i="29" a="1"/>
  <c r="D221" i="29" s="1"/>
  <c r="C171" i="29" a="1"/>
  <c r="C171" i="29" s="1"/>
  <c r="B216" i="29"/>
  <c r="C114" i="29" a="1"/>
  <c r="C114" i="29" s="1"/>
  <c r="B66" i="29"/>
  <c r="C215" i="29" a="1"/>
  <c r="C215" i="29" s="1"/>
  <c r="D119" i="29" a="1"/>
  <c r="D119" i="29" s="1"/>
  <c r="B76" i="29"/>
  <c r="D196" i="29" a="1"/>
  <c r="D196" i="29" s="1"/>
  <c r="C103" i="29" a="1"/>
  <c r="C103" i="29" s="1"/>
  <c r="B59" i="29"/>
  <c r="C214" i="29" a="1"/>
  <c r="C214" i="29" s="1"/>
  <c r="C132" i="29" a="1"/>
  <c r="C132" i="29" s="1"/>
  <c r="C79" i="29" a="1"/>
  <c r="C79" i="29" s="1"/>
  <c r="C218" i="29" a="1"/>
  <c r="C218" i="29" s="1"/>
  <c r="D110" i="29" a="1"/>
  <c r="D110" i="29" s="1"/>
  <c r="B49" i="29"/>
  <c r="B228" i="29"/>
  <c r="C42" i="29" a="1"/>
  <c r="C42" i="29" s="1"/>
  <c r="D160" i="29" a="1"/>
  <c r="D160" i="29" s="1"/>
  <c r="B119" i="29"/>
  <c r="C49" i="29" a="1"/>
  <c r="C49" i="29" s="1"/>
  <c r="B234" i="29"/>
  <c r="D232" i="29" a="1"/>
  <c r="D232" i="29" s="1"/>
  <c r="C101" i="29" a="1"/>
  <c r="C101" i="29" s="1"/>
  <c r="B32" i="29"/>
  <c r="B177" i="29"/>
  <c r="C193" i="29" a="1"/>
  <c r="C193" i="29" s="1"/>
  <c r="D111" i="29" a="1"/>
  <c r="D111" i="29" s="1"/>
  <c r="B94" i="29"/>
  <c r="D189" i="29" a="1"/>
  <c r="D189" i="29" s="1"/>
  <c r="B100" i="29"/>
  <c r="C57" i="29" a="1"/>
  <c r="C57" i="29" s="1"/>
  <c r="D176" i="29" a="1"/>
  <c r="D176" i="29" s="1"/>
  <c r="B150" i="29"/>
  <c r="B226" i="29"/>
  <c r="C216" i="29" a="1"/>
  <c r="C216" i="29" s="1"/>
  <c r="B166" i="29"/>
  <c r="B218" i="29"/>
  <c r="C156" i="29" a="1"/>
  <c r="C156" i="29" s="1"/>
  <c r="B204" i="29"/>
  <c r="C110" i="29" a="1"/>
  <c r="C110" i="29" s="1"/>
  <c r="C55" i="29" a="1"/>
  <c r="C55" i="29" s="1"/>
  <c r="C203" i="29" a="1"/>
  <c r="C203" i="29" s="1"/>
  <c r="C116" i="29" a="1"/>
  <c r="C116" i="29" s="1"/>
  <c r="B72" i="29"/>
  <c r="C174" i="29" a="1"/>
  <c r="C174" i="29" s="1"/>
  <c r="C98" i="29" a="1"/>
  <c r="C98" i="29" s="1"/>
  <c r="D54" i="29" a="1"/>
  <c r="D54" i="29" s="1"/>
  <c r="B202" i="29"/>
  <c r="D117" i="29" a="1"/>
  <c r="D117" i="29" s="1"/>
  <c r="B75" i="29"/>
  <c r="B207" i="29"/>
  <c r="B102" i="29"/>
  <c r="B45" i="29"/>
  <c r="C200" i="29" a="1"/>
  <c r="C200" i="29" s="1"/>
  <c r="D28" i="29" a="1"/>
  <c r="D28" i="29" s="1"/>
  <c r="C43" i="29" a="1"/>
  <c r="C43" i="29" s="1"/>
  <c r="B137" i="29"/>
  <c r="B109" i="29"/>
  <c r="C211" i="29" a="1"/>
  <c r="C211" i="29" s="1"/>
  <c r="C39" i="29" a="1"/>
  <c r="C39" i="29" s="1"/>
  <c r="C165" i="29" a="1"/>
  <c r="C165" i="29" s="1"/>
  <c r="B134" i="29"/>
  <c r="C189" i="29" a="1"/>
  <c r="C189" i="29" s="1"/>
  <c r="B95" i="29"/>
  <c r="C93" i="29" a="1"/>
  <c r="C93" i="29" s="1"/>
  <c r="B221" i="29"/>
  <c r="C50" i="29" a="1"/>
  <c r="C50" i="29" s="1"/>
  <c r="C71" i="29" a="1"/>
  <c r="C71" i="29" s="1"/>
  <c r="C109" i="29" a="1"/>
  <c r="C109" i="29" s="1"/>
  <c r="C100" i="29" a="1"/>
  <c r="C100" i="29" s="1"/>
  <c r="D174" i="29" a="1"/>
  <c r="D174" i="29" s="1"/>
  <c r="B206" i="29"/>
  <c r="C144" i="29" a="1"/>
  <c r="C144" i="29" s="1"/>
  <c r="C66" i="29" a="1"/>
  <c r="C66" i="29" s="1"/>
  <c r="D47" i="29" a="1"/>
  <c r="D47" i="29" s="1"/>
  <c r="B229" i="29"/>
  <c r="C175" i="29" a="1"/>
  <c r="C175" i="29" s="1"/>
  <c r="B198" i="29"/>
  <c r="B146" i="29"/>
  <c r="C192" i="29" a="1"/>
  <c r="C192" i="29" s="1"/>
  <c r="B169" i="29"/>
  <c r="D96" i="29" a="1"/>
  <c r="D96" i="29" s="1"/>
  <c r="B37" i="29"/>
  <c r="C168" i="29" a="1"/>
  <c r="C168" i="29" s="1"/>
  <c r="C94" i="29" a="1"/>
  <c r="C94" i="29" s="1"/>
  <c r="C141" i="29" a="1"/>
  <c r="C141" i="29" s="1"/>
  <c r="B86" i="29"/>
  <c r="B41" i="29"/>
  <c r="C162" i="29" a="1"/>
  <c r="C162" i="29" s="1"/>
  <c r="B105" i="29"/>
  <c r="C54" i="29" a="1"/>
  <c r="C54" i="29" s="1"/>
  <c r="B165" i="29"/>
  <c r="D76" i="29" a="1"/>
  <c r="D76" i="29" s="1"/>
  <c r="D104" i="29" a="1"/>
  <c r="D104" i="29" s="1"/>
  <c r="B91" i="29"/>
  <c r="C190" i="29" a="1"/>
  <c r="C190" i="29" s="1"/>
  <c r="D88" i="29" a="1"/>
  <c r="D88" i="29" s="1"/>
  <c r="C140" i="29" a="1"/>
  <c r="C140" i="29" s="1"/>
  <c r="B54" i="29"/>
  <c r="B113" i="29"/>
  <c r="C48" i="29" a="1"/>
  <c r="C48" i="29" s="1"/>
  <c r="C222" i="29" a="1"/>
  <c r="C222" i="29" s="1"/>
  <c r="C58" i="29" a="1"/>
  <c r="C58" i="29" s="1"/>
  <c r="B89" i="29"/>
  <c r="C99" i="29" a="1"/>
  <c r="C99" i="29" s="1"/>
  <c r="D161" i="29" a="1"/>
  <c r="D161" i="29" s="1"/>
  <c r="B151" i="29"/>
  <c r="C113" i="29" a="1"/>
  <c r="C113" i="29" s="1"/>
  <c r="B97" i="29"/>
  <c r="C87" i="29" a="1"/>
  <c r="C87" i="29" s="1"/>
  <c r="B201" i="29"/>
  <c r="B99" i="29"/>
  <c r="B88" i="29"/>
  <c r="C28" i="29" a="1"/>
  <c r="C28" i="29" s="1"/>
  <c r="B71" i="29"/>
  <c r="B214" i="29"/>
  <c r="B170" i="29"/>
  <c r="B191" i="29"/>
  <c r="D138" i="29" a="1"/>
  <c r="D138" i="29" s="1"/>
  <c r="C243" i="29" a="1"/>
  <c r="C243" i="29" s="1"/>
  <c r="C184" i="29" a="1"/>
  <c r="C184" i="29" s="1"/>
  <c r="B156" i="29"/>
  <c r="D84" i="29" a="1"/>
  <c r="D84" i="29" s="1"/>
  <c r="B159" i="29"/>
  <c r="B90" i="29"/>
  <c r="B237" i="29" a="1"/>
  <c r="B237" i="29" s="1"/>
  <c r="C135" i="29" a="1"/>
  <c r="C135" i="29" s="1"/>
  <c r="B82" i="29"/>
  <c r="B33" i="29"/>
  <c r="B155" i="29"/>
  <c r="B98" i="29"/>
  <c r="C40" i="29" a="1"/>
  <c r="C40" i="29" s="1"/>
  <c r="C157" i="29" a="1"/>
  <c r="C157" i="29" s="1"/>
  <c r="C70" i="29" a="1"/>
  <c r="C70" i="29" s="1"/>
  <c r="D92" i="29" a="1"/>
  <c r="D92" i="29" s="1"/>
  <c r="B81" i="29"/>
  <c r="C112" i="29" a="1"/>
  <c r="C112" i="29" s="1"/>
  <c r="B64" i="29"/>
  <c r="D82" i="29" a="1"/>
  <c r="D82" i="29" s="1"/>
  <c r="B227" i="29"/>
  <c r="B40" i="29"/>
  <c r="C102" i="29" a="1"/>
  <c r="C102" i="29" s="1"/>
  <c r="B31" i="29"/>
  <c r="D143" i="29" a="1"/>
  <c r="D143" i="29" s="1"/>
  <c r="D48" i="29" a="1"/>
  <c r="D48" i="29" s="1"/>
  <c r="D57" i="29" a="1"/>
  <c r="D57" i="29" s="1"/>
  <c r="C30" i="29" a="1"/>
  <c r="C30" i="29" s="1"/>
  <c r="B193" i="29"/>
  <c r="B192" i="29"/>
  <c r="B39" i="29"/>
  <c r="C154" i="29" a="1"/>
  <c r="C154" i="29" s="1"/>
  <c r="C191" i="29" a="1"/>
  <c r="C191" i="29" s="1"/>
  <c r="B149" i="29"/>
  <c r="B42" i="29"/>
  <c r="D43" i="29" a="1"/>
  <c r="D43" i="29" s="1"/>
  <c r="D58" i="29" a="1"/>
  <c r="D58" i="29" s="1"/>
  <c r="B60" i="29"/>
  <c r="C64" i="29" a="1"/>
  <c r="C64" i="29" s="1"/>
  <c r="C117" i="29" a="1"/>
  <c r="C117" i="29" s="1"/>
  <c r="B132" i="29"/>
  <c r="B218" i="32"/>
  <c r="C191" i="32" a="1"/>
  <c r="C191" i="32" s="1"/>
  <c r="B164" i="32"/>
  <c r="B142" i="32"/>
  <c r="B99" i="32"/>
  <c r="C70" i="32" a="1"/>
  <c r="C70" i="32" s="1"/>
  <c r="B42" i="32"/>
  <c r="C223" i="32" a="1"/>
  <c r="C223" i="32" s="1"/>
  <c r="C195" i="32" a="1"/>
  <c r="C195" i="32" s="1"/>
  <c r="C169" i="32" a="1"/>
  <c r="C169" i="32" s="1"/>
  <c r="D141" i="32" a="1"/>
  <c r="D141" i="32" s="1"/>
  <c r="C111" i="32" a="1"/>
  <c r="C111" i="32" s="1"/>
  <c r="D84" i="32" a="1"/>
  <c r="D84" i="32" s="1"/>
  <c r="B54" i="32"/>
  <c r="B236" i="32"/>
  <c r="C206" i="32" a="1"/>
  <c r="C206" i="32" s="1"/>
  <c r="B183" i="32"/>
  <c r="D161" i="32" a="1"/>
  <c r="D161" i="32" s="1"/>
  <c r="B119" i="32"/>
  <c r="C98" i="32" a="1"/>
  <c r="C98" i="32" s="1"/>
  <c r="C78" i="32" a="1"/>
  <c r="C78" i="32" s="1"/>
  <c r="C53" i="32" a="1"/>
  <c r="C53" i="32" s="1"/>
  <c r="C238" i="32" a="1"/>
  <c r="C238" i="32" s="1"/>
  <c r="B211" i="32"/>
  <c r="D176" i="32" a="1"/>
  <c r="D176" i="32" s="1"/>
  <c r="B155" i="32"/>
  <c r="C102" i="32" a="1"/>
  <c r="C102" i="32" s="1"/>
  <c r="C68" i="32" a="1"/>
  <c r="C68" i="32" s="1"/>
  <c r="C40" i="32" a="1"/>
  <c r="C40" i="32" s="1"/>
  <c r="C227" i="32" a="1"/>
  <c r="C227" i="32" s="1"/>
  <c r="C196" i="32" a="1"/>
  <c r="C196" i="32" s="1"/>
  <c r="C176" i="32" a="1"/>
  <c r="C176" i="32" s="1"/>
  <c r="C154" i="32" a="1"/>
  <c r="C154" i="32" s="1"/>
  <c r="D116" i="32" a="1"/>
  <c r="D116" i="32" s="1"/>
  <c r="C93" i="32" a="1"/>
  <c r="C93" i="32" s="1"/>
  <c r="D77" i="32" a="1"/>
  <c r="D77" i="32" s="1"/>
  <c r="B55" i="32"/>
  <c r="B237" i="32" a="1"/>
  <c r="B237" i="32" s="1"/>
  <c r="D182" i="32" a="1"/>
  <c r="D182" i="32" s="1"/>
  <c r="B115" i="32"/>
  <c r="B62" i="32"/>
  <c r="B182" i="32"/>
  <c r="D103" i="32" a="1"/>
  <c r="D103" i="32" s="1"/>
  <c r="C31" i="32" a="1"/>
  <c r="C31" i="32" s="1"/>
  <c r="B209" i="32"/>
  <c r="C142" i="32" a="1"/>
  <c r="C142" i="32" s="1"/>
  <c r="D48" i="32" a="1"/>
  <c r="D48" i="32" s="1"/>
  <c r="B242" i="32"/>
  <c r="C141" i="32" a="1"/>
  <c r="C141" i="32" s="1"/>
  <c r="D74" i="32" a="1"/>
  <c r="D74" i="32" s="1"/>
  <c r="C226" i="32" a="1"/>
  <c r="C226" i="32" s="1"/>
  <c r="C155" i="32" a="1"/>
  <c r="C155" i="32" s="1"/>
  <c r="D73" i="32" a="1"/>
  <c r="D73" i="32" s="1"/>
  <c r="B64" i="32"/>
  <c r="C106" i="32" a="1"/>
  <c r="C106" i="32" s="1"/>
  <c r="B106" i="32"/>
  <c r="B73" i="32"/>
  <c r="C225" i="32" a="1"/>
  <c r="C225" i="32" s="1"/>
  <c r="B51" i="32"/>
  <c r="C84" i="32" a="1"/>
  <c r="C84" i="32" s="1"/>
  <c r="B196" i="32"/>
  <c r="B240" i="32"/>
  <c r="B210" i="32"/>
  <c r="B186" i="32"/>
  <c r="C160" i="32" a="1"/>
  <c r="C160" i="32" s="1"/>
  <c r="C135" i="32" a="1"/>
  <c r="C135" i="32" s="1"/>
  <c r="D92" i="32" a="1"/>
  <c r="D92" i="32" s="1"/>
  <c r="B58" i="32"/>
  <c r="B35" i="32"/>
  <c r="D219" i="32" a="1"/>
  <c r="D219" i="32" s="1"/>
  <c r="D185" i="32" a="1"/>
  <c r="D185" i="32" s="1"/>
  <c r="B160" i="32"/>
  <c r="B135" i="32"/>
  <c r="C107" i="32" a="1"/>
  <c r="C107" i="32" s="1"/>
  <c r="D76" i="32" a="1"/>
  <c r="D76" i="32" s="1"/>
  <c r="D45" i="32" a="1"/>
  <c r="D45" i="32" s="1"/>
  <c r="B228" i="32"/>
  <c r="C200" i="32" a="1"/>
  <c r="C200" i="32" s="1"/>
  <c r="B179" i="32"/>
  <c r="C149" i="32" a="1"/>
  <c r="C149" i="32" s="1"/>
  <c r="C115" i="32" a="1"/>
  <c r="C115" i="32" s="1"/>
  <c r="C92" i="32" a="1"/>
  <c r="C92" i="32" s="1"/>
  <c r="C72" i="32" a="1"/>
  <c r="C72" i="32" s="1"/>
  <c r="B49" i="32"/>
  <c r="C232" i="32" a="1"/>
  <c r="C232" i="32" s="1"/>
  <c r="C202" i="32" a="1"/>
  <c r="C202" i="32" s="1"/>
  <c r="C168" i="32" a="1"/>
  <c r="C168" i="32" s="1"/>
  <c r="B141" i="32"/>
  <c r="D97" i="32" a="1"/>
  <c r="D97" i="32" s="1"/>
  <c r="B59" i="32"/>
  <c r="C244" i="32" a="1"/>
  <c r="C244" i="32" s="1"/>
  <c r="C222" i="32" a="1"/>
  <c r="C222" i="32" s="1"/>
  <c r="C192" i="32" a="1"/>
  <c r="C192" i="32" s="1"/>
  <c r="C171" i="32" a="1"/>
  <c r="C171" i="32" s="1"/>
  <c r="C145" i="32" a="1"/>
  <c r="C145" i="32" s="1"/>
  <c r="C112" i="32" a="1"/>
  <c r="C112" i="32" s="1"/>
  <c r="C89" i="32" a="1"/>
  <c r="C89" i="32" s="1"/>
  <c r="C73" i="32" a="1"/>
  <c r="C73" i="32" s="1"/>
  <c r="C48" i="32" a="1"/>
  <c r="C48" i="32" s="1"/>
  <c r="D222" i="32" a="1"/>
  <c r="D222" i="32" s="1"/>
  <c r="B171" i="32"/>
  <c r="B104" i="32"/>
  <c r="C50" i="32" a="1"/>
  <c r="C50" i="32" s="1"/>
  <c r="C235" i="32" a="1"/>
  <c r="C235" i="32" s="1"/>
  <c r="B151" i="32"/>
  <c r="B92" i="32"/>
  <c r="B194" i="32"/>
  <c r="B114" i="32"/>
  <c r="B36" i="32"/>
  <c r="B216" i="32"/>
  <c r="D112" i="32" a="1"/>
  <c r="D112" i="32" s="1"/>
  <c r="C59" i="32" a="1"/>
  <c r="C59" i="32" s="1"/>
  <c r="C214" i="32" a="1"/>
  <c r="C214" i="32" s="1"/>
  <c r="B112" i="32"/>
  <c r="B53" i="32"/>
  <c r="B239" i="32"/>
  <c r="B78" i="32"/>
  <c r="C77" i="32" a="1"/>
  <c r="C77" i="32" s="1"/>
  <c r="D158" i="32" a="1"/>
  <c r="D158" i="32" s="1"/>
  <c r="B190" i="32"/>
  <c r="B224" i="32"/>
  <c r="C212" i="32" a="1"/>
  <c r="C212" i="32" s="1"/>
  <c r="C52" i="32" a="1"/>
  <c r="C52" i="32" s="1"/>
  <c r="C233" i="32" a="1"/>
  <c r="C233" i="32" s="1"/>
  <c r="C207" i="32" a="1"/>
  <c r="C207" i="32" s="1"/>
  <c r="C181" i="32" a="1"/>
  <c r="C181" i="32" s="1"/>
  <c r="B158" i="32"/>
  <c r="B133" i="32"/>
  <c r="D88" i="32" a="1"/>
  <c r="D88" i="32" s="1"/>
  <c r="B56" i="32"/>
  <c r="B243" i="32"/>
  <c r="D217" i="32" a="1"/>
  <c r="D217" i="32" s="1"/>
  <c r="C183" i="32" a="1"/>
  <c r="C183" i="32" s="1"/>
  <c r="D155" i="32" a="1"/>
  <c r="D155" i="32" s="1"/>
  <c r="C132" i="32" a="1"/>
  <c r="C132" i="32" s="1"/>
  <c r="B105" i="32"/>
  <c r="C74" i="32" a="1"/>
  <c r="C74" i="32" s="1"/>
  <c r="C41" i="32" a="1"/>
  <c r="C41" i="32" s="1"/>
  <c r="D225" i="32" a="1"/>
  <c r="D225" i="32" s="1"/>
  <c r="B197" i="32"/>
  <c r="B177" i="32"/>
  <c r="C146" i="32" a="1"/>
  <c r="C146" i="32" s="1"/>
  <c r="B113" i="32"/>
  <c r="B90" i="32"/>
  <c r="C69" i="32" a="1"/>
  <c r="C69" i="32" s="1"/>
  <c r="C47" i="32" a="1"/>
  <c r="C47" i="32" s="1"/>
  <c r="D227" i="32" a="1"/>
  <c r="D227" i="32" s="1"/>
  <c r="D196" i="32" a="1"/>
  <c r="D196" i="32" s="1"/>
  <c r="C165" i="32" a="1"/>
  <c r="C165" i="32" s="1"/>
  <c r="D138" i="32" a="1"/>
  <c r="D138" i="32" s="1"/>
  <c r="B96" i="32"/>
  <c r="C57" i="32" a="1"/>
  <c r="C57" i="32" s="1"/>
  <c r="B241" i="32"/>
  <c r="D218" i="32" a="1"/>
  <c r="D218" i="32" s="1"/>
  <c r="C187" i="32" a="1"/>
  <c r="C187" i="32" s="1"/>
  <c r="B168" i="32"/>
  <c r="C143" i="32" a="1"/>
  <c r="C143" i="32" s="1"/>
  <c r="C108" i="32" a="1"/>
  <c r="C108" i="32" s="1"/>
  <c r="C87" i="32" a="1"/>
  <c r="C87" i="32" s="1"/>
  <c r="C71" i="32" a="1"/>
  <c r="C71" i="32" s="1"/>
  <c r="D46" i="32" a="1"/>
  <c r="D46" i="32" s="1"/>
  <c r="C218" i="32" a="1"/>
  <c r="C218" i="32" s="1"/>
  <c r="C158" i="32" a="1"/>
  <c r="C158" i="32" s="1"/>
  <c r="B98" i="32"/>
  <c r="C45" i="32" a="1"/>
  <c r="C45" i="32" s="1"/>
  <c r="B222" i="32"/>
  <c r="B143" i="32"/>
  <c r="B81" i="32"/>
  <c r="B188" i="32"/>
  <c r="B108" i="32"/>
  <c r="B31" i="32"/>
  <c r="B208" i="32"/>
  <c r="C101" i="32" a="1"/>
  <c r="C101" i="32" s="1"/>
  <c r="D54" i="32" a="1"/>
  <c r="D54" i="32" s="1"/>
  <c r="B199" i="32"/>
  <c r="B101" i="32"/>
  <c r="D42" i="32" a="1"/>
  <c r="D42" i="32" s="1"/>
  <c r="C240" i="32" a="1"/>
  <c r="C240" i="32" s="1"/>
  <c r="B220" i="32"/>
  <c r="C58" i="32" a="1"/>
  <c r="C58" i="32" s="1"/>
  <c r="B219" i="32"/>
  <c r="C42" i="32" a="1"/>
  <c r="C42" i="32" s="1"/>
  <c r="D179" i="32" a="1"/>
  <c r="D179" i="32" s="1"/>
  <c r="B139" i="32"/>
  <c r="C140" i="32" a="1"/>
  <c r="C140" i="32" s="1"/>
  <c r="D82" i="32" a="1"/>
  <c r="D82" i="32" s="1"/>
  <c r="C173" i="32" a="1"/>
  <c r="C173" i="32" s="1"/>
  <c r="B212" i="32"/>
  <c r="C64" i="32" a="1"/>
  <c r="C64" i="32" s="1"/>
  <c r="B226" i="32"/>
  <c r="B198" i="32"/>
  <c r="B170" i="32"/>
  <c r="C147" i="32" a="1"/>
  <c r="C147" i="32" s="1"/>
  <c r="D107" i="32" a="1"/>
  <c r="D107" i="32" s="1"/>
  <c r="D78" i="32" a="1"/>
  <c r="D78" i="32" s="1"/>
  <c r="D47" i="32" a="1"/>
  <c r="D47" i="32" s="1"/>
  <c r="B231" i="32"/>
  <c r="B207" i="32"/>
  <c r="C177" i="32" a="1"/>
  <c r="C177" i="32" s="1"/>
  <c r="B147" i="32"/>
  <c r="D115" i="32" a="1"/>
  <c r="D115" i="32" s="1"/>
  <c r="D96" i="32" a="1"/>
  <c r="D96" i="32" s="1"/>
  <c r="B63" i="32" a="1"/>
  <c r="B63" i="32" s="1"/>
  <c r="C242" i="32" a="1"/>
  <c r="C242" i="32" s="1"/>
  <c r="C219" i="32" a="1"/>
  <c r="C219" i="32" s="1"/>
  <c r="C190" i="32" a="1"/>
  <c r="C190" i="32" s="1"/>
  <c r="B166" i="32"/>
  <c r="D134" i="32" a="1"/>
  <c r="D134" i="32" s="1"/>
  <c r="B107" i="32"/>
  <c r="B82" i="32"/>
  <c r="D57" i="32" a="1"/>
  <c r="D57" i="32" s="1"/>
  <c r="B37" i="32"/>
  <c r="B217" i="32"/>
  <c r="C180" i="32" a="1"/>
  <c r="C180" i="32" s="1"/>
  <c r="B159" i="32"/>
  <c r="D110" i="32" a="1"/>
  <c r="D110" i="32" s="1"/>
  <c r="B84" i="32"/>
  <c r="B45" i="32"/>
  <c r="B232" i="32"/>
  <c r="B202" i="32"/>
  <c r="B180" i="32"/>
  <c r="B161" i="32"/>
  <c r="B134" i="32"/>
  <c r="D99" i="32" a="1"/>
  <c r="D99" i="32" s="1"/>
  <c r="C81" i="32" a="1"/>
  <c r="C81" i="32" s="1"/>
  <c r="D58" i="32" a="1"/>
  <c r="D58" i="32" s="1"/>
  <c r="C36" i="32" a="1"/>
  <c r="C36" i="32" s="1"/>
  <c r="D195" i="32" a="1"/>
  <c r="D195" i="32" s="1"/>
  <c r="B138" i="32"/>
  <c r="B77" i="32"/>
  <c r="D194" i="32" a="1"/>
  <c r="D194" i="32" s="1"/>
  <c r="C114" i="32" a="1"/>
  <c r="C114" i="32" s="1"/>
  <c r="B50" i="32"/>
  <c r="D221" i="32" a="1"/>
  <c r="D221" i="32" s="1"/>
  <c r="C156" i="32" a="1"/>
  <c r="C156" i="32" s="1"/>
  <c r="B75" i="32"/>
  <c r="B156" i="32"/>
  <c r="C85" i="32" a="1"/>
  <c r="C85" i="32" s="1"/>
  <c r="C35" i="32" a="1"/>
  <c r="C35" i="32" s="1"/>
  <c r="D174" i="32" a="1"/>
  <c r="D174" i="32" s="1"/>
  <c r="B85" i="32"/>
  <c r="B27" i="32" a="1"/>
  <c r="B27" i="32" s="1"/>
  <c r="C110" i="32" a="1"/>
  <c r="C110" i="32" s="1"/>
  <c r="C152" i="32" a="1"/>
  <c r="C152" i="32" s="1"/>
  <c r="B146" i="32"/>
  <c r="B117" i="32"/>
  <c r="B83" i="32"/>
  <c r="B230" i="32"/>
  <c r="B72" i="32"/>
  <c r="D193" i="32" a="1"/>
  <c r="D193" i="32" s="1"/>
  <c r="C144" i="32" a="1"/>
  <c r="C144" i="32" s="1"/>
  <c r="D72" i="32" a="1"/>
  <c r="D72" i="32" s="1"/>
  <c r="C228" i="32" a="1"/>
  <c r="C228" i="32" s="1"/>
  <c r="B175" i="32"/>
  <c r="C113" i="32" a="1"/>
  <c r="C113" i="32" s="1"/>
  <c r="B60" i="32"/>
  <c r="C209" i="32" a="1"/>
  <c r="C209" i="32" s="1"/>
  <c r="D163" i="32" a="1"/>
  <c r="D163" i="32" s="1"/>
  <c r="B103" i="32"/>
  <c r="D55" i="32" a="1"/>
  <c r="D55" i="32" s="1"/>
  <c r="B214" i="32"/>
  <c r="C157" i="32" a="1"/>
  <c r="C157" i="32" s="1"/>
  <c r="B76" i="32"/>
  <c r="C229" i="32" a="1"/>
  <c r="C229" i="32" s="1"/>
  <c r="B178" i="32"/>
  <c r="C130" i="32" a="1"/>
  <c r="C130" i="32" s="1"/>
  <c r="C79" i="32" a="1"/>
  <c r="C79" i="32" s="1"/>
  <c r="B33" i="32"/>
  <c r="B130" i="32"/>
  <c r="B109" i="32"/>
  <c r="C216" i="32" a="1"/>
  <c r="C216" i="32" s="1"/>
  <c r="B69" i="32"/>
  <c r="B80" i="32"/>
  <c r="D232" i="32" a="1"/>
  <c r="D232" i="32" s="1"/>
  <c r="B79" i="32"/>
  <c r="B94" i="32"/>
  <c r="C133" i="32" a="1"/>
  <c r="C133" i="32" s="1"/>
  <c r="B131" i="32" a="1"/>
  <c r="B131" i="32" s="1"/>
  <c r="D104" i="32" a="1"/>
  <c r="D104" i="32" s="1"/>
  <c r="C65" i="32" a="1"/>
  <c r="C65" i="32" s="1"/>
  <c r="C243" i="32" a="1"/>
  <c r="C243" i="32" s="1"/>
  <c r="D188" i="32" a="1"/>
  <c r="D188" i="32" s="1"/>
  <c r="B140" i="32"/>
  <c r="C60" i="32" a="1"/>
  <c r="C60" i="32" s="1"/>
  <c r="C221" i="32" a="1"/>
  <c r="C221" i="32" s="1"/>
  <c r="C166" i="32" a="1"/>
  <c r="C166" i="32" s="1"/>
  <c r="D109" i="32" a="1"/>
  <c r="D109" i="32" s="1"/>
  <c r="C49" i="32" a="1"/>
  <c r="C49" i="32" s="1"/>
  <c r="C203" i="32" a="1"/>
  <c r="C203" i="32" s="1"/>
  <c r="D157" i="32" a="1"/>
  <c r="D157" i="32" s="1"/>
  <c r="C94" i="32" a="1"/>
  <c r="C94" i="32" s="1"/>
  <c r="C51" i="32" a="1"/>
  <c r="C51" i="32" s="1"/>
  <c r="C205" i="32" a="1"/>
  <c r="C205" i="32" s="1"/>
  <c r="B152" i="32"/>
  <c r="B65" i="32"/>
  <c r="C224" i="32" a="1"/>
  <c r="C224" i="32" s="1"/>
  <c r="B174" i="32"/>
  <c r="D114" i="32" a="1"/>
  <c r="D114" i="32" s="1"/>
  <c r="C75" i="32" a="1"/>
  <c r="C75" i="32" s="1"/>
  <c r="B229" i="32"/>
  <c r="B110" i="32"/>
  <c r="B244" i="32"/>
  <c r="C97" i="32" a="1"/>
  <c r="C97" i="32" s="1"/>
  <c r="C201" i="32" a="1"/>
  <c r="C201" i="32" s="1"/>
  <c r="C44" i="32" a="1"/>
  <c r="C44" i="32" s="1"/>
  <c r="B227" i="32"/>
  <c r="C231" i="32" a="1"/>
  <c r="C231" i="32" s="1"/>
  <c r="C175" i="32" a="1"/>
  <c r="C175" i="32" s="1"/>
  <c r="B116" i="32"/>
  <c r="C54" i="32" a="1"/>
  <c r="C54" i="32" s="1"/>
  <c r="B215" i="32"/>
  <c r="B153" i="32"/>
  <c r="C103" i="32" a="1"/>
  <c r="C103" i="32" s="1"/>
  <c r="C37" i="32" a="1"/>
  <c r="C37" i="32" s="1"/>
  <c r="B195" i="32"/>
  <c r="C139" i="32" a="1"/>
  <c r="C139" i="32" s="1"/>
  <c r="C88" i="32" a="1"/>
  <c r="C88" i="32" s="1"/>
  <c r="D43" i="32" a="1"/>
  <c r="D43" i="32" s="1"/>
  <c r="D189" i="32" a="1"/>
  <c r="D189" i="32" s="1"/>
  <c r="C134" i="32" a="1"/>
  <c r="C134" i="32" s="1"/>
  <c r="C55" i="32" a="1"/>
  <c r="C55" i="32" s="1"/>
  <c r="C208" i="32" a="1"/>
  <c r="C208" i="32" s="1"/>
  <c r="B165" i="32"/>
  <c r="C104" i="32" a="1"/>
  <c r="C104" i="32" s="1"/>
  <c r="B68" i="32"/>
  <c r="D210" i="32" a="1"/>
  <c r="D210" i="32" s="1"/>
  <c r="B87" i="32"/>
  <c r="C217" i="32" a="1"/>
  <c r="C217" i="32" s="1"/>
  <c r="C76" i="32" a="1"/>
  <c r="C76" i="32" s="1"/>
  <c r="B176" i="32"/>
  <c r="B28" i="32"/>
  <c r="B200" i="32"/>
  <c r="B48" i="32"/>
  <c r="B193" i="32"/>
  <c r="B34" i="32"/>
  <c r="B46" i="32"/>
  <c r="D28" i="32" a="1"/>
  <c r="D28" i="32" s="1"/>
  <c r="B88" i="32"/>
  <c r="C116" i="32" a="1"/>
  <c r="C116" i="32" s="1"/>
  <c r="C100" i="32" a="1"/>
  <c r="C100" i="32" s="1"/>
  <c r="D228" i="32" a="1"/>
  <c r="D228" i="32" s="1"/>
  <c r="B173" i="32"/>
  <c r="D113" i="32" a="1"/>
  <c r="D113" i="32" s="1"/>
  <c r="D51" i="32" a="1"/>
  <c r="D51" i="32" s="1"/>
  <c r="D211" i="32" a="1"/>
  <c r="D211" i="32" s="1"/>
  <c r="B150" i="32"/>
  <c r="D100" i="32" a="1"/>
  <c r="D100" i="32" s="1"/>
  <c r="C34" i="32" a="1"/>
  <c r="C34" i="32" s="1"/>
  <c r="C193" i="32" a="1"/>
  <c r="C193" i="32" s="1"/>
  <c r="B137" i="32"/>
  <c r="C86" i="32" a="1"/>
  <c r="C86" i="32" s="1"/>
  <c r="B41" i="32"/>
  <c r="B185" i="32"/>
  <c r="D118" i="32" a="1"/>
  <c r="D118" i="32" s="1"/>
  <c r="D50" i="32" a="1"/>
  <c r="D50" i="32" s="1"/>
  <c r="B205" i="32"/>
  <c r="B163" i="32"/>
  <c r="B102" i="32"/>
  <c r="C61" i="32" a="1"/>
  <c r="C61" i="32" s="1"/>
  <c r="B203" i="32"/>
  <c r="D81" i="32" a="1"/>
  <c r="D81" i="32" s="1"/>
  <c r="C210" i="32" a="1"/>
  <c r="C210" i="32" s="1"/>
  <c r="B61" i="32"/>
  <c r="C162" i="32" a="1"/>
  <c r="C162" i="32" s="1"/>
  <c r="B187" i="32"/>
  <c r="C43" i="32" a="1"/>
  <c r="C43" i="32" s="1"/>
  <c r="C186" i="32" a="1"/>
  <c r="C186" i="32" s="1"/>
  <c r="B30" i="32"/>
  <c r="B29" i="32" a="1"/>
  <c r="B29" i="32" s="1"/>
  <c r="B47" i="32"/>
  <c r="C32" i="32" a="1"/>
  <c r="C32" i="32" s="1"/>
  <c r="B204" i="32"/>
  <c r="C153" i="32" a="1"/>
  <c r="C153" i="32" s="1"/>
  <c r="D86" i="32" a="1"/>
  <c r="D86" i="32" s="1"/>
  <c r="C236" i="32" a="1"/>
  <c r="C236" i="32" s="1"/>
  <c r="B181" i="32"/>
  <c r="C119" i="32" a="1"/>
  <c r="C119" i="32" s="1"/>
  <c r="B70" i="32"/>
  <c r="B223" i="32"/>
  <c r="C172" i="32" a="1"/>
  <c r="C172" i="32" s="1"/>
  <c r="B111" i="32"/>
  <c r="B66" i="32"/>
  <c r="B225" i="32"/>
  <c r="C163" i="32" a="1"/>
  <c r="C163" i="32" s="1"/>
  <c r="D93" i="32" a="1"/>
  <c r="D93" i="32" s="1"/>
  <c r="B238" i="32"/>
  <c r="C184" i="32" a="1"/>
  <c r="C184" i="32" s="1"/>
  <c r="D140" i="32" a="1"/>
  <c r="D140" i="32" s="1"/>
  <c r="D85" i="32" a="1"/>
  <c r="D85" i="32" s="1"/>
  <c r="D44" i="32" a="1"/>
  <c r="D44" i="32" s="1"/>
  <c r="C151" i="32" a="1"/>
  <c r="C151" i="32" s="1"/>
  <c r="C39" i="32" a="1"/>
  <c r="C39" i="32" s="1"/>
  <c r="D136" i="32" a="1"/>
  <c r="D136" i="32" s="1"/>
  <c r="B97" i="32"/>
  <c r="C96" i="32" a="1"/>
  <c r="C96" i="32" s="1"/>
  <c r="B95" i="32"/>
  <c r="C185" i="32" a="1"/>
  <c r="C185" i="32" s="1"/>
  <c r="C204" i="32" a="1"/>
  <c r="C204" i="32" s="1"/>
  <c r="C198" i="32" a="1"/>
  <c r="C198" i="32" s="1"/>
  <c r="C164" i="32" a="1"/>
  <c r="C164" i="32" s="1"/>
  <c r="D111" i="32" a="1"/>
  <c r="D111" i="32" s="1"/>
  <c r="C159" i="32" a="1"/>
  <c r="C159" i="32" s="1"/>
  <c r="B201" i="32"/>
  <c r="C150" i="32" a="1"/>
  <c r="C150" i="32" s="1"/>
  <c r="D80" i="32" a="1"/>
  <c r="D80" i="32" s="1"/>
  <c r="B233" i="32"/>
  <c r="C179" i="32" a="1"/>
  <c r="C179" i="32" s="1"/>
  <c r="D117" i="32" a="1"/>
  <c r="D117" i="32" s="1"/>
  <c r="C66" i="32" a="1"/>
  <c r="C66" i="32" s="1"/>
  <c r="B221" i="32"/>
  <c r="B169" i="32"/>
  <c r="C109" i="32" a="1"/>
  <c r="C109" i="32" s="1"/>
  <c r="C62" i="32" a="1"/>
  <c r="C62" i="32" s="1"/>
  <c r="D220" i="32" a="1"/>
  <c r="D220" i="32" s="1"/>
  <c r="C161" i="32" a="1"/>
  <c r="C161" i="32" s="1"/>
  <c r="C91" i="32" a="1"/>
  <c r="C91" i="32" s="1"/>
  <c r="C234" i="32" a="1"/>
  <c r="C234" i="32" s="1"/>
  <c r="C182" i="32" a="1"/>
  <c r="C182" i="32" s="1"/>
  <c r="C136" i="32" a="1"/>
  <c r="C136" i="32" s="1"/>
  <c r="C83" i="32" a="1"/>
  <c r="C83" i="32" s="1"/>
  <c r="B40" i="32"/>
  <c r="D143" i="32" a="1"/>
  <c r="D143" i="32" s="1"/>
  <c r="B32" i="32"/>
  <c r="D119" i="32" a="1"/>
  <c r="D119" i="32" s="1"/>
  <c r="B234" i="32"/>
  <c r="B86" i="32"/>
  <c r="D90" i="32" a="1"/>
  <c r="D90" i="32" s="1"/>
  <c r="D89" i="32" a="1"/>
  <c r="D89" i="32" s="1"/>
  <c r="B172" i="32"/>
  <c r="B184" i="32"/>
  <c r="D183" i="32" a="1"/>
  <c r="D183" i="32" s="1"/>
  <c r="B145" i="32"/>
  <c r="C99" i="32" a="1"/>
  <c r="C99" i="32" s="1"/>
  <c r="B206" i="32"/>
  <c r="B192" i="32"/>
  <c r="B39" i="32"/>
  <c r="C230" i="32" a="1"/>
  <c r="C230" i="32" s="1"/>
  <c r="B235" i="32"/>
  <c r="C194" i="32" a="1"/>
  <c r="C194" i="32" s="1"/>
  <c r="D177" i="32" a="1"/>
  <c r="D177" i="32" s="1"/>
  <c r="C170" i="32" a="1"/>
  <c r="C170" i="32" s="1"/>
  <c r="B136" i="32"/>
  <c r="C118" i="32" a="1"/>
  <c r="C118" i="32" s="1"/>
  <c r="B91" i="32"/>
  <c r="B43" i="32"/>
  <c r="D223" i="32" a="1"/>
  <c r="D223" i="32" s="1"/>
  <c r="C197" i="32" a="1"/>
  <c r="C197" i="32" s="1"/>
  <c r="C188" i="32" a="1"/>
  <c r="C188" i="32" s="1"/>
  <c r="C178" i="32" a="1"/>
  <c r="C178" i="32" s="1"/>
  <c r="B157" i="32"/>
  <c r="B71" i="32"/>
  <c r="D36" i="32" a="1"/>
  <c r="D36" i="32" s="1"/>
  <c r="C67" i="32" a="1"/>
  <c r="C67" i="32" s="1"/>
  <c r="C138" i="32" a="1"/>
  <c r="C138" i="32" s="1"/>
  <c r="B100" i="32"/>
  <c r="B57" i="32"/>
  <c r="C215" i="32" a="1"/>
  <c r="C215" i="32" s="1"/>
  <c r="B191" i="32"/>
  <c r="D180" i="32" a="1"/>
  <c r="D180" i="32" s="1"/>
  <c r="C174" i="32" a="1"/>
  <c r="C174" i="32" s="1"/>
  <c r="C148" i="32" a="1"/>
  <c r="C148" i="32" s="1"/>
  <c r="C56" i="32" a="1"/>
  <c r="C56" i="32" s="1"/>
  <c r="C28" i="32" a="1"/>
  <c r="C28" i="32" s="1"/>
  <c r="C30" i="32" a="1"/>
  <c r="C30" i="32" s="1"/>
  <c r="C220" i="32" a="1"/>
  <c r="C220" i="32" s="1"/>
  <c r="B93" i="32"/>
  <c r="C137" i="32" a="1"/>
  <c r="C137" i="32" s="1"/>
  <c r="C80" i="32" a="1"/>
  <c r="C80" i="32" s="1"/>
  <c r="B67" i="32"/>
  <c r="C211" i="32" a="1"/>
  <c r="C211" i="32" s="1"/>
  <c r="B167" i="32"/>
  <c r="B144" i="32"/>
  <c r="B132" i="32"/>
  <c r="D106" i="32" a="1"/>
  <c r="D106" i="32" s="1"/>
  <c r="C95" i="32" a="1"/>
  <c r="C95" i="32" s="1"/>
  <c r="C167" i="32" a="1"/>
  <c r="C167" i="32" s="1"/>
  <c r="B162" i="32"/>
  <c r="B118" i="32"/>
  <c r="D94" i="32" a="1"/>
  <c r="D94" i="32" s="1"/>
  <c r="C82" i="32" a="1"/>
  <c r="C82" i="32" s="1"/>
  <c r="B74" i="32"/>
  <c r="C33" i="32" a="1"/>
  <c r="C33" i="32" s="1"/>
  <c r="D52" i="32" a="1"/>
  <c r="D52" i="32" s="1"/>
  <c r="C46" i="32" a="1"/>
  <c r="C46" i="32" s="1"/>
  <c r="B89" i="32"/>
  <c r="D160" i="32" a="1"/>
  <c r="D160" i="32" s="1"/>
  <c r="D144" i="32" a="1"/>
  <c r="D144" i="32" s="1"/>
  <c r="B52" i="32"/>
  <c r="B154" i="32"/>
  <c r="C105" i="32" a="1"/>
  <c r="C105" i="32" s="1"/>
  <c r="B44" i="32"/>
  <c r="C239" i="32" a="1"/>
  <c r="C239" i="32" s="1"/>
  <c r="C241" i="32" a="1"/>
  <c r="C241" i="32" s="1"/>
  <c r="C199" i="32" a="1"/>
  <c r="C199" i="32" s="1"/>
  <c r="C189" i="32" a="1"/>
  <c r="C189" i="32" s="1"/>
  <c r="B189" i="32"/>
  <c r="B149" i="32"/>
  <c r="B148" i="32"/>
  <c r="D231" i="32" a="1"/>
  <c r="D231" i="32" s="1"/>
  <c r="C117" i="32" a="1"/>
  <c r="C117" i="32" s="1"/>
  <c r="C90" i="32" a="1"/>
  <c r="C90" i="32" s="1"/>
  <c r="C235" i="31" a="1"/>
  <c r="C235" i="31" s="1"/>
  <c r="D210" i="31" a="1"/>
  <c r="D210" i="31" s="1"/>
  <c r="C183" i="31" a="1"/>
  <c r="C183" i="31" s="1"/>
  <c r="D161" i="31" a="1"/>
  <c r="D161" i="31" s="1"/>
  <c r="C136" i="31" a="1"/>
  <c r="C136" i="31" s="1"/>
  <c r="D220" i="31" a="1"/>
  <c r="D220" i="31" s="1"/>
  <c r="C190" i="31" a="1"/>
  <c r="C190" i="31" s="1"/>
  <c r="B159" i="31"/>
  <c r="B136" i="31"/>
  <c r="C231" i="31" a="1"/>
  <c r="C231" i="31" s="1"/>
  <c r="C203" i="31" a="1"/>
  <c r="C203" i="31" s="1"/>
  <c r="D182" i="31" a="1"/>
  <c r="D182" i="31" s="1"/>
  <c r="C156" i="31" a="1"/>
  <c r="C156" i="31" s="1"/>
  <c r="D119" i="31" a="1"/>
  <c r="D119" i="31" s="1"/>
  <c r="C241" i="31" a="1"/>
  <c r="C241" i="31" s="1"/>
  <c r="C218" i="31" a="1"/>
  <c r="C218" i="31" s="1"/>
  <c r="B185" i="31"/>
  <c r="B161" i="31"/>
  <c r="C135" i="31" a="1"/>
  <c r="C135" i="31" s="1"/>
  <c r="B237" i="31" a="1"/>
  <c r="B237" i="31" s="1"/>
  <c r="C209" i="31" a="1"/>
  <c r="C209" i="31" s="1"/>
  <c r="C182" i="31" a="1"/>
  <c r="C182" i="31" s="1"/>
  <c r="C153" i="31" a="1"/>
  <c r="C153" i="31" s="1"/>
  <c r="C119" i="31" a="1"/>
  <c r="C119" i="31" s="1"/>
  <c r="B167" i="31"/>
  <c r="C106" i="31" a="1"/>
  <c r="C106" i="31" s="1"/>
  <c r="D85" i="31" a="1"/>
  <c r="D85" i="31" s="1"/>
  <c r="C64" i="31" a="1"/>
  <c r="C64" i="31" s="1"/>
  <c r="B33" i="31"/>
  <c r="C214" i="31" a="1"/>
  <c r="C214" i="31" s="1"/>
  <c r="B153" i="31"/>
  <c r="C97" i="31" a="1"/>
  <c r="C97" i="31" s="1"/>
  <c r="D74" i="31" a="1"/>
  <c r="D74" i="31" s="1"/>
  <c r="B40" i="31"/>
  <c r="B214" i="31"/>
  <c r="B132" i="31"/>
  <c r="D90" i="31" a="1"/>
  <c r="D90" i="31" s="1"/>
  <c r="B56" i="31"/>
  <c r="C32" i="31" a="1"/>
  <c r="C32" i="31" s="1"/>
  <c r="B173" i="31"/>
  <c r="C107" i="31" a="1"/>
  <c r="C107" i="31" s="1"/>
  <c r="D82" i="31" a="1"/>
  <c r="D82" i="31" s="1"/>
  <c r="B51" i="31"/>
  <c r="B170" i="31"/>
  <c r="C109" i="31" a="1"/>
  <c r="C109" i="31" s="1"/>
  <c r="D89" i="31" a="1"/>
  <c r="D89" i="31" s="1"/>
  <c r="C68" i="31" a="1"/>
  <c r="C68" i="31" s="1"/>
  <c r="B46" i="31"/>
  <c r="D157" i="31" a="1"/>
  <c r="D157" i="31" s="1"/>
  <c r="D50" i="31" a="1"/>
  <c r="D50" i="31" s="1"/>
  <c r="C88" i="31" a="1"/>
  <c r="C88" i="31" s="1"/>
  <c r="D112" i="31" a="1"/>
  <c r="D112" i="31" s="1"/>
  <c r="B35" i="31"/>
  <c r="B187" i="31"/>
  <c r="C61" i="31" a="1"/>
  <c r="C61" i="31" s="1"/>
  <c r="D109" i="31" a="1"/>
  <c r="D109" i="31" s="1"/>
  <c r="D58" i="31" a="1"/>
  <c r="D58" i="31" s="1"/>
  <c r="C111" i="31" a="1"/>
  <c r="C111" i="31" s="1"/>
  <c r="D228" i="31" a="1"/>
  <c r="D228" i="31" s="1"/>
  <c r="C204" i="31" a="1"/>
  <c r="C204" i="31" s="1"/>
  <c r="C179" i="31" a="1"/>
  <c r="C179" i="31" s="1"/>
  <c r="C157" i="31" a="1"/>
  <c r="C157" i="31" s="1"/>
  <c r="C242" i="31" a="1"/>
  <c r="C242" i="31" s="1"/>
  <c r="B212" i="31"/>
  <c r="B183" i="31"/>
  <c r="C154" i="31" a="1"/>
  <c r="C154" i="31" s="1"/>
  <c r="C118" i="31" a="1"/>
  <c r="C118" i="31" s="1"/>
  <c r="B225" i="31"/>
  <c r="B197" i="31"/>
  <c r="B172" i="31"/>
  <c r="B151" i="31"/>
  <c r="C116" i="31" a="1"/>
  <c r="C116" i="31" s="1"/>
  <c r="B234" i="31"/>
  <c r="D211" i="31" a="1"/>
  <c r="D211" i="31" s="1"/>
  <c r="C178" i="31" a="1"/>
  <c r="C178" i="31" s="1"/>
  <c r="B156" i="31"/>
  <c r="B116" i="31"/>
  <c r="C230" i="31" a="1"/>
  <c r="C230" i="31" s="1"/>
  <c r="C202" i="31" a="1"/>
  <c r="C202" i="31" s="1"/>
  <c r="B178" i="31"/>
  <c r="B147" i="31"/>
  <c r="D115" i="31" a="1"/>
  <c r="D115" i="31" s="1"/>
  <c r="C229" i="31" a="1"/>
  <c r="C229" i="31" s="1"/>
  <c r="C155" i="31" a="1"/>
  <c r="C155" i="31" s="1"/>
  <c r="D97" i="31" a="1"/>
  <c r="D97" i="31" s="1"/>
  <c r="C81" i="31" a="1"/>
  <c r="C81" i="31" s="1"/>
  <c r="D54" i="31" a="1"/>
  <c r="D54" i="31" s="1"/>
  <c r="B199" i="31"/>
  <c r="B134" i="31"/>
  <c r="B93" i="31"/>
  <c r="B64" i="31"/>
  <c r="B30" i="31"/>
  <c r="C198" i="31" a="1"/>
  <c r="C198" i="31" s="1"/>
  <c r="C113" i="31" a="1"/>
  <c r="C113" i="31" s="1"/>
  <c r="D78" i="31" a="1"/>
  <c r="D78" i="31" s="1"/>
  <c r="C51" i="31" a="1"/>
  <c r="C51" i="31" s="1"/>
  <c r="B236" i="31"/>
  <c r="B152" i="31"/>
  <c r="C101" i="31" a="1"/>
  <c r="C101" i="31" s="1"/>
  <c r="C74" i="31" a="1"/>
  <c r="C74" i="31" s="1"/>
  <c r="B47" i="31"/>
  <c r="C232" i="31" a="1"/>
  <c r="C232" i="31" s="1"/>
  <c r="D155" i="31" a="1"/>
  <c r="D155" i="31" s="1"/>
  <c r="B104" i="31"/>
  <c r="B86" i="31"/>
  <c r="B59" i="31"/>
  <c r="C41" i="31" a="1"/>
  <c r="C41" i="31" s="1"/>
  <c r="D116" i="31" a="1"/>
  <c r="D116" i="31" s="1"/>
  <c r="D28" i="31" a="1"/>
  <c r="D28" i="31" s="1"/>
  <c r="B211" i="31"/>
  <c r="B72" i="31"/>
  <c r="C76" i="31" a="1"/>
  <c r="C76" i="31" s="1"/>
  <c r="C149" i="31" a="1"/>
  <c r="C149" i="31" s="1"/>
  <c r="B96" i="31"/>
  <c r="D46" i="31" a="1"/>
  <c r="D46" i="31" s="1"/>
  <c r="C46" i="31" a="1"/>
  <c r="C46" i="31" s="1"/>
  <c r="D225" i="31" a="1"/>
  <c r="D225" i="31" s="1"/>
  <c r="B201" i="31"/>
  <c r="C177" i="31" a="1"/>
  <c r="C177" i="31" s="1"/>
  <c r="B155" i="31"/>
  <c r="B239" i="31"/>
  <c r="C210" i="31" a="1"/>
  <c r="C210" i="31" s="1"/>
  <c r="D180" i="31" a="1"/>
  <c r="D180" i="31" s="1"/>
  <c r="C151" i="31" a="1"/>
  <c r="C151" i="31" s="1"/>
  <c r="C114" i="31" a="1"/>
  <c r="C114" i="31" s="1"/>
  <c r="C222" i="31" a="1"/>
  <c r="C222" i="31" s="1"/>
  <c r="D194" i="31" a="1"/>
  <c r="D194" i="31" s="1"/>
  <c r="C168" i="31" a="1"/>
  <c r="C168" i="31" s="1"/>
  <c r="D144" i="31" a="1"/>
  <c r="D144" i="31" s="1"/>
  <c r="B114" i="31"/>
  <c r="B231" i="31"/>
  <c r="B207" i="31"/>
  <c r="D176" i="31" a="1"/>
  <c r="D176" i="31" s="1"/>
  <c r="C150" i="31" a="1"/>
  <c r="C150" i="31" s="1"/>
  <c r="D113" i="31" a="1"/>
  <c r="D113" i="31" s="1"/>
  <c r="C227" i="31" a="1"/>
  <c r="C227" i="31" s="1"/>
  <c r="C196" i="31" a="1"/>
  <c r="C196" i="31" s="1"/>
  <c r="C176" i="31" a="1"/>
  <c r="C176" i="31" s="1"/>
  <c r="B144" i="31"/>
  <c r="B217" i="31"/>
  <c r="B146" i="31"/>
  <c r="C95" i="31" a="1"/>
  <c r="C95" i="31" s="1"/>
  <c r="B79" i="31"/>
  <c r="D51" i="31" a="1"/>
  <c r="D51" i="31" s="1"/>
  <c r="B192" i="31"/>
  <c r="D114" i="31" a="1"/>
  <c r="D114" i="31" s="1"/>
  <c r="B89" i="31"/>
  <c r="C58" i="31" a="1"/>
  <c r="C58" i="31" s="1"/>
  <c r="B27" i="31" a="1"/>
  <c r="B27" i="31" s="1"/>
  <c r="B184" i="31"/>
  <c r="D110" i="31" a="1"/>
  <c r="D110" i="31" s="1"/>
  <c r="D76" i="31" a="1"/>
  <c r="D76" i="31" s="1"/>
  <c r="B49" i="31"/>
  <c r="C226" i="31" a="1"/>
  <c r="C226" i="31" s="1"/>
  <c r="D143" i="31" a="1"/>
  <c r="D143" i="31" s="1"/>
  <c r="C99" i="31" a="1"/>
  <c r="C99" i="31" s="1"/>
  <c r="B70" i="31"/>
  <c r="B45" i="31"/>
  <c r="C223" i="31" a="1"/>
  <c r="C223" i="31" s="1"/>
  <c r="C141" i="31" a="1"/>
  <c r="C141" i="31" s="1"/>
  <c r="D100" i="31" a="1"/>
  <c r="D100" i="31" s="1"/>
  <c r="C84" i="31" a="1"/>
  <c r="C84" i="31" s="1"/>
  <c r="C57" i="31" a="1"/>
  <c r="C57" i="31" s="1"/>
  <c r="B37" i="31"/>
  <c r="B107" i="31"/>
  <c r="C189" i="31" a="1"/>
  <c r="C189" i="31" s="1"/>
  <c r="C62" i="31" a="1"/>
  <c r="C62" i="31" s="1"/>
  <c r="C71" i="31" a="1"/>
  <c r="C71" i="31" s="1"/>
  <c r="B98" i="31"/>
  <c r="B240" i="31"/>
  <c r="B90" i="31"/>
  <c r="B41" i="31"/>
  <c r="B243" i="31"/>
  <c r="C216" i="31" a="1"/>
  <c r="C216" i="31" s="1"/>
  <c r="B191" i="31"/>
  <c r="B166" i="31"/>
  <c r="C143" i="31" a="1"/>
  <c r="C143" i="31" s="1"/>
  <c r="C228" i="31" a="1"/>
  <c r="C228" i="31" s="1"/>
  <c r="B195" i="31"/>
  <c r="C172" i="31" a="1"/>
  <c r="C172" i="31" s="1"/>
  <c r="B143" i="31"/>
  <c r="C238" i="31" a="1"/>
  <c r="C238" i="31" s="1"/>
  <c r="B210" i="31"/>
  <c r="B188" i="31"/>
  <c r="C161" i="31" a="1"/>
  <c r="C161" i="31" s="1"/>
  <c r="B138" i="31"/>
  <c r="B106" i="31"/>
  <c r="B222" i="31"/>
  <c r="D196" i="31" a="1"/>
  <c r="D196" i="31" s="1"/>
  <c r="B165" i="31"/>
  <c r="B142" i="31"/>
  <c r="C103" i="31" a="1"/>
  <c r="C103" i="31" s="1"/>
  <c r="B220" i="31"/>
  <c r="C187" i="31" a="1"/>
  <c r="C187" i="31" s="1"/>
  <c r="D160" i="31" a="1"/>
  <c r="D160" i="31" s="1"/>
  <c r="B135" i="31"/>
  <c r="C186" i="31" a="1"/>
  <c r="C186" i="31" s="1"/>
  <c r="D118" i="31" a="1"/>
  <c r="D118" i="31" s="1"/>
  <c r="C89" i="31" a="1"/>
  <c r="C89" i="31" s="1"/>
  <c r="B71" i="31"/>
  <c r="D43" i="31" a="1"/>
  <c r="D43" i="31" s="1"/>
  <c r="B229" i="31"/>
  <c r="C166" i="31" a="1"/>
  <c r="C166" i="31" s="1"/>
  <c r="C102" i="31" a="1"/>
  <c r="C102" i="31" s="1"/>
  <c r="B83" i="31"/>
  <c r="C49" i="31" a="1"/>
  <c r="C49" i="31" s="1"/>
  <c r="B227" i="31"/>
  <c r="C152" i="31" a="1"/>
  <c r="C152" i="31" s="1"/>
  <c r="D99" i="31" a="1"/>
  <c r="D99" i="31" s="1"/>
  <c r="C60" i="31" a="1"/>
  <c r="C60" i="31" s="1"/>
  <c r="B43" i="31"/>
  <c r="C191" i="31" a="1"/>
  <c r="C191" i="31" s="1"/>
  <c r="B117" i="31"/>
  <c r="D88" i="31" a="1"/>
  <c r="D88" i="31" s="1"/>
  <c r="B60" i="31"/>
  <c r="C35" i="31" a="1"/>
  <c r="C35" i="31" s="1"/>
  <c r="D188" i="31" a="1"/>
  <c r="D188" i="31" s="1"/>
  <c r="C115" i="31" a="1"/>
  <c r="C115" i="31" s="1"/>
  <c r="B94" i="31"/>
  <c r="D77" i="31" a="1"/>
  <c r="D77" i="31" s="1"/>
  <c r="C50" i="31" a="1"/>
  <c r="C50" i="31" s="1"/>
  <c r="C28" i="31" a="1"/>
  <c r="C28" i="31" s="1"/>
  <c r="D232" i="31" a="1"/>
  <c r="D232" i="31" s="1"/>
  <c r="B78" i="31"/>
  <c r="B99" i="31"/>
  <c r="D36" i="31" a="1"/>
  <c r="D36" i="31" s="1"/>
  <c r="B189" i="31"/>
  <c r="B50" i="31"/>
  <c r="D223" i="31" a="1"/>
  <c r="D223" i="31" s="1"/>
  <c r="B76" i="31"/>
  <c r="C181" i="31" a="1"/>
  <c r="C181" i="31" s="1"/>
  <c r="D73" i="31" a="1"/>
  <c r="D73" i="31" s="1"/>
  <c r="C65" i="31" a="1"/>
  <c r="C65" i="31" s="1"/>
  <c r="C239" i="31" a="1"/>
  <c r="C239" i="31" s="1"/>
  <c r="D185" i="31" a="1"/>
  <c r="D185" i="31" s="1"/>
  <c r="D140" i="31" a="1"/>
  <c r="D140" i="31" s="1"/>
  <c r="C225" i="31" a="1"/>
  <c r="C225" i="31" s="1"/>
  <c r="B169" i="31"/>
  <c r="C207" i="31" a="1"/>
  <c r="C207" i="31" s="1"/>
  <c r="D158" i="31" a="1"/>
  <c r="D158" i="31" s="1"/>
  <c r="D103" i="31" a="1"/>
  <c r="D103" i="31" s="1"/>
  <c r="C220" i="31" a="1"/>
  <c r="C220" i="31" s="1"/>
  <c r="B163" i="31"/>
  <c r="B218" i="31"/>
  <c r="B158" i="31"/>
  <c r="B111" i="31"/>
  <c r="C67" i="31" a="1"/>
  <c r="C67" i="31" s="1"/>
  <c r="B160" i="31"/>
  <c r="B81" i="31"/>
  <c r="D138" i="31" a="1"/>
  <c r="D138" i="31" s="1"/>
  <c r="B58" i="31"/>
  <c r="B113" i="31"/>
  <c r="C53" i="31" a="1"/>
  <c r="C53" i="31" s="1"/>
  <c r="C112" i="31" a="1"/>
  <c r="C112" i="31" s="1"/>
  <c r="C75" i="31" a="1"/>
  <c r="C75" i="31" s="1"/>
  <c r="C72" i="31" a="1"/>
  <c r="C72" i="31" s="1"/>
  <c r="D93" i="31" a="1"/>
  <c r="D93" i="31" s="1"/>
  <c r="C44" i="31" a="1"/>
  <c r="C44" i="31" s="1"/>
  <c r="C69" i="31" a="1"/>
  <c r="C69" i="31" s="1"/>
  <c r="B66" i="31"/>
  <c r="C217" i="31" a="1"/>
  <c r="C217" i="31" s="1"/>
  <c r="B202" i="31"/>
  <c r="B233" i="31"/>
  <c r="B75" i="31"/>
  <c r="B74" i="31"/>
  <c r="C33" i="31" a="1"/>
  <c r="C33" i="31" s="1"/>
  <c r="B223" i="31"/>
  <c r="B232" i="31"/>
  <c r="B181" i="31"/>
  <c r="B216" i="31"/>
  <c r="B157" i="31"/>
  <c r="C200" i="31" a="1"/>
  <c r="C200" i="31" s="1"/>
  <c r="B154" i="31"/>
  <c r="D222" i="31" a="1"/>
  <c r="D222" i="31" s="1"/>
  <c r="B175" i="31"/>
  <c r="B204" i="31"/>
  <c r="B148" i="31"/>
  <c r="B193" i="31"/>
  <c r="C142" i="31" a="1"/>
  <c r="C142" i="31" s="1"/>
  <c r="B203" i="31"/>
  <c r="C147" i="31" a="1"/>
  <c r="C147" i="31" s="1"/>
  <c r="C194" i="31" a="1"/>
  <c r="C194" i="31" s="1"/>
  <c r="D141" i="31" a="1"/>
  <c r="D141" i="31" s="1"/>
  <c r="C199" i="31" a="1"/>
  <c r="C199" i="31" s="1"/>
  <c r="C93" i="31" a="1"/>
  <c r="C93" i="31" s="1"/>
  <c r="D47" i="31" a="1"/>
  <c r="D47" i="31" s="1"/>
  <c r="C108" i="31" a="1"/>
  <c r="C108" i="31" s="1"/>
  <c r="C56" i="31" a="1"/>
  <c r="C56" i="31" s="1"/>
  <c r="B108" i="31"/>
  <c r="C47" i="31" a="1"/>
  <c r="C47" i="31" s="1"/>
  <c r="C205" i="31" a="1"/>
  <c r="C205" i="31" s="1"/>
  <c r="D94" i="31" a="1"/>
  <c r="D94" i="31" s="1"/>
  <c r="D42" i="31" a="1"/>
  <c r="D42" i="31" s="1"/>
  <c r="D217" i="31" a="1"/>
  <c r="D217" i="31" s="1"/>
  <c r="C98" i="31" a="1"/>
  <c r="C98" i="31" s="1"/>
  <c r="C55" i="31" a="1"/>
  <c r="C55" i="31" s="1"/>
  <c r="B57" i="31"/>
  <c r="B226" i="31"/>
  <c r="C219" i="31" a="1"/>
  <c r="C219" i="31" s="1"/>
  <c r="C31" i="31" a="1"/>
  <c r="C31" i="31" s="1"/>
  <c r="C91" i="31" a="1"/>
  <c r="C91" i="31" s="1"/>
  <c r="B69" i="31"/>
  <c r="C243" i="31" a="1"/>
  <c r="C243" i="31" s="1"/>
  <c r="B244" i="31"/>
  <c r="B149" i="31"/>
  <c r="B219" i="31"/>
  <c r="C169" i="31" a="1"/>
  <c r="C169" i="31" s="1"/>
  <c r="C197" i="31" a="1"/>
  <c r="C197" i="31" s="1"/>
  <c r="B145" i="31"/>
  <c r="B242" i="31"/>
  <c r="B190" i="31"/>
  <c r="C140" i="31" a="1"/>
  <c r="C140" i="31" s="1"/>
  <c r="B200" i="31"/>
  <c r="C144" i="31" a="1"/>
  <c r="C144" i="31" s="1"/>
  <c r="C192" i="31" a="1"/>
  <c r="C192" i="31" s="1"/>
  <c r="C137" i="31" a="1"/>
  <c r="C137" i="31" s="1"/>
  <c r="D193" i="31" a="1"/>
  <c r="D193" i="31" s="1"/>
  <c r="B91" i="31"/>
  <c r="D45" i="31" a="1"/>
  <c r="D45" i="31" s="1"/>
  <c r="B105" i="31"/>
  <c r="C54" i="31" a="1"/>
  <c r="C54" i="31" s="1"/>
  <c r="C236" i="31" a="1"/>
  <c r="C236" i="31" s="1"/>
  <c r="B102" i="31"/>
  <c r="C45" i="31" a="1"/>
  <c r="C45" i="31" s="1"/>
  <c r="B196" i="31"/>
  <c r="D92" i="31" a="1"/>
  <c r="D92" i="31" s="1"/>
  <c r="C39" i="31" a="1"/>
  <c r="C39" i="31" s="1"/>
  <c r="B194" i="31"/>
  <c r="C96" i="31" a="1"/>
  <c r="C96" i="31" s="1"/>
  <c r="C52" i="31" a="1"/>
  <c r="C52" i="31" s="1"/>
  <c r="D44" i="31" a="1"/>
  <c r="D44" i="31" s="1"/>
  <c r="B209" i="31"/>
  <c r="D195" i="31" a="1"/>
  <c r="D195" i="31" s="1"/>
  <c r="C78" i="31" a="1"/>
  <c r="C78" i="31" s="1"/>
  <c r="B52" i="31"/>
  <c r="D177" i="31" a="1"/>
  <c r="D177" i="31" s="1"/>
  <c r="C86" i="31" a="1"/>
  <c r="C86" i="31" s="1"/>
  <c r="D57" i="31" a="1"/>
  <c r="D57" i="31" s="1"/>
  <c r="C48" i="31" a="1"/>
  <c r="C48" i="31" s="1"/>
  <c r="C90" i="31" a="1"/>
  <c r="C90" i="31" s="1"/>
  <c r="C146" i="31" a="1"/>
  <c r="C146" i="31" s="1"/>
  <c r="B198" i="31"/>
  <c r="C148" i="31" a="1"/>
  <c r="C148" i="31" s="1"/>
  <c r="B235" i="31"/>
  <c r="B179" i="31"/>
  <c r="B112" i="31"/>
  <c r="D218" i="31" a="1"/>
  <c r="D218" i="31" s="1"/>
  <c r="C165" i="31" a="1"/>
  <c r="C165" i="31" s="1"/>
  <c r="D111" i="31" a="1"/>
  <c r="D111" i="31" s="1"/>
  <c r="D227" i="31" a="1"/>
  <c r="D227" i="31" s="1"/>
  <c r="C174" i="31" a="1"/>
  <c r="C174" i="31" s="1"/>
  <c r="D107" i="31" a="1"/>
  <c r="D107" i="31" s="1"/>
  <c r="B224" i="31"/>
  <c r="B174" i="31"/>
  <c r="C139" i="31" a="1"/>
  <c r="C139" i="31" s="1"/>
  <c r="B77" i="31"/>
  <c r="B186" i="31"/>
  <c r="B87" i="31"/>
  <c r="C173" i="31" a="1"/>
  <c r="C173" i="31" s="1"/>
  <c r="D72" i="31" a="1"/>
  <c r="D72" i="31" s="1"/>
  <c r="B137" i="31"/>
  <c r="C66" i="31" a="1"/>
  <c r="C66" i="31" s="1"/>
  <c r="D134" i="31" a="1"/>
  <c r="D134" i="31" s="1"/>
  <c r="B82" i="31"/>
  <c r="B34" i="31"/>
  <c r="C94" i="31" a="1"/>
  <c r="C94" i="31" s="1"/>
  <c r="D136" i="31" a="1"/>
  <c r="D136" i="31" s="1"/>
  <c r="B62" i="31"/>
  <c r="C92" i="31" a="1"/>
  <c r="C92" i="31" s="1"/>
  <c r="D84" i="31" a="1"/>
  <c r="D84" i="31" s="1"/>
  <c r="D219" i="31" a="1"/>
  <c r="D219" i="31" s="1"/>
  <c r="C201" i="31" a="1"/>
  <c r="C201" i="31" s="1"/>
  <c r="B103" i="31"/>
  <c r="C195" i="31" a="1"/>
  <c r="C195" i="31" s="1"/>
  <c r="C145" i="31" a="1"/>
  <c r="C145" i="31" s="1"/>
  <c r="D231" i="31" a="1"/>
  <c r="D231" i="31" s="1"/>
  <c r="B177" i="31"/>
  <c r="C215" i="31" a="1"/>
  <c r="C215" i="31" s="1"/>
  <c r="C163" i="31" a="1"/>
  <c r="C163" i="31" s="1"/>
  <c r="B110" i="31"/>
  <c r="C224" i="31" a="1"/>
  <c r="C224" i="31" s="1"/>
  <c r="B168" i="31"/>
  <c r="C105" i="31" a="1"/>
  <c r="C105" i="31" s="1"/>
  <c r="D221" i="31" a="1"/>
  <c r="D221" i="31" s="1"/>
  <c r="C171" i="31" a="1"/>
  <c r="C171" i="31" s="1"/>
  <c r="C134" i="31" a="1"/>
  <c r="C134" i="31" s="1"/>
  <c r="B73" i="31"/>
  <c r="D179" i="31" a="1"/>
  <c r="D179" i="31" s="1"/>
  <c r="C85" i="31" a="1"/>
  <c r="C85" i="31" s="1"/>
  <c r="C164" i="31" a="1"/>
  <c r="C164" i="31" s="1"/>
  <c r="C70" i="31" a="1"/>
  <c r="C70" i="31" s="1"/>
  <c r="B131" i="31" a="1"/>
  <c r="B131" i="31" s="1"/>
  <c r="B63" i="31" a="1"/>
  <c r="B63" i="31" s="1"/>
  <c r="B119" i="31"/>
  <c r="B80" i="31"/>
  <c r="B31" i="31"/>
  <c r="B84" i="31"/>
  <c r="B115" i="31"/>
  <c r="D55" i="31" a="1"/>
  <c r="D55" i="31" s="1"/>
  <c r="D81" i="31" a="1"/>
  <c r="D81" i="31" s="1"/>
  <c r="C79" i="31" a="1"/>
  <c r="C79" i="31" s="1"/>
  <c r="C167" i="31" a="1"/>
  <c r="C167" i="31" s="1"/>
  <c r="B140" i="31"/>
  <c r="C206" i="31" a="1"/>
  <c r="C206" i="31" s="1"/>
  <c r="C160" i="31" a="1"/>
  <c r="C160" i="31" s="1"/>
  <c r="B67" i="31"/>
  <c r="B206" i="31"/>
  <c r="D48" i="31" a="1"/>
  <c r="D48" i="31" s="1"/>
  <c r="B162" i="31"/>
  <c r="C211" i="31" a="1"/>
  <c r="C211" i="31" s="1"/>
  <c r="C110" i="31" a="1"/>
  <c r="C110" i="31" s="1"/>
  <c r="B182" i="31"/>
  <c r="B42" i="31"/>
  <c r="B39" i="31"/>
  <c r="C234" i="31" a="1"/>
  <c r="C234" i="31" s="1"/>
  <c r="B133" i="31"/>
  <c r="C184" i="31" a="1"/>
  <c r="C184" i="31" s="1"/>
  <c r="C100" i="31" a="1"/>
  <c r="C100" i="31" s="1"/>
  <c r="C43" i="31" a="1"/>
  <c r="C43" i="31" s="1"/>
  <c r="C117" i="31" a="1"/>
  <c r="C117" i="31" s="1"/>
  <c r="B32" i="31"/>
  <c r="D106" i="31" a="1"/>
  <c r="D106" i="31" s="1"/>
  <c r="B141" i="31"/>
  <c r="B205" i="31"/>
  <c r="C59" i="31" a="1"/>
  <c r="C59" i="31" s="1"/>
  <c r="D96" i="31" a="1"/>
  <c r="D96" i="31" s="1"/>
  <c r="B53" i="31"/>
  <c r="C130" i="31" a="1"/>
  <c r="C130" i="31" s="1"/>
  <c r="C80" i="31" a="1"/>
  <c r="C80" i="31" s="1"/>
  <c r="B48" i="31"/>
  <c r="C162" i="31" a="1"/>
  <c r="C162" i="31" s="1"/>
  <c r="B228" i="31"/>
  <c r="B180" i="31"/>
  <c r="C87" i="31" a="1"/>
  <c r="C87" i="31" s="1"/>
  <c r="C36" i="31" a="1"/>
  <c r="C36" i="31" s="1"/>
  <c r="B97" i="31"/>
  <c r="C244" i="31" a="1"/>
  <c r="C244" i="31" s="1"/>
  <c r="B92" i="31"/>
  <c r="C37" i="31" a="1"/>
  <c r="C37" i="31" s="1"/>
  <c r="B230" i="31"/>
  <c r="C170" i="31" a="1"/>
  <c r="C170" i="31" s="1"/>
  <c r="C42" i="31" a="1"/>
  <c r="C42" i="31" s="1"/>
  <c r="B68" i="31"/>
  <c r="B208" i="31"/>
  <c r="B215" i="31"/>
  <c r="C132" i="31" a="1"/>
  <c r="C132" i="31" s="1"/>
  <c r="C208" i="31" a="1"/>
  <c r="C208" i="31" s="1"/>
  <c r="B54" i="31"/>
  <c r="B55" i="31"/>
  <c r="C212" i="31" a="1"/>
  <c r="C212" i="31" s="1"/>
  <c r="C193" i="31" a="1"/>
  <c r="C193" i="31" s="1"/>
  <c r="C185" i="31" a="1"/>
  <c r="C185" i="31" s="1"/>
  <c r="B238" i="31"/>
  <c r="B150" i="31"/>
  <c r="C83" i="31" a="1"/>
  <c r="C83" i="31" s="1"/>
  <c r="C221" i="31" a="1"/>
  <c r="C221" i="31" s="1"/>
  <c r="B85" i="31"/>
  <c r="D183" i="31" a="1"/>
  <c r="D183" i="31" s="1"/>
  <c r="B88" i="31"/>
  <c r="C77" i="31" a="1"/>
  <c r="C77" i="31" s="1"/>
  <c r="C34" i="31" a="1"/>
  <c r="C34" i="31" s="1"/>
  <c r="D174" i="31" a="1"/>
  <c r="D174" i="31" s="1"/>
  <c r="B61" i="31"/>
  <c r="B164" i="31"/>
  <c r="B65" i="31"/>
  <c r="D163" i="31" a="1"/>
  <c r="D163" i="31" s="1"/>
  <c r="D189" i="31" a="1"/>
  <c r="D189" i="31" s="1"/>
  <c r="B139" i="31"/>
  <c r="B171" i="31"/>
  <c r="C159" i="31" a="1"/>
  <c r="C159" i="31" s="1"/>
  <c r="B130" i="31"/>
  <c r="B118" i="31"/>
  <c r="C180" i="31" a="1"/>
  <c r="C180" i="31" s="1"/>
  <c r="B241" i="31"/>
  <c r="C30" i="31" a="1"/>
  <c r="C30" i="31" s="1"/>
  <c r="B100" i="31"/>
  <c r="B29" i="31" a="1"/>
  <c r="B29" i="31" s="1"/>
  <c r="D86" i="31" a="1"/>
  <c r="D86" i="31" s="1"/>
  <c r="C240" i="31" a="1"/>
  <c r="C240" i="31" s="1"/>
  <c r="B44" i="31"/>
  <c r="C82" i="31" a="1"/>
  <c r="C82" i="31" s="1"/>
  <c r="B101" i="31"/>
  <c r="C188" i="31" a="1"/>
  <c r="C188" i="31" s="1"/>
  <c r="C133" i="31" a="1"/>
  <c r="C133" i="31" s="1"/>
  <c r="C40" i="31" a="1"/>
  <c r="C40" i="31" s="1"/>
  <c r="D104" i="31" a="1"/>
  <c r="D104" i="31" s="1"/>
  <c r="C158" i="31" a="1"/>
  <c r="C158" i="31" s="1"/>
  <c r="C233" i="31" a="1"/>
  <c r="C233" i="31" s="1"/>
  <c r="C175" i="31" a="1"/>
  <c r="C175" i="31" s="1"/>
  <c r="B95" i="31"/>
  <c r="B221" i="31"/>
  <c r="D80" i="31" a="1"/>
  <c r="D80" i="31" s="1"/>
  <c r="B176" i="31"/>
  <c r="B28" i="31"/>
  <c r="D52" i="31" a="1"/>
  <c r="D52" i="31" s="1"/>
  <c r="B109" i="31"/>
  <c r="C104" i="31" a="1"/>
  <c r="C104" i="31" s="1"/>
  <c r="C73" i="31" a="1"/>
  <c r="C73" i="31" s="1"/>
  <c r="C138" i="31" a="1"/>
  <c r="C138" i="31" s="1"/>
  <c r="D117" i="31" a="1"/>
  <c r="D117" i="31" s="1"/>
  <c r="B36" i="31"/>
  <c r="D112" i="28" a="1"/>
  <c r="D112" i="28" s="1"/>
  <c r="D111" i="28" a="1"/>
  <c r="D111" i="28" s="1"/>
  <c r="D114" i="28" a="1"/>
  <c r="D114" i="28" s="1"/>
  <c r="D113" i="28" a="1"/>
  <c r="D113" i="28" s="1"/>
  <c r="B241" i="28"/>
  <c r="D106" i="28" a="1"/>
  <c r="D106" i="28" s="1"/>
  <c r="D109" i="28" a="1"/>
  <c r="D109" i="28" s="1"/>
  <c r="D174" i="28" a="1"/>
  <c r="D174" i="28" s="1"/>
  <c r="B173" i="28"/>
  <c r="D157" i="28" a="1"/>
  <c r="D157" i="28" s="1"/>
  <c r="D195" i="28" a="1"/>
  <c r="D195" i="28" s="1"/>
  <c r="D189" i="28" a="1"/>
  <c r="D189" i="28" s="1"/>
  <c r="D116" i="28" a="1"/>
  <c r="D116" i="28" s="1"/>
  <c r="D158" i="28" a="1"/>
  <c r="D158" i="28" s="1"/>
  <c r="C149" i="28" a="1"/>
  <c r="C149" i="28" s="1"/>
  <c r="B69" i="28"/>
  <c r="D155" i="28" a="1"/>
  <c r="D155" i="28" s="1"/>
  <c r="D180" i="28" a="1"/>
  <c r="D180" i="28" s="1"/>
  <c r="C194" i="28" a="1"/>
  <c r="C194" i="28" s="1"/>
  <c r="D144" i="28" a="1"/>
  <c r="D144" i="28" s="1"/>
  <c r="D176" i="28" a="1"/>
  <c r="D176" i="28" s="1"/>
  <c r="D163" i="28" a="1"/>
  <c r="D163" i="28" s="1"/>
  <c r="D107" i="28" a="1"/>
  <c r="D107" i="28" s="1"/>
  <c r="C150" i="28" a="1"/>
  <c r="C150" i="28" s="1"/>
  <c r="D210" i="28" a="1"/>
  <c r="D210" i="28" s="1"/>
  <c r="D193" i="28" a="1"/>
  <c r="D193" i="28" s="1"/>
  <c r="D196" i="28" a="1"/>
  <c r="D196" i="28" s="1"/>
  <c r="D141" i="28" a="1"/>
  <c r="D141" i="28" s="1"/>
  <c r="D138" i="28" a="1"/>
  <c r="D138" i="28" s="1"/>
  <c r="D185" i="28" a="1"/>
  <c r="D185" i="28" s="1"/>
  <c r="D161" i="28" a="1"/>
  <c r="D161" i="28" s="1"/>
  <c r="D110" i="28" a="1"/>
  <c r="D110" i="28" s="1"/>
  <c r="D183" i="28" a="1"/>
  <c r="D183" i="28" s="1"/>
  <c r="D97" i="28" a="1"/>
  <c r="D97" i="28" s="1"/>
  <c r="D100" i="28" a="1"/>
  <c r="D100" i="28" s="1"/>
  <c r="B150" i="28"/>
  <c r="D188" i="28" a="1"/>
  <c r="D188" i="28" s="1"/>
  <c r="D118" i="28" a="1"/>
  <c r="D118" i="28" s="1"/>
  <c r="D104" i="28" a="1"/>
  <c r="D104" i="28" s="1"/>
  <c r="B149" i="28"/>
  <c r="D182" i="28" a="1"/>
  <c r="D182" i="28" s="1"/>
  <c r="D179" i="28" a="1"/>
  <c r="D179" i="28" s="1"/>
  <c r="C173" i="28" a="1"/>
  <c r="C173" i="28" s="1"/>
  <c r="B131" i="28" a="1"/>
  <c r="B131" i="28" s="1"/>
  <c r="B194" i="28"/>
  <c r="D134" i="28" a="1"/>
  <c r="D134" i="28" s="1"/>
  <c r="D115" i="28" a="1"/>
  <c r="D115" i="28" s="1"/>
  <c r="D143" i="28" a="1"/>
  <c r="D143" i="28" s="1"/>
  <c r="D140" i="28" a="1"/>
  <c r="D140" i="28" s="1"/>
  <c r="C69" i="28" a="1"/>
  <c r="C69" i="28" s="1"/>
  <c r="D119" i="28" a="1"/>
  <c r="D119" i="28" s="1"/>
  <c r="D117" i="28" a="1"/>
  <c r="D117" i="28" s="1"/>
  <c r="D194" i="28" a="1"/>
  <c r="D194" i="28" s="1"/>
  <c r="D160" i="28" a="1"/>
  <c r="D160" i="28" s="1"/>
  <c r="D177" i="28" a="1"/>
  <c r="D177" i="28" s="1"/>
  <c r="B166" i="28"/>
  <c r="C196" i="28" a="1"/>
  <c r="C196" i="28" s="1"/>
  <c r="C189" i="28" a="1"/>
  <c r="C189" i="28" s="1"/>
  <c r="B214" i="28"/>
  <c r="B200" i="28"/>
  <c r="C221" i="28" a="1"/>
  <c r="C221" i="28" s="1"/>
  <c r="C239" i="28" a="1"/>
  <c r="C239" i="28" s="1"/>
  <c r="B229" i="28"/>
  <c r="B192" i="28"/>
  <c r="C187" i="28" a="1"/>
  <c r="C187" i="28" s="1"/>
  <c r="C201" i="28" a="1"/>
  <c r="C201" i="28" s="1"/>
  <c r="B169" i="28"/>
  <c r="C208" i="28" a="1"/>
  <c r="C208" i="28" s="1"/>
  <c r="B157" i="28"/>
  <c r="B136" i="28"/>
  <c r="B203" i="28"/>
  <c r="C230" i="28" a="1"/>
  <c r="C230" i="28" s="1"/>
  <c r="B180" i="28"/>
  <c r="B216" i="28"/>
  <c r="B181" i="28"/>
  <c r="C195" i="28" a="1"/>
  <c r="C195" i="28" s="1"/>
  <c r="D136" i="28" a="1"/>
  <c r="D136" i="28" s="1"/>
  <c r="D43" i="28" a="1"/>
  <c r="D43" i="28" s="1"/>
  <c r="D94" i="28" a="1"/>
  <c r="D94" i="28" s="1"/>
  <c r="B84" i="28"/>
  <c r="D218" i="28" a="1"/>
  <c r="D218" i="28" s="1"/>
  <c r="B239" i="28"/>
  <c r="B175" i="28"/>
  <c r="C242" i="28" a="1"/>
  <c r="C242" i="28" s="1"/>
  <c r="C228" i="28" a="1"/>
  <c r="C228" i="28" s="1"/>
  <c r="C224" i="28" a="1"/>
  <c r="C224" i="28" s="1"/>
  <c r="B142" i="28"/>
  <c r="B208" i="28"/>
  <c r="C234" i="28" a="1"/>
  <c r="C234" i="28" s="1"/>
  <c r="C231" i="28" a="1"/>
  <c r="C231" i="28" s="1"/>
  <c r="B134" i="28"/>
  <c r="B201" i="28"/>
  <c r="C222" i="28" a="1"/>
  <c r="C222" i="28" s="1"/>
  <c r="C215" i="28" a="1"/>
  <c r="C215" i="28" s="1"/>
  <c r="B243" i="28"/>
  <c r="B178" i="28"/>
  <c r="C199" i="28" a="1"/>
  <c r="C199" i="28" s="1"/>
  <c r="B198" i="28"/>
  <c r="B145" i="28"/>
  <c r="B211" i="28"/>
  <c r="C236" i="28" a="1"/>
  <c r="C236" i="28" s="1"/>
  <c r="C142" i="28" a="1"/>
  <c r="C142" i="28" s="1"/>
  <c r="B225" i="28"/>
  <c r="B186" i="28"/>
  <c r="C219" i="28" a="1"/>
  <c r="C219" i="28" s="1"/>
  <c r="D231" i="28" a="1"/>
  <c r="D231" i="28" s="1"/>
  <c r="D211" i="28" a="1"/>
  <c r="D211" i="28" s="1"/>
  <c r="C162" i="28" a="1"/>
  <c r="C162" i="28" s="1"/>
  <c r="C171" i="28" a="1"/>
  <c r="C171" i="28" s="1"/>
  <c r="C178" i="28" a="1"/>
  <c r="C178" i="28" s="1"/>
  <c r="C80" i="28" a="1"/>
  <c r="C80" i="28" s="1"/>
  <c r="B218" i="28"/>
  <c r="B187" i="28"/>
  <c r="C203" i="28" a="1"/>
  <c r="C203" i="28" s="1"/>
  <c r="B235" i="28"/>
  <c r="B151" i="28"/>
  <c r="C244" i="28" a="1"/>
  <c r="C244" i="28" s="1"/>
  <c r="C229" i="28" a="1"/>
  <c r="C229" i="28" s="1"/>
  <c r="B148" i="28"/>
  <c r="B143" i="28"/>
  <c r="B209" i="28"/>
  <c r="C235" i="28" a="1"/>
  <c r="C235" i="28" s="1"/>
  <c r="B139" i="28"/>
  <c r="B221" i="28"/>
  <c r="B184" i="28"/>
  <c r="C206" i="28" a="1"/>
  <c r="C206" i="28" s="1"/>
  <c r="C241" i="28" a="1"/>
  <c r="C241" i="28" s="1"/>
  <c r="B154" i="28"/>
  <c r="C141" i="28" a="1"/>
  <c r="C141" i="28" s="1"/>
  <c r="C218" i="28" a="1"/>
  <c r="C218" i="28" s="1"/>
  <c r="B234" i="28"/>
  <c r="B197" i="28"/>
  <c r="C225" i="28" a="1"/>
  <c r="C225" i="28" s="1"/>
  <c r="C136" i="28" a="1"/>
  <c r="C136" i="28" s="1"/>
  <c r="B97" i="28"/>
  <c r="D92" i="28" a="1"/>
  <c r="D92" i="28" s="1"/>
  <c r="B238" i="28"/>
  <c r="B227" i="28"/>
  <c r="B190" i="28"/>
  <c r="C192" i="28" a="1"/>
  <c r="C192" i="28" s="1"/>
  <c r="B174" i="28"/>
  <c r="B159" i="28"/>
  <c r="C184" i="28" a="1"/>
  <c r="C184" i="28" s="1"/>
  <c r="B189" i="28"/>
  <c r="B152" i="28"/>
  <c r="C139" i="28" a="1"/>
  <c r="C139" i="28" s="1"/>
  <c r="B182" i="28"/>
  <c r="B231" i="28"/>
  <c r="B193" i="28"/>
  <c r="C216" i="28" a="1"/>
  <c r="C216" i="28" s="1"/>
  <c r="B215" i="28"/>
  <c r="B237" i="28" a="1"/>
  <c r="B237" i="28" s="1"/>
  <c r="B162" i="28"/>
  <c r="C186" i="28" a="1"/>
  <c r="C186" i="28" s="1"/>
  <c r="B226" i="28"/>
  <c r="B138" i="28"/>
  <c r="B205" i="28"/>
  <c r="C214" i="28" a="1"/>
  <c r="C214" i="28" s="1"/>
  <c r="D50" i="28" a="1"/>
  <c r="D50" i="28" s="1"/>
  <c r="B101" i="28"/>
  <c r="D85" i="28" a="1"/>
  <c r="D85" i="28" s="1"/>
  <c r="B222" i="28"/>
  <c r="B236" i="28"/>
  <c r="B199" i="28"/>
  <c r="C220" i="28" a="1"/>
  <c r="C220" i="28" s="1"/>
  <c r="B206" i="28"/>
  <c r="B167" i="28"/>
  <c r="C209" i="28" a="1"/>
  <c r="C209" i="28" s="1"/>
  <c r="C193" i="28" a="1"/>
  <c r="C193" i="28" s="1"/>
  <c r="B160" i="28"/>
  <c r="C188" i="28" a="1"/>
  <c r="C188" i="28" s="1"/>
  <c r="C138" i="28" a="1"/>
  <c r="C138" i="28" s="1"/>
  <c r="B135" i="28"/>
  <c r="B202" i="28"/>
  <c r="C223" i="28" a="1"/>
  <c r="C223" i="28" s="1"/>
  <c r="B171" i="28"/>
  <c r="B170" i="28"/>
  <c r="C243" i="28" a="1"/>
  <c r="C243" i="28" s="1"/>
  <c r="B165" i="28"/>
  <c r="B147" i="28"/>
  <c r="B132" i="28"/>
  <c r="C212" i="28" a="1"/>
  <c r="C212" i="28" s="1"/>
  <c r="C91" i="28" a="1"/>
  <c r="C91" i="28" s="1"/>
  <c r="C133" i="28" a="1"/>
  <c r="C133" i="28" s="1"/>
  <c r="D225" i="28" a="1"/>
  <c r="D225" i="28" s="1"/>
  <c r="B242" i="28"/>
  <c r="B230" i="28"/>
  <c r="B140" i="28"/>
  <c r="B207" i="28"/>
  <c r="C227" i="28" a="1"/>
  <c r="C227" i="28" s="1"/>
  <c r="B233" i="28"/>
  <c r="C202" i="28" a="1"/>
  <c r="C202" i="28" s="1"/>
  <c r="B240" i="28"/>
  <c r="B176" i="28"/>
  <c r="C238" i="28" a="1"/>
  <c r="C238" i="28" s="1"/>
  <c r="B224" i="28"/>
  <c r="C226" i="28" a="1"/>
  <c r="C226" i="28" s="1"/>
  <c r="B168" i="28"/>
  <c r="C210" i="28" a="1"/>
  <c r="C210" i="28" s="1"/>
  <c r="B144" i="28"/>
  <c r="B210" i="28"/>
  <c r="B212" i="28"/>
  <c r="B244" i="28"/>
  <c r="B179" i="28"/>
  <c r="C200" i="28" a="1"/>
  <c r="C200" i="28" s="1"/>
  <c r="B130" i="28"/>
  <c r="B156" i="28"/>
  <c r="C143" i="28" a="1"/>
  <c r="C143" i="28" s="1"/>
  <c r="D57" i="28" a="1"/>
  <c r="D57" i="28" s="1"/>
  <c r="B94" i="28"/>
  <c r="B133" i="28"/>
  <c r="B119" i="28"/>
  <c r="C233" i="28" a="1"/>
  <c r="C233" i="28" s="1"/>
  <c r="B155" i="28"/>
  <c r="C232" i="28" a="1"/>
  <c r="C232" i="28" s="1"/>
  <c r="B219" i="28"/>
  <c r="C204" i="28" a="1"/>
  <c r="C204" i="28" s="1"/>
  <c r="B163" i="28"/>
  <c r="B177" i="28"/>
  <c r="C198" i="28" a="1"/>
  <c r="C198" i="28" s="1"/>
  <c r="B137" i="28"/>
  <c r="B153" i="28"/>
  <c r="C140" i="28" a="1"/>
  <c r="C140" i="28" s="1"/>
  <c r="C197" i="28" a="1"/>
  <c r="C197" i="28" s="1"/>
  <c r="B223" i="28"/>
  <c r="B188" i="28"/>
  <c r="C207" i="28" a="1"/>
  <c r="C207" i="28" s="1"/>
  <c r="C191" i="28" a="1"/>
  <c r="C191" i="28" s="1"/>
  <c r="B164" i="28"/>
  <c r="D28" i="28" a="1"/>
  <c r="D28" i="28" s="1"/>
  <c r="C81" i="28" a="1"/>
  <c r="C81" i="28" s="1"/>
  <c r="D223" i="28" a="1"/>
  <c r="D223" i="28" s="1"/>
  <c r="C101" i="28" a="1"/>
  <c r="C101" i="28" s="1"/>
  <c r="D81" i="28" a="1"/>
  <c r="D81" i="28" s="1"/>
  <c r="C155" i="28" a="1"/>
  <c r="C155" i="28" s="1"/>
  <c r="B217" i="28"/>
  <c r="B146" i="28"/>
  <c r="C112" i="28" a="1"/>
  <c r="C112" i="28" s="1"/>
  <c r="B77" i="28"/>
  <c r="D46" i="28" a="1"/>
  <c r="D46" i="28" s="1"/>
  <c r="C94" i="28" a="1"/>
  <c r="C94" i="28" s="1"/>
  <c r="C115" i="28" a="1"/>
  <c r="C115" i="28" s="1"/>
  <c r="B78" i="28"/>
  <c r="C165" i="28" a="1"/>
  <c r="C165" i="28" s="1"/>
  <c r="D82" i="28" a="1"/>
  <c r="D82" i="28" s="1"/>
  <c r="C144" i="28" a="1"/>
  <c r="C144" i="28" s="1"/>
  <c r="B79" i="28"/>
  <c r="C114" i="28" a="1"/>
  <c r="C114" i="28" s="1"/>
  <c r="B108" i="28"/>
  <c r="D86" i="28" a="1"/>
  <c r="D86" i="28" s="1"/>
  <c r="C177" i="28" a="1"/>
  <c r="C177" i="28" s="1"/>
  <c r="C110" i="28" a="1"/>
  <c r="C110" i="28" s="1"/>
  <c r="D78" i="28" a="1"/>
  <c r="D78" i="28" s="1"/>
  <c r="C180" i="28" a="1"/>
  <c r="C180" i="28" s="1"/>
  <c r="C39" i="28" a="1"/>
  <c r="C39" i="28" s="1"/>
  <c r="B73" i="28"/>
  <c r="C37" i="28" a="1"/>
  <c r="C37" i="28" s="1"/>
  <c r="B72" i="28"/>
  <c r="B45" i="28"/>
  <c r="B44" i="28"/>
  <c r="C42" i="28" a="1"/>
  <c r="C42" i="28" s="1"/>
  <c r="C44" i="28" a="1"/>
  <c r="C44" i="28" s="1"/>
  <c r="B31" i="28"/>
  <c r="B58" i="28"/>
  <c r="B28" i="28"/>
  <c r="B55" i="28"/>
  <c r="B32" i="28"/>
  <c r="B57" i="28"/>
  <c r="C137" i="28" a="1"/>
  <c r="C137" i="28" s="1"/>
  <c r="B75" i="28"/>
  <c r="B85" i="28"/>
  <c r="C164" i="28" a="1"/>
  <c r="C164" i="28" s="1"/>
  <c r="D103" i="28" a="1"/>
  <c r="D103" i="28" s="1"/>
  <c r="B86" i="28"/>
  <c r="C174" i="28" a="1"/>
  <c r="C174" i="28" s="1"/>
  <c r="C76" i="28" a="1"/>
  <c r="C76" i="28" s="1"/>
  <c r="C181" i="28" a="1"/>
  <c r="C181" i="28" s="1"/>
  <c r="B87" i="28"/>
  <c r="C166" i="28" a="1"/>
  <c r="C166" i="28" s="1"/>
  <c r="B91" i="28"/>
  <c r="C106" i="28" a="1"/>
  <c r="C106" i="28" s="1"/>
  <c r="D76" i="28" a="1"/>
  <c r="D76" i="28" s="1"/>
  <c r="C151" i="28" a="1"/>
  <c r="C151" i="28" s="1"/>
  <c r="C108" i="28" a="1"/>
  <c r="C108" i="28" s="1"/>
  <c r="D93" i="28" a="1"/>
  <c r="D93" i="28" s="1"/>
  <c r="C152" i="28" a="1"/>
  <c r="C152" i="28" s="1"/>
  <c r="C170" i="28" a="1"/>
  <c r="C170" i="28" s="1"/>
  <c r="C30" i="28" a="1"/>
  <c r="C30" i="28" s="1"/>
  <c r="B65" i="28"/>
  <c r="C28" i="28" a="1"/>
  <c r="C28" i="28" s="1"/>
  <c r="B64" i="28"/>
  <c r="B53" i="28"/>
  <c r="B34" i="28"/>
  <c r="C50" i="28" a="1"/>
  <c r="C50" i="28" s="1"/>
  <c r="B115" i="28"/>
  <c r="C52" i="28" a="1"/>
  <c r="C52" i="28" s="1"/>
  <c r="C73" i="28" a="1"/>
  <c r="C73" i="28" s="1"/>
  <c r="B27" i="28" a="1"/>
  <c r="B27" i="28" s="1"/>
  <c r="B63" i="28" a="1"/>
  <c r="B63" i="28" s="1"/>
  <c r="D51" i="28" a="1"/>
  <c r="D51" i="28" s="1"/>
  <c r="C74" i="28" a="1"/>
  <c r="C74" i="28" s="1"/>
  <c r="C211" i="28" a="1"/>
  <c r="C211" i="28" s="1"/>
  <c r="C172" i="28" a="1"/>
  <c r="C172" i="28" s="1"/>
  <c r="D222" i="28" a="1"/>
  <c r="D222" i="28" s="1"/>
  <c r="C104" i="28" a="1"/>
  <c r="C104" i="28" s="1"/>
  <c r="C156" i="28" a="1"/>
  <c r="C156" i="28" s="1"/>
  <c r="C147" i="28" a="1"/>
  <c r="C147" i="28" s="1"/>
  <c r="C105" i="28" a="1"/>
  <c r="C105" i="28" s="1"/>
  <c r="D90" i="28" a="1"/>
  <c r="D90" i="28" s="1"/>
  <c r="C176" i="28" a="1"/>
  <c r="C176" i="28" s="1"/>
  <c r="B99" i="28"/>
  <c r="C95" i="28" a="1"/>
  <c r="C95" i="28" s="1"/>
  <c r="C160" i="28" a="1"/>
  <c r="C160" i="28" s="1"/>
  <c r="B100" i="28"/>
  <c r="C93" i="28" a="1"/>
  <c r="C93" i="28" s="1"/>
  <c r="C163" i="28" a="1"/>
  <c r="C163" i="28" s="1"/>
  <c r="B51" i="28"/>
  <c r="B36" i="28"/>
  <c r="B52" i="28"/>
  <c r="B35" i="28"/>
  <c r="B61" i="28"/>
  <c r="B56" i="28"/>
  <c r="C58" i="28" a="1"/>
  <c r="C58" i="28" s="1"/>
  <c r="B103" i="28"/>
  <c r="C60" i="28" a="1"/>
  <c r="C60" i="28" s="1"/>
  <c r="C71" i="28" a="1"/>
  <c r="C71" i="28" s="1"/>
  <c r="C67" i="28" a="1"/>
  <c r="C67" i="28" s="1"/>
  <c r="B158" i="28"/>
  <c r="B228" i="28"/>
  <c r="B220" i="28"/>
  <c r="C182" i="28" a="1"/>
  <c r="C182" i="28" s="1"/>
  <c r="C146" i="28" a="1"/>
  <c r="C146" i="28" s="1"/>
  <c r="C161" i="28" a="1"/>
  <c r="C161" i="28" s="1"/>
  <c r="B98" i="28"/>
  <c r="D84" i="28" a="1"/>
  <c r="D84" i="28" s="1"/>
  <c r="C157" i="28" a="1"/>
  <c r="C157" i="28" s="1"/>
  <c r="C168" i="28" a="1"/>
  <c r="C168" i="28" s="1"/>
  <c r="C98" i="28" a="1"/>
  <c r="C98" i="28" s="1"/>
  <c r="D80" i="28" a="1"/>
  <c r="D80" i="28" s="1"/>
  <c r="C148" i="28" a="1"/>
  <c r="C148" i="28" s="1"/>
  <c r="C118" i="28" a="1"/>
  <c r="C118" i="28" s="1"/>
  <c r="B107" i="28"/>
  <c r="B90" i="28"/>
  <c r="D42" i="28" a="1"/>
  <c r="D42" i="28" s="1"/>
  <c r="C130" i="28" a="1"/>
  <c r="C130" i="28" s="1"/>
  <c r="B92" i="28"/>
  <c r="D52" i="28" a="1"/>
  <c r="D52" i="28" s="1"/>
  <c r="C116" i="28" a="1"/>
  <c r="C116" i="28" s="1"/>
  <c r="C175" i="28" a="1"/>
  <c r="C175" i="28" s="1"/>
  <c r="B59" i="28"/>
  <c r="B60" i="28"/>
  <c r="C65" i="28" a="1"/>
  <c r="C65" i="28" s="1"/>
  <c r="C35" i="28" a="1"/>
  <c r="C35" i="28" s="1"/>
  <c r="B70" i="28"/>
  <c r="C32" i="28" a="1"/>
  <c r="C32" i="28" s="1"/>
  <c r="C46" i="28" a="1"/>
  <c r="C46" i="28" s="1"/>
  <c r="C43" i="28" a="1"/>
  <c r="C43" i="28" s="1"/>
  <c r="C45" i="28" a="1"/>
  <c r="C45" i="28" s="1"/>
  <c r="B112" i="28"/>
  <c r="C183" i="28" a="1"/>
  <c r="C183" i="28" s="1"/>
  <c r="B191" i="28"/>
  <c r="B183" i="28"/>
  <c r="D44" i="28" a="1"/>
  <c r="D44" i="28" s="1"/>
  <c r="C84" i="28" a="1"/>
  <c r="C84" i="28" s="1"/>
  <c r="C159" i="28" a="1"/>
  <c r="C159" i="28" s="1"/>
  <c r="C134" i="28" a="1"/>
  <c r="C134" i="28" s="1"/>
  <c r="B105" i="28"/>
  <c r="D77" i="28" a="1"/>
  <c r="D77" i="28" s="1"/>
  <c r="C135" i="28" a="1"/>
  <c r="C135" i="28" s="1"/>
  <c r="B106" i="28"/>
  <c r="D73" i="28" a="1"/>
  <c r="D73" i="28" s="1"/>
  <c r="C158" i="28" a="1"/>
  <c r="C158" i="28" s="1"/>
  <c r="C119" i="28" a="1"/>
  <c r="C119" i="28" s="1"/>
  <c r="C85" i="28" a="1"/>
  <c r="C85" i="28" s="1"/>
  <c r="D58" i="28" a="1"/>
  <c r="D58" i="28" s="1"/>
  <c r="B83" i="28"/>
  <c r="C83" i="28" a="1"/>
  <c r="C83" i="28" s="1"/>
  <c r="C109" i="28" a="1"/>
  <c r="C109" i="28" s="1"/>
  <c r="D74" i="28" a="1"/>
  <c r="D74" i="28" s="1"/>
  <c r="C72" i="28" a="1"/>
  <c r="C72" i="28" s="1"/>
  <c r="C64" i="28" a="1"/>
  <c r="C64" i="28" s="1"/>
  <c r="C41" i="28" a="1"/>
  <c r="C41" i="28" s="1"/>
  <c r="B113" i="28"/>
  <c r="B46" i="28"/>
  <c r="B43" i="28"/>
  <c r="B48" i="28"/>
  <c r="C54" i="28" a="1"/>
  <c r="C54" i="28" s="1"/>
  <c r="B111" i="28"/>
  <c r="C51" i="28" a="1"/>
  <c r="C51" i="28" s="1"/>
  <c r="B114" i="28"/>
  <c r="C53" i="28" a="1"/>
  <c r="C53" i="28" s="1"/>
  <c r="B88" i="28"/>
  <c r="B141" i="28"/>
  <c r="B29" i="28" a="1"/>
  <c r="B29" i="28" s="1"/>
  <c r="C190" i="28" a="1"/>
  <c r="C190" i="28" s="1"/>
  <c r="C205" i="28" a="1"/>
  <c r="C205" i="28" s="1"/>
  <c r="B161" i="28"/>
  <c r="B232" i="28"/>
  <c r="B172" i="28"/>
  <c r="D47" i="28" a="1"/>
  <c r="D47" i="28" s="1"/>
  <c r="B81" i="28"/>
  <c r="D88" i="28" a="1"/>
  <c r="D88" i="28" s="1"/>
  <c r="C111" i="28" a="1"/>
  <c r="C111" i="28" s="1"/>
  <c r="C89" i="28" a="1"/>
  <c r="C89" i="28" s="1"/>
  <c r="D45" i="28" a="1"/>
  <c r="D45" i="28" s="1"/>
  <c r="C102" i="28" a="1"/>
  <c r="C102" i="28" s="1"/>
  <c r="B89" i="28"/>
  <c r="D217" i="28" a="1"/>
  <c r="D217" i="28" s="1"/>
  <c r="C132" i="28" a="1"/>
  <c r="C132" i="28" s="1"/>
  <c r="C77" i="28" a="1"/>
  <c r="C77" i="28" s="1"/>
  <c r="D227" i="28" a="1"/>
  <c r="D227" i="28" s="1"/>
  <c r="C107" i="28" a="1"/>
  <c r="C107" i="28" s="1"/>
  <c r="D219" i="28" a="1"/>
  <c r="D219" i="28" s="1"/>
  <c r="C75" i="28" a="1"/>
  <c r="C75" i="28" s="1"/>
  <c r="D221" i="28" a="1"/>
  <c r="D221" i="28" s="1"/>
  <c r="C103" i="28" a="1"/>
  <c r="C103" i="28" s="1"/>
  <c r="D89" i="28" a="1"/>
  <c r="D89" i="28" s="1"/>
  <c r="C70" i="28" a="1"/>
  <c r="C70" i="28" s="1"/>
  <c r="C40" i="28" a="1"/>
  <c r="C40" i="28" s="1"/>
  <c r="C49" i="28" a="1"/>
  <c r="C49" i="28" s="1"/>
  <c r="B116" i="28"/>
  <c r="B68" i="28"/>
  <c r="B54" i="28"/>
  <c r="B33" i="28"/>
  <c r="B37" i="28"/>
  <c r="C62" i="28" a="1"/>
  <c r="C62" i="28" s="1"/>
  <c r="B74" i="28"/>
  <c r="C59" i="28" a="1"/>
  <c r="C59" i="28" s="1"/>
  <c r="B102" i="28"/>
  <c r="C61" i="28" a="1"/>
  <c r="C61" i="28" s="1"/>
  <c r="B67" i="28"/>
  <c r="B185" i="28"/>
  <c r="B204" i="28"/>
  <c r="B196" i="28"/>
  <c r="C185" i="28" a="1"/>
  <c r="C185" i="28" s="1"/>
  <c r="B195" i="28"/>
  <c r="C240" i="28" a="1"/>
  <c r="C240" i="28" s="1"/>
  <c r="C145" i="28" a="1"/>
  <c r="C145" i="28" s="1"/>
  <c r="C179" i="28" a="1"/>
  <c r="C179" i="28" s="1"/>
  <c r="C97" i="28" a="1"/>
  <c r="C97" i="28" s="1"/>
  <c r="C90" i="28" a="1"/>
  <c r="C90" i="28" s="1"/>
  <c r="D220" i="28" a="1"/>
  <c r="D220" i="28" s="1"/>
  <c r="C87" i="28" a="1"/>
  <c r="C87" i="28" s="1"/>
  <c r="D48" i="28" a="1"/>
  <c r="D48" i="28" s="1"/>
  <c r="C82" i="28" a="1"/>
  <c r="C82" i="28" s="1"/>
  <c r="C86" i="28" a="1"/>
  <c r="C86" i="28" s="1"/>
  <c r="D232" i="28" a="1"/>
  <c r="D232" i="28" s="1"/>
  <c r="C96" i="28" a="1"/>
  <c r="C96" i="28" s="1"/>
  <c r="B93" i="28"/>
  <c r="B80" i="28"/>
  <c r="C113" i="28" a="1"/>
  <c r="C113" i="28" s="1"/>
  <c r="D72" i="28" a="1"/>
  <c r="D72" i="28" s="1"/>
  <c r="C153" i="28" a="1"/>
  <c r="C153" i="28" s="1"/>
  <c r="B82" i="28"/>
  <c r="C117" i="28" a="1"/>
  <c r="C117" i="28" s="1"/>
  <c r="C100" i="28" a="1"/>
  <c r="C100" i="28" s="1"/>
  <c r="C92" i="28" a="1"/>
  <c r="C92" i="28" s="1"/>
  <c r="C47" i="28" a="1"/>
  <c r="C47" i="28" s="1"/>
  <c r="B118" i="28"/>
  <c r="C48" i="28" a="1"/>
  <c r="C48" i="28" s="1"/>
  <c r="B117" i="28"/>
  <c r="C57" i="28" a="1"/>
  <c r="C57" i="28" s="1"/>
  <c r="B104" i="28"/>
  <c r="B41" i="28"/>
  <c r="B62" i="28"/>
  <c r="C88" i="28" a="1"/>
  <c r="C88" i="28" s="1"/>
  <c r="C34" i="28" a="1"/>
  <c r="C34" i="28" s="1"/>
  <c r="B66" i="28"/>
  <c r="C31" i="28" a="1"/>
  <c r="C31" i="28" s="1"/>
  <c r="C33" i="28" a="1"/>
  <c r="C33" i="28" s="1"/>
  <c r="B40" i="28"/>
  <c r="C217" i="28" a="1"/>
  <c r="C217" i="28" s="1"/>
  <c r="B76" i="28"/>
  <c r="C154" i="28" a="1"/>
  <c r="C154" i="28" s="1"/>
  <c r="B95" i="28"/>
  <c r="D55" i="28" a="1"/>
  <c r="D55" i="28" s="1"/>
  <c r="D54" i="28" a="1"/>
  <c r="D54" i="28" s="1"/>
  <c r="C79" i="28" a="1"/>
  <c r="C79" i="28" s="1"/>
  <c r="C99" i="28" a="1"/>
  <c r="C99" i="28" s="1"/>
  <c r="D228" i="28" a="1"/>
  <c r="D228" i="28" s="1"/>
  <c r="C78" i="28" a="1"/>
  <c r="C78" i="28" s="1"/>
  <c r="D36" i="28" a="1"/>
  <c r="D36" i="28" s="1"/>
  <c r="D87" i="25" a="1"/>
  <c r="D87" i="25" s="1"/>
  <c r="D99" i="28" a="1"/>
  <c r="D99" i="28" s="1"/>
  <c r="C167" i="28" a="1"/>
  <c r="C167" i="28" s="1"/>
  <c r="D96" i="28" a="1"/>
  <c r="D96" i="28" s="1"/>
  <c r="C169" i="28" a="1"/>
  <c r="C169" i="28" s="1"/>
  <c r="C55" i="28" a="1"/>
  <c r="C55" i="28" s="1"/>
  <c r="B110" i="28"/>
  <c r="C56" i="28" a="1"/>
  <c r="C56" i="28" s="1"/>
  <c r="B109" i="28"/>
  <c r="C36" i="28" a="1"/>
  <c r="C36" i="28" s="1"/>
  <c r="B71" i="28"/>
  <c r="C66" i="28" a="1"/>
  <c r="C66" i="28" s="1"/>
  <c r="C68" i="28" a="1"/>
  <c r="C68" i="28" s="1"/>
  <c r="B96" i="28"/>
  <c r="B50" i="28"/>
  <c r="B39" i="28"/>
  <c r="B47" i="28"/>
  <c r="B42" i="28"/>
  <c r="B49" i="28"/>
  <c r="B30" i="28"/>
  <c r="B9" i="93" a="1"/>
  <c r="B9" i="93" s="1"/>
  <c r="D127" i="40" a="1"/>
  <c r="D127" i="40" s="1"/>
  <c r="D126" i="40" a="1"/>
  <c r="D126" i="40" s="1"/>
  <c r="D125" i="40" a="1"/>
  <c r="D125" i="40" s="1"/>
  <c r="D125" i="39" a="1"/>
  <c r="D125" i="39" s="1"/>
  <c r="D127" i="39" a="1"/>
  <c r="D127" i="39" s="1"/>
  <c r="D126" i="39" a="1"/>
  <c r="D126" i="39" s="1"/>
  <c r="D126" i="38" a="1"/>
  <c r="D126" i="38" s="1"/>
  <c r="D125" i="38" a="1"/>
  <c r="D125" i="38" s="1"/>
  <c r="D127" i="38" a="1"/>
  <c r="D127" i="38" s="1"/>
  <c r="D125" i="41" a="1"/>
  <c r="D125" i="41" s="1"/>
  <c r="D127" i="41" a="1"/>
  <c r="D127" i="41" s="1"/>
  <c r="D126" i="41" a="1"/>
  <c r="D126" i="41" s="1"/>
  <c r="B10" i="93" a="1"/>
  <c r="B10" i="93" s="1"/>
  <c r="C2" i="53" a="1"/>
  <c r="C2" i="53" s="1"/>
  <c r="A96" i="25"/>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B8" i="93" a="1"/>
  <c r="B8" i="93" s="1"/>
  <c r="A133" i="68"/>
  <c r="A134" i="68" s="1"/>
  <c r="A135" i="68" s="1"/>
  <c r="A136" i="68" s="1"/>
  <c r="A137" i="68" s="1"/>
  <c r="A138" i="68" s="1"/>
  <c r="A139" i="68" s="1"/>
  <c r="A140" i="68" s="1"/>
  <c r="A141" i="68" s="1"/>
  <c r="D255" i="22" a="1"/>
  <c r="D255" i="22" s="1"/>
  <c r="D248" i="22" a="1"/>
  <c r="D248" i="22" s="1"/>
  <c r="D255" i="25" a="1"/>
  <c r="D255" i="25" s="1"/>
  <c r="D248" i="25" a="1"/>
  <c r="D248" i="25" s="1"/>
  <c r="D255" i="24" a="1"/>
  <c r="D255" i="24" s="1"/>
  <c r="D248" i="24" a="1"/>
  <c r="D248" i="24" s="1"/>
  <c r="D255" i="23" a="1"/>
  <c r="D255" i="23" s="1"/>
  <c r="D248" i="23" a="1"/>
  <c r="D248" i="23" s="1"/>
  <c r="A148" i="40"/>
  <c r="A149" i="40" s="1"/>
  <c r="A150" i="40" s="1"/>
  <c r="A151" i="40" s="1"/>
  <c r="A152" i="40" s="1"/>
  <c r="A153" i="40" s="1"/>
  <c r="A154" i="40" s="1"/>
  <c r="A155" i="40" s="1"/>
  <c r="A156" i="40" s="1"/>
  <c r="A157" i="40" s="1"/>
  <c r="D158" i="40" s="1"/>
  <c r="D148" i="40"/>
  <c r="C111" i="33"/>
  <c r="C114" i="33"/>
  <c r="C115" i="33"/>
  <c r="D112" i="33" a="1"/>
  <c r="D112" i="33" s="1"/>
  <c r="C113" i="33"/>
  <c r="C112" i="33"/>
  <c r="B114" i="33"/>
  <c r="B113" i="33"/>
  <c r="B111" i="33"/>
  <c r="B112" i="33"/>
  <c r="B115" i="33"/>
  <c r="D11" i="41" a="1"/>
  <c r="D11" i="41" s="1"/>
  <c r="C180" i="40"/>
  <c r="C173" i="40"/>
  <c r="B170" i="40" a="1"/>
  <c r="B170" i="40" s="1"/>
  <c r="C160" i="40"/>
  <c r="C157" i="40"/>
  <c r="D145" i="40" a="1"/>
  <c r="D145" i="40" s="1"/>
  <c r="C142" i="40"/>
  <c r="D139" i="40" a="1"/>
  <c r="D139" i="40" s="1"/>
  <c r="C126" i="40"/>
  <c r="C123" i="40"/>
  <c r="C120" i="40"/>
  <c r="C117" i="40"/>
  <c r="C111" i="40"/>
  <c r="C105" i="40"/>
  <c r="C92" i="40"/>
  <c r="C11" i="41"/>
  <c r="D172" i="40" a="1"/>
  <c r="D172" i="40" s="1"/>
  <c r="C165" i="40"/>
  <c r="C162" i="40"/>
  <c r="D159" i="40" a="1"/>
  <c r="D159" i="40" s="1"/>
  <c r="D154" i="40" a="1"/>
  <c r="D154" i="40" s="1"/>
  <c r="C152" i="40"/>
  <c r="D141" i="40" a="1"/>
  <c r="D141" i="40" s="1"/>
  <c r="C122" i="40"/>
  <c r="D119" i="40" a="1"/>
  <c r="D119" i="40" s="1"/>
  <c r="C116" i="40"/>
  <c r="D113" i="40" a="1"/>
  <c r="D113" i="40" s="1"/>
  <c r="C110" i="40"/>
  <c r="C107" i="40"/>
  <c r="C104" i="40"/>
  <c r="C101" i="40"/>
  <c r="C97" i="40"/>
  <c r="D94" i="40" a="1"/>
  <c r="D94" i="40" s="1"/>
  <c r="D91" i="40" a="1"/>
  <c r="D91" i="40" s="1"/>
  <c r="D179" i="40" a="1"/>
  <c r="D179" i="40" s="1"/>
  <c r="C175" i="40"/>
  <c r="C172" i="40"/>
  <c r="C168" i="40"/>
  <c r="C159" i="40"/>
  <c r="D156" i="40" a="1"/>
  <c r="D156" i="40" s="1"/>
  <c r="C154" i="40"/>
  <c r="C148" i="40"/>
  <c r="C144" i="40"/>
  <c r="C141" i="40"/>
  <c r="D138" i="40" a="1"/>
  <c r="D138" i="40" s="1"/>
  <c r="C135" i="40"/>
  <c r="C131" i="40"/>
  <c r="C125" i="40"/>
  <c r="C119" i="40"/>
  <c r="C113" i="40"/>
  <c r="C94" i="40"/>
  <c r="C91" i="40"/>
  <c r="D12" i="41" a="1"/>
  <c r="D12" i="41" s="1"/>
  <c r="C10" i="41"/>
  <c r="C181" i="40"/>
  <c r="D174" i="40" a="1"/>
  <c r="D174" i="40" s="1"/>
  <c r="C171" i="40"/>
  <c r="C167" i="40"/>
  <c r="C164" i="40"/>
  <c r="D161" i="40" a="1"/>
  <c r="D161" i="40" s="1"/>
  <c r="C158" i="40"/>
  <c r="D153" i="40" a="1"/>
  <c r="D153" i="40" s="1"/>
  <c r="C151" i="40"/>
  <c r="D147" i="40" a="1"/>
  <c r="D147" i="40" s="1"/>
  <c r="C143" i="40"/>
  <c r="D140" i="40" a="1"/>
  <c r="D140" i="40" s="1"/>
  <c r="C134" i="40"/>
  <c r="C130" i="40"/>
  <c r="C124" i="40"/>
  <c r="D121" i="40" a="1"/>
  <c r="D121" i="40" s="1"/>
  <c r="C118" i="40"/>
  <c r="D180" i="40" a="1"/>
  <c r="D180" i="40" s="1"/>
  <c r="C178" i="40"/>
  <c r="C166" i="40"/>
  <c r="C163" i="40"/>
  <c r="D157" i="40" a="1"/>
  <c r="D157" i="40" s="1"/>
  <c r="C155" i="40"/>
  <c r="C150" i="40"/>
  <c r="D142" i="40" a="1"/>
  <c r="D142" i="40" s="1"/>
  <c r="C137" i="40"/>
  <c r="C133" i="40"/>
  <c r="C129" i="40"/>
  <c r="D123" i="40" a="1"/>
  <c r="D123" i="40" s="1"/>
  <c r="D117" i="40" a="1"/>
  <c r="D117" i="40" s="1"/>
  <c r="C114" i="40"/>
  <c r="D111" i="40" a="1"/>
  <c r="D111" i="40" s="1"/>
  <c r="C108" i="40"/>
  <c r="D105" i="40" a="1"/>
  <c r="D105" i="40" s="1"/>
  <c r="C102" i="40"/>
  <c r="C98" i="40"/>
  <c r="C95" i="40"/>
  <c r="D92" i="40" a="1"/>
  <c r="D92" i="40" s="1"/>
  <c r="C156" i="40"/>
  <c r="C149" i="40"/>
  <c r="C140" i="40"/>
  <c r="C115" i="40"/>
  <c r="C109" i="40"/>
  <c r="C103" i="40"/>
  <c r="C90" i="40"/>
  <c r="C80" i="40"/>
  <c r="D77" i="40" a="1"/>
  <c r="D77" i="40" s="1"/>
  <c r="D74" i="40" a="1"/>
  <c r="D74" i="40" s="1"/>
  <c r="D71" i="40" a="1"/>
  <c r="D71" i="40" s="1"/>
  <c r="C63" i="40"/>
  <c r="D59" i="40" a="1"/>
  <c r="D59" i="40" s="1"/>
  <c r="C53" i="40"/>
  <c r="C47" i="40"/>
  <c r="D44" i="40" a="1"/>
  <c r="D44" i="40" s="1"/>
  <c r="D39" i="40" a="1"/>
  <c r="D39" i="40" s="1"/>
  <c r="C37" i="40"/>
  <c r="D162" i="40" a="1"/>
  <c r="D162" i="40" s="1"/>
  <c r="D155" i="40" a="1"/>
  <c r="D155" i="40" s="1"/>
  <c r="C139" i="40"/>
  <c r="D95" i="40" a="1"/>
  <c r="D95" i="40" s="1"/>
  <c r="C87" i="40"/>
  <c r="C83" i="40"/>
  <c r="C77" i="40"/>
  <c r="C74" i="40"/>
  <c r="C71" i="40"/>
  <c r="D68" i="40" a="1"/>
  <c r="D68" i="40" s="1"/>
  <c r="C59" i="40"/>
  <c r="C55" i="40"/>
  <c r="D49" i="40" a="1"/>
  <c r="D49" i="40" s="1"/>
  <c r="C44" i="40"/>
  <c r="D41" i="40" a="1"/>
  <c r="D41" i="40" s="1"/>
  <c r="C39" i="40"/>
  <c r="C33" i="40"/>
  <c r="C29" i="40"/>
  <c r="C25" i="40"/>
  <c r="B21" i="40" a="1"/>
  <c r="B21" i="40" s="1"/>
  <c r="D11" i="40" a="1"/>
  <c r="D11" i="40" s="1"/>
  <c r="C147" i="40"/>
  <c r="C138" i="40"/>
  <c r="C128" i="40"/>
  <c r="C121" i="40"/>
  <c r="D107" i="40" a="1"/>
  <c r="D107" i="40" s="1"/>
  <c r="D101" i="40" a="1"/>
  <c r="D101" i="40" s="1"/>
  <c r="D79" i="40" a="1"/>
  <c r="D79" i="40" s="1"/>
  <c r="C68" i="40"/>
  <c r="D65" i="40" a="1"/>
  <c r="D65" i="40" s="1"/>
  <c r="C62" i="40"/>
  <c r="C52" i="40"/>
  <c r="C49" i="40"/>
  <c r="D46" i="40" a="1"/>
  <c r="D46" i="40" s="1"/>
  <c r="C41" i="40"/>
  <c r="D36" i="40" a="1"/>
  <c r="D36" i="40" s="1"/>
  <c r="D20" i="40" a="1"/>
  <c r="D20" i="40" s="1"/>
  <c r="C11" i="40"/>
  <c r="C179" i="40"/>
  <c r="C169" i="40"/>
  <c r="C161" i="40"/>
  <c r="C145" i="40"/>
  <c r="D137" i="40" a="1"/>
  <c r="D137" i="40" s="1"/>
  <c r="C127" i="40"/>
  <c r="C106" i="40"/>
  <c r="C100" i="40"/>
  <c r="D89" i="40" a="1"/>
  <c r="D89" i="40" s="1"/>
  <c r="C86" i="40"/>
  <c r="C82" i="40"/>
  <c r="C79" i="40"/>
  <c r="D76" i="40" a="1"/>
  <c r="D76" i="40" s="1"/>
  <c r="D73" i="40" a="1"/>
  <c r="D73" i="40" s="1"/>
  <c r="C65" i="40"/>
  <c r="C58" i="40"/>
  <c r="D54" i="40" a="1"/>
  <c r="D54" i="40" s="1"/>
  <c r="C46" i="40"/>
  <c r="C43" i="40"/>
  <c r="D38" i="40" a="1"/>
  <c r="D38" i="40" s="1"/>
  <c r="C36" i="40"/>
  <c r="C31" i="40"/>
  <c r="C28" i="40"/>
  <c r="C24" i="40"/>
  <c r="C20" i="40"/>
  <c r="D178" i="40" a="1"/>
  <c r="D178" i="40" s="1"/>
  <c r="C153" i="40"/>
  <c r="C136" i="40"/>
  <c r="C112" i="40"/>
  <c r="C93" i="40"/>
  <c r="C89" i="40"/>
  <c r="C76" i="40"/>
  <c r="C73" i="40"/>
  <c r="D70" i="40" a="1"/>
  <c r="D70" i="40" s="1"/>
  <c r="D67" i="40" a="1"/>
  <c r="D67" i="40" s="1"/>
  <c r="B61" i="40" a="1"/>
  <c r="B61" i="40" s="1"/>
  <c r="C54" i="40"/>
  <c r="D51" i="40" a="1"/>
  <c r="D51" i="40" s="1"/>
  <c r="D40" i="40" a="1"/>
  <c r="D40" i="40" s="1"/>
  <c r="C38" i="40"/>
  <c r="D10" i="40" a="1"/>
  <c r="D10" i="40" s="1"/>
  <c r="C12" i="41"/>
  <c r="C176" i="40"/>
  <c r="D152" i="40" a="1"/>
  <c r="D152" i="40" s="1"/>
  <c r="B99" i="40" a="1"/>
  <c r="B99" i="40" s="1"/>
  <c r="C85" i="40"/>
  <c r="C81" i="40"/>
  <c r="C78" i="40"/>
  <c r="C70" i="40"/>
  <c r="C67" i="40"/>
  <c r="D64" i="40" a="1"/>
  <c r="D64" i="40" s="1"/>
  <c r="C60" i="40"/>
  <c r="C57" i="40"/>
  <c r="C51" i="40"/>
  <c r="D48" i="40" a="1"/>
  <c r="D48" i="40" s="1"/>
  <c r="D45" i="40" a="1"/>
  <c r="D45" i="40" s="1"/>
  <c r="D42" i="40" a="1"/>
  <c r="D42" i="40" s="1"/>
  <c r="C40" i="40"/>
  <c r="C35" i="40"/>
  <c r="C27" i="40"/>
  <c r="C23" i="40"/>
  <c r="B19" i="40" a="1"/>
  <c r="B19" i="40" s="1"/>
  <c r="C10" i="40"/>
  <c r="C174" i="40"/>
  <c r="D164" i="40" a="1"/>
  <c r="D164" i="40" s="1"/>
  <c r="C132" i="40"/>
  <c r="D115" i="40" a="1"/>
  <c r="D115" i="40" s="1"/>
  <c r="D109" i="40" a="1"/>
  <c r="D109" i="40" s="1"/>
  <c r="D103" i="40" a="1"/>
  <c r="D103" i="40" s="1"/>
  <c r="C96" i="40"/>
  <c r="C88" i="40"/>
  <c r="C84" i="40"/>
  <c r="D80" i="40" a="1"/>
  <c r="D80" i="40" s="1"/>
  <c r="C69" i="40"/>
  <c r="C66" i="40"/>
  <c r="C56" i="40"/>
  <c r="D53" i="40" a="1"/>
  <c r="D53" i="40" s="1"/>
  <c r="C50" i="40"/>
  <c r="D37" i="40" a="1"/>
  <c r="D37" i="40" s="1"/>
  <c r="C34" i="40"/>
  <c r="C30" i="40"/>
  <c r="C26" i="40"/>
  <c r="C22" i="40"/>
  <c r="C12" i="40"/>
  <c r="C75" i="40"/>
  <c r="D165" i="40" a="1"/>
  <c r="D165" i="40" s="1"/>
  <c r="C72" i="40"/>
  <c r="C48" i="40"/>
  <c r="D97" i="40" a="1"/>
  <c r="D97" i="40" s="1"/>
  <c r="C45" i="40"/>
  <c r="D12" i="40" a="1"/>
  <c r="D12" i="40" s="1"/>
  <c r="D151" i="40" a="1"/>
  <c r="D151" i="40" s="1"/>
  <c r="C42" i="40"/>
  <c r="D10" i="41" a="1"/>
  <c r="D10" i="41" s="1"/>
  <c r="D88" i="40" a="1"/>
  <c r="D88" i="40" s="1"/>
  <c r="C64" i="40"/>
  <c r="D11" i="22" a="1"/>
  <c r="D11" i="22" s="1"/>
  <c r="D10" i="22" a="1"/>
  <c r="D10" i="22" s="1"/>
  <c r="D30" i="40" a="1"/>
  <c r="D30" i="40" s="1"/>
  <c r="B150" i="40"/>
  <c r="B95" i="40"/>
  <c r="B139" i="40"/>
  <c r="B162" i="40"/>
  <c r="B97" i="40"/>
  <c r="B12" i="41"/>
  <c r="B121" i="40"/>
  <c r="B96" i="40"/>
  <c r="B30" i="40"/>
  <c r="B103" i="40"/>
  <c r="B71" i="40"/>
  <c r="B68" i="40"/>
  <c r="B160" i="40"/>
  <c r="B65" i="40"/>
  <c r="B20" i="40"/>
  <c r="B159" i="40"/>
  <c r="B76" i="40"/>
  <c r="B124" i="40"/>
  <c r="B137" i="40"/>
  <c r="B136" i="40"/>
  <c r="B152" i="40"/>
  <c r="B179" i="40"/>
  <c r="B88" i="40"/>
  <c r="B26" i="40"/>
  <c r="B90" i="40"/>
  <c r="B59" i="40"/>
  <c r="B62" i="40"/>
  <c r="B144" i="40"/>
  <c r="B58" i="40"/>
  <c r="B143" i="40"/>
  <c r="B73" i="40"/>
  <c r="B91" i="40"/>
  <c r="B158" i="40"/>
  <c r="B133" i="40"/>
  <c r="B11" i="41"/>
  <c r="B132" i="40"/>
  <c r="B122" i="40"/>
  <c r="B156" i="40"/>
  <c r="B84" i="40"/>
  <c r="B22" i="40"/>
  <c r="B181" i="40"/>
  <c r="B80" i="40"/>
  <c r="B180" i="40"/>
  <c r="B55" i="40"/>
  <c r="B52" i="40"/>
  <c r="B119" i="40"/>
  <c r="B46" i="40"/>
  <c r="B135" i="40"/>
  <c r="B54" i="40"/>
  <c r="B75" i="40"/>
  <c r="B70" i="40"/>
  <c r="B142" i="40"/>
  <c r="B125" i="40"/>
  <c r="B117" i="40"/>
  <c r="B129" i="40"/>
  <c r="B128" i="40"/>
  <c r="B116" i="40"/>
  <c r="B138" i="40"/>
  <c r="B174" i="40"/>
  <c r="B69" i="40"/>
  <c r="B12" i="40"/>
  <c r="B172" i="40"/>
  <c r="B63" i="40"/>
  <c r="B171" i="40"/>
  <c r="B44" i="40"/>
  <c r="B49" i="40"/>
  <c r="B106" i="40"/>
  <c r="B43" i="40"/>
  <c r="B126" i="40"/>
  <c r="B38" i="40"/>
  <c r="B10" i="41"/>
  <c r="B72" i="40"/>
  <c r="B175" i="40"/>
  <c r="B105" i="40"/>
  <c r="B92" i="40"/>
  <c r="B40" i="40"/>
  <c r="B81" i="40"/>
  <c r="B78" i="40"/>
  <c r="B178" i="40"/>
  <c r="B114" i="40"/>
  <c r="B176" i="40"/>
  <c r="B110" i="40"/>
  <c r="B127" i="40"/>
  <c r="B161" i="40"/>
  <c r="B173" i="40"/>
  <c r="B66" i="40"/>
  <c r="B148" i="40"/>
  <c r="B53" i="40"/>
  <c r="B87" i="40"/>
  <c r="B39" i="40"/>
  <c r="B154" i="40"/>
  <c r="B41" i="40"/>
  <c r="B100" i="40"/>
  <c r="B36" i="40"/>
  <c r="B118" i="40"/>
  <c r="B64" i="40"/>
  <c r="B111" i="40"/>
  <c r="B23" i="40"/>
  <c r="B67" i="40"/>
  <c r="B57" i="40"/>
  <c r="B166" i="40"/>
  <c r="B108" i="40"/>
  <c r="B169" i="40"/>
  <c r="B107" i="40"/>
  <c r="B153" i="40"/>
  <c r="B164" i="40"/>
  <c r="B56" i="40"/>
  <c r="B130" i="40"/>
  <c r="B47" i="40"/>
  <c r="B83" i="40"/>
  <c r="B33" i="40"/>
  <c r="B120" i="40"/>
  <c r="B11" i="40"/>
  <c r="B86" i="40"/>
  <c r="B31" i="40"/>
  <c r="B112" i="40"/>
  <c r="B157" i="40"/>
  <c r="B48" i="40"/>
  <c r="B51" i="40"/>
  <c r="B10" i="40"/>
  <c r="B134" i="40"/>
  <c r="B35" i="40"/>
  <c r="B163" i="40"/>
  <c r="B102" i="40"/>
  <c r="B149" i="40"/>
  <c r="B104" i="40"/>
  <c r="B147" i="40"/>
  <c r="B131" i="40"/>
  <c r="B50" i="40"/>
  <c r="B115" i="40"/>
  <c r="B37" i="40"/>
  <c r="B77" i="40"/>
  <c r="B29" i="40"/>
  <c r="B113" i="40"/>
  <c r="B82" i="40"/>
  <c r="B28" i="40"/>
  <c r="B93" i="40"/>
  <c r="B151" i="40"/>
  <c r="B45" i="40"/>
  <c r="B27" i="40"/>
  <c r="B85" i="40"/>
  <c r="B155" i="40"/>
  <c r="B98" i="40"/>
  <c r="B145" i="40"/>
  <c r="B165" i="40"/>
  <c r="B101" i="40"/>
  <c r="B140" i="40"/>
  <c r="B123" i="40"/>
  <c r="B34" i="40"/>
  <c r="B109" i="40"/>
  <c r="B74" i="40"/>
  <c r="B25" i="40"/>
  <c r="B94" i="40"/>
  <c r="B168" i="40"/>
  <c r="B79" i="40"/>
  <c r="B24" i="40"/>
  <c r="B167" i="40"/>
  <c r="B89" i="40"/>
  <c r="B141" i="40"/>
  <c r="B42" i="40"/>
  <c r="B60" i="40"/>
  <c r="C180" i="41"/>
  <c r="C176" i="41"/>
  <c r="C169" i="41"/>
  <c r="C154" i="41"/>
  <c r="D151" i="41" a="1"/>
  <c r="D151" i="41" s="1"/>
  <c r="C144" i="41"/>
  <c r="D141" i="41" a="1"/>
  <c r="D141" i="41" s="1"/>
  <c r="C139" i="41"/>
  <c r="D119" i="41" a="1"/>
  <c r="D119" i="41" s="1"/>
  <c r="C116" i="41"/>
  <c r="C113" i="41"/>
  <c r="D103" i="41" a="1"/>
  <c r="D103" i="41" s="1"/>
  <c r="C100" i="41"/>
  <c r="C96" i="41"/>
  <c r="C93" i="41"/>
  <c r="C90" i="41"/>
  <c r="C87" i="41"/>
  <c r="C83" i="41"/>
  <c r="B61" i="41" a="1"/>
  <c r="B61" i="41" s="1"/>
  <c r="C57" i="41"/>
  <c r="C39" i="41"/>
  <c r="D36" i="41" a="1"/>
  <c r="D36" i="41" s="1"/>
  <c r="C28" i="41"/>
  <c r="C24" i="41"/>
  <c r="C20" i="41"/>
  <c r="C14" i="40"/>
  <c r="D165" i="41" a="1"/>
  <c r="D165" i="41" s="1"/>
  <c r="D162" i="41" a="1"/>
  <c r="D162" i="41" s="1"/>
  <c r="D159" i="41" a="1"/>
  <c r="D159" i="41" s="1"/>
  <c r="D156" i="41" a="1"/>
  <c r="D156" i="41" s="1"/>
  <c r="C151" i="41"/>
  <c r="D147" i="41" a="1"/>
  <c r="D147" i="41" s="1"/>
  <c r="C141" i="41"/>
  <c r="C136" i="41"/>
  <c r="C132" i="41"/>
  <c r="C128" i="41"/>
  <c r="C122" i="41"/>
  <c r="C119" i="41"/>
  <c r="D109" i="41" a="1"/>
  <c r="D109" i="41" s="1"/>
  <c r="C106" i="41"/>
  <c r="C103" i="41"/>
  <c r="D79" i="41" a="1"/>
  <c r="D79" i="41" s="1"/>
  <c r="D76" i="41" a="1"/>
  <c r="D76" i="41" s="1"/>
  <c r="D73" i="41" a="1"/>
  <c r="D73" i="41" s="1"/>
  <c r="D70" i="41" a="1"/>
  <c r="D70" i="41" s="1"/>
  <c r="D67" i="41" a="1"/>
  <c r="D67" i="41" s="1"/>
  <c r="D64" i="41" a="1"/>
  <c r="D64" i="41" s="1"/>
  <c r="C60" i="41"/>
  <c r="D53" i="41" a="1"/>
  <c r="D53" i="41" s="1"/>
  <c r="C50" i="41"/>
  <c r="C47" i="41"/>
  <c r="D44" i="41" a="1"/>
  <c r="D44" i="41" s="1"/>
  <c r="D41" i="41" a="1"/>
  <c r="D41" i="41" s="1"/>
  <c r="C36" i="41"/>
  <c r="C31" i="41"/>
  <c r="D13" i="41" a="1"/>
  <c r="D13" i="41" s="1"/>
  <c r="D179" i="41" a="1"/>
  <c r="D179" i="41" s="1"/>
  <c r="C175" i="41"/>
  <c r="D172" i="41" a="1"/>
  <c r="D172" i="41" s="1"/>
  <c r="C168" i="41"/>
  <c r="C165" i="41"/>
  <c r="C162" i="41"/>
  <c r="C159" i="41"/>
  <c r="C156" i="41"/>
  <c r="D153" i="41" a="1"/>
  <c r="D153" i="41" s="1"/>
  <c r="C147" i="41"/>
  <c r="C143" i="41"/>
  <c r="C125" i="41"/>
  <c r="D115" i="41" a="1"/>
  <c r="D115" i="41" s="1"/>
  <c r="C112" i="41"/>
  <c r="C109" i="41"/>
  <c r="B99" i="41" a="1"/>
  <c r="B99" i="41" s="1"/>
  <c r="D95" i="41" a="1"/>
  <c r="D95" i="41" s="1"/>
  <c r="D92" i="41" a="1"/>
  <c r="D92" i="41" s="1"/>
  <c r="D89" i="41" a="1"/>
  <c r="D89" i="41" s="1"/>
  <c r="C86" i="41"/>
  <c r="C82" i="41"/>
  <c r="C79" i="41"/>
  <c r="C76" i="41"/>
  <c r="C73" i="41"/>
  <c r="C70" i="41"/>
  <c r="C67" i="41"/>
  <c r="C64" i="41"/>
  <c r="C56" i="41"/>
  <c r="C53" i="41"/>
  <c r="C44" i="41"/>
  <c r="C41" i="41"/>
  <c r="D38" i="41" a="1"/>
  <c r="D38" i="41" s="1"/>
  <c r="C27" i="41"/>
  <c r="C23" i="41"/>
  <c r="B19" i="41" a="1"/>
  <c r="B19" i="41" s="1"/>
  <c r="C13" i="41"/>
  <c r="D13" i="40" a="1"/>
  <c r="D13" i="40" s="1"/>
  <c r="C179" i="41"/>
  <c r="C172" i="41"/>
  <c r="C153" i="41"/>
  <c r="C150" i="41"/>
  <c r="D138" i="41" a="1"/>
  <c r="D138" i="41" s="1"/>
  <c r="C135" i="41"/>
  <c r="C131" i="41"/>
  <c r="D121" i="41" a="1"/>
  <c r="D121" i="41" s="1"/>
  <c r="C118" i="41"/>
  <c r="C115" i="41"/>
  <c r="D105" i="41" a="1"/>
  <c r="D105" i="41" s="1"/>
  <c r="C102" i="41"/>
  <c r="C98" i="41"/>
  <c r="C95" i="41"/>
  <c r="C92" i="41"/>
  <c r="C89" i="41"/>
  <c r="D59" i="41" a="1"/>
  <c r="D59" i="41" s="1"/>
  <c r="D49" i="41" a="1"/>
  <c r="D49" i="41" s="1"/>
  <c r="D46" i="41" a="1"/>
  <c r="D46" i="41" s="1"/>
  <c r="C38" i="41"/>
  <c r="C35" i="41"/>
  <c r="D30" i="41" a="1"/>
  <c r="D30" i="41" s="1"/>
  <c r="D15" i="41" a="1"/>
  <c r="D15" i="41" s="1"/>
  <c r="C13" i="40"/>
  <c r="D174" i="41" a="1"/>
  <c r="D174" i="41" s="1"/>
  <c r="C167" i="41"/>
  <c r="D164" i="41" a="1"/>
  <c r="D164" i="41" s="1"/>
  <c r="D161" i="41" a="1"/>
  <c r="D161" i="41" s="1"/>
  <c r="C158" i="41"/>
  <c r="D155" i="41" a="1"/>
  <c r="D155" i="41" s="1"/>
  <c r="D140" i="41" a="1"/>
  <c r="D140" i="41" s="1"/>
  <c r="C138" i="41"/>
  <c r="C127" i="41"/>
  <c r="C124" i="41"/>
  <c r="C121" i="41"/>
  <c r="D111" i="41" a="1"/>
  <c r="D111" i="41" s="1"/>
  <c r="C108" i="41"/>
  <c r="C105" i="41"/>
  <c r="C85" i="41"/>
  <c r="C81" i="41"/>
  <c r="C78" i="41"/>
  <c r="C75" i="41"/>
  <c r="C72" i="41"/>
  <c r="C69" i="41"/>
  <c r="C66" i="41"/>
  <c r="C63" i="41"/>
  <c r="C181" i="41"/>
  <c r="D178" i="41" a="1"/>
  <c r="D178" i="41" s="1"/>
  <c r="C174" i="41"/>
  <c r="C171" i="41"/>
  <c r="C164" i="41"/>
  <c r="C161" i="41"/>
  <c r="C155" i="41"/>
  <c r="D152" i="41" a="1"/>
  <c r="D152" i="41" s="1"/>
  <c r="C149" i="41"/>
  <c r="D145" i="41" a="1"/>
  <c r="D145" i="41" s="1"/>
  <c r="D142" i="41" a="1"/>
  <c r="D142" i="41" s="1"/>
  <c r="C140" i="41"/>
  <c r="C134" i="41"/>
  <c r="C130" i="41"/>
  <c r="D117" i="41" a="1"/>
  <c r="D117" i="41" s="1"/>
  <c r="C114" i="41"/>
  <c r="C111" i="41"/>
  <c r="D101" i="41" a="1"/>
  <c r="D101" i="41" s="1"/>
  <c r="D97" i="41" a="1"/>
  <c r="D97" i="41" s="1"/>
  <c r="D94" i="41" a="1"/>
  <c r="D94" i="41" s="1"/>
  <c r="D91" i="41" a="1"/>
  <c r="D91" i="41" s="1"/>
  <c r="D88" i="41" a="1"/>
  <c r="D88" i="41" s="1"/>
  <c r="C40" i="41"/>
  <c r="D37" i="41" a="1"/>
  <c r="D37" i="41" s="1"/>
  <c r="C34" i="41"/>
  <c r="C15" i="40"/>
  <c r="D180" i="41" a="1"/>
  <c r="D180" i="41" s="1"/>
  <c r="C173" i="41"/>
  <c r="B170" i="41" a="1"/>
  <c r="B170" i="41" s="1"/>
  <c r="C163" i="41"/>
  <c r="C160" i="41"/>
  <c r="C157" i="41"/>
  <c r="D154" i="41" a="1"/>
  <c r="D154" i="41" s="1"/>
  <c r="C148" i="41"/>
  <c r="D139" i="41" a="1"/>
  <c r="D139" i="41" s="1"/>
  <c r="C137" i="41"/>
  <c r="C133" i="41"/>
  <c r="C129" i="41"/>
  <c r="C126" i="41"/>
  <c r="C123" i="41"/>
  <c r="D113" i="41" a="1"/>
  <c r="D113" i="41" s="1"/>
  <c r="C110" i="41"/>
  <c r="C107" i="41"/>
  <c r="C80" i="41"/>
  <c r="C77" i="41"/>
  <c r="C74" i="41"/>
  <c r="C71" i="41"/>
  <c r="C68" i="41"/>
  <c r="C65" i="41"/>
  <c r="C54" i="41"/>
  <c r="C51" i="41"/>
  <c r="C48" i="41"/>
  <c r="C45" i="41"/>
  <c r="C42" i="41"/>
  <c r="D39" i="41" a="1"/>
  <c r="D39" i="41" s="1"/>
  <c r="C33" i="41"/>
  <c r="D20" i="41" a="1"/>
  <c r="D20" i="41" s="1"/>
  <c r="C14" i="41"/>
  <c r="D14" i="40" a="1"/>
  <c r="D14" i="40" s="1"/>
  <c r="C166" i="41"/>
  <c r="C142" i="41"/>
  <c r="C117" i="41"/>
  <c r="C91" i="41"/>
  <c r="D65" i="41" a="1"/>
  <c r="D65" i="41" s="1"/>
  <c r="C49" i="41"/>
  <c r="C22" i="41"/>
  <c r="C88" i="41"/>
  <c r="C62" i="41"/>
  <c r="D48" i="41" a="1"/>
  <c r="D48" i="41" s="1"/>
  <c r="C37" i="41"/>
  <c r="B21" i="41" a="1"/>
  <c r="B21" i="41" s="1"/>
  <c r="D137" i="41" a="1"/>
  <c r="D137" i="41" s="1"/>
  <c r="C84" i="41"/>
  <c r="C59" i="41"/>
  <c r="C46" i="41"/>
  <c r="C15" i="41"/>
  <c r="D157" i="41" a="1"/>
  <c r="D157" i="41" s="1"/>
  <c r="D107" i="41" a="1"/>
  <c r="D107" i="41" s="1"/>
  <c r="D80" i="41" a="1"/>
  <c r="D80" i="41" s="1"/>
  <c r="C58" i="41"/>
  <c r="D45" i="41" a="1"/>
  <c r="D45" i="41" s="1"/>
  <c r="D14" i="41" a="1"/>
  <c r="D14" i="41" s="1"/>
  <c r="C104" i="41"/>
  <c r="D77" i="41" a="1"/>
  <c r="D77" i="41" s="1"/>
  <c r="C55" i="41"/>
  <c r="C43" i="41"/>
  <c r="C30" i="41"/>
  <c r="C178" i="41"/>
  <c r="C152" i="41"/>
  <c r="C101" i="41"/>
  <c r="D74" i="41" a="1"/>
  <c r="D74" i="41" s="1"/>
  <c r="D54" i="41" a="1"/>
  <c r="D54" i="41" s="1"/>
  <c r="D42" i="41" a="1"/>
  <c r="D42" i="41" s="1"/>
  <c r="C29" i="41"/>
  <c r="D15" i="40" a="1"/>
  <c r="D15" i="40" s="1"/>
  <c r="C145" i="41"/>
  <c r="C120" i="41"/>
  <c r="C94" i="41"/>
  <c r="D68" i="41" a="1"/>
  <c r="D68" i="41" s="1"/>
  <c r="D51" i="41" a="1"/>
  <c r="D51" i="41" s="1"/>
  <c r="C25" i="41"/>
  <c r="D71" i="41" a="1"/>
  <c r="D71" i="41" s="1"/>
  <c r="C52" i="41"/>
  <c r="D40" i="41" a="1"/>
  <c r="D40" i="41" s="1"/>
  <c r="D11" i="23" a="1"/>
  <c r="D11" i="23" s="1"/>
  <c r="C26" i="41"/>
  <c r="D10" i="23" a="1"/>
  <c r="D10" i="23" s="1"/>
  <c r="D123" i="41" a="1"/>
  <c r="D123" i="41" s="1"/>
  <c r="C97" i="41"/>
  <c r="B129" i="41"/>
  <c r="B71" i="41"/>
  <c r="B33" i="41"/>
  <c r="B113" i="41"/>
  <c r="B39" i="41"/>
  <c r="B128" i="41"/>
  <c r="B36" i="41"/>
  <c r="B159" i="41"/>
  <c r="B82" i="41"/>
  <c r="B53" i="41"/>
  <c r="B115" i="41"/>
  <c r="B138" i="41"/>
  <c r="B78" i="41"/>
  <c r="B52" i="41"/>
  <c r="B145" i="41"/>
  <c r="B91" i="41"/>
  <c r="B114" i="41"/>
  <c r="B35" i="41"/>
  <c r="B173" i="41"/>
  <c r="B126" i="41"/>
  <c r="B68" i="41"/>
  <c r="B14" i="41"/>
  <c r="B180" i="41"/>
  <c r="B100" i="41"/>
  <c r="B28" i="41"/>
  <c r="B122" i="41"/>
  <c r="B31" i="41"/>
  <c r="B156" i="41"/>
  <c r="B79" i="41"/>
  <c r="B44" i="41"/>
  <c r="B179" i="41"/>
  <c r="B102" i="41"/>
  <c r="B127" i="41"/>
  <c r="B75" i="41"/>
  <c r="B49" i="41"/>
  <c r="B142" i="41"/>
  <c r="B88" i="41"/>
  <c r="B38" i="41"/>
  <c r="B171" i="41"/>
  <c r="B174" i="41"/>
  <c r="B15" i="40"/>
  <c r="B163" i="41"/>
  <c r="B123" i="41"/>
  <c r="B65" i="41"/>
  <c r="B176" i="41"/>
  <c r="B96" i="41"/>
  <c r="B24" i="41"/>
  <c r="B119" i="41"/>
  <c r="B147" i="41"/>
  <c r="B76" i="41"/>
  <c r="B41" i="41"/>
  <c r="B172" i="41"/>
  <c r="B98" i="41"/>
  <c r="B124" i="41"/>
  <c r="B72" i="41"/>
  <c r="B46" i="41"/>
  <c r="B120" i="41"/>
  <c r="B84" i="41"/>
  <c r="B134" i="41"/>
  <c r="B40" i="41"/>
  <c r="B160" i="41"/>
  <c r="B110" i="41"/>
  <c r="B54" i="41"/>
  <c r="B169" i="41"/>
  <c r="B93" i="41"/>
  <c r="B20" i="41"/>
  <c r="B106" i="41"/>
  <c r="B143" i="41"/>
  <c r="B73" i="41"/>
  <c r="B27" i="41"/>
  <c r="B153" i="41"/>
  <c r="B95" i="41"/>
  <c r="B121" i="41"/>
  <c r="B69" i="41"/>
  <c r="B43" i="41"/>
  <c r="B117" i="41"/>
  <c r="B62" i="41"/>
  <c r="B13" i="40"/>
  <c r="B34" i="41"/>
  <c r="B157" i="41"/>
  <c r="B107" i="41"/>
  <c r="B51" i="41"/>
  <c r="B154" i="41"/>
  <c r="B90" i="41"/>
  <c r="B151" i="41"/>
  <c r="B103" i="41"/>
  <c r="B175" i="41"/>
  <c r="B125" i="41"/>
  <c r="B70" i="41"/>
  <c r="B23" i="41"/>
  <c r="B150" i="41"/>
  <c r="B92" i="41"/>
  <c r="B108" i="41"/>
  <c r="B66" i="41"/>
  <c r="B30" i="41"/>
  <c r="B104" i="41"/>
  <c r="B58" i="41"/>
  <c r="B181" i="41"/>
  <c r="B14" i="40"/>
  <c r="B149" i="41"/>
  <c r="B148" i="41"/>
  <c r="B80" i="41"/>
  <c r="B48" i="41"/>
  <c r="B144" i="41"/>
  <c r="B87" i="41"/>
  <c r="B141" i="41"/>
  <c r="B60" i="41"/>
  <c r="B168" i="41"/>
  <c r="B112" i="41"/>
  <c r="B67" i="41"/>
  <c r="B13" i="41"/>
  <c r="B135" i="41"/>
  <c r="B89" i="41"/>
  <c r="B105" i="41"/>
  <c r="B63" i="41"/>
  <c r="B26" i="41"/>
  <c r="B178" i="41"/>
  <c r="B101" i="41"/>
  <c r="B37" i="41"/>
  <c r="B155" i="41"/>
  <c r="B137" i="41"/>
  <c r="B77" i="41"/>
  <c r="B45" i="41"/>
  <c r="B139" i="41"/>
  <c r="B83" i="41"/>
  <c r="B136" i="41"/>
  <c r="B50" i="41"/>
  <c r="B165" i="41"/>
  <c r="B109" i="41"/>
  <c r="B64" i="41"/>
  <c r="B131" i="41"/>
  <c r="B167" i="41"/>
  <c r="B85" i="41"/>
  <c r="B59" i="41"/>
  <c r="B22" i="41"/>
  <c r="B166" i="41"/>
  <c r="B97" i="41"/>
  <c r="B29" i="41"/>
  <c r="B164" i="41"/>
  <c r="B161" i="41"/>
  <c r="B130" i="41"/>
  <c r="B133" i="41"/>
  <c r="B74" i="41"/>
  <c r="B42" i="41"/>
  <c r="B116" i="41"/>
  <c r="B57" i="41"/>
  <c r="B132" i="41"/>
  <c r="B47" i="41"/>
  <c r="B162" i="41"/>
  <c r="B86" i="41"/>
  <c r="B56" i="41"/>
  <c r="B118" i="41"/>
  <c r="B158" i="41"/>
  <c r="B81" i="41"/>
  <c r="B55" i="41"/>
  <c r="B15" i="41"/>
  <c r="B152" i="41"/>
  <c r="B94" i="41"/>
  <c r="B25" i="41"/>
  <c r="B140" i="41"/>
  <c r="B111" i="41"/>
  <c r="C180" i="39"/>
  <c r="C176" i="39"/>
  <c r="C165" i="39"/>
  <c r="C162" i="39"/>
  <c r="C159" i="39"/>
  <c r="C156" i="39"/>
  <c r="D153" i="39" a="1"/>
  <c r="D153" i="39" s="1"/>
  <c r="C147" i="39"/>
  <c r="C140" i="39"/>
  <c r="D137" i="39" a="1"/>
  <c r="D137" i="39" s="1"/>
  <c r="D123" i="39" a="1"/>
  <c r="D123" i="39" s="1"/>
  <c r="C120" i="39"/>
  <c r="C117" i="39"/>
  <c r="D107" i="39" a="1"/>
  <c r="D107" i="39" s="1"/>
  <c r="C104" i="39"/>
  <c r="C101" i="39"/>
  <c r="C97" i="39"/>
  <c r="C94" i="39"/>
  <c r="C91" i="39"/>
  <c r="C88" i="39"/>
  <c r="C84" i="39"/>
  <c r="D80" i="39" a="1"/>
  <c r="D80" i="39" s="1"/>
  <c r="D77" i="39" a="1"/>
  <c r="D77" i="39" s="1"/>
  <c r="D74" i="39" a="1"/>
  <c r="D74" i="39" s="1"/>
  <c r="D71" i="39" a="1"/>
  <c r="D71" i="39" s="1"/>
  <c r="D68" i="39" a="1"/>
  <c r="D68" i="39" s="1"/>
  <c r="D65" i="39" a="1"/>
  <c r="D65" i="39" s="1"/>
  <c r="C62" i="39"/>
  <c r="C58" i="39"/>
  <c r="D54" i="39" a="1"/>
  <c r="D54" i="39" s="1"/>
  <c r="D172" i="39" a="1"/>
  <c r="D172" i="39" s="1"/>
  <c r="C168" i="39"/>
  <c r="D179" i="39" a="1"/>
  <c r="D179" i="39" s="1"/>
  <c r="C175" i="39"/>
  <c r="C172" i="39"/>
  <c r="D164" i="39" a="1"/>
  <c r="D164" i="39" s="1"/>
  <c r="D161" i="39" a="1"/>
  <c r="D161" i="39" s="1"/>
  <c r="C158" i="39"/>
  <c r="D155" i="39" a="1"/>
  <c r="D155" i="39" s="1"/>
  <c r="D145" i="39" a="1"/>
  <c r="D145" i="39" s="1"/>
  <c r="C142" i="39"/>
  <c r="D139" i="39" a="1"/>
  <c r="D139" i="39" s="1"/>
  <c r="D119" i="39" a="1"/>
  <c r="D119" i="39" s="1"/>
  <c r="C116" i="39"/>
  <c r="C113" i="39"/>
  <c r="D103" i="39" a="1"/>
  <c r="D103" i="39" s="1"/>
  <c r="C100" i="39"/>
  <c r="C96" i="39"/>
  <c r="C93" i="39"/>
  <c r="C90" i="39"/>
  <c r="C87" i="39"/>
  <c r="C83" i="39"/>
  <c r="B61" i="39" a="1"/>
  <c r="B61" i="39" s="1"/>
  <c r="C57" i="39"/>
  <c r="C179" i="39"/>
  <c r="C167" i="39"/>
  <c r="C164" i="39"/>
  <c r="C161" i="39"/>
  <c r="C155" i="39"/>
  <c r="D152" i="39" a="1"/>
  <c r="D152" i="39" s="1"/>
  <c r="C149" i="39"/>
  <c r="C145" i="39"/>
  <c r="C139" i="39"/>
  <c r="C136" i="39"/>
  <c r="C132" i="39"/>
  <c r="C128" i="39"/>
  <c r="C122" i="39"/>
  <c r="C119" i="39"/>
  <c r="D109" i="39" a="1"/>
  <c r="D109" i="39" s="1"/>
  <c r="C106" i="39"/>
  <c r="C103" i="39"/>
  <c r="D79" i="39" a="1"/>
  <c r="D79" i="39" s="1"/>
  <c r="D76" i="39" a="1"/>
  <c r="D76" i="39" s="1"/>
  <c r="D73" i="39" a="1"/>
  <c r="D73" i="39" s="1"/>
  <c r="D70" i="39" a="1"/>
  <c r="D70" i="39" s="1"/>
  <c r="D67" i="39" a="1"/>
  <c r="D67" i="39" s="1"/>
  <c r="D64" i="39" a="1"/>
  <c r="D64" i="39" s="1"/>
  <c r="C60" i="39"/>
  <c r="D174" i="39" a="1"/>
  <c r="D174" i="39" s="1"/>
  <c r="C171" i="39"/>
  <c r="D157" i="39" a="1"/>
  <c r="D157" i="39" s="1"/>
  <c r="C152" i="39"/>
  <c r="C181" i="39"/>
  <c r="D178" i="39" a="1"/>
  <c r="D178" i="39" s="1"/>
  <c r="C174" i="39"/>
  <c r="C166" i="39"/>
  <c r="C163" i="39"/>
  <c r="C160" i="39"/>
  <c r="C157" i="39"/>
  <c r="D154" i="39" a="1"/>
  <c r="D154" i="39" s="1"/>
  <c r="C148" i="39"/>
  <c r="C144" i="39"/>
  <c r="C141" i="39"/>
  <c r="D138" i="39" a="1"/>
  <c r="D138" i="39" s="1"/>
  <c r="C135" i="39"/>
  <c r="C131" i="39"/>
  <c r="D121" i="39" a="1"/>
  <c r="D121" i="39" s="1"/>
  <c r="C118" i="39"/>
  <c r="C115" i="39"/>
  <c r="D105" i="39" a="1"/>
  <c r="D105" i="39" s="1"/>
  <c r="C102" i="39"/>
  <c r="C98" i="39"/>
  <c r="C95" i="39"/>
  <c r="C92" i="39"/>
  <c r="C89" i="39"/>
  <c r="D180" i="39" a="1"/>
  <c r="D180" i="39" s="1"/>
  <c r="C173" i="39"/>
  <c r="C169" i="39"/>
  <c r="D165" i="39" a="1"/>
  <c r="D165" i="39" s="1"/>
  <c r="D162" i="39" a="1"/>
  <c r="D162" i="39" s="1"/>
  <c r="D159" i="39" a="1"/>
  <c r="D159" i="39" s="1"/>
  <c r="D156" i="39" a="1"/>
  <c r="D156" i="39" s="1"/>
  <c r="C151" i="39"/>
  <c r="D147" i="39" a="1"/>
  <c r="D147" i="39" s="1"/>
  <c r="C143" i="39"/>
  <c r="D140" i="39" a="1"/>
  <c r="D140" i="39" s="1"/>
  <c r="C134" i="39"/>
  <c r="C130" i="39"/>
  <c r="D117" i="39" a="1"/>
  <c r="D117" i="39" s="1"/>
  <c r="C114" i="39"/>
  <c r="C111" i="39"/>
  <c r="D101" i="39" a="1"/>
  <c r="D101" i="39" s="1"/>
  <c r="D97" i="39" a="1"/>
  <c r="D97" i="39" s="1"/>
  <c r="D94" i="39" a="1"/>
  <c r="D94" i="39" s="1"/>
  <c r="D91" i="39" a="1"/>
  <c r="D91" i="39" s="1"/>
  <c r="D88" i="39" a="1"/>
  <c r="D88" i="39" s="1"/>
  <c r="C178" i="39"/>
  <c r="C153" i="39"/>
  <c r="D142" i="39" a="1"/>
  <c r="D142" i="39" s="1"/>
  <c r="C125" i="39"/>
  <c r="C108" i="39"/>
  <c r="B99" i="39" a="1"/>
  <c r="B99" i="39" s="1"/>
  <c r="C81" i="39"/>
  <c r="C73" i="39"/>
  <c r="C65" i="39"/>
  <c r="D49" i="39" a="1"/>
  <c r="D49" i="39" s="1"/>
  <c r="D46" i="39" a="1"/>
  <c r="D46" i="39" s="1"/>
  <c r="C38" i="39"/>
  <c r="C35" i="39"/>
  <c r="D30" i="39" a="1"/>
  <c r="D30" i="39" s="1"/>
  <c r="D15" i="39" a="1"/>
  <c r="D15" i="39" s="1"/>
  <c r="D13" i="39" a="1"/>
  <c r="D13" i="39" s="1"/>
  <c r="C50" i="39"/>
  <c r="C31" i="39"/>
  <c r="D151" i="39" a="1"/>
  <c r="D151" i="39" s="1"/>
  <c r="D141" i="39" a="1"/>
  <c r="D141" i="39" s="1"/>
  <c r="C133" i="39"/>
  <c r="C124" i="39"/>
  <c r="D115" i="39" a="1"/>
  <c r="D115" i="39" s="1"/>
  <c r="C107" i="39"/>
  <c r="D89" i="39" a="1"/>
  <c r="D89" i="39" s="1"/>
  <c r="C80" i="39"/>
  <c r="C72" i="39"/>
  <c r="C64" i="39"/>
  <c r="C56" i="39"/>
  <c r="C52" i="39"/>
  <c r="C49" i="39"/>
  <c r="C46" i="39"/>
  <c r="C43" i="39"/>
  <c r="D40" i="39" a="1"/>
  <c r="D40" i="39" s="1"/>
  <c r="C30" i="39"/>
  <c r="C26" i="39"/>
  <c r="C22" i="39"/>
  <c r="C15" i="39"/>
  <c r="C13" i="39"/>
  <c r="C127" i="39"/>
  <c r="C67" i="39"/>
  <c r="D41" i="39" a="1"/>
  <c r="D41" i="39" s="1"/>
  <c r="B170" i="39" a="1"/>
  <c r="B170" i="39" s="1"/>
  <c r="C150" i="39"/>
  <c r="C123" i="39"/>
  <c r="C79" i="39"/>
  <c r="C71" i="39"/>
  <c r="C40" i="39"/>
  <c r="D37" i="39" a="1"/>
  <c r="D37" i="39" s="1"/>
  <c r="C34" i="39"/>
  <c r="D53" i="39" a="1"/>
  <c r="D53" i="39" s="1"/>
  <c r="D113" i="39" a="1"/>
  <c r="D113" i="39" s="1"/>
  <c r="C105" i="39"/>
  <c r="D95" i="39" a="1"/>
  <c r="D95" i="39" s="1"/>
  <c r="C78" i="39"/>
  <c r="C70" i="39"/>
  <c r="C63" i="39"/>
  <c r="C55" i="39"/>
  <c r="D51" i="39" a="1"/>
  <c r="D51" i="39" s="1"/>
  <c r="D48" i="39" a="1"/>
  <c r="D48" i="39" s="1"/>
  <c r="D45" i="39" a="1"/>
  <c r="D45" i="39" s="1"/>
  <c r="D42" i="39" a="1"/>
  <c r="D42" i="39" s="1"/>
  <c r="C37" i="39"/>
  <c r="C29" i="39"/>
  <c r="C25" i="39"/>
  <c r="B21" i="39" a="1"/>
  <c r="B21" i="39" s="1"/>
  <c r="C110" i="39"/>
  <c r="C47" i="39"/>
  <c r="D11" i="24" a="1"/>
  <c r="D11" i="24" s="1"/>
  <c r="C129" i="39"/>
  <c r="C121" i="39"/>
  <c r="C112" i="39"/>
  <c r="C86" i="39"/>
  <c r="C77" i="39"/>
  <c r="C69" i="39"/>
  <c r="C51" i="39"/>
  <c r="C48" i="39"/>
  <c r="C45" i="39"/>
  <c r="C42" i="39"/>
  <c r="D39" i="39" a="1"/>
  <c r="D39" i="39" s="1"/>
  <c r="C33" i="39"/>
  <c r="D20" i="39" a="1"/>
  <c r="D20" i="39" s="1"/>
  <c r="D14" i="39" a="1"/>
  <c r="D14" i="39" s="1"/>
  <c r="C137" i="39"/>
  <c r="C75" i="39"/>
  <c r="C138" i="39"/>
  <c r="D111" i="39" a="1"/>
  <c r="D111" i="39" s="1"/>
  <c r="C85" i="39"/>
  <c r="C76" i="39"/>
  <c r="C68" i="39"/>
  <c r="C54" i="39"/>
  <c r="C39" i="39"/>
  <c r="D36" i="39" a="1"/>
  <c r="D36" i="39" s="1"/>
  <c r="C28" i="39"/>
  <c r="C24" i="39"/>
  <c r="C20" i="39"/>
  <c r="C14" i="39"/>
  <c r="D92" i="39" a="1"/>
  <c r="D92" i="39" s="1"/>
  <c r="D59" i="39" a="1"/>
  <c r="D59" i="39" s="1"/>
  <c r="C36" i="39"/>
  <c r="C154" i="39"/>
  <c r="C126" i="39"/>
  <c r="C109" i="39"/>
  <c r="C82" i="39"/>
  <c r="C74" i="39"/>
  <c r="C66" i="39"/>
  <c r="C59" i="39"/>
  <c r="C53" i="39"/>
  <c r="C44" i="39"/>
  <c r="C41" i="39"/>
  <c r="D38" i="39" a="1"/>
  <c r="D38" i="39" s="1"/>
  <c r="C27" i="39"/>
  <c r="C23" i="39"/>
  <c r="B19" i="39" a="1"/>
  <c r="B19" i="39" s="1"/>
  <c r="D10" i="24" a="1"/>
  <c r="D10" i="24" s="1"/>
  <c r="D44" i="39" a="1"/>
  <c r="D44" i="39" s="1"/>
  <c r="D13" i="38" a="1"/>
  <c r="D13" i="38" s="1"/>
  <c r="D14" i="38" a="1"/>
  <c r="D14" i="38" s="1"/>
  <c r="D15" i="38" a="1"/>
  <c r="D15" i="38" s="1"/>
  <c r="B151" i="39"/>
  <c r="B180" i="39"/>
  <c r="B123" i="39"/>
  <c r="B65" i="39"/>
  <c r="B172" i="39"/>
  <c r="B90" i="39"/>
  <c r="B112" i="39"/>
  <c r="B67" i="39"/>
  <c r="B108" i="39"/>
  <c r="B66" i="39"/>
  <c r="B117" i="39"/>
  <c r="B35" i="39"/>
  <c r="B89" i="39"/>
  <c r="B26" i="39"/>
  <c r="B119" i="39"/>
  <c r="B140" i="39"/>
  <c r="B104" i="39"/>
  <c r="B160" i="39"/>
  <c r="B48" i="39"/>
  <c r="B101" i="39"/>
  <c r="B20" i="39"/>
  <c r="B143" i="39"/>
  <c r="B176" i="39"/>
  <c r="B168" i="39"/>
  <c r="B110" i="39"/>
  <c r="B54" i="39"/>
  <c r="B158" i="39"/>
  <c r="B87" i="39"/>
  <c r="B109" i="39"/>
  <c r="B105" i="39"/>
  <c r="B63" i="39"/>
  <c r="B91" i="39"/>
  <c r="B102" i="39"/>
  <c r="B64" i="39"/>
  <c r="B22" i="39"/>
  <c r="B24" i="39"/>
  <c r="B131" i="39"/>
  <c r="B95" i="39"/>
  <c r="B39" i="39"/>
  <c r="B147" i="39"/>
  <c r="B45" i="39"/>
  <c r="B92" i="39"/>
  <c r="B134" i="39"/>
  <c r="B165" i="39"/>
  <c r="B153" i="39"/>
  <c r="B107" i="39"/>
  <c r="B142" i="39"/>
  <c r="B83" i="39"/>
  <c r="B179" i="39"/>
  <c r="B86" i="39"/>
  <c r="B178" i="39"/>
  <c r="B85" i="39"/>
  <c r="B59" i="39"/>
  <c r="B58" i="39"/>
  <c r="B56" i="39"/>
  <c r="B122" i="39"/>
  <c r="B62" i="39"/>
  <c r="B128" i="39"/>
  <c r="B42" i="39"/>
  <c r="B50" i="39"/>
  <c r="B130" i="39"/>
  <c r="B162" i="39"/>
  <c r="B150" i="39"/>
  <c r="B80" i="39"/>
  <c r="B116" i="39"/>
  <c r="B57" i="39"/>
  <c r="B167" i="39"/>
  <c r="B82" i="39"/>
  <c r="B154" i="39"/>
  <c r="B81" i="39"/>
  <c r="B53" i="39"/>
  <c r="B141" i="39"/>
  <c r="B52" i="39"/>
  <c r="B15" i="39"/>
  <c r="B88" i="39"/>
  <c r="B55" i="39"/>
  <c r="B120" i="39"/>
  <c r="B33" i="39"/>
  <c r="B47" i="39"/>
  <c r="B114" i="39"/>
  <c r="B159" i="39"/>
  <c r="B137" i="39"/>
  <c r="B77" i="39"/>
  <c r="B113" i="39"/>
  <c r="B164" i="39"/>
  <c r="B79" i="39"/>
  <c r="B138" i="39"/>
  <c r="B78" i="39"/>
  <c r="B44" i="39"/>
  <c r="B132" i="39"/>
  <c r="B49" i="39"/>
  <c r="B13" i="39"/>
  <c r="B40" i="39"/>
  <c r="B37" i="39"/>
  <c r="B103" i="39"/>
  <c r="B181" i="39"/>
  <c r="B36" i="39"/>
  <c r="B111" i="39"/>
  <c r="B156" i="39"/>
  <c r="B133" i="39"/>
  <c r="B74" i="39"/>
  <c r="B100" i="39"/>
  <c r="B161" i="39"/>
  <c r="B171" i="39"/>
  <c r="B76" i="39"/>
  <c r="B127" i="39"/>
  <c r="B75" i="39"/>
  <c r="B41" i="39"/>
  <c r="B174" i="39"/>
  <c r="B115" i="39"/>
  <c r="B46" i="39"/>
  <c r="B34" i="39"/>
  <c r="B163" i="39"/>
  <c r="B29" i="39"/>
  <c r="B94" i="39"/>
  <c r="B144" i="39"/>
  <c r="B31" i="39"/>
  <c r="B173" i="39"/>
  <c r="B129" i="39"/>
  <c r="B71" i="39"/>
  <c r="B96" i="39"/>
  <c r="B155" i="39"/>
  <c r="B152" i="39"/>
  <c r="B73" i="39"/>
  <c r="B124" i="39"/>
  <c r="B72" i="39"/>
  <c r="B27" i="39"/>
  <c r="B98" i="39"/>
  <c r="B106" i="39"/>
  <c r="B43" i="39"/>
  <c r="B166" i="39"/>
  <c r="B148" i="39"/>
  <c r="B25" i="39"/>
  <c r="B60" i="39"/>
  <c r="B157" i="39"/>
  <c r="B136" i="39"/>
  <c r="B145" i="39"/>
  <c r="B169" i="39"/>
  <c r="B126" i="39"/>
  <c r="B68" i="39"/>
  <c r="B175" i="39"/>
  <c r="B93" i="39"/>
  <c r="B125" i="39"/>
  <c r="B70" i="39"/>
  <c r="B121" i="39"/>
  <c r="B69" i="39"/>
  <c r="B135" i="39"/>
  <c r="B23" i="39"/>
  <c r="B38" i="39"/>
  <c r="B14" i="39"/>
  <c r="B97" i="39"/>
  <c r="B30" i="39"/>
  <c r="B149" i="39"/>
  <c r="B28" i="39"/>
  <c r="B139" i="39"/>
  <c r="B51" i="39"/>
  <c r="B118" i="39"/>
  <c r="B84" i="39"/>
  <c r="D11" i="39" a="1"/>
  <c r="D11" i="39" s="1"/>
  <c r="D37" i="38" a="1"/>
  <c r="D37" i="38" s="1"/>
  <c r="C104" i="38"/>
  <c r="C172" i="38"/>
  <c r="D165" i="38" a="1"/>
  <c r="D165" i="38" s="1"/>
  <c r="D153" i="38" a="1"/>
  <c r="D153" i="38" s="1"/>
  <c r="C119" i="38"/>
  <c r="C105" i="38"/>
  <c r="D111" i="38" a="1"/>
  <c r="D111" i="38" s="1"/>
  <c r="D74" i="38" a="1"/>
  <c r="D74" i="38" s="1"/>
  <c r="C78" i="38"/>
  <c r="C74" i="38"/>
  <c r="B19" i="38" a="1"/>
  <c r="B19" i="38" s="1"/>
  <c r="D151" i="38" a="1"/>
  <c r="D151" i="38" s="1"/>
  <c r="C109" i="38"/>
  <c r="D109" i="38" a="1"/>
  <c r="D109" i="38" s="1"/>
  <c r="C149" i="38"/>
  <c r="D147" i="38" a="1"/>
  <c r="D147" i="38" s="1"/>
  <c r="C11" i="39"/>
  <c r="D161" i="38" a="1"/>
  <c r="D161" i="38" s="1"/>
  <c r="D142" i="38" a="1"/>
  <c r="D142" i="38" s="1"/>
  <c r="C163" i="38"/>
  <c r="C75" i="38"/>
  <c r="B21" i="38" a="1"/>
  <c r="B21" i="38" s="1"/>
  <c r="D179" i="38" a="1"/>
  <c r="D179" i="38" s="1"/>
  <c r="D162" i="38" a="1"/>
  <c r="D162" i="38" s="1"/>
  <c r="D159" i="38" a="1"/>
  <c r="D159" i="38" s="1"/>
  <c r="C103" i="38"/>
  <c r="D141" i="38" a="1"/>
  <c r="D141" i="38" s="1"/>
  <c r="C118" i="38"/>
  <c r="D123" i="38" a="1"/>
  <c r="D123" i="38" s="1"/>
  <c r="D107" i="38" a="1"/>
  <c r="D107" i="38" s="1"/>
  <c r="C81" i="38"/>
  <c r="C77" i="38"/>
  <c r="C73" i="38"/>
  <c r="C148" i="38"/>
  <c r="C80" i="38"/>
  <c r="D137" i="38" a="1"/>
  <c r="D137" i="38" s="1"/>
  <c r="D77" i="38" a="1"/>
  <c r="D77" i="38" s="1"/>
  <c r="B61" i="38" a="1"/>
  <c r="B61" i="38" s="1"/>
  <c r="D178" i="38" a="1"/>
  <c r="D178" i="38" s="1"/>
  <c r="C181" i="38"/>
  <c r="C162" i="38"/>
  <c r="D152" i="38" a="1"/>
  <c r="D152" i="38" s="1"/>
  <c r="D140" i="38" a="1"/>
  <c r="D140" i="38" s="1"/>
  <c r="C117" i="38"/>
  <c r="C122" i="38"/>
  <c r="C106" i="38"/>
  <c r="C110" i="38"/>
  <c r="C114" i="38"/>
  <c r="D121" i="38" a="1"/>
  <c r="D121" i="38" s="1"/>
  <c r="D105" i="38" a="1"/>
  <c r="D105" i="38" s="1"/>
  <c r="D157" i="38" a="1"/>
  <c r="D157" i="38" s="1"/>
  <c r="D139" i="38" a="1"/>
  <c r="D139" i="38" s="1"/>
  <c r="D119" i="38" a="1"/>
  <c r="D119" i="38" s="1"/>
  <c r="C76" i="38"/>
  <c r="D115" i="38" a="1"/>
  <c r="D115" i="38" s="1"/>
  <c r="D12" i="39" a="1"/>
  <c r="D12" i="39" s="1"/>
  <c r="D10" i="39" a="1"/>
  <c r="D10" i="39" s="1"/>
  <c r="B99" i="38" a="1"/>
  <c r="B99" i="38" s="1"/>
  <c r="C174" i="38"/>
  <c r="D80" i="38" a="1"/>
  <c r="D80" i="38" s="1"/>
  <c r="C180" i="38"/>
  <c r="C12" i="39"/>
  <c r="C10" i="39"/>
  <c r="B170" i="38" a="1"/>
  <c r="B170" i="38" s="1"/>
  <c r="D172" i="38" a="1"/>
  <c r="D172" i="38" s="1"/>
  <c r="D180" i="38" a="1"/>
  <c r="D180" i="38" s="1"/>
  <c r="D156" i="38" a="1"/>
  <c r="D156" i="38" s="1"/>
  <c r="D138" i="38" a="1"/>
  <c r="D138" i="38" s="1"/>
  <c r="C123" i="38"/>
  <c r="C107" i="38"/>
  <c r="C111" i="38"/>
  <c r="C115" i="38"/>
  <c r="D117" i="38" a="1"/>
  <c r="D117" i="38" s="1"/>
  <c r="D79" i="38" a="1"/>
  <c r="D79" i="38" s="1"/>
  <c r="D155" i="38" a="1"/>
  <c r="D155" i="38" s="1"/>
  <c r="D154" i="38" a="1"/>
  <c r="D154" i="38" s="1"/>
  <c r="C147" i="38"/>
  <c r="C120" i="38"/>
  <c r="C124" i="38"/>
  <c r="C108" i="38"/>
  <c r="C112" i="38"/>
  <c r="C116" i="38"/>
  <c r="D113" i="38" a="1"/>
  <c r="D113" i="38" s="1"/>
  <c r="D76" i="38" a="1"/>
  <c r="D76" i="38" s="1"/>
  <c r="D145" i="38" a="1"/>
  <c r="D145" i="38" s="1"/>
  <c r="D164" i="38" a="1"/>
  <c r="D164" i="38" s="1"/>
  <c r="D103" i="38" a="1"/>
  <c r="D103" i="38" s="1"/>
  <c r="C121" i="38"/>
  <c r="C113" i="38"/>
  <c r="D73" i="38" a="1"/>
  <c r="D73" i="38" s="1"/>
  <c r="D174" i="38" a="1"/>
  <c r="D174" i="38" s="1"/>
  <c r="C79" i="38"/>
  <c r="C102" i="38"/>
  <c r="D54" i="38" a="1"/>
  <c r="D54" i="38" s="1"/>
  <c r="D97" i="38" a="1"/>
  <c r="D97" i="38" s="1"/>
  <c r="C92" i="38"/>
  <c r="C96" i="38"/>
  <c r="D70" i="38" a="1"/>
  <c r="D70" i="38" s="1"/>
  <c r="C69" i="38"/>
  <c r="D64" i="38" a="1"/>
  <c r="D64" i="38" s="1"/>
  <c r="D53" i="38" a="1"/>
  <c r="D53" i="38" s="1"/>
  <c r="D46" i="38" a="1"/>
  <c r="D46" i="38" s="1"/>
  <c r="C67" i="38"/>
  <c r="C43" i="38"/>
  <c r="C50" i="38"/>
  <c r="C51" i="38"/>
  <c r="C30" i="38"/>
  <c r="D101" i="38" a="1"/>
  <c r="D101" i="38" s="1"/>
  <c r="D95" i="38" a="1"/>
  <c r="D95" i="38" s="1"/>
  <c r="D68" i="38" a="1"/>
  <c r="D68" i="38" s="1"/>
  <c r="D45" i="38" a="1"/>
  <c r="D45" i="38" s="1"/>
  <c r="D41" i="38" a="1"/>
  <c r="D41" i="38" s="1"/>
  <c r="C31" i="38"/>
  <c r="D11" i="38" a="1"/>
  <c r="D11" i="38" s="1"/>
  <c r="D88" i="38" a="1"/>
  <c r="D88" i="38" s="1"/>
  <c r="D51" i="38" a="1"/>
  <c r="D51" i="38" s="1"/>
  <c r="D10" i="25" a="1"/>
  <c r="D10" i="25" s="1"/>
  <c r="D92" i="38" a="1"/>
  <c r="D92" i="38" s="1"/>
  <c r="D36" i="38" a="1"/>
  <c r="D36" i="38" s="1"/>
  <c r="C101" i="38"/>
  <c r="C89" i="38"/>
  <c r="C93" i="38"/>
  <c r="D94" i="38" a="1"/>
  <c r="D94" i="38" s="1"/>
  <c r="D67" i="38" a="1"/>
  <c r="D67" i="38" s="1"/>
  <c r="C70" i="38"/>
  <c r="C60" i="38"/>
  <c r="C52" i="38"/>
  <c r="D44" i="38" a="1"/>
  <c r="D44" i="38" s="1"/>
  <c r="D40" i="38" a="1"/>
  <c r="D40" i="38" s="1"/>
  <c r="D10" i="38" a="1"/>
  <c r="D10" i="38" s="1"/>
  <c r="C100" i="38"/>
  <c r="C71" i="38"/>
  <c r="D38" i="38" a="1"/>
  <c r="D38" i="38" s="1"/>
  <c r="C49" i="38"/>
  <c r="D89" i="38" a="1"/>
  <c r="D89" i="38" s="1"/>
  <c r="D39" i="38" a="1"/>
  <c r="D39" i="38" s="1"/>
  <c r="D30" i="38" a="1"/>
  <c r="D30" i="38" s="1"/>
  <c r="D11" i="25" a="1"/>
  <c r="D11" i="25" s="1"/>
  <c r="C94" i="38"/>
  <c r="D59" i="38" a="1"/>
  <c r="D59" i="38" s="1"/>
  <c r="D20" i="38" a="1"/>
  <c r="D20" i="38" s="1"/>
  <c r="C59" i="38"/>
  <c r="C42" i="38"/>
  <c r="C90" i="38"/>
  <c r="D49" i="38" a="1"/>
  <c r="D49" i="38" s="1"/>
  <c r="C91" i="38"/>
  <c r="C95" i="38"/>
  <c r="D91" i="38" a="1"/>
  <c r="D91" i="38" s="1"/>
  <c r="C68" i="38"/>
  <c r="C72" i="38"/>
  <c r="D42" i="38" a="1"/>
  <c r="D42" i="38" s="1"/>
  <c r="D12" i="38" a="1"/>
  <c r="D12" i="38" s="1"/>
  <c r="C125" i="38"/>
  <c r="D71" i="38" a="1"/>
  <c r="D71" i="38" s="1"/>
  <c r="D65" i="38" a="1"/>
  <c r="D65" i="38" s="1"/>
  <c r="D48" i="38" a="1"/>
  <c r="D48" i="38" s="1"/>
  <c r="B74" i="38"/>
  <c r="B124" i="38"/>
  <c r="B103" i="38"/>
  <c r="B10" i="39"/>
  <c r="B111" i="38"/>
  <c r="B80" i="38"/>
  <c r="B112" i="38"/>
  <c r="B93" i="38"/>
  <c r="B90" i="38"/>
  <c r="B125" i="38"/>
  <c r="B122" i="38"/>
  <c r="B81" i="38"/>
  <c r="B76" i="38"/>
  <c r="B172" i="38"/>
  <c r="B120" i="38"/>
  <c r="B70" i="38"/>
  <c r="B94" i="38"/>
  <c r="B59" i="38"/>
  <c r="B116" i="38"/>
  <c r="B106" i="38"/>
  <c r="B77" i="38"/>
  <c r="B180" i="38"/>
  <c r="B69" i="38"/>
  <c r="B50" i="38"/>
  <c r="B67" i="38"/>
  <c r="B51" i="38"/>
  <c r="B147" i="38"/>
  <c r="B110" i="38"/>
  <c r="B73" i="38"/>
  <c r="B108" i="38"/>
  <c r="B163" i="38"/>
  <c r="B102" i="38"/>
  <c r="B49" i="38"/>
  <c r="B71" i="38"/>
  <c r="B30" i="38"/>
  <c r="B121" i="38"/>
  <c r="B119" i="38"/>
  <c r="B114" i="38"/>
  <c r="B79" i="38"/>
  <c r="B42" i="38"/>
  <c r="B100" i="38"/>
  <c r="B60" i="38"/>
  <c r="B92" i="38"/>
  <c r="B109" i="38"/>
  <c r="B105" i="38"/>
  <c r="B11" i="39"/>
  <c r="B162" i="38"/>
  <c r="B181" i="38"/>
  <c r="B75" i="38"/>
  <c r="B31" i="38"/>
  <c r="B68" i="38"/>
  <c r="B52" i="38"/>
  <c r="B96" i="38"/>
  <c r="B113" i="38"/>
  <c r="B78" i="38"/>
  <c r="B123" i="38"/>
  <c r="B107" i="38"/>
  <c r="B148" i="38"/>
  <c r="B95" i="38"/>
  <c r="B43" i="38"/>
  <c r="B91" i="38"/>
  <c r="B104" i="38"/>
  <c r="B115" i="38"/>
  <c r="B174" i="38"/>
  <c r="B118" i="38"/>
  <c r="B117" i="38"/>
  <c r="B12" i="39"/>
  <c r="B149" i="38"/>
  <c r="B89" i="38"/>
  <c r="B101" i="38"/>
  <c r="B72" i="38"/>
  <c r="A22" i="67"/>
  <c r="A21" i="67"/>
  <c r="C271" i="24"/>
  <c r="C265" i="24"/>
  <c r="D250" i="24" a="1"/>
  <c r="D250" i="24" s="1"/>
  <c r="D245" i="24" a="1"/>
  <c r="D245" i="24" s="1"/>
  <c r="D236" i="24" a="1"/>
  <c r="D236" i="24" s="1"/>
  <c r="C234" i="24"/>
  <c r="D289" i="24" a="1"/>
  <c r="D289" i="24" s="1"/>
  <c r="C285" i="24"/>
  <c r="D281" i="24" a="1"/>
  <c r="D281" i="24" s="1"/>
  <c r="C277" i="24"/>
  <c r="D274" i="24" a="1"/>
  <c r="D274" i="24" s="1"/>
  <c r="D268" i="24" a="1"/>
  <c r="D268" i="24" s="1"/>
  <c r="D260" i="24" a="1"/>
  <c r="D260" i="24" s="1"/>
  <c r="C257" i="24"/>
  <c r="C253" i="24"/>
  <c r="C250" i="24"/>
  <c r="C245" i="24"/>
  <c r="D238" i="24" a="1"/>
  <c r="D238" i="24" s="1"/>
  <c r="C236" i="24"/>
  <c r="D216" i="24" a="1"/>
  <c r="D216" i="24" s="1"/>
  <c r="C214" i="24"/>
  <c r="C209" i="24"/>
  <c r="C189" i="24"/>
  <c r="C186" i="24"/>
  <c r="C289" i="24"/>
  <c r="C281" i="24"/>
  <c r="C274" i="24"/>
  <c r="C268" i="24"/>
  <c r="D262" i="24" a="1"/>
  <c r="D262" i="24" s="1"/>
  <c r="C260" i="24"/>
  <c r="C248" i="24"/>
  <c r="D242" i="24" a="1"/>
  <c r="D242" i="24" s="1"/>
  <c r="D240" i="24" a="1"/>
  <c r="D240" i="24" s="1"/>
  <c r="C238" i="24"/>
  <c r="C230" i="24"/>
  <c r="C226" i="24"/>
  <c r="C222" i="24"/>
  <c r="C216" i="24"/>
  <c r="D211" i="24" a="1"/>
  <c r="D211" i="24" s="1"/>
  <c r="C203" i="24"/>
  <c r="C199" i="24"/>
  <c r="C195" i="24"/>
  <c r="D183" i="24" a="1"/>
  <c r="D183" i="24" s="1"/>
  <c r="C180" i="24"/>
  <c r="C175" i="24"/>
  <c r="D169" i="24" a="1"/>
  <c r="D169" i="24" s="1"/>
  <c r="C284" i="24"/>
  <c r="C276" i="24"/>
  <c r="D270" i="24" a="1"/>
  <c r="D270" i="24" s="1"/>
  <c r="D264" i="24" a="1"/>
  <c r="D264" i="24" s="1"/>
  <c r="C262" i="24"/>
  <c r="C256" i="24"/>
  <c r="C252" i="24"/>
  <c r="C244" i="24"/>
  <c r="C242" i="24"/>
  <c r="C240" i="24"/>
  <c r="D233" i="24" a="1"/>
  <c r="D233" i="24" s="1"/>
  <c r="D218" i="24" a="1"/>
  <c r="D218" i="24" s="1"/>
  <c r="D213" i="24" a="1"/>
  <c r="D213" i="24" s="1"/>
  <c r="C211" i="24"/>
  <c r="D206" i="24" a="1"/>
  <c r="D206" i="24" s="1"/>
  <c r="D191" i="24" a="1"/>
  <c r="D191" i="24" s="1"/>
  <c r="C188" i="24"/>
  <c r="C183" i="24"/>
  <c r="B280" i="24"/>
  <c r="C270" i="24"/>
  <c r="C264" i="24"/>
  <c r="D259" i="24" a="1"/>
  <c r="D259" i="24" s="1"/>
  <c r="D235" i="24" a="1"/>
  <c r="D235" i="24" s="1"/>
  <c r="C233" i="24"/>
  <c r="C229" i="24"/>
  <c r="C225" i="24"/>
  <c r="D221" i="24" a="1"/>
  <c r="D221" i="24" s="1"/>
  <c r="C218" i="24"/>
  <c r="D215" i="24" a="1"/>
  <c r="D215" i="24" s="1"/>
  <c r="C213" i="24"/>
  <c r="D208" i="24" a="1"/>
  <c r="D208" i="24" s="1"/>
  <c r="C206" i="24"/>
  <c r="C202" i="24"/>
  <c r="C198" i="24"/>
  <c r="C287" i="24"/>
  <c r="C283" i="24"/>
  <c r="C279" i="24"/>
  <c r="C272" i="24"/>
  <c r="C266" i="24"/>
  <c r="D261" i="24" a="1"/>
  <c r="D261" i="24" s="1"/>
  <c r="C259" i="24"/>
  <c r="C251" i="24"/>
  <c r="C246" i="24"/>
  <c r="D237" i="24" a="1"/>
  <c r="D237" i="24" s="1"/>
  <c r="C235" i="24"/>
  <c r="D275" i="24" a="1"/>
  <c r="D275" i="24" s="1"/>
  <c r="C269" i="24"/>
  <c r="D263" i="24" a="1"/>
  <c r="D263" i="24" s="1"/>
  <c r="C261" i="24"/>
  <c r="C255" i="24"/>
  <c r="D243" i="24" a="1"/>
  <c r="D243" i="24" s="1"/>
  <c r="D241" i="24" a="1"/>
  <c r="D241" i="24" s="1"/>
  <c r="D239" i="24" a="1"/>
  <c r="D239" i="24" s="1"/>
  <c r="C237" i="24"/>
  <c r="C232" i="24"/>
  <c r="C228" i="24"/>
  <c r="C224" i="24"/>
  <c r="C217" i="24"/>
  <c r="C210" i="24"/>
  <c r="C205" i="24"/>
  <c r="C201" i="24"/>
  <c r="C197" i="24"/>
  <c r="C190" i="24"/>
  <c r="D187" i="24" a="1"/>
  <c r="D187" i="24" s="1"/>
  <c r="C179" i="24"/>
  <c r="C176" i="24"/>
  <c r="C286" i="24"/>
  <c r="C223" i="24"/>
  <c r="C208" i="24"/>
  <c r="C200" i="24"/>
  <c r="C191" i="24"/>
  <c r="D185" i="24" a="1"/>
  <c r="D185" i="24" s="1"/>
  <c r="C181" i="24"/>
  <c r="C177" i="24"/>
  <c r="D173" i="24" a="1"/>
  <c r="D173" i="24" s="1"/>
  <c r="C170" i="24"/>
  <c r="D167" i="24" a="1"/>
  <c r="D167" i="24" s="1"/>
  <c r="D161" i="24" a="1"/>
  <c r="D161" i="24" s="1"/>
  <c r="C158" i="24"/>
  <c r="C155" i="24"/>
  <c r="C152" i="24"/>
  <c r="C149" i="24"/>
  <c r="D146" i="24" a="1"/>
  <c r="D146" i="24" s="1"/>
  <c r="C143" i="24"/>
  <c r="C137" i="24"/>
  <c r="D134" i="24" a="1"/>
  <c r="D134" i="24" s="1"/>
  <c r="D126" i="24" a="1"/>
  <c r="D126" i="24" s="1"/>
  <c r="C118" i="24"/>
  <c r="C113" i="24"/>
  <c r="D110" i="24" a="1"/>
  <c r="D110" i="24" s="1"/>
  <c r="C101" i="24"/>
  <c r="D97" i="24" a="1"/>
  <c r="D97" i="24" s="1"/>
  <c r="C89" i="24"/>
  <c r="D62" i="24" a="1"/>
  <c r="D62" i="24" s="1"/>
  <c r="B58" i="24"/>
  <c r="C50" i="24"/>
  <c r="D45" i="24" a="1"/>
  <c r="D45" i="24" s="1"/>
  <c r="C42" i="24"/>
  <c r="D39" i="24" a="1"/>
  <c r="D39" i="24" s="1"/>
  <c r="C29" i="24"/>
  <c r="C12" i="24"/>
  <c r="C10" i="24"/>
  <c r="C282" i="24"/>
  <c r="C258" i="24"/>
  <c r="D234" i="24" a="1"/>
  <c r="D234" i="24" s="1"/>
  <c r="C221" i="24"/>
  <c r="D214" i="24" a="1"/>
  <c r="D214" i="24" s="1"/>
  <c r="D207" i="24" a="1"/>
  <c r="D207" i="24" s="1"/>
  <c r="C185" i="24"/>
  <c r="C173" i="24"/>
  <c r="C167" i="24"/>
  <c r="C161" i="24"/>
  <c r="C146" i="24"/>
  <c r="C139" i="24"/>
  <c r="C134" i="24"/>
  <c r="D131" i="24" a="1"/>
  <c r="D131" i="24" s="1"/>
  <c r="C126" i="24"/>
  <c r="D123" i="24" a="1"/>
  <c r="D123" i="24" s="1"/>
  <c r="D120" i="24" a="1"/>
  <c r="D120" i="24" s="1"/>
  <c r="C115" i="24"/>
  <c r="C110" i="24"/>
  <c r="D107" i="24" a="1"/>
  <c r="D107" i="24" s="1"/>
  <c r="D104" i="24" a="1"/>
  <c r="D104" i="24" s="1"/>
  <c r="C97" i="24"/>
  <c r="D94" i="24" a="1"/>
  <c r="D94" i="24" s="1"/>
  <c r="D91" i="24" a="1"/>
  <c r="D91" i="24" s="1"/>
  <c r="C86" i="24"/>
  <c r="C83" i="24"/>
  <c r="C80" i="24"/>
  <c r="C77" i="24"/>
  <c r="C74" i="24"/>
  <c r="C71" i="24"/>
  <c r="C68" i="24"/>
  <c r="C65" i="24"/>
  <c r="C62" i="24"/>
  <c r="C57" i="24"/>
  <c r="D53" i="24" a="1"/>
  <c r="D53" i="24" s="1"/>
  <c r="C47" i="24"/>
  <c r="C45" i="24"/>
  <c r="C39" i="24"/>
  <c r="D36" i="24" a="1"/>
  <c r="D36" i="24" s="1"/>
  <c r="C33" i="24"/>
  <c r="C25" i="24"/>
  <c r="C21" i="24"/>
  <c r="B18" i="24"/>
  <c r="C278" i="24"/>
  <c r="C207" i="24"/>
  <c r="C184" i="24"/>
  <c r="C166" i="24"/>
  <c r="D163" i="24" a="1"/>
  <c r="D163" i="24" s="1"/>
  <c r="D157" i="24" a="1"/>
  <c r="D157" i="24" s="1"/>
  <c r="C154" i="24"/>
  <c r="D151" i="24" a="1"/>
  <c r="D151" i="24" s="1"/>
  <c r="B142" i="24"/>
  <c r="C136" i="24"/>
  <c r="C131" i="24"/>
  <c r="D128" i="24" a="1"/>
  <c r="D128" i="24" s="1"/>
  <c r="C123" i="24"/>
  <c r="C120" i="24"/>
  <c r="D117" i="24" a="1"/>
  <c r="D117" i="24" s="1"/>
  <c r="C112" i="24"/>
  <c r="C107" i="24"/>
  <c r="C104" i="24"/>
  <c r="C100" i="24"/>
  <c r="C94" i="24"/>
  <c r="C91" i="24"/>
  <c r="D88" i="24" a="1"/>
  <c r="D88" i="24" s="1"/>
  <c r="C53" i="24"/>
  <c r="D49" i="24" a="1"/>
  <c r="D49" i="24" s="1"/>
  <c r="D41" i="24" a="1"/>
  <c r="D41" i="24" s="1"/>
  <c r="C36" i="24"/>
  <c r="D17" i="24" a="1"/>
  <c r="D17" i="24" s="1"/>
  <c r="C275" i="24"/>
  <c r="C231" i="24"/>
  <c r="C219" i="24"/>
  <c r="D212" i="24" a="1"/>
  <c r="D212" i="24" s="1"/>
  <c r="C196" i="24"/>
  <c r="D189" i="24" a="1"/>
  <c r="D189" i="24" s="1"/>
  <c r="D179" i="24" a="1"/>
  <c r="D179" i="24" s="1"/>
  <c r="C172" i="24"/>
  <c r="C169" i="24"/>
  <c r="C163" i="24"/>
  <c r="C160" i="24"/>
  <c r="C157" i="24"/>
  <c r="C151" i="24"/>
  <c r="D148" i="24" a="1"/>
  <c r="D148" i="24" s="1"/>
  <c r="C145" i="24"/>
  <c r="C141" i="24"/>
  <c r="C133" i="24"/>
  <c r="C128" i="24"/>
  <c r="D125" i="24" a="1"/>
  <c r="D125" i="24" s="1"/>
  <c r="C117" i="24"/>
  <c r="C109" i="24"/>
  <c r="D96" i="24" a="1"/>
  <c r="D96" i="24" s="1"/>
  <c r="C88" i="24"/>
  <c r="D85" i="24" a="1"/>
  <c r="D85" i="24" s="1"/>
  <c r="D82" i="24" a="1"/>
  <c r="D82" i="24" s="1"/>
  <c r="D79" i="24" a="1"/>
  <c r="D79" i="24" s="1"/>
  <c r="D76" i="24" a="1"/>
  <c r="D76" i="24" s="1"/>
  <c r="D73" i="24" a="1"/>
  <c r="D73" i="24" s="1"/>
  <c r="D70" i="24" a="1"/>
  <c r="D70" i="24" s="1"/>
  <c r="D67" i="24" a="1"/>
  <c r="D67" i="24" s="1"/>
  <c r="C64" i="24"/>
  <c r="C56" i="24"/>
  <c r="C49" i="24"/>
  <c r="C41" i="24"/>
  <c r="D38" i="24" a="1"/>
  <c r="D38" i="24" s="1"/>
  <c r="C32" i="24"/>
  <c r="C27" i="24"/>
  <c r="C24" i="24"/>
  <c r="C20" i="24"/>
  <c r="C17" i="24"/>
  <c r="C215" i="24"/>
  <c r="C140" i="24"/>
  <c r="C129" i="24"/>
  <c r="D271" i="24" a="1"/>
  <c r="D271" i="24" s="1"/>
  <c r="C212" i="24"/>
  <c r="D194" i="24" a="1"/>
  <c r="D194" i="24" s="1"/>
  <c r="D175" i="24" a="1"/>
  <c r="D175" i="24" s="1"/>
  <c r="D165" i="24" a="1"/>
  <c r="D165" i="24" s="1"/>
  <c r="C148" i="24"/>
  <c r="D138" i="24" a="1"/>
  <c r="D138" i="24" s="1"/>
  <c r="C130" i="24"/>
  <c r="C125" i="24"/>
  <c r="D122" i="24" a="1"/>
  <c r="D122" i="24" s="1"/>
  <c r="D114" i="24" a="1"/>
  <c r="D114" i="24" s="1"/>
  <c r="C106" i="24"/>
  <c r="D103" i="24" a="1"/>
  <c r="D103" i="24" s="1"/>
  <c r="C96" i="24"/>
  <c r="D93" i="24" a="1"/>
  <c r="D93" i="24" s="1"/>
  <c r="C85" i="24"/>
  <c r="C82" i="24"/>
  <c r="C79" i="24"/>
  <c r="C76" i="24"/>
  <c r="C73" i="24"/>
  <c r="C70" i="24"/>
  <c r="C67" i="24"/>
  <c r="C60" i="24"/>
  <c r="D52" i="24" a="1"/>
  <c r="D52" i="24" s="1"/>
  <c r="D46" i="24" a="1"/>
  <c r="D46" i="24" s="1"/>
  <c r="D44" i="24" a="1"/>
  <c r="D44" i="24" s="1"/>
  <c r="C38" i="24"/>
  <c r="D35" i="24" a="1"/>
  <c r="D35" i="24" s="1"/>
  <c r="C11" i="24"/>
  <c r="C23" i="24"/>
  <c r="C192" i="24"/>
  <c r="D155" i="24" a="1"/>
  <c r="D155" i="24" s="1"/>
  <c r="C243" i="24"/>
  <c r="C227" i="24"/>
  <c r="D210" i="24" a="1"/>
  <c r="D210" i="24" s="1"/>
  <c r="C204" i="24"/>
  <c r="C194" i="24"/>
  <c r="C178" i="24"/>
  <c r="D171" i="24" a="1"/>
  <c r="D171" i="24" s="1"/>
  <c r="C168" i="24"/>
  <c r="C165" i="24"/>
  <c r="C162" i="24"/>
  <c r="D159" i="24" a="1"/>
  <c r="D159" i="24" s="1"/>
  <c r="C156" i="24"/>
  <c r="D153" i="24" a="1"/>
  <c r="D153" i="24" s="1"/>
  <c r="C150" i="24"/>
  <c r="D144" i="24" a="1"/>
  <c r="D144" i="24" s="1"/>
  <c r="C138" i="24"/>
  <c r="D135" i="24" a="1"/>
  <c r="D135" i="24" s="1"/>
  <c r="D132" i="24" a="1"/>
  <c r="D132" i="24" s="1"/>
  <c r="C127" i="24"/>
  <c r="C122" i="24"/>
  <c r="D119" i="24" a="1"/>
  <c r="D119" i="24" s="1"/>
  <c r="C114" i="24"/>
  <c r="D111" i="24" a="1"/>
  <c r="D111" i="24" s="1"/>
  <c r="D108" i="24" a="1"/>
  <c r="D108" i="24" s="1"/>
  <c r="C103" i="24"/>
  <c r="C98" i="24"/>
  <c r="C93" i="24"/>
  <c r="D90" i="24" a="1"/>
  <c r="D90" i="24" s="1"/>
  <c r="D63" i="24" a="1"/>
  <c r="D63" i="24" s="1"/>
  <c r="C55" i="24"/>
  <c r="C52" i="24"/>
  <c r="C46" i="24"/>
  <c r="C44" i="24"/>
  <c r="D40" i="24" a="1"/>
  <c r="D40" i="24" s="1"/>
  <c r="C35" i="24"/>
  <c r="C30" i="24"/>
  <c r="B16" i="24"/>
  <c r="C290" i="24"/>
  <c r="D209" i="24" a="1"/>
  <c r="D209" i="24" s="1"/>
  <c r="D177" i="24" a="1"/>
  <c r="D177" i="24" s="1"/>
  <c r="C164" i="24"/>
  <c r="D149" i="24" a="1"/>
  <c r="D149" i="24" s="1"/>
  <c r="D137" i="24" a="1"/>
  <c r="D137" i="24" s="1"/>
  <c r="D265" i="24" a="1"/>
  <c r="D265" i="24" s="1"/>
  <c r="C241" i="24"/>
  <c r="C187" i="24"/>
  <c r="C182" i="24"/>
  <c r="C174" i="24"/>
  <c r="C171" i="24"/>
  <c r="C159" i="24"/>
  <c r="C153" i="24"/>
  <c r="C147" i="24"/>
  <c r="C144" i="24"/>
  <c r="D140" i="24" a="1"/>
  <c r="D140" i="24" s="1"/>
  <c r="C135" i="24"/>
  <c r="C132" i="24"/>
  <c r="D129" i="24" a="1"/>
  <c r="D129" i="24" s="1"/>
  <c r="C124" i="24"/>
  <c r="C119" i="24"/>
  <c r="D116" i="24" a="1"/>
  <c r="D116" i="24" s="1"/>
  <c r="C111" i="24"/>
  <c r="C108" i="24"/>
  <c r="C105" i="24"/>
  <c r="C95" i="24"/>
  <c r="C90" i="24"/>
  <c r="D87" i="24" a="1"/>
  <c r="D87" i="24" s="1"/>
  <c r="D84" i="24" a="1"/>
  <c r="D84" i="24" s="1"/>
  <c r="D81" i="24" a="1"/>
  <c r="D81" i="24" s="1"/>
  <c r="D78" i="24" a="1"/>
  <c r="D78" i="24" s="1"/>
  <c r="D75" i="24" a="1"/>
  <c r="D75" i="24" s="1"/>
  <c r="D72" i="24" a="1"/>
  <c r="D72" i="24" s="1"/>
  <c r="D69" i="24" a="1"/>
  <c r="D69" i="24" s="1"/>
  <c r="D66" i="24" a="1"/>
  <c r="D66" i="24" s="1"/>
  <c r="C63" i="24"/>
  <c r="C59" i="24"/>
  <c r="D48" i="24" a="1"/>
  <c r="D48" i="24" s="1"/>
  <c r="C40" i="24"/>
  <c r="D37" i="24" a="1"/>
  <c r="D37" i="24" s="1"/>
  <c r="D26" i="24" a="1"/>
  <c r="D26" i="24" s="1"/>
  <c r="D19" i="24" a="1"/>
  <c r="D19" i="24" s="1"/>
  <c r="C263" i="24"/>
  <c r="C239" i="24"/>
  <c r="D181" i="24" a="1"/>
  <c r="D181" i="24" s="1"/>
  <c r="C121" i="24"/>
  <c r="C116" i="24"/>
  <c r="C92" i="24"/>
  <c r="C69" i="24"/>
  <c r="D113" i="24" a="1"/>
  <c r="D113" i="24" s="1"/>
  <c r="C66" i="24"/>
  <c r="C34" i="24"/>
  <c r="C81" i="24"/>
  <c r="D29" i="24" a="1"/>
  <c r="D29" i="24" s="1"/>
  <c r="C19" i="24"/>
  <c r="C87" i="24"/>
  <c r="C37" i="24"/>
  <c r="C84" i="24"/>
  <c r="C54" i="24"/>
  <c r="C72" i="24"/>
  <c r="D12" i="24" a="1"/>
  <c r="D12" i="24" s="1"/>
  <c r="C78" i="24"/>
  <c r="C26" i="24"/>
  <c r="C75" i="24"/>
  <c r="C48" i="24"/>
  <c r="C22" i="24"/>
  <c r="B290" i="24"/>
  <c r="B243" i="24"/>
  <c r="B265" i="24"/>
  <c r="B204" i="24"/>
  <c r="B257" i="24"/>
  <c r="B172" i="24"/>
  <c r="B230" i="24"/>
  <c r="B284" i="24"/>
  <c r="B244" i="24"/>
  <c r="B270" i="24"/>
  <c r="B287" i="24"/>
  <c r="B235" i="24"/>
  <c r="B92" i="24"/>
  <c r="B66" i="24"/>
  <c r="B286" i="24"/>
  <c r="B241" i="24"/>
  <c r="B234" i="24"/>
  <c r="B200" i="24"/>
  <c r="B253" i="24"/>
  <c r="B167" i="24"/>
  <c r="B289" i="24"/>
  <c r="B226" i="24"/>
  <c r="B276" i="24"/>
  <c r="B242" i="24"/>
  <c r="B264" i="24"/>
  <c r="B283" i="24"/>
  <c r="B221" i="24"/>
  <c r="B261" i="24"/>
  <c r="B87" i="24"/>
  <c r="B54" i="24"/>
  <c r="B177" i="24"/>
  <c r="B118" i="24"/>
  <c r="B10" i="24"/>
  <c r="B220" i="24"/>
  <c r="B139" i="24"/>
  <c r="B80" i="24"/>
  <c r="B282" i="24"/>
  <c r="B239" i="24"/>
  <c r="B231" i="24"/>
  <c r="B196" i="24"/>
  <c r="B245" i="24"/>
  <c r="B281" i="24"/>
  <c r="B222" i="24"/>
  <c r="B273" i="24"/>
  <c r="B240" i="24"/>
  <c r="B233" i="24"/>
  <c r="B279" i="24"/>
  <c r="B215" i="24"/>
  <c r="B237" i="24"/>
  <c r="B84" i="24"/>
  <c r="B48" i="24"/>
  <c r="B170" i="24"/>
  <c r="B113" i="24"/>
  <c r="B213" i="24"/>
  <c r="B134" i="24"/>
  <c r="B278" i="24"/>
  <c r="B227" i="24"/>
  <c r="B192" i="24"/>
  <c r="B236" i="24"/>
  <c r="B274" i="24"/>
  <c r="B216" i="24"/>
  <c r="B267" i="24"/>
  <c r="B211" i="24"/>
  <c r="B229" i="24"/>
  <c r="B272" i="24"/>
  <c r="B208" i="24"/>
  <c r="B164" i="24"/>
  <c r="B81" i="24"/>
  <c r="B37" i="24"/>
  <c r="B158" i="24"/>
  <c r="B101" i="24"/>
  <c r="B197" i="24"/>
  <c r="B126" i="24"/>
  <c r="B275" i="24"/>
  <c r="B223" i="24"/>
  <c r="B214" i="24"/>
  <c r="B268" i="24"/>
  <c r="B203" i="24"/>
  <c r="B262" i="24"/>
  <c r="B266" i="24"/>
  <c r="B194" i="24"/>
  <c r="B140" i="24"/>
  <c r="B78" i="24"/>
  <c r="B263" i="24"/>
  <c r="B219" i="24"/>
  <c r="B209" i="24"/>
  <c r="B260" i="24"/>
  <c r="B199" i="24"/>
  <c r="B256" i="24"/>
  <c r="B259" i="24"/>
  <c r="B185" i="24"/>
  <c r="B129" i="24"/>
  <c r="B75" i="24"/>
  <c r="B26" i="24"/>
  <c r="B152" i="24"/>
  <c r="B50" i="24"/>
  <c r="B176" i="24"/>
  <c r="B110" i="24"/>
  <c r="B258" i="24"/>
  <c r="B212" i="24"/>
  <c r="B285" i="24"/>
  <c r="B189" i="24"/>
  <c r="B248" i="24"/>
  <c r="B195" i="24"/>
  <c r="B252" i="24"/>
  <c r="B251" i="24"/>
  <c r="B182" i="24"/>
  <c r="B121" i="24"/>
  <c r="B72" i="24"/>
  <c r="B22" i="24"/>
  <c r="B198" i="24"/>
  <c r="B149" i="24"/>
  <c r="B42" i="24"/>
  <c r="B173" i="24"/>
  <c r="B254" i="24"/>
  <c r="B271" i="24"/>
  <c r="B207" i="24"/>
  <c r="B277" i="24"/>
  <c r="B186" i="24"/>
  <c r="B238" i="24"/>
  <c r="B180" i="24"/>
  <c r="B288" i="24"/>
  <c r="B247" i="24"/>
  <c r="B246" i="24"/>
  <c r="B116" i="24"/>
  <c r="B69" i="24"/>
  <c r="B19" i="24"/>
  <c r="B191" i="24"/>
  <c r="B143" i="24"/>
  <c r="B29" i="24"/>
  <c r="B255" i="24"/>
  <c r="B161" i="24"/>
  <c r="B86" i="24"/>
  <c r="B34" i="24"/>
  <c r="B137" i="24"/>
  <c r="B146" i="24"/>
  <c r="B65" i="24"/>
  <c r="B25" i="24"/>
  <c r="B184" i="24"/>
  <c r="B107" i="24"/>
  <c r="B163" i="24"/>
  <c r="B117" i="24"/>
  <c r="B32" i="24"/>
  <c r="B106" i="24"/>
  <c r="B67" i="24"/>
  <c r="B210" i="24"/>
  <c r="B150" i="24"/>
  <c r="B55" i="24"/>
  <c r="B124" i="24"/>
  <c r="B95" i="24"/>
  <c r="B89" i="24"/>
  <c r="B115" i="24"/>
  <c r="B62" i="24"/>
  <c r="B21" i="24"/>
  <c r="B166" i="24"/>
  <c r="B104" i="24"/>
  <c r="B160" i="24"/>
  <c r="B109" i="24"/>
  <c r="B27" i="24"/>
  <c r="B269" i="24"/>
  <c r="B96" i="24"/>
  <c r="B60" i="24"/>
  <c r="B202" i="24"/>
  <c r="B138" i="24"/>
  <c r="B52" i="24"/>
  <c r="B90" i="24"/>
  <c r="B105" i="24"/>
  <c r="B12" i="24"/>
  <c r="B97" i="24"/>
  <c r="B57" i="24"/>
  <c r="B154" i="24"/>
  <c r="B100" i="24"/>
  <c r="B228" i="24"/>
  <c r="B157" i="24"/>
  <c r="B99" i="24"/>
  <c r="B24" i="24"/>
  <c r="B224" i="24"/>
  <c r="B217" i="24"/>
  <c r="B85" i="24"/>
  <c r="B38" i="24"/>
  <c r="B193" i="24"/>
  <c r="B127" i="24"/>
  <c r="B46" i="24"/>
  <c r="B40" i="24"/>
  <c r="B102" i="24"/>
  <c r="B83" i="24"/>
  <c r="B47" i="24"/>
  <c r="B136" i="24"/>
  <c r="B94" i="24"/>
  <c r="B11" i="24"/>
  <c r="B218" i="24"/>
  <c r="B151" i="24"/>
  <c r="B88" i="24"/>
  <c r="B20" i="24"/>
  <c r="B174" i="24"/>
  <c r="B183" i="24"/>
  <c r="B82" i="24"/>
  <c r="B178" i="24"/>
  <c r="B122" i="24"/>
  <c r="B44" i="24"/>
  <c r="B108" i="24"/>
  <c r="B51" i="24"/>
  <c r="B77" i="24"/>
  <c r="B45" i="24"/>
  <c r="B131" i="24"/>
  <c r="B91" i="24"/>
  <c r="B187" i="24"/>
  <c r="B205" i="24"/>
  <c r="B145" i="24"/>
  <c r="B64" i="24"/>
  <c r="B17" i="24"/>
  <c r="B144" i="24"/>
  <c r="B175" i="24"/>
  <c r="B79" i="24"/>
  <c r="B168" i="24"/>
  <c r="B114" i="24"/>
  <c r="B35" i="24"/>
  <c r="B201" i="24"/>
  <c r="B111" i="24"/>
  <c r="B74" i="24"/>
  <c r="B39" i="24"/>
  <c r="B123" i="24"/>
  <c r="B61" i="24"/>
  <c r="B171" i="24"/>
  <c r="B188" i="24"/>
  <c r="B141" i="24"/>
  <c r="B56" i="24"/>
  <c r="B132" i="24"/>
  <c r="B148" i="24"/>
  <c r="B76" i="24"/>
  <c r="B119" i="24"/>
  <c r="B165" i="24"/>
  <c r="B103" i="24"/>
  <c r="B30" i="24"/>
  <c r="B159" i="24"/>
  <c r="B63" i="24"/>
  <c r="B43" i="24"/>
  <c r="B181" i="24"/>
  <c r="B232" i="24"/>
  <c r="B71" i="24"/>
  <c r="B33" i="24"/>
  <c r="B120" i="24"/>
  <c r="B53" i="24"/>
  <c r="B153" i="24"/>
  <c r="B179" i="24"/>
  <c r="B133" i="24"/>
  <c r="B49" i="24"/>
  <c r="B130" i="24"/>
  <c r="B73" i="24"/>
  <c r="B162" i="24"/>
  <c r="B98" i="24"/>
  <c r="B23" i="24"/>
  <c r="B147" i="24"/>
  <c r="B155" i="24"/>
  <c r="B190" i="24"/>
  <c r="B68" i="24"/>
  <c r="B28" i="24"/>
  <c r="B206" i="24"/>
  <c r="B112" i="24"/>
  <c r="B36" i="24"/>
  <c r="B169" i="24"/>
  <c r="B128" i="24"/>
  <c r="B41" i="24"/>
  <c r="B125" i="24"/>
  <c r="B70" i="24"/>
  <c r="B225" i="24"/>
  <c r="B156" i="24"/>
  <c r="B93" i="24"/>
  <c r="B135" i="24"/>
  <c r="B59" i="24"/>
  <c r="C275" i="23"/>
  <c r="D271" i="23" a="1"/>
  <c r="D271" i="23" s="1"/>
  <c r="D265" i="23" a="1"/>
  <c r="D265" i="23" s="1"/>
  <c r="C260" i="23"/>
  <c r="C248" i="23"/>
  <c r="C242" i="23"/>
  <c r="D235" i="23" a="1"/>
  <c r="D235" i="23" s="1"/>
  <c r="C233" i="23"/>
  <c r="C229" i="23"/>
  <c r="C225" i="23"/>
  <c r="D221" i="23" a="1"/>
  <c r="D221" i="23" s="1"/>
  <c r="C218" i="23"/>
  <c r="D215" i="23" a="1"/>
  <c r="D215" i="23" s="1"/>
  <c r="C213" i="23"/>
  <c r="D210" i="23" a="1"/>
  <c r="D210" i="23" s="1"/>
  <c r="C208" i="23"/>
  <c r="C194" i="23"/>
  <c r="C185" i="23"/>
  <c r="C182" i="23"/>
  <c r="D179" i="23" a="1"/>
  <c r="D179" i="23" s="1"/>
  <c r="C171" i="23"/>
  <c r="C168" i="23"/>
  <c r="D165" i="23" a="1"/>
  <c r="D165" i="23" s="1"/>
  <c r="C162" i="23"/>
  <c r="C148" i="23"/>
  <c r="D138" i="23" a="1"/>
  <c r="D138" i="23" s="1"/>
  <c r="C133" i="23"/>
  <c r="D128" i="23" a="1"/>
  <c r="D128" i="23" s="1"/>
  <c r="C123" i="23"/>
  <c r="D120" i="23" a="1"/>
  <c r="D120" i="23" s="1"/>
  <c r="C115" i="23"/>
  <c r="C290" i="23"/>
  <c r="C286" i="23"/>
  <c r="C282" i="23"/>
  <c r="C278" i="23"/>
  <c r="C271" i="23"/>
  <c r="C265" i="23"/>
  <c r="D262" i="23" a="1"/>
  <c r="D262" i="23" s="1"/>
  <c r="C256" i="23"/>
  <c r="C252" i="23"/>
  <c r="C244" i="23"/>
  <c r="D237" i="23" a="1"/>
  <c r="D237" i="23" s="1"/>
  <c r="C235" i="23"/>
  <c r="C221" i="23"/>
  <c r="C215" i="23"/>
  <c r="C210" i="23"/>
  <c r="C205" i="23"/>
  <c r="C201" i="23"/>
  <c r="C197" i="23"/>
  <c r="C190" i="23"/>
  <c r="D187" i="23" a="1"/>
  <c r="D187" i="23" s="1"/>
  <c r="C179" i="23"/>
  <c r="C176" i="23"/>
  <c r="D173" i="23" a="1"/>
  <c r="D173" i="23" s="1"/>
  <c r="C165" i="23"/>
  <c r="D159" i="23" a="1"/>
  <c r="D159" i="23" s="1"/>
  <c r="C156" i="23"/>
  <c r="D153" i="23" a="1"/>
  <c r="D153" i="23" s="1"/>
  <c r="C150" i="23"/>
  <c r="D144" i="23" a="1"/>
  <c r="D144" i="23" s="1"/>
  <c r="C138" i="23"/>
  <c r="D135" i="23" a="1"/>
  <c r="D135" i="23" s="1"/>
  <c r="C130" i="23"/>
  <c r="C128" i="23"/>
  <c r="D125" i="23" a="1"/>
  <c r="D125" i="23" s="1"/>
  <c r="C120" i="23"/>
  <c r="C112" i="23"/>
  <c r="C107" i="23"/>
  <c r="C104" i="23"/>
  <c r="D274" i="23" a="1"/>
  <c r="D274" i="23" s="1"/>
  <c r="D268" i="23" a="1"/>
  <c r="D268" i="23" s="1"/>
  <c r="C262" i="23"/>
  <c r="D259" i="23" a="1"/>
  <c r="D259" i="23" s="1"/>
  <c r="D239" i="23" a="1"/>
  <c r="D239" i="23" s="1"/>
  <c r="C237" i="23"/>
  <c r="C232" i="23"/>
  <c r="C228" i="23"/>
  <c r="C224" i="23"/>
  <c r="C217" i="23"/>
  <c r="D212" i="23" a="1"/>
  <c r="D212" i="23" s="1"/>
  <c r="D207" i="23" a="1"/>
  <c r="D207" i="23" s="1"/>
  <c r="C187" i="23"/>
  <c r="C184" i="23"/>
  <c r="D181" i="23" a="1"/>
  <c r="D181" i="23" s="1"/>
  <c r="C173" i="23"/>
  <c r="C170" i="23"/>
  <c r="C159" i="23"/>
  <c r="C153" i="23"/>
  <c r="C147" i="23"/>
  <c r="C144" i="23"/>
  <c r="D140" i="23" a="1"/>
  <c r="D140" i="23" s="1"/>
  <c r="C135" i="23"/>
  <c r="D132" i="23" a="1"/>
  <c r="D132" i="23" s="1"/>
  <c r="C125" i="23"/>
  <c r="D117" i="23" a="1"/>
  <c r="D117" i="23" s="1"/>
  <c r="C109" i="23"/>
  <c r="D96" i="23" a="1"/>
  <c r="D96" i="23" s="1"/>
  <c r="C88" i="23"/>
  <c r="C80" i="23"/>
  <c r="C77" i="23"/>
  <c r="D62" i="23" a="1"/>
  <c r="D62" i="23" s="1"/>
  <c r="B58" i="23"/>
  <c r="C50" i="23"/>
  <c r="D45" i="23" a="1"/>
  <c r="D45" i="23" s="1"/>
  <c r="C42" i="23"/>
  <c r="D39" i="23" a="1"/>
  <c r="D39" i="23" s="1"/>
  <c r="D289" i="23" a="1"/>
  <c r="D289" i="23" s="1"/>
  <c r="C285" i="23"/>
  <c r="D281" i="23" a="1"/>
  <c r="D281" i="23" s="1"/>
  <c r="C277" i="23"/>
  <c r="C274" i="23"/>
  <c r="C268" i="23"/>
  <c r="D264" i="23" a="1"/>
  <c r="D264" i="23" s="1"/>
  <c r="C259" i="23"/>
  <c r="C251" i="23"/>
  <c r="C246" i="23"/>
  <c r="D241" i="23" a="1"/>
  <c r="D241" i="23" s="1"/>
  <c r="C239" i="23"/>
  <c r="D234" i="23" a="1"/>
  <c r="D234" i="23" s="1"/>
  <c r="C212" i="23"/>
  <c r="D209" i="23" a="1"/>
  <c r="D209" i="23" s="1"/>
  <c r="C207" i="23"/>
  <c r="C204" i="23"/>
  <c r="C200" i="23"/>
  <c r="C196" i="23"/>
  <c r="C192" i="23"/>
  <c r="D189" i="23" a="1"/>
  <c r="D189" i="23" s="1"/>
  <c r="C181" i="23"/>
  <c r="C178" i="23"/>
  <c r="D167" i="23" a="1"/>
  <c r="D167" i="23" s="1"/>
  <c r="C164" i="23"/>
  <c r="D161" i="23" a="1"/>
  <c r="D161" i="23" s="1"/>
  <c r="D155" i="23" a="1"/>
  <c r="D155" i="23" s="1"/>
  <c r="D149" i="23" a="1"/>
  <c r="D149" i="23" s="1"/>
  <c r="C140" i="23"/>
  <c r="D137" i="23" a="1"/>
  <c r="D137" i="23" s="1"/>
  <c r="C132" i="23"/>
  <c r="C127" i="23"/>
  <c r="D122" i="23" a="1"/>
  <c r="D122" i="23" s="1"/>
  <c r="C117" i="23"/>
  <c r="D114" i="23" a="1"/>
  <c r="D114" i="23" s="1"/>
  <c r="D111" i="23" a="1"/>
  <c r="D111" i="23" s="1"/>
  <c r="C106" i="23"/>
  <c r="D103" i="23" a="1"/>
  <c r="D103" i="23" s="1"/>
  <c r="C96" i="23"/>
  <c r="D93" i="23" a="1"/>
  <c r="D93" i="23" s="1"/>
  <c r="D85" i="23" a="1"/>
  <c r="D85" i="23" s="1"/>
  <c r="C74" i="23"/>
  <c r="C71" i="23"/>
  <c r="C68" i="23"/>
  <c r="C65" i="23"/>
  <c r="C62" i="23"/>
  <c r="C57" i="23"/>
  <c r="D53" i="23" a="1"/>
  <c r="D53" i="23" s="1"/>
  <c r="C47" i="23"/>
  <c r="C45" i="23"/>
  <c r="C39" i="23"/>
  <c r="D36" i="23" a="1"/>
  <c r="D36" i="23" s="1"/>
  <c r="C289" i="23"/>
  <c r="C281" i="23"/>
  <c r="D270" i="23" a="1"/>
  <c r="D270" i="23" s="1"/>
  <c r="C264" i="23"/>
  <c r="D261" i="23" a="1"/>
  <c r="D261" i="23" s="1"/>
  <c r="C255" i="23"/>
  <c r="D243" i="23" a="1"/>
  <c r="D243" i="23" s="1"/>
  <c r="C241" i="23"/>
  <c r="D236" i="23" a="1"/>
  <c r="D236" i="23" s="1"/>
  <c r="C234" i="23"/>
  <c r="C231" i="23"/>
  <c r="C227" i="23"/>
  <c r="C223" i="23"/>
  <c r="C219" i="23"/>
  <c r="D214" i="23" a="1"/>
  <c r="D214" i="23" s="1"/>
  <c r="C209" i="23"/>
  <c r="C189" i="23"/>
  <c r="C186" i="23"/>
  <c r="D175" i="23" a="1"/>
  <c r="D175" i="23" s="1"/>
  <c r="C172" i="23"/>
  <c r="C167" i="23"/>
  <c r="C161" i="23"/>
  <c r="C158" i="23"/>
  <c r="C155" i="23"/>
  <c r="C152" i="23"/>
  <c r="C149" i="23"/>
  <c r="D146" i="23" a="1"/>
  <c r="D146" i="23" s="1"/>
  <c r="C143" i="23"/>
  <c r="C137" i="23"/>
  <c r="D129" i="23" a="1"/>
  <c r="D129" i="23" s="1"/>
  <c r="C124" i="23"/>
  <c r="C122" i="23"/>
  <c r="D119" i="23" a="1"/>
  <c r="D119" i="23" s="1"/>
  <c r="C114" i="23"/>
  <c r="C111" i="23"/>
  <c r="D108" i="23" a="1"/>
  <c r="D108" i="23" s="1"/>
  <c r="C103" i="23"/>
  <c r="C98" i="23"/>
  <c r="C284" i="23"/>
  <c r="C276" i="23"/>
  <c r="C270" i="23"/>
  <c r="C261" i="23"/>
  <c r="C258" i="23"/>
  <c r="C243" i="23"/>
  <c r="D238" i="23" a="1"/>
  <c r="D238" i="23" s="1"/>
  <c r="C236" i="23"/>
  <c r="D216" i="23" a="1"/>
  <c r="D216" i="23" s="1"/>
  <c r="C214" i="23"/>
  <c r="D211" i="23" a="1"/>
  <c r="D211" i="23" s="1"/>
  <c r="C203" i="23"/>
  <c r="C199" i="23"/>
  <c r="C195" i="23"/>
  <c r="D183" i="23" a="1"/>
  <c r="D183" i="23" s="1"/>
  <c r="C180" i="23"/>
  <c r="C175" i="23"/>
  <c r="D169" i="23" a="1"/>
  <c r="D169" i="23" s="1"/>
  <c r="D163" i="23" a="1"/>
  <c r="D163" i="23" s="1"/>
  <c r="C146" i="23"/>
  <c r="C139" i="23"/>
  <c r="D134" i="23" a="1"/>
  <c r="D134" i="23" s="1"/>
  <c r="C129" i="23"/>
  <c r="C119" i="23"/>
  <c r="D116" i="23" a="1"/>
  <c r="D116" i="23" s="1"/>
  <c r="C108" i="23"/>
  <c r="B280" i="23"/>
  <c r="C272" i="23"/>
  <c r="C266" i="23"/>
  <c r="D263" i="23" a="1"/>
  <c r="D263" i="23" s="1"/>
  <c r="D250" i="23" a="1"/>
  <c r="D250" i="23" s="1"/>
  <c r="D245" i="23" a="1"/>
  <c r="D245" i="23" s="1"/>
  <c r="D240" i="23" a="1"/>
  <c r="D240" i="23" s="1"/>
  <c r="C238" i="23"/>
  <c r="C230" i="23"/>
  <c r="C226" i="23"/>
  <c r="C222" i="23"/>
  <c r="C216" i="23"/>
  <c r="C211" i="23"/>
  <c r="D206" i="23" a="1"/>
  <c r="D206" i="23" s="1"/>
  <c r="D191" i="23" a="1"/>
  <c r="D191" i="23" s="1"/>
  <c r="C188" i="23"/>
  <c r="C183" i="23"/>
  <c r="D177" i="23" a="1"/>
  <c r="D177" i="23" s="1"/>
  <c r="C169" i="23"/>
  <c r="C166" i="23"/>
  <c r="C163" i="23"/>
  <c r="C160" i="23"/>
  <c r="D157" i="23" a="1"/>
  <c r="D157" i="23" s="1"/>
  <c r="C154" i="23"/>
  <c r="D151" i="23" a="1"/>
  <c r="D151" i="23" s="1"/>
  <c r="B142" i="23"/>
  <c r="C136" i="23"/>
  <c r="C134" i="23"/>
  <c r="D131" i="23" a="1"/>
  <c r="D131" i="23" s="1"/>
  <c r="D126" i="23" a="1"/>
  <c r="D126" i="23" s="1"/>
  <c r="C121" i="23"/>
  <c r="C116" i="23"/>
  <c r="D113" i="23" a="1"/>
  <c r="D113" i="23" s="1"/>
  <c r="C92" i="23"/>
  <c r="C87" i="23"/>
  <c r="D84" i="23" a="1"/>
  <c r="D84" i="23" s="1"/>
  <c r="C73" i="23"/>
  <c r="C70" i="23"/>
  <c r="C67" i="23"/>
  <c r="C60" i="23"/>
  <c r="D52" i="23" a="1"/>
  <c r="D52" i="23" s="1"/>
  <c r="D46" i="23" a="1"/>
  <c r="D46" i="23" s="1"/>
  <c r="D44" i="23" a="1"/>
  <c r="D44" i="23" s="1"/>
  <c r="C38" i="23"/>
  <c r="D35" i="23" a="1"/>
  <c r="D35" i="23" s="1"/>
  <c r="C287" i="23"/>
  <c r="D260" i="23" a="1"/>
  <c r="D260" i="23" s="1"/>
  <c r="D185" i="23" a="1"/>
  <c r="D185" i="23" s="1"/>
  <c r="C118" i="23"/>
  <c r="C97" i="23"/>
  <c r="D88" i="23" a="1"/>
  <c r="D88" i="23" s="1"/>
  <c r="C84" i="23"/>
  <c r="D79" i="23" a="1"/>
  <c r="D79" i="23" s="1"/>
  <c r="D75" i="23" a="1"/>
  <c r="D75" i="23" s="1"/>
  <c r="D70" i="23" a="1"/>
  <c r="D70" i="23" s="1"/>
  <c r="C66" i="23"/>
  <c r="C53" i="23"/>
  <c r="D48" i="23" a="1"/>
  <c r="D48" i="23" s="1"/>
  <c r="C35" i="23"/>
  <c r="C30" i="23"/>
  <c r="C23" i="23"/>
  <c r="B16" i="23"/>
  <c r="C283" i="23"/>
  <c r="C257" i="23"/>
  <c r="D233" i="23" a="1"/>
  <c r="D233" i="23" s="1"/>
  <c r="D208" i="23" a="1"/>
  <c r="D208" i="23" s="1"/>
  <c r="D104" i="23" a="1"/>
  <c r="D104" i="23" s="1"/>
  <c r="C79" i="23"/>
  <c r="C75" i="23"/>
  <c r="C59" i="23"/>
  <c r="C48" i="23"/>
  <c r="C44" i="23"/>
  <c r="D26" i="23" a="1"/>
  <c r="D26" i="23" s="1"/>
  <c r="D19" i="23" a="1"/>
  <c r="D19" i="23" s="1"/>
  <c r="C279" i="23"/>
  <c r="C253" i="23"/>
  <c r="C206" i="23"/>
  <c r="C157" i="23"/>
  <c r="C113" i="23"/>
  <c r="D91" i="23" a="1"/>
  <c r="D91" i="23" s="1"/>
  <c r="D87" i="23" a="1"/>
  <c r="D87" i="23" s="1"/>
  <c r="C83" i="23"/>
  <c r="D78" i="23" a="1"/>
  <c r="D78" i="23" s="1"/>
  <c r="D69" i="23" a="1"/>
  <c r="D69" i="23" s="1"/>
  <c r="C64" i="23"/>
  <c r="C52" i="23"/>
  <c r="D38" i="23" a="1"/>
  <c r="D38" i="23" s="1"/>
  <c r="C34" i="23"/>
  <c r="D29" i="23" a="1"/>
  <c r="D29" i="23" s="1"/>
  <c r="C26" i="23"/>
  <c r="C22" i="23"/>
  <c r="C19" i="23"/>
  <c r="D12" i="23" a="1"/>
  <c r="D12" i="23" s="1"/>
  <c r="D275" i="23" a="1"/>
  <c r="D275" i="23" s="1"/>
  <c r="C250" i="23"/>
  <c r="C202" i="23"/>
  <c r="C177" i="23"/>
  <c r="C131" i="23"/>
  <c r="D110" i="23" a="1"/>
  <c r="D110" i="23" s="1"/>
  <c r="C101" i="23"/>
  <c r="C95" i="23"/>
  <c r="C91" i="23"/>
  <c r="D82" i="23" a="1"/>
  <c r="D82" i="23" s="1"/>
  <c r="C78" i="23"/>
  <c r="D73" i="23" a="1"/>
  <c r="D73" i="23" s="1"/>
  <c r="C69" i="23"/>
  <c r="D63" i="23" a="1"/>
  <c r="D63" i="23" s="1"/>
  <c r="C29" i="23"/>
  <c r="C12" i="23"/>
  <c r="C10" i="23"/>
  <c r="C245" i="23"/>
  <c r="C198" i="23"/>
  <c r="C174" i="23"/>
  <c r="C151" i="23"/>
  <c r="C110" i="23"/>
  <c r="D90" i="23" a="1"/>
  <c r="D90" i="23" s="1"/>
  <c r="C86" i="23"/>
  <c r="C82" i="23"/>
  <c r="C63" i="23"/>
  <c r="C56" i="23"/>
  <c r="C46" i="23"/>
  <c r="D41" i="23" a="1"/>
  <c r="D41" i="23" s="1"/>
  <c r="D37" i="23" a="1"/>
  <c r="D37" i="23" s="1"/>
  <c r="C33" i="23"/>
  <c r="C25" i="23"/>
  <c r="C21" i="23"/>
  <c r="B18" i="23"/>
  <c r="C269" i="23"/>
  <c r="D242" i="23" a="1"/>
  <c r="D242" i="23" s="1"/>
  <c r="D218" i="23" a="1"/>
  <c r="D218" i="23" s="1"/>
  <c r="D194" i="23" a="1"/>
  <c r="D194" i="23" s="1"/>
  <c r="D171" i="23" a="1"/>
  <c r="D171" i="23" s="1"/>
  <c r="D148" i="23" a="1"/>
  <c r="D148" i="23" s="1"/>
  <c r="C126" i="23"/>
  <c r="C100" i="23"/>
  <c r="D94" i="23" a="1"/>
  <c r="D94" i="23" s="1"/>
  <c r="C90" i="23"/>
  <c r="D81" i="23" a="1"/>
  <c r="D81" i="23" s="1"/>
  <c r="D76" i="23" a="1"/>
  <c r="D76" i="23" s="1"/>
  <c r="D72" i="23" a="1"/>
  <c r="D72" i="23" s="1"/>
  <c r="D67" i="23" a="1"/>
  <c r="D67" i="23" s="1"/>
  <c r="C55" i="23"/>
  <c r="D49" i="23" a="1"/>
  <c r="D49" i="23" s="1"/>
  <c r="C41" i="23"/>
  <c r="C37" i="23"/>
  <c r="D17" i="23" a="1"/>
  <c r="D17" i="23" s="1"/>
  <c r="C240" i="23"/>
  <c r="C191" i="23"/>
  <c r="C145" i="23"/>
  <c r="D123" i="23" a="1"/>
  <c r="D123" i="23" s="1"/>
  <c r="D107" i="23" a="1"/>
  <c r="D107" i="23" s="1"/>
  <c r="C94" i="23"/>
  <c r="C89" i="23"/>
  <c r="C85" i="23"/>
  <c r="C81" i="23"/>
  <c r="C76" i="23"/>
  <c r="C72" i="23"/>
  <c r="C49" i="23"/>
  <c r="D40" i="23" a="1"/>
  <c r="D40" i="23" s="1"/>
  <c r="C36" i="23"/>
  <c r="C32" i="23"/>
  <c r="C27" i="23"/>
  <c r="C24" i="23"/>
  <c r="C20" i="23"/>
  <c r="C17" i="23"/>
  <c r="C263" i="23"/>
  <c r="D97" i="23" a="1"/>
  <c r="D97" i="23" s="1"/>
  <c r="C93" i="23"/>
  <c r="C54" i="23"/>
  <c r="D213" i="23" a="1"/>
  <c r="D213" i="23" s="1"/>
  <c r="C11" i="23"/>
  <c r="C40" i="23"/>
  <c r="C141" i="23"/>
  <c r="C105" i="23"/>
  <c r="D66" i="23" a="1"/>
  <c r="D66" i="23" s="1"/>
  <c r="B287" i="23"/>
  <c r="B240" i="23"/>
  <c r="B151" i="23"/>
  <c r="B260" i="23"/>
  <c r="B208" i="23"/>
  <c r="B133" i="23"/>
  <c r="B271" i="23"/>
  <c r="B215" i="23"/>
  <c r="B176" i="23"/>
  <c r="B112" i="23"/>
  <c r="B72" i="23"/>
  <c r="B232" i="23"/>
  <c r="B170" i="23"/>
  <c r="B99" i="23"/>
  <c r="B274" i="23"/>
  <c r="B204" i="23"/>
  <c r="B132" i="23"/>
  <c r="B264" i="23"/>
  <c r="B209" i="23"/>
  <c r="B152" i="23"/>
  <c r="B288" i="23"/>
  <c r="B236" i="23"/>
  <c r="B139" i="23"/>
  <c r="B82" i="23"/>
  <c r="B163" i="23"/>
  <c r="B97" i="23"/>
  <c r="B30" i="23"/>
  <c r="B134" i="23"/>
  <c r="B87" i="23"/>
  <c r="B19" i="23"/>
  <c r="B68" i="23"/>
  <c r="B28" i="23"/>
  <c r="B166" i="23"/>
  <c r="B283" i="23"/>
  <c r="B206" i="23"/>
  <c r="B145" i="23"/>
  <c r="B248" i="23"/>
  <c r="B194" i="23"/>
  <c r="B123" i="23"/>
  <c r="B265" i="23"/>
  <c r="B210" i="23"/>
  <c r="B165" i="23"/>
  <c r="B107" i="23"/>
  <c r="B69" i="23"/>
  <c r="B228" i="23"/>
  <c r="B159" i="23"/>
  <c r="B88" i="23"/>
  <c r="B268" i="23"/>
  <c r="B200" i="23"/>
  <c r="B127" i="23"/>
  <c r="B255" i="23"/>
  <c r="B189" i="23"/>
  <c r="B149" i="23"/>
  <c r="B284" i="23"/>
  <c r="B214" i="23"/>
  <c r="B129" i="23"/>
  <c r="B79" i="23"/>
  <c r="B93" i="23"/>
  <c r="B92" i="23"/>
  <c r="B23" i="23"/>
  <c r="B103" i="23"/>
  <c r="B57" i="23"/>
  <c r="B51" i="23"/>
  <c r="B25" i="23"/>
  <c r="B266" i="23"/>
  <c r="B81" i="23"/>
  <c r="B279" i="23"/>
  <c r="B202" i="23"/>
  <c r="B141" i="23"/>
  <c r="B242" i="23"/>
  <c r="B185" i="23"/>
  <c r="B115" i="23"/>
  <c r="B256" i="23"/>
  <c r="B205" i="23"/>
  <c r="B156" i="23"/>
  <c r="B104" i="23"/>
  <c r="B66" i="23"/>
  <c r="B224" i="23"/>
  <c r="B153" i="23"/>
  <c r="B80" i="23"/>
  <c r="B259" i="23"/>
  <c r="B196" i="23"/>
  <c r="B117" i="23"/>
  <c r="B241" i="23"/>
  <c r="B186" i="23"/>
  <c r="B143" i="23"/>
  <c r="B276" i="23"/>
  <c r="B203" i="23"/>
  <c r="B119" i="23"/>
  <c r="B76" i="23"/>
  <c r="B60" i="23"/>
  <c r="B84" i="23"/>
  <c r="B96" i="23"/>
  <c r="B52" i="23"/>
  <c r="B29" i="23"/>
  <c r="B21" i="23"/>
  <c r="B216" i="23"/>
  <c r="B61" i="23"/>
  <c r="B188" i="23"/>
  <c r="B269" i="23"/>
  <c r="B198" i="23"/>
  <c r="B131" i="23"/>
  <c r="B233" i="23"/>
  <c r="B182" i="23"/>
  <c r="B110" i="23"/>
  <c r="B252" i="23"/>
  <c r="B201" i="23"/>
  <c r="B150" i="23"/>
  <c r="B100" i="23"/>
  <c r="B54" i="23"/>
  <c r="B220" i="23"/>
  <c r="B147" i="23"/>
  <c r="B77" i="23"/>
  <c r="B251" i="23"/>
  <c r="B192" i="23"/>
  <c r="B106" i="23"/>
  <c r="B234" i="23"/>
  <c r="B172" i="23"/>
  <c r="B137" i="23"/>
  <c r="B270" i="23"/>
  <c r="B199" i="23"/>
  <c r="B108" i="23"/>
  <c r="B64" i="23"/>
  <c r="B40" i="23"/>
  <c r="B70" i="23"/>
  <c r="B74" i="23"/>
  <c r="B43" i="23"/>
  <c r="B272" i="23"/>
  <c r="B12" i="23"/>
  <c r="B169" i="23"/>
  <c r="B24" i="23"/>
  <c r="B238" i="23"/>
  <c r="B85" i="23"/>
  <c r="B263" i="23"/>
  <c r="B191" i="23"/>
  <c r="B126" i="23"/>
  <c r="B229" i="23"/>
  <c r="B171" i="23"/>
  <c r="B290" i="23"/>
  <c r="B247" i="23"/>
  <c r="B197" i="23"/>
  <c r="B138" i="23"/>
  <c r="B94" i="23"/>
  <c r="B48" i="23"/>
  <c r="B217" i="23"/>
  <c r="B144" i="23"/>
  <c r="B50" i="23"/>
  <c r="B246" i="23"/>
  <c r="B181" i="23"/>
  <c r="B289" i="23"/>
  <c r="B231" i="23"/>
  <c r="B167" i="23"/>
  <c r="B124" i="23"/>
  <c r="B261" i="23"/>
  <c r="B195" i="23"/>
  <c r="B105" i="23"/>
  <c r="B56" i="23"/>
  <c r="B11" i="23"/>
  <c r="B183" i="23"/>
  <c r="B65" i="23"/>
  <c r="B59" i="23"/>
  <c r="B38" i="23"/>
  <c r="B222" i="23"/>
  <c r="B10" i="23"/>
  <c r="B86" i="23"/>
  <c r="B98" i="23"/>
  <c r="B20" i="23"/>
  <c r="B89" i="23"/>
  <c r="B45" i="23"/>
  <c r="B36" i="23"/>
  <c r="B121" i="23"/>
  <c r="B257" i="23"/>
  <c r="B177" i="23"/>
  <c r="B118" i="23"/>
  <c r="B225" i="23"/>
  <c r="B168" i="23"/>
  <c r="B286" i="23"/>
  <c r="B244" i="23"/>
  <c r="B193" i="23"/>
  <c r="B130" i="23"/>
  <c r="B91" i="23"/>
  <c r="B37" i="23"/>
  <c r="B187" i="23"/>
  <c r="B135" i="23"/>
  <c r="B42" i="23"/>
  <c r="B239" i="23"/>
  <c r="B178" i="23"/>
  <c r="B281" i="23"/>
  <c r="B227" i="23"/>
  <c r="B161" i="23"/>
  <c r="B122" i="23"/>
  <c r="B258" i="23"/>
  <c r="B180" i="23"/>
  <c r="B102" i="23"/>
  <c r="B49" i="23"/>
  <c r="B160" i="23"/>
  <c r="B53" i="23"/>
  <c r="B47" i="23"/>
  <c r="B34" i="23"/>
  <c r="B101" i="23"/>
  <c r="B63" i="23"/>
  <c r="B67" i="23"/>
  <c r="B17" i="23"/>
  <c r="B71" i="23"/>
  <c r="B253" i="23"/>
  <c r="B174" i="23"/>
  <c r="B113" i="23"/>
  <c r="B218" i="23"/>
  <c r="B162" i="23"/>
  <c r="B282" i="23"/>
  <c r="B235" i="23"/>
  <c r="B190" i="23"/>
  <c r="B128" i="23"/>
  <c r="B83" i="23"/>
  <c r="B262" i="23"/>
  <c r="B184" i="23"/>
  <c r="B125" i="23"/>
  <c r="B285" i="23"/>
  <c r="B212" i="23"/>
  <c r="B164" i="23"/>
  <c r="B273" i="23"/>
  <c r="B223" i="23"/>
  <c r="B158" i="23"/>
  <c r="B114" i="23"/>
  <c r="B254" i="23"/>
  <c r="B175" i="23"/>
  <c r="B95" i="23"/>
  <c r="B41" i="23"/>
  <c r="B136" i="23"/>
  <c r="B39" i="23"/>
  <c r="B44" i="23"/>
  <c r="B226" i="23"/>
  <c r="B26" i="23"/>
  <c r="B78" i="23"/>
  <c r="B46" i="23"/>
  <c r="B62" i="23"/>
  <c r="B32" i="23"/>
  <c r="B245" i="23"/>
  <c r="B157" i="23"/>
  <c r="B275" i="23"/>
  <c r="B213" i="23"/>
  <c r="B148" i="23"/>
  <c r="B278" i="23"/>
  <c r="B221" i="23"/>
  <c r="B179" i="23"/>
  <c r="B120" i="23"/>
  <c r="B75" i="23"/>
  <c r="B237" i="23"/>
  <c r="B173" i="23"/>
  <c r="B109" i="23"/>
  <c r="B277" i="23"/>
  <c r="B207" i="23"/>
  <c r="B140" i="23"/>
  <c r="B267" i="23"/>
  <c r="B219" i="23"/>
  <c r="B155" i="23"/>
  <c r="B111" i="23"/>
  <c r="B243" i="23"/>
  <c r="B146" i="23"/>
  <c r="B90" i="23"/>
  <c r="B211" i="23"/>
  <c r="B116" i="23"/>
  <c r="B35" i="23"/>
  <c r="B230" i="23"/>
  <c r="B154" i="23"/>
  <c r="B22" i="23"/>
  <c r="B73" i="23"/>
  <c r="B33" i="23"/>
  <c r="B55" i="23"/>
  <c r="B27" i="23"/>
  <c r="C289" i="22"/>
  <c r="C281" i="22"/>
  <c r="D270" i="22" a="1"/>
  <c r="D270" i="22" s="1"/>
  <c r="C261" i="22"/>
  <c r="C258" i="22"/>
  <c r="C243" i="22"/>
  <c r="C241" i="22"/>
  <c r="C239" i="22"/>
  <c r="D234" i="22" a="1"/>
  <c r="D234" i="22" s="1"/>
  <c r="D214" i="22" a="1"/>
  <c r="D214" i="22" s="1"/>
  <c r="C212" i="22"/>
  <c r="D207" i="22" a="1"/>
  <c r="D207" i="22" s="1"/>
  <c r="D189" i="22" a="1"/>
  <c r="D189" i="22" s="1"/>
  <c r="C186" i="22"/>
  <c r="D183" i="22" a="1"/>
  <c r="D183" i="22" s="1"/>
  <c r="C180" i="22"/>
  <c r="D177" i="22" a="1"/>
  <c r="D177" i="22" s="1"/>
  <c r="C174" i="22"/>
  <c r="C171" i="22"/>
  <c r="C168" i="22"/>
  <c r="C165" i="22"/>
  <c r="C159" i="22"/>
  <c r="C153" i="22"/>
  <c r="C147" i="22"/>
  <c r="C144" i="22"/>
  <c r="D140" i="22" a="1"/>
  <c r="D140" i="22" s="1"/>
  <c r="C135" i="22"/>
  <c r="D132" i="22" a="1"/>
  <c r="D132" i="22" s="1"/>
  <c r="C125" i="22"/>
  <c r="C284" i="22"/>
  <c r="C276" i="22"/>
  <c r="C270" i="22"/>
  <c r="C266" i="22"/>
  <c r="D263" i="22" a="1"/>
  <c r="D263" i="22" s="1"/>
  <c r="D250" i="22" a="1"/>
  <c r="D250" i="22" s="1"/>
  <c r="D245" i="22" a="1"/>
  <c r="D245" i="22" s="1"/>
  <c r="D236" i="22" a="1"/>
  <c r="D236" i="22" s="1"/>
  <c r="C234" i="22"/>
  <c r="C231" i="22"/>
  <c r="C227" i="22"/>
  <c r="C223" i="22"/>
  <c r="C219" i="22"/>
  <c r="D216" i="22" a="1"/>
  <c r="D216" i="22" s="1"/>
  <c r="C214" i="22"/>
  <c r="D209" i="22" a="1"/>
  <c r="D209" i="22" s="1"/>
  <c r="C207" i="22"/>
  <c r="C204" i="22"/>
  <c r="C200" i="22"/>
  <c r="C196" i="22"/>
  <c r="C192" i="22"/>
  <c r="C189" i="22"/>
  <c r="C183" i="22"/>
  <c r="C177" i="22"/>
  <c r="D155" i="22" a="1"/>
  <c r="D155" i="22" s="1"/>
  <c r="D149" i="22" a="1"/>
  <c r="D149" i="22" s="1"/>
  <c r="C140" i="22"/>
  <c r="D137" i="22" a="1"/>
  <c r="D137" i="22" s="1"/>
  <c r="C132" i="22"/>
  <c r="C127" i="22"/>
  <c r="B280" i="22"/>
  <c r="C272" i="22"/>
  <c r="C263" i="22"/>
  <c r="D260" i="22" a="1"/>
  <c r="D260" i="22" s="1"/>
  <c r="C257" i="22"/>
  <c r="C253" i="22"/>
  <c r="C250" i="22"/>
  <c r="C245" i="22"/>
  <c r="D238" i="22" a="1"/>
  <c r="D238" i="22" s="1"/>
  <c r="C236" i="22"/>
  <c r="C216" i="22"/>
  <c r="C209" i="22"/>
  <c r="D179" i="22" a="1"/>
  <c r="D179" i="22" s="1"/>
  <c r="D173" i="22" a="1"/>
  <c r="D173" i="22" s="1"/>
  <c r="C170" i="22"/>
  <c r="D167" i="22" a="1"/>
  <c r="D167" i="22" s="1"/>
  <c r="C164" i="22"/>
  <c r="D161" i="22" a="1"/>
  <c r="D161" i="22" s="1"/>
  <c r="C158" i="22"/>
  <c r="C155" i="22"/>
  <c r="C152" i="22"/>
  <c r="C149" i="22"/>
  <c r="D146" i="22" a="1"/>
  <c r="D146" i="22" s="1"/>
  <c r="C143" i="22"/>
  <c r="C137" i="22"/>
  <c r="D129" i="22" a="1"/>
  <c r="D129" i="22" s="1"/>
  <c r="C124" i="22"/>
  <c r="C122" i="22"/>
  <c r="D119" i="22" a="1"/>
  <c r="D119" i="22" s="1"/>
  <c r="C287" i="22"/>
  <c r="C283" i="22"/>
  <c r="C279" i="22"/>
  <c r="D275" i="22" a="1"/>
  <c r="D275" i="22" s="1"/>
  <c r="C269" i="22"/>
  <c r="D265" i="22" a="1"/>
  <c r="D265" i="22" s="1"/>
  <c r="C260" i="22"/>
  <c r="C248" i="22"/>
  <c r="D242" i="22" a="1"/>
  <c r="D242" i="22" s="1"/>
  <c r="D240" i="22" a="1"/>
  <c r="D240" i="22" s="1"/>
  <c r="C238" i="22"/>
  <c r="C230" i="22"/>
  <c r="C226" i="22"/>
  <c r="C222" i="22"/>
  <c r="D211" i="22" a="1"/>
  <c r="D211" i="22" s="1"/>
  <c r="C203" i="22"/>
  <c r="C199" i="22"/>
  <c r="C195" i="22"/>
  <c r="D191" i="22" a="1"/>
  <c r="D191" i="22" s="1"/>
  <c r="C188" i="22"/>
  <c r="D185" i="22" a="1"/>
  <c r="D185" i="22" s="1"/>
  <c r="C182" i="22"/>
  <c r="C179" i="22"/>
  <c r="C176" i="22"/>
  <c r="C173" i="22"/>
  <c r="C167" i="22"/>
  <c r="C161" i="22"/>
  <c r="C146" i="22"/>
  <c r="C139" i="22"/>
  <c r="D134" i="22" a="1"/>
  <c r="D134" i="22" s="1"/>
  <c r="C129" i="22"/>
  <c r="C119" i="22"/>
  <c r="C275" i="22"/>
  <c r="D271" i="22" a="1"/>
  <c r="D271" i="22" s="1"/>
  <c r="C265" i="22"/>
  <c r="D262" i="22" a="1"/>
  <c r="D262" i="22" s="1"/>
  <c r="C256" i="22"/>
  <c r="C252" i="22"/>
  <c r="C244" i="22"/>
  <c r="C242" i="22"/>
  <c r="C240" i="22"/>
  <c r="D233" i="22" a="1"/>
  <c r="D233" i="22" s="1"/>
  <c r="D218" i="22" a="1"/>
  <c r="D218" i="22" s="1"/>
  <c r="D213" i="22" a="1"/>
  <c r="D213" i="22" s="1"/>
  <c r="C211" i="22"/>
  <c r="D206" i="22" a="1"/>
  <c r="D206" i="22" s="1"/>
  <c r="C191" i="22"/>
  <c r="C185" i="22"/>
  <c r="D163" i="22" a="1"/>
  <c r="D163" i="22" s="1"/>
  <c r="D157" i="22" a="1"/>
  <c r="D157" i="22" s="1"/>
  <c r="C154" i="22"/>
  <c r="D151" i="22" a="1"/>
  <c r="D151" i="22" s="1"/>
  <c r="B142" i="22"/>
  <c r="C136" i="22"/>
  <c r="C134" i="22"/>
  <c r="D131" i="22" a="1"/>
  <c r="D131" i="22" s="1"/>
  <c r="C290" i="22"/>
  <c r="C286" i="22"/>
  <c r="C282" i="22"/>
  <c r="C278" i="22"/>
  <c r="C271" i="22"/>
  <c r="D268" i="22" a="1"/>
  <c r="D268" i="22" s="1"/>
  <c r="C262" i="22"/>
  <c r="D259" i="22" a="1"/>
  <c r="D259" i="22" s="1"/>
  <c r="D235" i="22" a="1"/>
  <c r="D235" i="22" s="1"/>
  <c r="C233" i="22"/>
  <c r="C229" i="22"/>
  <c r="C225" i="22"/>
  <c r="D221" i="22" a="1"/>
  <c r="D221" i="22" s="1"/>
  <c r="C218" i="22"/>
  <c r="D215" i="22" a="1"/>
  <c r="D215" i="22" s="1"/>
  <c r="C213" i="22"/>
  <c r="D208" i="22" a="1"/>
  <c r="D208" i="22" s="1"/>
  <c r="C206" i="22"/>
  <c r="C202" i="22"/>
  <c r="C198" i="22"/>
  <c r="D194" i="22" a="1"/>
  <c r="D194" i="22" s="1"/>
  <c r="D187" i="22" a="1"/>
  <c r="D187" i="22" s="1"/>
  <c r="D181" i="22" a="1"/>
  <c r="D181" i="22" s="1"/>
  <c r="C178" i="22"/>
  <c r="D175" i="22" a="1"/>
  <c r="D175" i="22" s="1"/>
  <c r="C172" i="22"/>
  <c r="D169" i="22" a="1"/>
  <c r="D169" i="22" s="1"/>
  <c r="C166" i="22"/>
  <c r="C163" i="22"/>
  <c r="C160" i="22"/>
  <c r="C157" i="22"/>
  <c r="C151" i="22"/>
  <c r="D148" i="22" a="1"/>
  <c r="D148" i="22" s="1"/>
  <c r="C145" i="22"/>
  <c r="C141" i="22"/>
  <c r="C131" i="22"/>
  <c r="C126" i="22"/>
  <c r="D274" i="22" a="1"/>
  <c r="D274" i="22" s="1"/>
  <c r="C268" i="22"/>
  <c r="D264" i="22" a="1"/>
  <c r="D264" i="22" s="1"/>
  <c r="C259" i="22"/>
  <c r="C251" i="22"/>
  <c r="C246" i="22"/>
  <c r="D237" i="22" a="1"/>
  <c r="D237" i="22" s="1"/>
  <c r="C235" i="22"/>
  <c r="C221" i="22"/>
  <c r="C215" i="22"/>
  <c r="D210" i="22" a="1"/>
  <c r="D210" i="22" s="1"/>
  <c r="C208" i="22"/>
  <c r="C194" i="22"/>
  <c r="C190" i="22"/>
  <c r="C187" i="22"/>
  <c r="C184" i="22"/>
  <c r="C181" i="22"/>
  <c r="C175" i="22"/>
  <c r="C169" i="22"/>
  <c r="C148" i="22"/>
  <c r="D138" i="22" a="1"/>
  <c r="D138" i="22" s="1"/>
  <c r="C133" i="22"/>
  <c r="D128" i="22" a="1"/>
  <c r="D128" i="22" s="1"/>
  <c r="C123" i="22"/>
  <c r="D120" i="22" a="1"/>
  <c r="D120" i="22" s="1"/>
  <c r="C274" i="22"/>
  <c r="C224" i="22"/>
  <c r="C201" i="22"/>
  <c r="C150" i="22"/>
  <c r="C128" i="22"/>
  <c r="D122" i="22" a="1"/>
  <c r="D122" i="22" s="1"/>
  <c r="C112" i="22"/>
  <c r="C110" i="22"/>
  <c r="D107" i="22" a="1"/>
  <c r="D107" i="22" s="1"/>
  <c r="D104" i="22" a="1"/>
  <c r="D104" i="22" s="1"/>
  <c r="C97" i="22"/>
  <c r="D94" i="22" a="1"/>
  <c r="D94" i="22" s="1"/>
  <c r="C89" i="22"/>
  <c r="C87" i="22"/>
  <c r="D84" i="22" a="1"/>
  <c r="D84" i="22" s="1"/>
  <c r="C79" i="22"/>
  <c r="D76" i="22" a="1"/>
  <c r="D76" i="22" s="1"/>
  <c r="C71" i="22"/>
  <c r="C66" i="22"/>
  <c r="C63" i="22"/>
  <c r="C59" i="22"/>
  <c r="C52" i="22"/>
  <c r="C40" i="22"/>
  <c r="C32" i="22"/>
  <c r="C27" i="22"/>
  <c r="C24" i="22"/>
  <c r="C20" i="22"/>
  <c r="D17" i="22" a="1"/>
  <c r="D17" i="22" s="1"/>
  <c r="D243" i="22" a="1"/>
  <c r="D243" i="22" s="1"/>
  <c r="C197" i="22"/>
  <c r="D171" i="22" a="1"/>
  <c r="D171" i="22" s="1"/>
  <c r="D126" i="22" a="1"/>
  <c r="D126" i="22" s="1"/>
  <c r="C121" i="22"/>
  <c r="D117" i="22" a="1"/>
  <c r="D117" i="22" s="1"/>
  <c r="C107" i="22"/>
  <c r="C104" i="22"/>
  <c r="C100" i="22"/>
  <c r="C94" i="22"/>
  <c r="D91" i="22" a="1"/>
  <c r="D91" i="22" s="1"/>
  <c r="C84" i="22"/>
  <c r="C76" i="22"/>
  <c r="C68" i="22"/>
  <c r="C54" i="22"/>
  <c r="D48" i="22" a="1"/>
  <c r="D48" i="22" s="1"/>
  <c r="C42" i="22"/>
  <c r="D35" i="22" a="1"/>
  <c r="D35" i="22" s="1"/>
  <c r="C17" i="22"/>
  <c r="C11" i="22"/>
  <c r="D241" i="22" a="1"/>
  <c r="D241" i="22" s="1"/>
  <c r="C217" i="22"/>
  <c r="D144" i="22" a="1"/>
  <c r="D144" i="22" s="1"/>
  <c r="D125" i="22" a="1"/>
  <c r="D125" i="22" s="1"/>
  <c r="C117" i="22"/>
  <c r="D114" i="22" a="1"/>
  <c r="D114" i="22" s="1"/>
  <c r="C109" i="22"/>
  <c r="D96" i="22" a="1"/>
  <c r="D96" i="22" s="1"/>
  <c r="C91" i="22"/>
  <c r="C86" i="22"/>
  <c r="D81" i="22" a="1"/>
  <c r="D81" i="22" s="1"/>
  <c r="D73" i="22" a="1"/>
  <c r="D73" i="22" s="1"/>
  <c r="C65" i="22"/>
  <c r="D62" i="22" a="1"/>
  <c r="D62" i="22" s="1"/>
  <c r="B58" i="22"/>
  <c r="C48" i="22"/>
  <c r="D45" i="22" a="1"/>
  <c r="D45" i="22" s="1"/>
  <c r="D37" i="22" a="1"/>
  <c r="D37" i="22" s="1"/>
  <c r="C35" i="22"/>
  <c r="C30" i="22"/>
  <c r="C23" i="22"/>
  <c r="C264" i="22"/>
  <c r="D239" i="22" a="1"/>
  <c r="D239" i="22" s="1"/>
  <c r="D165" i="22" a="1"/>
  <c r="D165" i="22" s="1"/>
  <c r="C120" i="22"/>
  <c r="C114" i="22"/>
  <c r="D111" i="22" a="1"/>
  <c r="D111" i="22" s="1"/>
  <c r="C106" i="22"/>
  <c r="D103" i="22" a="1"/>
  <c r="D103" i="22" s="1"/>
  <c r="C96" i="22"/>
  <c r="D88" i="22" a="1"/>
  <c r="D88" i="22" s="1"/>
  <c r="C83" i="22"/>
  <c r="C81" i="22"/>
  <c r="D78" i="22" a="1"/>
  <c r="D78" i="22" s="1"/>
  <c r="C73" i="22"/>
  <c r="D70" i="22" a="1"/>
  <c r="D70" i="22" s="1"/>
  <c r="D67" i="22" a="1"/>
  <c r="D67" i="22" s="1"/>
  <c r="C62" i="22"/>
  <c r="C57" i="22"/>
  <c r="D53" i="22" a="1"/>
  <c r="D53" i="22" s="1"/>
  <c r="C50" i="22"/>
  <c r="C45" i="22"/>
  <c r="D39" i="22" a="1"/>
  <c r="D39" i="22" s="1"/>
  <c r="C37" i="22"/>
  <c r="D26" i="22" a="1"/>
  <c r="D26" i="22" s="1"/>
  <c r="D19" i="22" a="1"/>
  <c r="D19" i="22" s="1"/>
  <c r="B16" i="22"/>
  <c r="D289" i="22" a="1"/>
  <c r="D289" i="22" s="1"/>
  <c r="D261" i="22" a="1"/>
  <c r="D261" i="22" s="1"/>
  <c r="C237" i="22"/>
  <c r="D212" i="22" a="1"/>
  <c r="D212" i="22" s="1"/>
  <c r="C162" i="22"/>
  <c r="C138" i="22"/>
  <c r="D116" i="22" a="1"/>
  <c r="D116" i="22" s="1"/>
  <c r="C111" i="22"/>
  <c r="D108" i="22" a="1"/>
  <c r="D108" i="22" s="1"/>
  <c r="C103" i="22"/>
  <c r="C98" i="22"/>
  <c r="D93" i="22" a="1"/>
  <c r="D93" i="22" s="1"/>
  <c r="C88" i="22"/>
  <c r="C78" i="22"/>
  <c r="D75" i="22" a="1"/>
  <c r="D75" i="22" s="1"/>
  <c r="C70" i="22"/>
  <c r="C67" i="22"/>
  <c r="C64" i="22"/>
  <c r="C53" i="22"/>
  <c r="C47" i="22"/>
  <c r="D41" i="22" a="1"/>
  <c r="D41" i="22" s="1"/>
  <c r="C39" i="22"/>
  <c r="C34" i="22"/>
  <c r="D29" i="22" a="1"/>
  <c r="D29" i="22" s="1"/>
  <c r="C26" i="22"/>
  <c r="C22" i="22"/>
  <c r="C19" i="22"/>
  <c r="C285" i="22"/>
  <c r="C210" i="22"/>
  <c r="D159" i="22" a="1"/>
  <c r="D159" i="22" s="1"/>
  <c r="D135" i="22" a="1"/>
  <c r="D135" i="22" s="1"/>
  <c r="D123" i="22" a="1"/>
  <c r="D123" i="22" s="1"/>
  <c r="C116" i="22"/>
  <c r="D113" i="22" a="1"/>
  <c r="D113" i="22" s="1"/>
  <c r="C108" i="22"/>
  <c r="C105" i="22"/>
  <c r="C95" i="22"/>
  <c r="C93" i="22"/>
  <c r="D90" i="22" a="1"/>
  <c r="D90" i="22" s="1"/>
  <c r="D85" i="22" a="1"/>
  <c r="D85" i="22" s="1"/>
  <c r="C80" i="22"/>
  <c r="C75" i="22"/>
  <c r="D72" i="22" a="1"/>
  <c r="D72" i="22" s="1"/>
  <c r="C56" i="22"/>
  <c r="D49" i="22" a="1"/>
  <c r="D49" i="22" s="1"/>
  <c r="D44" i="22" a="1"/>
  <c r="D44" i="22" s="1"/>
  <c r="C41" i="22"/>
  <c r="D36" i="22" a="1"/>
  <c r="D36" i="22" s="1"/>
  <c r="C29" i="22"/>
  <c r="D12" i="22" a="1"/>
  <c r="D12" i="22" s="1"/>
  <c r="C10" i="22"/>
  <c r="D281" i="22" a="1"/>
  <c r="D281" i="22" s="1"/>
  <c r="C255" i="22"/>
  <c r="C232" i="22"/>
  <c r="C156" i="22"/>
  <c r="C113" i="22"/>
  <c r="C90" i="22"/>
  <c r="C85" i="22"/>
  <c r="D82" i="22" a="1"/>
  <c r="D82" i="22" s="1"/>
  <c r="C77" i="22"/>
  <c r="C72" i="22"/>
  <c r="D69" i="22" a="1"/>
  <c r="D69" i="22" s="1"/>
  <c r="C60" i="22"/>
  <c r="C49" i="22"/>
  <c r="D46" i="22" a="1"/>
  <c r="D46" i="22" s="1"/>
  <c r="C44" i="22"/>
  <c r="D38" i="22" a="1"/>
  <c r="D38" i="22" s="1"/>
  <c r="C36" i="22"/>
  <c r="C33" i="22"/>
  <c r="C25" i="22"/>
  <c r="C21" i="22"/>
  <c r="B18" i="22"/>
  <c r="C12" i="22"/>
  <c r="D153" i="22" a="1"/>
  <c r="D153" i="22" s="1"/>
  <c r="C82" i="22"/>
  <c r="C130" i="22"/>
  <c r="C101" i="22"/>
  <c r="D79" i="22" a="1"/>
  <c r="D79" i="22" s="1"/>
  <c r="C55" i="22"/>
  <c r="D97" i="22" a="1"/>
  <c r="D97" i="22" s="1"/>
  <c r="D52" i="22" a="1"/>
  <c r="D52" i="22" s="1"/>
  <c r="C277" i="22"/>
  <c r="C118" i="22"/>
  <c r="C74" i="22"/>
  <c r="D63" i="22" a="1"/>
  <c r="D63" i="22" s="1"/>
  <c r="C115" i="22"/>
  <c r="C92" i="22"/>
  <c r="C46" i="22"/>
  <c r="C38" i="22"/>
  <c r="C228" i="22"/>
  <c r="C69" i="22"/>
  <c r="C205" i="22"/>
  <c r="D110" i="22" a="1"/>
  <c r="D110" i="22" s="1"/>
  <c r="D87" i="22" a="1"/>
  <c r="D87" i="22" s="1"/>
  <c r="D66" i="22" a="1"/>
  <c r="D66" i="22" s="1"/>
  <c r="D40" i="22" a="1"/>
  <c r="D40" i="22" s="1"/>
  <c r="B267" i="22"/>
  <c r="B217" i="22"/>
  <c r="B150" i="22"/>
  <c r="B243" i="22"/>
  <c r="B168" i="22"/>
  <c r="B284" i="22"/>
  <c r="B219" i="22"/>
  <c r="B183" i="22"/>
  <c r="B209" i="22"/>
  <c r="B137" i="22"/>
  <c r="B269" i="22"/>
  <c r="B199" i="22"/>
  <c r="B161" i="22"/>
  <c r="B244" i="22"/>
  <c r="B134" i="22"/>
  <c r="B290" i="22"/>
  <c r="B225" i="22"/>
  <c r="B166" i="22"/>
  <c r="B126" i="22"/>
  <c r="B92" i="22"/>
  <c r="B110" i="22"/>
  <c r="B59" i="22"/>
  <c r="B169" i="22"/>
  <c r="B68" i="22"/>
  <c r="B109" i="22"/>
  <c r="B23" i="22"/>
  <c r="B81" i="22"/>
  <c r="B111" i="22"/>
  <c r="B61" i="22"/>
  <c r="B181" i="22"/>
  <c r="B95" i="22"/>
  <c r="B36" i="22"/>
  <c r="B264" i="22"/>
  <c r="B210" i="22"/>
  <c r="B138" i="22"/>
  <c r="B241" i="22"/>
  <c r="B165" i="22"/>
  <c r="B276" i="22"/>
  <c r="B214" i="22"/>
  <c r="B177" i="22"/>
  <c r="B272" i="22"/>
  <c r="B170" i="22"/>
  <c r="B124" i="22"/>
  <c r="B260" i="22"/>
  <c r="B195" i="22"/>
  <c r="B146" i="22"/>
  <c r="B242" i="22"/>
  <c r="B286" i="22"/>
  <c r="B218" i="22"/>
  <c r="B163" i="22"/>
  <c r="B118" i="22"/>
  <c r="B82" i="22"/>
  <c r="B97" i="22"/>
  <c r="B52" i="22"/>
  <c r="B121" i="22"/>
  <c r="B54" i="22"/>
  <c r="B99" i="22"/>
  <c r="B73" i="22"/>
  <c r="B103" i="22"/>
  <c r="B53" i="22"/>
  <c r="B133" i="22"/>
  <c r="B93" i="22"/>
  <c r="B255" i="22"/>
  <c r="B205" i="22"/>
  <c r="B130" i="22"/>
  <c r="B289" i="22"/>
  <c r="B239" i="22"/>
  <c r="B159" i="22"/>
  <c r="B270" i="22"/>
  <c r="B207" i="22"/>
  <c r="B140" i="22"/>
  <c r="B263" i="22"/>
  <c r="B164" i="22"/>
  <c r="B122" i="22"/>
  <c r="B248" i="22"/>
  <c r="B188" i="22"/>
  <c r="B139" i="22"/>
  <c r="B240" i="22"/>
  <c r="B282" i="22"/>
  <c r="B213" i="22"/>
  <c r="B160" i="22"/>
  <c r="B74" i="22"/>
  <c r="B89" i="22"/>
  <c r="B40" i="22"/>
  <c r="B107" i="22"/>
  <c r="B51" i="22"/>
  <c r="B91" i="22"/>
  <c r="B187" i="22"/>
  <c r="B62" i="22"/>
  <c r="B98" i="22"/>
  <c r="B47" i="22"/>
  <c r="B123" i="22"/>
  <c r="B80" i="22"/>
  <c r="B237" i="22"/>
  <c r="B201" i="22"/>
  <c r="B128" i="22"/>
  <c r="B281" i="22"/>
  <c r="B212" i="22"/>
  <c r="B153" i="22"/>
  <c r="B266" i="22"/>
  <c r="B204" i="22"/>
  <c r="B132" i="22"/>
  <c r="B257" i="22"/>
  <c r="B158" i="22"/>
  <c r="B238" i="22"/>
  <c r="B182" i="22"/>
  <c r="B129" i="22"/>
  <c r="B275" i="22"/>
  <c r="B211" i="22"/>
  <c r="B278" i="22"/>
  <c r="B206" i="22"/>
  <c r="B157" i="22"/>
  <c r="B69" i="22"/>
  <c r="B87" i="22"/>
  <c r="B32" i="22"/>
  <c r="B104" i="22"/>
  <c r="B42" i="22"/>
  <c r="B86" i="22"/>
  <c r="B120" i="22"/>
  <c r="B57" i="22"/>
  <c r="B88" i="22"/>
  <c r="B39" i="22"/>
  <c r="B119" i="22"/>
  <c r="B75" i="22"/>
  <c r="B232" i="22"/>
  <c r="B197" i="22"/>
  <c r="B273" i="22"/>
  <c r="B186" i="22"/>
  <c r="B147" i="22"/>
  <c r="B234" i="22"/>
  <c r="B200" i="22"/>
  <c r="B127" i="22"/>
  <c r="B253" i="22"/>
  <c r="B155" i="22"/>
  <c r="B230" i="22"/>
  <c r="B179" i="22"/>
  <c r="B265" i="22"/>
  <c r="B191" i="22"/>
  <c r="B271" i="22"/>
  <c r="B202" i="22"/>
  <c r="B151" i="22"/>
  <c r="B246" i="22"/>
  <c r="B55" i="22"/>
  <c r="B79" i="22"/>
  <c r="B27" i="22"/>
  <c r="B100" i="22"/>
  <c r="B17" i="22"/>
  <c r="B65" i="22"/>
  <c r="B114" i="22"/>
  <c r="B50" i="22"/>
  <c r="B78" i="22"/>
  <c r="B34" i="22"/>
  <c r="B116" i="22"/>
  <c r="B56" i="22"/>
  <c r="B285" i="22"/>
  <c r="B228" i="22"/>
  <c r="B193" i="22"/>
  <c r="B261" i="22"/>
  <c r="B180" i="22"/>
  <c r="B144" i="22"/>
  <c r="B231" i="22"/>
  <c r="B196" i="22"/>
  <c r="B117" i="22"/>
  <c r="B245" i="22"/>
  <c r="B152" i="22"/>
  <c r="B287" i="22"/>
  <c r="B226" i="22"/>
  <c r="B176" i="22"/>
  <c r="B256" i="22"/>
  <c r="B185" i="22"/>
  <c r="B262" i="22"/>
  <c r="B198" i="22"/>
  <c r="B145" i="22"/>
  <c r="B175" i="22"/>
  <c r="B46" i="22"/>
  <c r="B221" i="22"/>
  <c r="B71" i="22"/>
  <c r="B24" i="22"/>
  <c r="B94" i="22"/>
  <c r="B11" i="22"/>
  <c r="B215" i="22"/>
  <c r="B48" i="22"/>
  <c r="B106" i="22"/>
  <c r="B45" i="22"/>
  <c r="B259" i="22"/>
  <c r="B70" i="22"/>
  <c r="B26" i="22"/>
  <c r="B108" i="22"/>
  <c r="B41" i="22"/>
  <c r="B33" i="22"/>
  <c r="B77" i="22"/>
  <c r="B277" i="22"/>
  <c r="B224" i="22"/>
  <c r="B162" i="22"/>
  <c r="B258" i="22"/>
  <c r="B174" i="22"/>
  <c r="B135" i="22"/>
  <c r="B227" i="22"/>
  <c r="B192" i="22"/>
  <c r="B236" i="22"/>
  <c r="B149" i="22"/>
  <c r="B283" i="22"/>
  <c r="B222" i="22"/>
  <c r="B173" i="22"/>
  <c r="B252" i="22"/>
  <c r="B154" i="22"/>
  <c r="B233" i="22"/>
  <c r="B178" i="22"/>
  <c r="B141" i="22"/>
  <c r="B115" i="22"/>
  <c r="B43" i="22"/>
  <c r="B148" i="22"/>
  <c r="B66" i="22"/>
  <c r="B20" i="22"/>
  <c r="B268" i="22"/>
  <c r="B84" i="22"/>
  <c r="B190" i="22"/>
  <c r="B35" i="22"/>
  <c r="B96" i="22"/>
  <c r="B37" i="22"/>
  <c r="B235" i="22"/>
  <c r="B67" i="22"/>
  <c r="B22" i="22"/>
  <c r="B105" i="22"/>
  <c r="B29" i="22"/>
  <c r="B28" i="22"/>
  <c r="B274" i="22"/>
  <c r="B220" i="22"/>
  <c r="B156" i="22"/>
  <c r="B254" i="22"/>
  <c r="B171" i="22"/>
  <c r="B288" i="22"/>
  <c r="B223" i="22"/>
  <c r="B189" i="22"/>
  <c r="B216" i="22"/>
  <c r="B143" i="22"/>
  <c r="B279" i="22"/>
  <c r="B203" i="22"/>
  <c r="B167" i="22"/>
  <c r="B247" i="22"/>
  <c r="B136" i="22"/>
  <c r="B229" i="22"/>
  <c r="B172" i="22"/>
  <c r="B131" i="22"/>
  <c r="B101" i="22"/>
  <c r="B38" i="22"/>
  <c r="B112" i="22"/>
  <c r="B63" i="22"/>
  <c r="B194" i="22"/>
  <c r="B76" i="22"/>
  <c r="B125" i="22"/>
  <c r="B30" i="22"/>
  <c r="B83" i="22"/>
  <c r="B184" i="22"/>
  <c r="B64" i="22"/>
  <c r="B19" i="22"/>
  <c r="B208" i="22"/>
  <c r="B102" i="22"/>
  <c r="B10" i="22"/>
  <c r="B60" i="22"/>
  <c r="B72" i="22"/>
  <c r="B44" i="22"/>
  <c r="B21" i="22"/>
  <c r="B85" i="22"/>
  <c r="B49" i="22"/>
  <c r="B25" i="22"/>
  <c r="B113" i="22"/>
  <c r="B12" i="22"/>
  <c r="B251" i="22"/>
  <c r="B90" i="22"/>
  <c r="D274" i="25" a="1"/>
  <c r="D274" i="25" s="1"/>
  <c r="D268" i="25" a="1"/>
  <c r="D268" i="25" s="1"/>
  <c r="C262" i="25"/>
  <c r="D259" i="25" a="1"/>
  <c r="D259" i="25" s="1"/>
  <c r="D239" i="25" a="1"/>
  <c r="D239" i="25" s="1"/>
  <c r="C237" i="25"/>
  <c r="D289" i="25" a="1"/>
  <c r="D289" i="25" s="1"/>
  <c r="C285" i="25"/>
  <c r="D281" i="25" a="1"/>
  <c r="D281" i="25" s="1"/>
  <c r="C277" i="25"/>
  <c r="C274" i="25"/>
  <c r="C268" i="25"/>
  <c r="D264" i="25" a="1"/>
  <c r="D264" i="25" s="1"/>
  <c r="C259" i="25"/>
  <c r="C251" i="25"/>
  <c r="C246" i="25"/>
  <c r="C289" i="25"/>
  <c r="C281" i="25"/>
  <c r="D270" i="25" a="1"/>
  <c r="D270" i="25" s="1"/>
  <c r="C264" i="25"/>
  <c r="D261" i="25" a="1"/>
  <c r="D261" i="25" s="1"/>
  <c r="C255" i="25"/>
  <c r="D243" i="25" a="1"/>
  <c r="D243" i="25" s="1"/>
  <c r="C241" i="25"/>
  <c r="D236" i="25" a="1"/>
  <c r="D236" i="25" s="1"/>
  <c r="C234" i="25"/>
  <c r="C231" i="25"/>
  <c r="C227" i="25"/>
  <c r="C223" i="25"/>
  <c r="C219" i="25"/>
  <c r="D216" i="25" a="1"/>
  <c r="D216" i="25" s="1"/>
  <c r="C211" i="25"/>
  <c r="D208" i="25" a="1"/>
  <c r="D208" i="25" s="1"/>
  <c r="C194" i="25"/>
  <c r="C185" i="25"/>
  <c r="C182" i="25"/>
  <c r="C284" i="25"/>
  <c r="C276" i="25"/>
  <c r="C270" i="25"/>
  <c r="C261" i="25"/>
  <c r="C258" i="25"/>
  <c r="C243" i="25"/>
  <c r="D238" i="25" a="1"/>
  <c r="D238" i="25" s="1"/>
  <c r="C236" i="25"/>
  <c r="C216" i="25"/>
  <c r="D213" i="25" a="1"/>
  <c r="D213" i="25" s="1"/>
  <c r="C208" i="25"/>
  <c r="C205" i="25"/>
  <c r="C201" i="25"/>
  <c r="C197" i="25"/>
  <c r="C190" i="25"/>
  <c r="D179" i="25" a="1"/>
  <c r="D179" i="25" s="1"/>
  <c r="C176" i="25"/>
  <c r="C171" i="25"/>
  <c r="B280" i="25"/>
  <c r="C272" i="25"/>
  <c r="C266" i="25"/>
  <c r="D263" i="25" a="1"/>
  <c r="D263" i="25" s="1"/>
  <c r="C287" i="25"/>
  <c r="C283" i="25"/>
  <c r="C279" i="25"/>
  <c r="D275" i="25" a="1"/>
  <c r="D275" i="25" s="1"/>
  <c r="C269" i="25"/>
  <c r="C263" i="25"/>
  <c r="D260" i="25" a="1"/>
  <c r="D260" i="25" s="1"/>
  <c r="C257" i="25"/>
  <c r="C253" i="25"/>
  <c r="C250" i="25"/>
  <c r="C245" i="25"/>
  <c r="D242" i="25" a="1"/>
  <c r="D242" i="25" s="1"/>
  <c r="C240" i="25"/>
  <c r="C275" i="25"/>
  <c r="D271" i="25" a="1"/>
  <c r="D271" i="25" s="1"/>
  <c r="D265" i="25" a="1"/>
  <c r="D265" i="25" s="1"/>
  <c r="C260" i="25"/>
  <c r="C248" i="25"/>
  <c r="C242" i="25"/>
  <c r="D235" i="25" a="1"/>
  <c r="D235" i="25" s="1"/>
  <c r="C233" i="25"/>
  <c r="C229" i="25"/>
  <c r="C225" i="25"/>
  <c r="D221" i="25" a="1"/>
  <c r="D221" i="25" s="1"/>
  <c r="C218" i="25"/>
  <c r="C215" i="25"/>
  <c r="D212" i="25" a="1"/>
  <c r="D212" i="25" s="1"/>
  <c r="C207" i="25"/>
  <c r="D189" i="25" a="1"/>
  <c r="D189" i="25" s="1"/>
  <c r="C181" i="25"/>
  <c r="C178" i="25"/>
  <c r="D175" i="25" a="1"/>
  <c r="D175" i="25" s="1"/>
  <c r="C278" i="25"/>
  <c r="C252" i="25"/>
  <c r="D241" i="25" a="1"/>
  <c r="D241" i="25" s="1"/>
  <c r="C232" i="25"/>
  <c r="D210" i="25" a="1"/>
  <c r="D210" i="25" s="1"/>
  <c r="D206" i="25" a="1"/>
  <c r="D206" i="25" s="1"/>
  <c r="C200" i="25"/>
  <c r="D194" i="25" a="1"/>
  <c r="D194" i="25" s="1"/>
  <c r="C189" i="25"/>
  <c r="C184" i="25"/>
  <c r="C180" i="25"/>
  <c r="C168" i="25"/>
  <c r="D165" i="25" a="1"/>
  <c r="D165" i="25" s="1"/>
  <c r="C157" i="25"/>
  <c r="C154" i="25"/>
  <c r="D151" i="25" a="1"/>
  <c r="D151" i="25" s="1"/>
  <c r="C146" i="25"/>
  <c r="C143" i="25"/>
  <c r="C139" i="25"/>
  <c r="C131" i="25"/>
  <c r="C128" i="25"/>
  <c r="D125" i="25" a="1"/>
  <c r="D125" i="25" s="1"/>
  <c r="D122" i="25" a="1"/>
  <c r="D122" i="25" s="1"/>
  <c r="C111" i="25"/>
  <c r="C108" i="25"/>
  <c r="C101" i="25"/>
  <c r="C97" i="25"/>
  <c r="C94" i="25"/>
  <c r="C91" i="25"/>
  <c r="C88" i="25"/>
  <c r="C85" i="25"/>
  <c r="C82" i="25"/>
  <c r="C79" i="25"/>
  <c r="C76" i="25"/>
  <c r="C73" i="25"/>
  <c r="C70" i="25"/>
  <c r="C67" i="25"/>
  <c r="C60" i="25"/>
  <c r="D52" i="25" a="1"/>
  <c r="D52" i="25" s="1"/>
  <c r="C49" i="25"/>
  <c r="D46" i="25" a="1"/>
  <c r="D46" i="25" s="1"/>
  <c r="D44" i="25" a="1"/>
  <c r="D44" i="25" s="1"/>
  <c r="C38" i="25"/>
  <c r="D35" i="25" a="1"/>
  <c r="D35" i="25" s="1"/>
  <c r="C23" i="25"/>
  <c r="D19" i="25" a="1"/>
  <c r="D19" i="25" s="1"/>
  <c r="D76" i="25" a="1"/>
  <c r="D76" i="25" s="1"/>
  <c r="C56" i="25"/>
  <c r="C27" i="25"/>
  <c r="D250" i="25" a="1"/>
  <c r="D250" i="25" s="1"/>
  <c r="D240" i="25" a="1"/>
  <c r="D240" i="25" s="1"/>
  <c r="D214" i="25" a="1"/>
  <c r="D214" i="25" s="1"/>
  <c r="C210" i="25"/>
  <c r="C206" i="25"/>
  <c r="C199" i="25"/>
  <c r="C175" i="25"/>
  <c r="D171" i="25" a="1"/>
  <c r="D171" i="25" s="1"/>
  <c r="C165" i="25"/>
  <c r="C162" i="25"/>
  <c r="D159" i="25" a="1"/>
  <c r="D159" i="25" s="1"/>
  <c r="C151" i="25"/>
  <c r="D148" i="25" a="1"/>
  <c r="D148" i="25" s="1"/>
  <c r="C136" i="25"/>
  <c r="C133" i="25"/>
  <c r="C125" i="25"/>
  <c r="C122" i="25"/>
  <c r="D119" i="25" a="1"/>
  <c r="D119" i="25" s="1"/>
  <c r="D116" i="25" a="1"/>
  <c r="D116" i="25" s="1"/>
  <c r="D104" i="25" a="1"/>
  <c r="D104" i="25" s="1"/>
  <c r="D63" i="25" a="1"/>
  <c r="D63" i="25" s="1"/>
  <c r="C55" i="25"/>
  <c r="C52" i="25"/>
  <c r="C46" i="25"/>
  <c r="C44" i="25"/>
  <c r="D40" i="25" a="1"/>
  <c r="D40" i="25" s="1"/>
  <c r="C35" i="25"/>
  <c r="C30" i="25"/>
  <c r="D26" i="25" a="1"/>
  <c r="D26" i="25" s="1"/>
  <c r="C19" i="25"/>
  <c r="D12" i="25" a="1"/>
  <c r="D12" i="25" s="1"/>
  <c r="D94" i="25" a="1"/>
  <c r="D94" i="25" s="1"/>
  <c r="D73" i="25" a="1"/>
  <c r="D73" i="25" s="1"/>
  <c r="D49" i="25" a="1"/>
  <c r="D49" i="25" s="1"/>
  <c r="C271" i="25"/>
  <c r="C235" i="25"/>
  <c r="C230" i="25"/>
  <c r="C224" i="25"/>
  <c r="D218" i="25" a="1"/>
  <c r="D218" i="25" s="1"/>
  <c r="C214" i="25"/>
  <c r="D209" i="25" a="1"/>
  <c r="D209" i="25" s="1"/>
  <c r="C192" i="25"/>
  <c r="C188" i="25"/>
  <c r="D183" i="25" a="1"/>
  <c r="D183" i="25" s="1"/>
  <c r="C179" i="25"/>
  <c r="D167" i="25" a="1"/>
  <c r="D167" i="25" s="1"/>
  <c r="C159" i="25"/>
  <c r="C156" i="25"/>
  <c r="D153" i="25" a="1"/>
  <c r="D153" i="25" s="1"/>
  <c r="C148" i="25"/>
  <c r="C145" i="25"/>
  <c r="B142" i="25"/>
  <c r="D138" i="25" a="1"/>
  <c r="D138" i="25" s="1"/>
  <c r="C130" i="25"/>
  <c r="C127" i="25"/>
  <c r="C119" i="25"/>
  <c r="C116" i="25"/>
  <c r="D113" i="25" a="1"/>
  <c r="D113" i="25" s="1"/>
  <c r="D110" i="25" a="1"/>
  <c r="D110" i="25" s="1"/>
  <c r="D107" i="25" a="1"/>
  <c r="D107" i="25" s="1"/>
  <c r="C104" i="25"/>
  <c r="C100" i="25"/>
  <c r="D96" i="25" a="1"/>
  <c r="D96" i="25" s="1"/>
  <c r="D93" i="25" a="1"/>
  <c r="D93" i="25" s="1"/>
  <c r="D90" i="25" a="1"/>
  <c r="D90" i="25" s="1"/>
  <c r="D84" i="25" a="1"/>
  <c r="D84" i="25" s="1"/>
  <c r="D81" i="25" a="1"/>
  <c r="D81" i="25" s="1"/>
  <c r="D78" i="25" a="1"/>
  <c r="D78" i="25" s="1"/>
  <c r="D75" i="25" a="1"/>
  <c r="D75" i="25" s="1"/>
  <c r="D72" i="25" a="1"/>
  <c r="D72" i="25" s="1"/>
  <c r="D69" i="25" a="1"/>
  <c r="D69" i="25" s="1"/>
  <c r="D66" i="25" a="1"/>
  <c r="D66" i="25" s="1"/>
  <c r="C63" i="25"/>
  <c r="C59" i="25"/>
  <c r="D48" i="25" a="1"/>
  <c r="D48" i="25" s="1"/>
  <c r="C40" i="25"/>
  <c r="D37" i="25" a="1"/>
  <c r="D37" i="25" s="1"/>
  <c r="C26" i="25"/>
  <c r="C22" i="25"/>
  <c r="C12" i="25"/>
  <c r="C10" i="25"/>
  <c r="D39" i="25" a="1"/>
  <c r="D39" i="25" s="1"/>
  <c r="C29" i="25"/>
  <c r="D17" i="25" a="1"/>
  <c r="D17" i="25" s="1"/>
  <c r="D131" i="25" a="1"/>
  <c r="D131" i="25" s="1"/>
  <c r="C114" i="25"/>
  <c r="D91" i="25" a="1"/>
  <c r="D91" i="25" s="1"/>
  <c r="D38" i="25" a="1"/>
  <c r="D38" i="25" s="1"/>
  <c r="D245" i="25" a="1"/>
  <c r="D245" i="25" s="1"/>
  <c r="C239" i="25"/>
  <c r="C213" i="25"/>
  <c r="C209" i="25"/>
  <c r="C204" i="25"/>
  <c r="C198" i="25"/>
  <c r="D187" i="25" a="1"/>
  <c r="D187" i="25" s="1"/>
  <c r="C183" i="25"/>
  <c r="C174" i="25"/>
  <c r="C170" i="25"/>
  <c r="C167" i="25"/>
  <c r="C164" i="25"/>
  <c r="D161" i="25" a="1"/>
  <c r="D161" i="25" s="1"/>
  <c r="C153" i="25"/>
  <c r="C150" i="25"/>
  <c r="C141" i="25"/>
  <c r="C138" i="25"/>
  <c r="D135" i="25" a="1"/>
  <c r="D135" i="25" s="1"/>
  <c r="C124" i="25"/>
  <c r="C121" i="25"/>
  <c r="C113" i="25"/>
  <c r="C110" i="25"/>
  <c r="C107" i="25"/>
  <c r="C96" i="25"/>
  <c r="C93" i="25"/>
  <c r="C90" i="25"/>
  <c r="C87" i="25"/>
  <c r="C84" i="25"/>
  <c r="C81" i="25"/>
  <c r="C78" i="25"/>
  <c r="C75" i="25"/>
  <c r="C72" i="25"/>
  <c r="C69" i="25"/>
  <c r="C66" i="25"/>
  <c r="C54" i="25"/>
  <c r="C48" i="25"/>
  <c r="C37" i="25"/>
  <c r="C34" i="25"/>
  <c r="D29" i="25" a="1"/>
  <c r="D29" i="25" s="1"/>
  <c r="B18" i="25"/>
  <c r="C50" i="25"/>
  <c r="C42" i="25"/>
  <c r="C21" i="25"/>
  <c r="C17" i="25"/>
  <c r="D211" i="25" a="1"/>
  <c r="D211" i="25" s="1"/>
  <c r="D185" i="25" a="1"/>
  <c r="D185" i="25" s="1"/>
  <c r="C149" i="25"/>
  <c r="C134" i="25"/>
  <c r="C117" i="25"/>
  <c r="D97" i="25" a="1"/>
  <c r="D97" i="25" s="1"/>
  <c r="D79" i="25" a="1"/>
  <c r="D79" i="25" s="1"/>
  <c r="C265" i="25"/>
  <c r="C244" i="25"/>
  <c r="C238" i="25"/>
  <c r="D234" i="25" a="1"/>
  <c r="D234" i="25" s="1"/>
  <c r="C222" i="25"/>
  <c r="C217" i="25"/>
  <c r="C203" i="25"/>
  <c r="D191" i="25" a="1"/>
  <c r="D191" i="25" s="1"/>
  <c r="C187" i="25"/>
  <c r="D173" i="25" a="1"/>
  <c r="D173" i="25" s="1"/>
  <c r="C161" i="25"/>
  <c r="C158" i="25"/>
  <c r="C147" i="25"/>
  <c r="C135" i="25"/>
  <c r="D132" i="25" a="1"/>
  <c r="D132" i="25" s="1"/>
  <c r="D129" i="25" a="1"/>
  <c r="D129" i="25" s="1"/>
  <c r="D126" i="25" a="1"/>
  <c r="D126" i="25" s="1"/>
  <c r="C118" i="25"/>
  <c r="C115" i="25"/>
  <c r="D103" i="25" a="1"/>
  <c r="D103" i="25" s="1"/>
  <c r="D62" i="25" a="1"/>
  <c r="D62" i="25" s="1"/>
  <c r="B58" i="25"/>
  <c r="D45" i="25" a="1"/>
  <c r="D45" i="25" s="1"/>
  <c r="C25" i="25"/>
  <c r="C163" i="25"/>
  <c r="D146" i="25" a="1"/>
  <c r="D146" i="25" s="1"/>
  <c r="D128" i="25" a="1"/>
  <c r="D128" i="25" s="1"/>
  <c r="D108" i="25" a="1"/>
  <c r="D108" i="25" s="1"/>
  <c r="D88" i="25" a="1"/>
  <c r="D88" i="25" s="1"/>
  <c r="C64" i="25"/>
  <c r="C32" i="25"/>
  <c r="C290" i="25"/>
  <c r="D262" i="25" a="1"/>
  <c r="D262" i="25" s="1"/>
  <c r="C228" i="25"/>
  <c r="C212" i="25"/>
  <c r="C196" i="25"/>
  <c r="C191" i="25"/>
  <c r="C186" i="25"/>
  <c r="D177" i="25" a="1"/>
  <c r="D177" i="25" s="1"/>
  <c r="C173" i="25"/>
  <c r="D169" i="25" a="1"/>
  <c r="D169" i="25" s="1"/>
  <c r="C166" i="25"/>
  <c r="D155" i="25" a="1"/>
  <c r="D155" i="25" s="1"/>
  <c r="C152" i="25"/>
  <c r="D144" i="25" a="1"/>
  <c r="D144" i="25" s="1"/>
  <c r="D140" i="25" a="1"/>
  <c r="D140" i="25" s="1"/>
  <c r="C132" i="25"/>
  <c r="C129" i="25"/>
  <c r="C126" i="25"/>
  <c r="D123" i="25" a="1"/>
  <c r="D123" i="25" s="1"/>
  <c r="C112" i="25"/>
  <c r="C109" i="25"/>
  <c r="C106" i="25"/>
  <c r="C103" i="25"/>
  <c r="C98" i="25"/>
  <c r="C95" i="25"/>
  <c r="C92" i="25"/>
  <c r="C89" i="25"/>
  <c r="C86" i="25"/>
  <c r="C83" i="25"/>
  <c r="C80" i="25"/>
  <c r="C77" i="25"/>
  <c r="C74" i="25"/>
  <c r="C71" i="25"/>
  <c r="C68" i="25"/>
  <c r="C65" i="25"/>
  <c r="C62" i="25"/>
  <c r="C57" i="25"/>
  <c r="D53" i="25" a="1"/>
  <c r="D53" i="25" s="1"/>
  <c r="C47" i="25"/>
  <c r="C45" i="25"/>
  <c r="C39" i="25"/>
  <c r="D36" i="25" a="1"/>
  <c r="D36" i="25" s="1"/>
  <c r="C33" i="25"/>
  <c r="D157" i="25" a="1"/>
  <c r="D157" i="25" s="1"/>
  <c r="C120" i="25"/>
  <c r="D111" i="25" a="1"/>
  <c r="D111" i="25" s="1"/>
  <c r="D85" i="25" a="1"/>
  <c r="D85" i="25" s="1"/>
  <c r="D70" i="25" a="1"/>
  <c r="D70" i="25" s="1"/>
  <c r="B16" i="25"/>
  <c r="C286" i="25"/>
  <c r="D237" i="25" a="1"/>
  <c r="D237" i="25" s="1"/>
  <c r="D233" i="25" a="1"/>
  <c r="D233" i="25" s="1"/>
  <c r="C221" i="25"/>
  <c r="D207" i="25" a="1"/>
  <c r="D207" i="25" s="1"/>
  <c r="C202" i="25"/>
  <c r="C195" i="25"/>
  <c r="D181" i="25" a="1"/>
  <c r="D181" i="25" s="1"/>
  <c r="C177" i="25"/>
  <c r="C172" i="25"/>
  <c r="C169" i="25"/>
  <c r="D163" i="25" a="1"/>
  <c r="D163" i="25" s="1"/>
  <c r="C160" i="25"/>
  <c r="C155" i="25"/>
  <c r="D149" i="25" a="1"/>
  <c r="D149" i="25" s="1"/>
  <c r="C144" i="25"/>
  <c r="C140" i="25"/>
  <c r="D137" i="25" a="1"/>
  <c r="D137" i="25" s="1"/>
  <c r="D134" i="25" a="1"/>
  <c r="D134" i="25" s="1"/>
  <c r="C123" i="25"/>
  <c r="D120" i="25" a="1"/>
  <c r="D120" i="25" s="1"/>
  <c r="D117" i="25" a="1"/>
  <c r="D117" i="25" s="1"/>
  <c r="D114" i="25" a="1"/>
  <c r="D114" i="25" s="1"/>
  <c r="C53" i="25"/>
  <c r="D41" i="25" a="1"/>
  <c r="D41" i="25" s="1"/>
  <c r="C36" i="25"/>
  <c r="C24" i="25"/>
  <c r="C20" i="25"/>
  <c r="C11" i="25"/>
  <c r="C282" i="25"/>
  <c r="C256" i="25"/>
  <c r="C226" i="25"/>
  <c r="D215" i="25" a="1"/>
  <c r="D215" i="25" s="1"/>
  <c r="C137" i="25"/>
  <c r="C105" i="25"/>
  <c r="D82" i="25" a="1"/>
  <c r="D82" i="25" s="1"/>
  <c r="D67" i="25" a="1"/>
  <c r="D67" i="25" s="1"/>
  <c r="C41" i="25"/>
  <c r="B271" i="25"/>
  <c r="B251" i="25"/>
  <c r="B188" i="25"/>
  <c r="B289" i="25"/>
  <c r="B231" i="25"/>
  <c r="B168" i="25"/>
  <c r="B288" i="25"/>
  <c r="B283" i="25"/>
  <c r="B210" i="25"/>
  <c r="B137" i="25"/>
  <c r="B41" i="25"/>
  <c r="B184" i="25"/>
  <c r="B128" i="25"/>
  <c r="B85" i="25"/>
  <c r="B49" i="25"/>
  <c r="B171" i="25"/>
  <c r="B55" i="25"/>
  <c r="B61" i="25"/>
  <c r="B265" i="25"/>
  <c r="B246" i="25"/>
  <c r="B177" i="25"/>
  <c r="B281" i="25"/>
  <c r="B227" i="25"/>
  <c r="B284" i="25"/>
  <c r="B279" i="25"/>
  <c r="B204" i="25"/>
  <c r="B134" i="25"/>
  <c r="B32" i="25"/>
  <c r="B180" i="25"/>
  <c r="B111" i="25"/>
  <c r="B82" i="25"/>
  <c r="B38" i="25"/>
  <c r="B165" i="25"/>
  <c r="B52" i="25"/>
  <c r="B179" i="25"/>
  <c r="B256" i="25"/>
  <c r="B239" i="25"/>
  <c r="B174" i="25"/>
  <c r="B273" i="25"/>
  <c r="B223" i="25"/>
  <c r="B276" i="25"/>
  <c r="B269" i="25"/>
  <c r="B200" i="25"/>
  <c r="B236" i="25"/>
  <c r="B120" i="25"/>
  <c r="B27" i="25"/>
  <c r="B157" i="25"/>
  <c r="B108" i="25"/>
  <c r="B79" i="25"/>
  <c r="B23" i="25"/>
  <c r="B162" i="25"/>
  <c r="B46" i="25"/>
  <c r="B48" i="25"/>
  <c r="B252" i="25"/>
  <c r="B285" i="25"/>
  <c r="B214" i="25"/>
  <c r="B267" i="25"/>
  <c r="B219" i="25"/>
  <c r="B270" i="25"/>
  <c r="B263" i="25"/>
  <c r="B196" i="25"/>
  <c r="B226" i="25"/>
  <c r="B117" i="25"/>
  <c r="B275" i="25"/>
  <c r="B154" i="25"/>
  <c r="B101" i="25"/>
  <c r="B76" i="25"/>
  <c r="B151" i="25"/>
  <c r="B44" i="25"/>
  <c r="B156" i="25"/>
  <c r="B290" i="25"/>
  <c r="B247" i="25"/>
  <c r="B277" i="25"/>
  <c r="B206" i="25"/>
  <c r="B264" i="25"/>
  <c r="B211" i="25"/>
  <c r="B261" i="25"/>
  <c r="B272" i="25"/>
  <c r="B257" i="25"/>
  <c r="B192" i="25"/>
  <c r="B220" i="25"/>
  <c r="B114" i="25"/>
  <c r="B232" i="25"/>
  <c r="B146" i="25"/>
  <c r="B97" i="25"/>
  <c r="B73" i="25"/>
  <c r="B248" i="25"/>
  <c r="B136" i="25"/>
  <c r="B35" i="25"/>
  <c r="B221" i="25"/>
  <c r="B286" i="25"/>
  <c r="B244" i="25"/>
  <c r="B262" i="25"/>
  <c r="B274" i="25"/>
  <c r="B202" i="25"/>
  <c r="B255" i="25"/>
  <c r="B194" i="25"/>
  <c r="B258" i="25"/>
  <c r="B266" i="25"/>
  <c r="B253" i="25"/>
  <c r="B187" i="25"/>
  <c r="B215" i="25"/>
  <c r="B105" i="25"/>
  <c r="B225" i="25"/>
  <c r="B143" i="25"/>
  <c r="B94" i="25"/>
  <c r="B70" i="25"/>
  <c r="B205" i="25"/>
  <c r="B133" i="25"/>
  <c r="B30" i="25"/>
  <c r="B181" i="25"/>
  <c r="B235" i="25"/>
  <c r="B282" i="25"/>
  <c r="B268" i="25"/>
  <c r="B198" i="25"/>
  <c r="B241" i="25"/>
  <c r="B185" i="25"/>
  <c r="B254" i="25"/>
  <c r="B245" i="25"/>
  <c r="B173" i="25"/>
  <c r="B163" i="25"/>
  <c r="B64" i="25"/>
  <c r="B102" i="25"/>
  <c r="B193" i="25"/>
  <c r="B139" i="25"/>
  <c r="B91" i="25"/>
  <c r="B67" i="25"/>
  <c r="B20" i="25"/>
  <c r="B199" i="25"/>
  <c r="B125" i="25"/>
  <c r="B19" i="25"/>
  <c r="B160" i="25"/>
  <c r="B230" i="25"/>
  <c r="B131" i="25"/>
  <c r="B122" i="25"/>
  <c r="B218" i="25"/>
  <c r="B104" i="25"/>
  <c r="B22" i="25"/>
  <c r="B229" i="25"/>
  <c r="B164" i="25"/>
  <c r="B110" i="25"/>
  <c r="B81" i="25"/>
  <c r="B147" i="25"/>
  <c r="B21" i="25"/>
  <c r="B260" i="25"/>
  <c r="B152" i="25"/>
  <c r="B98" i="25"/>
  <c r="B74" i="25"/>
  <c r="B39" i="25"/>
  <c r="B259" i="25"/>
  <c r="B149" i="25"/>
  <c r="B88" i="25"/>
  <c r="B159" i="25"/>
  <c r="B100" i="25"/>
  <c r="B12" i="25"/>
  <c r="B242" i="25"/>
  <c r="B213" i="25"/>
  <c r="B153" i="25"/>
  <c r="B107" i="25"/>
  <c r="B78" i="25"/>
  <c r="B238" i="25"/>
  <c r="B135" i="25"/>
  <c r="B243" i="25"/>
  <c r="B132" i="25"/>
  <c r="B95" i="25"/>
  <c r="B71" i="25"/>
  <c r="B33" i="25"/>
  <c r="B191" i="25"/>
  <c r="B56" i="25"/>
  <c r="B60" i="25"/>
  <c r="B148" i="25"/>
  <c r="B63" i="25"/>
  <c r="B10" i="25"/>
  <c r="B169" i="25"/>
  <c r="B209" i="25"/>
  <c r="B150" i="25"/>
  <c r="B99" i="25"/>
  <c r="B75" i="25"/>
  <c r="B233" i="25"/>
  <c r="B222" i="25"/>
  <c r="B118" i="25"/>
  <c r="B207" i="25"/>
  <c r="B228" i="25"/>
  <c r="B129" i="25"/>
  <c r="B92" i="25"/>
  <c r="B68" i="25"/>
  <c r="B28" i="25"/>
  <c r="B237" i="25"/>
  <c r="B278" i="25"/>
  <c r="B145" i="25"/>
  <c r="B59" i="25"/>
  <c r="B53" i="25"/>
  <c r="B197" i="25"/>
  <c r="B141" i="25"/>
  <c r="B96" i="25"/>
  <c r="B72" i="25"/>
  <c r="B201" i="25"/>
  <c r="B217" i="25"/>
  <c r="B115" i="25"/>
  <c r="B140" i="25"/>
  <c r="B216" i="25"/>
  <c r="B126" i="25"/>
  <c r="B89" i="25"/>
  <c r="B65" i="25"/>
  <c r="B17" i="25"/>
  <c r="B195" i="25"/>
  <c r="B130" i="25"/>
  <c r="B51" i="25"/>
  <c r="B24" i="25"/>
  <c r="B183" i="25"/>
  <c r="B138" i="25"/>
  <c r="B93" i="25"/>
  <c r="B69" i="25"/>
  <c r="B176" i="25"/>
  <c r="B208" i="25"/>
  <c r="B50" i="25"/>
  <c r="B36" i="25"/>
  <c r="B212" i="25"/>
  <c r="B112" i="25"/>
  <c r="B86" i="25"/>
  <c r="B62" i="25"/>
  <c r="B172" i="25"/>
  <c r="B234" i="25"/>
  <c r="B144" i="25"/>
  <c r="B127" i="25"/>
  <c r="B43" i="25"/>
  <c r="B178" i="25"/>
  <c r="B124" i="25"/>
  <c r="B90" i="25"/>
  <c r="B66" i="25"/>
  <c r="B203" i="25"/>
  <c r="B42" i="25"/>
  <c r="B190" i="25"/>
  <c r="B109" i="25"/>
  <c r="B83" i="25"/>
  <c r="B57" i="25"/>
  <c r="B155" i="25"/>
  <c r="B182" i="25"/>
  <c r="B287" i="25"/>
  <c r="B119" i="25"/>
  <c r="B40" i="25"/>
  <c r="B34" i="25"/>
  <c r="B170" i="25"/>
  <c r="B121" i="25"/>
  <c r="B87" i="25"/>
  <c r="B54" i="25"/>
  <c r="B161" i="25"/>
  <c r="B29" i="25"/>
  <c r="B186" i="25"/>
  <c r="B106" i="25"/>
  <c r="B80" i="25"/>
  <c r="B47" i="25"/>
  <c r="B123" i="25"/>
  <c r="B240" i="25"/>
  <c r="B189" i="25"/>
  <c r="B175" i="25"/>
  <c r="B224" i="25"/>
  <c r="B116" i="25"/>
  <c r="B26" i="25"/>
  <c r="B167" i="25"/>
  <c r="B113" i="25"/>
  <c r="B84" i="25"/>
  <c r="B37" i="25"/>
  <c r="B158" i="25"/>
  <c r="B25" i="25"/>
  <c r="B166" i="25"/>
  <c r="B103" i="25"/>
  <c r="B77" i="25"/>
  <c r="B45" i="25"/>
  <c r="B11" i="25"/>
  <c r="C188" i="33"/>
  <c r="C184" i="33"/>
  <c r="C180" i="33"/>
  <c r="C175" i="33"/>
  <c r="C171" i="33"/>
  <c r="C195" i="33"/>
  <c r="C187" i="33"/>
  <c r="C183" i="33"/>
  <c r="C179" i="33"/>
  <c r="C174" i="33"/>
  <c r="C170" i="33"/>
  <c r="C194" i="33"/>
  <c r="C189" i="33"/>
  <c r="C185" i="33"/>
  <c r="C181" i="33"/>
  <c r="C176" i="33"/>
  <c r="C172" i="33"/>
  <c r="C182" i="33"/>
  <c r="C128" i="33"/>
  <c r="C85" i="33"/>
  <c r="C52" i="33"/>
  <c r="C168" i="33"/>
  <c r="C164" i="33"/>
  <c r="C160" i="33"/>
  <c r="C155" i="33"/>
  <c r="C151" i="33"/>
  <c r="C147" i="33"/>
  <c r="C143" i="33"/>
  <c r="C139" i="33"/>
  <c r="C135" i="33"/>
  <c r="C131" i="33"/>
  <c r="C127" i="33"/>
  <c r="C123" i="33"/>
  <c r="C119" i="33"/>
  <c r="C108" i="33"/>
  <c r="C104" i="33"/>
  <c r="C100" i="33"/>
  <c r="C96" i="33"/>
  <c r="C92" i="33"/>
  <c r="C88" i="33"/>
  <c r="C84" i="33"/>
  <c r="C80" i="33"/>
  <c r="C76" i="33"/>
  <c r="C72" i="33"/>
  <c r="C67" i="33"/>
  <c r="C63" i="33"/>
  <c r="C59" i="33"/>
  <c r="C55" i="33"/>
  <c r="C51" i="33"/>
  <c r="C47" i="33"/>
  <c r="C42" i="33"/>
  <c r="C38" i="33"/>
  <c r="C34" i="33"/>
  <c r="C29" i="33"/>
  <c r="C116" i="33"/>
  <c r="C73" i="33"/>
  <c r="C39" i="33"/>
  <c r="C173" i="33"/>
  <c r="C105" i="33"/>
  <c r="C68" i="33"/>
  <c r="C43" i="33"/>
  <c r="C167" i="33"/>
  <c r="C163" i="33"/>
  <c r="C159" i="33"/>
  <c r="C154" i="33"/>
  <c r="C150" i="33"/>
  <c r="C146" i="33"/>
  <c r="C142" i="33"/>
  <c r="C138" i="33"/>
  <c r="C134" i="33"/>
  <c r="C130" i="33"/>
  <c r="C126" i="33"/>
  <c r="C122" i="33"/>
  <c r="C118" i="33"/>
  <c r="C107" i="33"/>
  <c r="C103" i="33"/>
  <c r="C99" i="33"/>
  <c r="C95" i="33"/>
  <c r="C91" i="33"/>
  <c r="C87" i="33"/>
  <c r="C83" i="33"/>
  <c r="C79" i="33"/>
  <c r="C75" i="33"/>
  <c r="C71" i="33"/>
  <c r="C66" i="33"/>
  <c r="C62" i="33"/>
  <c r="C58" i="33"/>
  <c r="C54" i="33"/>
  <c r="C50" i="33"/>
  <c r="C46" i="33"/>
  <c r="C41" i="33"/>
  <c r="C37" i="33"/>
  <c r="C33" i="33"/>
  <c r="C27" i="33"/>
  <c r="C140" i="33"/>
  <c r="C120" i="33"/>
  <c r="C93" i="33"/>
  <c r="C64" i="33"/>
  <c r="C31" i="33"/>
  <c r="C186" i="33"/>
  <c r="C161" i="33"/>
  <c r="C148" i="33"/>
  <c r="C132" i="33"/>
  <c r="C109" i="33"/>
  <c r="C89" i="33"/>
  <c r="C60" i="33"/>
  <c r="C35" i="33"/>
  <c r="C177" i="33"/>
  <c r="C166" i="33"/>
  <c r="C162" i="33"/>
  <c r="C158" i="33"/>
  <c r="C153" i="33"/>
  <c r="C149" i="33"/>
  <c r="C145" i="33"/>
  <c r="C141" i="33"/>
  <c r="C137" i="33"/>
  <c r="C133" i="33"/>
  <c r="C129" i="33"/>
  <c r="C125" i="33"/>
  <c r="C121" i="33"/>
  <c r="C117" i="33"/>
  <c r="C106" i="33"/>
  <c r="C102" i="33"/>
  <c r="C98" i="33"/>
  <c r="C94" i="33"/>
  <c r="C90" i="33"/>
  <c r="C86" i="33"/>
  <c r="C82" i="33"/>
  <c r="C78" i="33"/>
  <c r="C74" i="33"/>
  <c r="C70" i="33"/>
  <c r="C65" i="33"/>
  <c r="C61" i="33"/>
  <c r="C57" i="33"/>
  <c r="C53" i="33"/>
  <c r="C49" i="33"/>
  <c r="C44" i="33"/>
  <c r="C40" i="33"/>
  <c r="C36" i="33"/>
  <c r="C32" i="33"/>
  <c r="C12" i="33"/>
  <c r="C169" i="33"/>
  <c r="C157" i="33"/>
  <c r="C144" i="33"/>
  <c r="C124" i="33"/>
  <c r="C97" i="33"/>
  <c r="C81" i="33"/>
  <c r="C56" i="33"/>
  <c r="C9" i="33"/>
  <c r="C165" i="33"/>
  <c r="C152" i="33"/>
  <c r="C136" i="33"/>
  <c r="C101" i="33"/>
  <c r="C77" i="33"/>
  <c r="C48" i="33"/>
  <c r="B148" i="33"/>
  <c r="B116" i="33"/>
  <c r="B81" i="33"/>
  <c r="B48" i="33"/>
  <c r="B174" i="33"/>
  <c r="B151" i="33"/>
  <c r="B119" i="33"/>
  <c r="B84" i="33"/>
  <c r="B51" i="33"/>
  <c r="B188" i="33"/>
  <c r="B179" i="33"/>
  <c r="B142" i="33"/>
  <c r="B107" i="33"/>
  <c r="B75" i="33"/>
  <c r="B41" i="33"/>
  <c r="B166" i="33"/>
  <c r="B133" i="33"/>
  <c r="B98" i="33"/>
  <c r="B65" i="33"/>
  <c r="B32" i="33"/>
  <c r="B85" i="33"/>
  <c r="B146" i="33"/>
  <c r="B137" i="33"/>
  <c r="B144" i="33"/>
  <c r="B109" i="33"/>
  <c r="B77" i="33"/>
  <c r="B43" i="33"/>
  <c r="B147" i="33"/>
  <c r="B80" i="33"/>
  <c r="B47" i="33"/>
  <c r="B180" i="33"/>
  <c r="B172" i="33"/>
  <c r="B138" i="33"/>
  <c r="B103" i="33"/>
  <c r="B71" i="33"/>
  <c r="B37" i="33"/>
  <c r="B162" i="33"/>
  <c r="B129" i="33"/>
  <c r="B94" i="33"/>
  <c r="B61" i="33"/>
  <c r="B12" i="33"/>
  <c r="B120" i="33"/>
  <c r="B182" i="33"/>
  <c r="B55" i="33"/>
  <c r="B102" i="33"/>
  <c r="B175" i="33"/>
  <c r="B140" i="33"/>
  <c r="B105" i="33"/>
  <c r="B73" i="33"/>
  <c r="B39" i="33"/>
  <c r="B189" i="33"/>
  <c r="B143" i="33"/>
  <c r="B108" i="33"/>
  <c r="B76" i="33"/>
  <c r="B42" i="33"/>
  <c r="B173" i="33"/>
  <c r="B167" i="33"/>
  <c r="B134" i="33"/>
  <c r="B99" i="33"/>
  <c r="B66" i="33"/>
  <c r="B33" i="33"/>
  <c r="B158" i="33"/>
  <c r="B125" i="33"/>
  <c r="B90" i="33"/>
  <c r="B57" i="33"/>
  <c r="B183" i="33"/>
  <c r="B155" i="33"/>
  <c r="B79" i="33"/>
  <c r="B169" i="33"/>
  <c r="B136" i="33"/>
  <c r="B101" i="33"/>
  <c r="B68" i="33"/>
  <c r="B35" i="33"/>
  <c r="B181" i="33"/>
  <c r="B139" i="33"/>
  <c r="B104" i="33"/>
  <c r="B72" i="33"/>
  <c r="B38" i="33"/>
  <c r="B163" i="33"/>
  <c r="B130" i="33"/>
  <c r="B95" i="33"/>
  <c r="B62" i="33"/>
  <c r="B27" i="33"/>
  <c r="B184" i="33"/>
  <c r="B153" i="33"/>
  <c r="B121" i="33"/>
  <c r="B86" i="33"/>
  <c r="B53" i="33"/>
  <c r="B152" i="33"/>
  <c r="B123" i="33"/>
  <c r="B165" i="33"/>
  <c r="B132" i="33"/>
  <c r="B97" i="33"/>
  <c r="B64" i="33"/>
  <c r="B31" i="33"/>
  <c r="B168" i="33"/>
  <c r="B135" i="33"/>
  <c r="B100" i="33"/>
  <c r="B67" i="33"/>
  <c r="B34" i="33"/>
  <c r="B176" i="33"/>
  <c r="B159" i="33"/>
  <c r="B126" i="33"/>
  <c r="B91" i="33"/>
  <c r="B58" i="33"/>
  <c r="B149" i="33"/>
  <c r="B117" i="33"/>
  <c r="B82" i="33"/>
  <c r="B49" i="33"/>
  <c r="B170" i="33"/>
  <c r="B195" i="33"/>
  <c r="B161" i="33"/>
  <c r="B128" i="33"/>
  <c r="B93" i="33"/>
  <c r="B60" i="33"/>
  <c r="B9" i="33"/>
  <c r="B164" i="33"/>
  <c r="B131" i="33"/>
  <c r="B96" i="33"/>
  <c r="B63" i="33"/>
  <c r="B29" i="33"/>
  <c r="B154" i="33"/>
  <c r="B122" i="33"/>
  <c r="B87" i="33"/>
  <c r="B54" i="33"/>
  <c r="B185" i="33"/>
  <c r="B145" i="33"/>
  <c r="B78" i="33"/>
  <c r="B44" i="33"/>
  <c r="B52" i="33"/>
  <c r="B171" i="33"/>
  <c r="B70" i="33"/>
  <c r="B187" i="33"/>
  <c r="B157" i="33"/>
  <c r="B124" i="33"/>
  <c r="B89" i="33"/>
  <c r="B56" i="33"/>
  <c r="B194" i="33"/>
  <c r="B160" i="33"/>
  <c r="B127" i="33"/>
  <c r="B92" i="33"/>
  <c r="B59" i="33"/>
  <c r="B150" i="33"/>
  <c r="B118" i="33"/>
  <c r="B83" i="33"/>
  <c r="B50" i="33"/>
  <c r="B186" i="33"/>
  <c r="B177" i="33"/>
  <c r="B141" i="33"/>
  <c r="B106" i="33"/>
  <c r="B74" i="33"/>
  <c r="B40" i="33"/>
  <c r="B88" i="33"/>
  <c r="B46" i="33"/>
  <c r="B36" i="33"/>
  <c r="C63" i="80"/>
  <c r="C67" i="80"/>
  <c r="B65" i="80"/>
  <c r="B63" i="80"/>
  <c r="C61" i="80"/>
  <c r="C64" i="80"/>
  <c r="C59" i="80"/>
  <c r="B70" i="80"/>
  <c r="B61" i="80"/>
  <c r="C56" i="80"/>
  <c r="C70" i="80"/>
  <c r="C66" i="80"/>
  <c r="B64" i="80"/>
  <c r="B62" i="80"/>
  <c r="B69" i="80"/>
  <c r="C62" i="80"/>
  <c r="C58" i="80"/>
  <c r="B60" i="80"/>
  <c r="B71" i="80"/>
  <c r="B68" i="80"/>
  <c r="C69" i="80"/>
  <c r="C65" i="80"/>
  <c r="B56" i="80"/>
  <c r="B58" i="80"/>
  <c r="C57" i="80"/>
  <c r="B66" i="80"/>
  <c r="C71" i="80"/>
  <c r="C60" i="80"/>
  <c r="B57" i="80"/>
  <c r="B67" i="80"/>
  <c r="B59" i="80"/>
  <c r="C68" i="80"/>
  <c r="A15" i="80"/>
  <c r="A16" i="80" s="1"/>
  <c r="A17" i="80" s="1"/>
  <c r="A18" i="80" s="1"/>
  <c r="A19" i="80" s="1"/>
  <c r="A20" i="80" s="1"/>
  <c r="A21" i="80" s="1"/>
  <c r="A22" i="80" s="1"/>
  <c r="C47" i="80"/>
  <c r="C44" i="80"/>
  <c r="B46" i="80"/>
  <c r="B49" i="80"/>
  <c r="C45" i="80"/>
  <c r="B47" i="80"/>
  <c r="C54" i="80"/>
  <c r="C51" i="80"/>
  <c r="B55" i="80"/>
  <c r="B52" i="80"/>
  <c r="C40" i="80"/>
  <c r="C46" i="80"/>
  <c r="C43" i="80"/>
  <c r="B42" i="80"/>
  <c r="B48" i="80"/>
  <c r="C41" i="80"/>
  <c r="C48" i="80"/>
  <c r="C50" i="80"/>
  <c r="B44" i="80"/>
  <c r="B40" i="80"/>
  <c r="B51" i="80"/>
  <c r="C53" i="80"/>
  <c r="C42" i="80"/>
  <c r="B53" i="80"/>
  <c r="B43" i="80"/>
  <c r="B54" i="80"/>
  <c r="B50" i="80"/>
  <c r="C55" i="80"/>
  <c r="C52" i="80"/>
  <c r="B45" i="80"/>
  <c r="B41" i="80"/>
  <c r="C49" i="80"/>
  <c r="C15" i="80"/>
  <c r="C19" i="80"/>
  <c r="B8" i="80"/>
  <c r="B14" i="80"/>
  <c r="C13" i="80"/>
  <c r="B20" i="80"/>
  <c r="C22" i="80"/>
  <c r="C11" i="80"/>
  <c r="B12" i="80"/>
  <c r="B10" i="80"/>
  <c r="B19" i="80"/>
  <c r="C9" i="80"/>
  <c r="C14" i="80"/>
  <c r="C18" i="80"/>
  <c r="B11" i="80"/>
  <c r="B21" i="80"/>
  <c r="B15" i="80"/>
  <c r="C8" i="80"/>
  <c r="C10" i="80"/>
  <c r="B17" i="80"/>
  <c r="B22" i="80"/>
  <c r="C21" i="80"/>
  <c r="C16" i="80"/>
  <c r="B23" i="80"/>
  <c r="B18" i="80"/>
  <c r="C17" i="80"/>
  <c r="C23" i="80"/>
  <c r="C12" i="80"/>
  <c r="B16" i="80"/>
  <c r="B13" i="80"/>
  <c r="C20" i="80"/>
  <c r="B9" i="80"/>
  <c r="C31" i="80"/>
  <c r="C35" i="80"/>
  <c r="B35" i="80"/>
  <c r="B34" i="80"/>
  <c r="C36" i="80"/>
  <c r="B37" i="80"/>
  <c r="C38" i="80"/>
  <c r="C27" i="80"/>
  <c r="B27" i="80"/>
  <c r="B25" i="80"/>
  <c r="B26" i="80"/>
  <c r="C28" i="80"/>
  <c r="C30" i="80"/>
  <c r="C34" i="80"/>
  <c r="B31" i="80"/>
  <c r="B36" i="80"/>
  <c r="B39" i="80"/>
  <c r="C37" i="80"/>
  <c r="C26" i="80"/>
  <c r="B29" i="80"/>
  <c r="B24" i="80"/>
  <c r="B32" i="80"/>
  <c r="C29" i="80"/>
  <c r="C33" i="80"/>
  <c r="B30" i="80"/>
  <c r="B33" i="80"/>
  <c r="C25" i="80"/>
  <c r="C24" i="80"/>
  <c r="C39" i="80"/>
  <c r="C32" i="80"/>
  <c r="B28" i="80"/>
  <c r="B38" i="80"/>
  <c r="C86" i="80"/>
  <c r="C75" i="80"/>
  <c r="B75" i="80"/>
  <c r="B74" i="80"/>
  <c r="C78" i="80"/>
  <c r="C82" i="80"/>
  <c r="B83" i="80"/>
  <c r="B85" i="80"/>
  <c r="C73" i="80"/>
  <c r="C80" i="80"/>
  <c r="C85" i="80"/>
  <c r="C74" i="80"/>
  <c r="B79" i="80"/>
  <c r="B86" i="80"/>
  <c r="B78" i="80"/>
  <c r="C77" i="80"/>
  <c r="C72" i="80"/>
  <c r="B76" i="80"/>
  <c r="B82" i="80"/>
  <c r="C76" i="80"/>
  <c r="B81" i="80"/>
  <c r="C84" i="80"/>
  <c r="C81" i="80"/>
  <c r="B84" i="80"/>
  <c r="B73" i="80"/>
  <c r="C87" i="80"/>
  <c r="C79" i="80"/>
  <c r="C83" i="80"/>
  <c r="B72" i="80"/>
  <c r="B87" i="80"/>
  <c r="B77" i="80"/>
  <c r="B80" i="80"/>
  <c r="S2" i="45"/>
  <c r="P2" i="45"/>
  <c r="O2" i="45"/>
  <c r="R2" i="45"/>
  <c r="Q2" i="45"/>
  <c r="E59" i="18"/>
  <c r="E57" i="18"/>
  <c r="E55" i="18"/>
  <c r="E51" i="18"/>
  <c r="E49" i="18"/>
  <c r="E36" i="18"/>
  <c r="E35" i="18"/>
  <c r="E34" i="18"/>
  <c r="E33" i="18"/>
  <c r="E32" i="18"/>
  <c r="E31" i="18"/>
  <c r="E22" i="18"/>
  <c r="E21" i="18"/>
  <c r="A26" i="28" l="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D49" i="28" s="1"/>
  <c r="A119" i="25"/>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73" i="25" s="1"/>
  <c r="A174" i="25" s="1"/>
  <c r="A175" i="25" s="1"/>
  <c r="A176" i="25" s="1"/>
  <c r="A177" i="25" s="1"/>
  <c r="A178" i="25" s="1"/>
  <c r="A179" i="25" s="1"/>
  <c r="A180" i="25" s="1"/>
  <c r="A158" i="40"/>
  <c r="A159" i="40" s="1"/>
  <c r="A160" i="40" s="1"/>
  <c r="A161" i="40" s="1"/>
  <c r="A162" i="40" s="1"/>
  <c r="D163" i="40" s="1"/>
  <c r="A23" i="67"/>
  <c r="A24" i="67" s="1"/>
  <c r="A25" i="67" s="1"/>
  <c r="A26" i="67" s="1"/>
  <c r="A27" i="67" s="1"/>
  <c r="A28" i="67" s="1"/>
  <c r="A29" i="67" s="1"/>
  <c r="A30" i="67" s="1"/>
  <c r="A31" i="67" s="1"/>
  <c r="A32" i="67" s="1"/>
  <c r="A33" i="67" s="1"/>
  <c r="A34" i="67" s="1"/>
  <c r="A35" i="67" s="1"/>
  <c r="A36" i="67" s="1"/>
  <c r="A37" i="67" s="1"/>
  <c r="A38" i="67" s="1"/>
  <c r="A39" i="67" s="1"/>
  <c r="A40" i="67" s="1"/>
  <c r="A41" i="67" s="1"/>
  <c r="A42" i="67" s="1"/>
  <c r="A43" i="67" s="1"/>
  <c r="A44" i="67" s="1"/>
  <c r="A45" i="67" s="1"/>
  <c r="A46" i="67" s="1"/>
  <c r="A47" i="67" s="1"/>
  <c r="A48" i="67" s="1"/>
  <c r="A49" i="67" s="1"/>
  <c r="A50" i="67" s="1"/>
  <c r="A51" i="67" s="1"/>
  <c r="A52" i="67" s="1"/>
  <c r="A53" i="67" s="1"/>
  <c r="A54" i="67" s="1"/>
  <c r="A55" i="67" s="1"/>
  <c r="A56" i="67" s="1"/>
  <c r="A57" i="67" s="1"/>
  <c r="A58" i="67" s="1"/>
  <c r="A59" i="67" s="1"/>
  <c r="T6" i="87"/>
  <c r="T5" i="87"/>
  <c r="S5" i="87"/>
  <c r="S6" i="87"/>
  <c r="P3" i="87"/>
  <c r="J5" i="87" a="1"/>
  <c r="J5" i="87" s="1"/>
  <c r="P4" i="87"/>
  <c r="J6" i="87" a="1"/>
  <c r="J6" i="87" s="1"/>
  <c r="I5" i="87" a="1"/>
  <c r="I5" i="87" s="1"/>
  <c r="I6" i="87" a="1"/>
  <c r="I6" i="87" s="1"/>
  <c r="F4" i="87" a="1"/>
  <c r="F4" i="87" s="1"/>
  <c r="F3" i="87" a="1"/>
  <c r="F3" i="87" s="1"/>
  <c r="D5" i="87" a="1"/>
  <c r="D5" i="87" s="1"/>
  <c r="C5" i="87" a="1"/>
  <c r="C5" i="87" s="1"/>
  <c r="D6" i="87" a="1"/>
  <c r="D6" i="87" s="1"/>
  <c r="C3" i="87" a="1"/>
  <c r="C3" i="87" s="1"/>
  <c r="C6" i="87" a="1"/>
  <c r="C6" i="87" s="1"/>
  <c r="C4" i="87" a="1"/>
  <c r="C4" i="87" s="1"/>
  <c r="M4" i="87"/>
  <c r="N6" i="87"/>
  <c r="N5" i="87"/>
  <c r="M6" i="87"/>
  <c r="M5" i="87"/>
  <c r="M3" i="87"/>
  <c r="V6" i="87"/>
  <c r="U6" i="87"/>
  <c r="L6" i="87" a="1"/>
  <c r="L6" i="87" s="1"/>
  <c r="L5" i="87" a="1"/>
  <c r="L5" i="87" s="1"/>
  <c r="K5" i="87" a="1"/>
  <c r="K5" i="87" s="1"/>
  <c r="Q4" i="87"/>
  <c r="Q3" i="87"/>
  <c r="K6" i="87" a="1"/>
  <c r="K6" i="87" s="1"/>
  <c r="G4" i="87" a="1"/>
  <c r="G4" i="87" s="1"/>
  <c r="G3" i="87" a="1"/>
  <c r="G3" i="87" s="1"/>
  <c r="V5" i="87"/>
  <c r="U5" i="87"/>
  <c r="G6" i="87" a="1"/>
  <c r="G6" i="87" s="1"/>
  <c r="E3" i="87" a="1"/>
  <c r="E3" i="87" s="1"/>
  <c r="O4" i="87"/>
  <c r="R6" i="87"/>
  <c r="R5" i="87"/>
  <c r="Q5" i="87"/>
  <c r="Q6" i="87"/>
  <c r="H5" i="87" a="1"/>
  <c r="H5" i="87" s="1"/>
  <c r="H6" i="87" a="1"/>
  <c r="H6" i="87" s="1"/>
  <c r="G5" i="87" a="1"/>
  <c r="G5" i="87" s="1"/>
  <c r="O3" i="87"/>
  <c r="E4" i="87" a="1"/>
  <c r="E4" i="87" s="1"/>
  <c r="E5" i="87" a="1"/>
  <c r="E5" i="87" s="1"/>
  <c r="F6" i="87" a="1"/>
  <c r="F6" i="87" s="1"/>
  <c r="E6" i="87" a="1"/>
  <c r="E6" i="87" s="1"/>
  <c r="D4" i="87" a="1"/>
  <c r="D4" i="87" s="1"/>
  <c r="D3" i="87" a="1"/>
  <c r="D3" i="87" s="1"/>
  <c r="P6" i="87"/>
  <c r="P5" i="87"/>
  <c r="N4" i="87"/>
  <c r="O6" i="87"/>
  <c r="O5" i="87"/>
  <c r="F5" i="87" a="1"/>
  <c r="F5" i="87" s="1"/>
  <c r="N3" i="87"/>
  <c r="A23" i="80"/>
  <c r="A24" i="80" s="1"/>
  <c r="A25" i="80" s="1"/>
  <c r="A26" i="80" s="1"/>
  <c r="A27" i="80" s="1"/>
  <c r="A28" i="80" s="1"/>
  <c r="A29" i="80" s="1"/>
  <c r="A30" i="80" s="1"/>
  <c r="A31" i="80" s="1"/>
  <c r="A32" i="80" s="1"/>
  <c r="A33" i="80" s="1"/>
  <c r="A34" i="80" s="1"/>
  <c r="A35" i="80" s="1"/>
  <c r="A36" i="80" s="1"/>
  <c r="A37" i="80" s="1"/>
  <c r="A38" i="80" s="1"/>
  <c r="A39" i="80" s="1"/>
  <c r="A40" i="80" s="1"/>
  <c r="A41" i="80" s="1"/>
  <c r="A42" i="80" s="1"/>
  <c r="A43" i="80" s="1"/>
  <c r="A44" i="80" s="1"/>
  <c r="A45" i="80" s="1"/>
  <c r="A46" i="80" s="1"/>
  <c r="A86" i="46"/>
  <c r="A87" i="46" s="1"/>
  <c r="A88" i="46" s="1"/>
  <c r="A89" i="46" s="1"/>
  <c r="A90" i="46" s="1"/>
  <c r="A91" i="46" s="1"/>
  <c r="A92" i="46" s="1"/>
  <c r="A93" i="46" s="1"/>
  <c r="A94" i="46" s="1"/>
  <c r="A95" i="46" s="1"/>
  <c r="A96" i="46" s="1"/>
  <c r="A97" i="46" s="1"/>
  <c r="A98" i="46" s="1"/>
  <c r="A99" i="46" s="1"/>
  <c r="A100" i="46" s="1"/>
  <c r="A101" i="46" s="1"/>
  <c r="A102" i="46" s="1"/>
  <c r="A103" i="46" s="1"/>
  <c r="A104" i="46" s="1"/>
  <c r="A105" i="46" s="1"/>
  <c r="A106" i="46" s="1"/>
  <c r="A107" i="46" s="1"/>
  <c r="A108" i="46" s="1"/>
  <c r="A109" i="46" s="1"/>
  <c r="A110" i="46" s="1"/>
  <c r="A111" i="46" s="1"/>
  <c r="A112" i="46" s="1"/>
  <c r="A113" i="46" s="1"/>
  <c r="A114" i="46" s="1"/>
  <c r="A115" i="46" s="1"/>
  <c r="A116" i="46" s="1"/>
  <c r="A117" i="46" s="1"/>
  <c r="A118" i="46" s="1"/>
  <c r="A119" i="46" s="1"/>
  <c r="A120" i="46" s="1"/>
  <c r="A121" i="46" s="1"/>
  <c r="A122" i="46" s="1"/>
  <c r="A123" i="46" s="1"/>
  <c r="A124" i="46" s="1"/>
  <c r="A125" i="46" s="1"/>
  <c r="A126" i="46" s="1"/>
  <c r="A127" i="46" s="1"/>
  <c r="A128" i="46" s="1"/>
  <c r="A129" i="46" s="1"/>
  <c r="A130" i="46" s="1"/>
  <c r="A131" i="46" s="1"/>
  <c r="A132" i="46" s="1"/>
  <c r="A133" i="46" s="1"/>
  <c r="A134" i="46" s="1"/>
  <c r="A135" i="46" s="1"/>
  <c r="A136" i="46" s="1"/>
  <c r="A137" i="46" s="1"/>
  <c r="A138" i="46" s="1"/>
  <c r="A139" i="46" s="1"/>
  <c r="A140" i="46" s="1"/>
  <c r="A141" i="46" s="1"/>
  <c r="A142" i="46" s="1"/>
  <c r="A143" i="46" s="1"/>
  <c r="A144" i="46" s="1"/>
  <c r="A145" i="46" s="1"/>
  <c r="A146" i="46" s="1"/>
  <c r="A147" i="46" s="1"/>
  <c r="A148" i="46" s="1"/>
  <c r="A149" i="46" s="1"/>
  <c r="A150" i="46" s="1"/>
  <c r="A151" i="46" s="1"/>
  <c r="A152" i="46" s="1"/>
  <c r="A153" i="46" s="1"/>
  <c r="A154" i="46" s="1"/>
  <c r="A155" i="46" s="1"/>
  <c r="A156" i="46" s="1"/>
  <c r="A157" i="46" s="1"/>
  <c r="A158" i="46" s="1"/>
  <c r="A159" i="46" s="1"/>
  <c r="A160" i="46" s="1"/>
  <c r="A161" i="46" s="1"/>
  <c r="A200" i="46" s="1"/>
  <c r="A201" i="46" s="1"/>
  <c r="E46" i="18"/>
  <c r="E45" i="18"/>
  <c r="E44" i="18"/>
  <c r="E43" i="18"/>
  <c r="E41" i="18"/>
  <c r="D37" i="28" l="1"/>
  <c r="A49" i="28"/>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63" i="40"/>
  <c r="A164" i="40" s="1"/>
  <c r="A165" i="40" s="1"/>
  <c r="A166" i="40" s="1"/>
  <c r="A167" i="40" s="1"/>
  <c r="A168" i="40" s="1"/>
  <c r="A169" i="40" s="1"/>
  <c r="A170" i="40" s="1"/>
  <c r="A171" i="40" s="1"/>
  <c r="A172" i="40" s="1"/>
  <c r="A173" i="40" s="1"/>
  <c r="A174" i="40" s="1"/>
  <c r="A175" i="40" s="1"/>
  <c r="A176" i="40" s="1"/>
  <c r="A177" i="40" s="1"/>
  <c r="A178" i="40" s="1"/>
  <c r="A179" i="40" s="1"/>
  <c r="A180" i="40" s="1"/>
  <c r="A181" i="40" s="1"/>
  <c r="A182" i="40" s="1"/>
  <c r="A6" i="41" s="1"/>
  <c r="A7" i="41" s="1"/>
  <c r="A68" i="100"/>
  <c r="L18" i="101" s="1"/>
  <c r="C69" i="100"/>
  <c r="N19" i="101" s="1"/>
  <c r="C65" i="100"/>
  <c r="N15" i="101" s="1"/>
  <c r="A65" i="100"/>
  <c r="L15" i="101" s="1"/>
  <c r="A69" i="100"/>
  <c r="L19" i="101" s="1"/>
  <c r="A66" i="100"/>
  <c r="L16" i="101" s="1"/>
  <c r="A67" i="100"/>
  <c r="L17" i="101" s="1"/>
  <c r="A61" i="100"/>
  <c r="L11" i="101" s="1"/>
  <c r="C61" i="100"/>
  <c r="N11" i="101" s="1"/>
  <c r="C60" i="100"/>
  <c r="N10" i="101" s="1"/>
  <c r="A63" i="100"/>
  <c r="L13" i="101" s="1"/>
  <c r="A64" i="100"/>
  <c r="L14" i="101" s="1"/>
  <c r="A62" i="100"/>
  <c r="L12" i="101" s="1"/>
  <c r="C62" i="100"/>
  <c r="N12" i="101" s="1"/>
  <c r="C63" i="100"/>
  <c r="N13" i="101" s="1"/>
  <c r="C64" i="100"/>
  <c r="N14" i="101" s="1"/>
  <c r="A60" i="100"/>
  <c r="L10" i="101" s="1"/>
  <c r="A60" i="67"/>
  <c r="A61" i="67" s="1"/>
  <c r="A62" i="67" s="1"/>
  <c r="A63" i="67" s="1"/>
  <c r="A161" i="25"/>
  <c r="A162" i="25" s="1"/>
  <c r="A163" i="25" s="1"/>
  <c r="A164" i="25" s="1"/>
  <c r="A165" i="25" s="1"/>
  <c r="A166" i="25" s="1"/>
  <c r="A167" i="25" s="1"/>
  <c r="A168" i="25" s="1"/>
  <c r="A169" i="25" s="1"/>
  <c r="A170" i="25" s="1"/>
  <c r="A171" i="25" s="1"/>
  <c r="A172"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A199" i="25" s="1"/>
  <c r="A201" i="25" s="1"/>
  <c r="A202" i="25" s="1"/>
  <c r="A203" i="25" s="1"/>
  <c r="A47" i="80"/>
  <c r="A48" i="80" s="1"/>
  <c r="A49" i="80" s="1"/>
  <c r="A50" i="80" s="1"/>
  <c r="A51" i="80" s="1"/>
  <c r="A52" i="80" s="1"/>
  <c r="A53" i="80" s="1"/>
  <c r="A54" i="80" s="1"/>
  <c r="A55" i="80" s="1"/>
  <c r="A56" i="80" s="1"/>
  <c r="A57" i="80" s="1"/>
  <c r="A58" i="80" s="1"/>
  <c r="A59" i="80" s="1"/>
  <c r="A60" i="80" s="1"/>
  <c r="A61" i="80" s="1"/>
  <c r="A62" i="80" s="1"/>
  <c r="A63" i="80" s="1"/>
  <c r="A64" i="80" s="1"/>
  <c r="A65" i="80" s="1"/>
  <c r="A66" i="80" s="1"/>
  <c r="A67" i="80" s="1"/>
  <c r="B173" i="38"/>
  <c r="B166" i="38"/>
  <c r="B161" i="38"/>
  <c r="B156" i="38"/>
  <c r="B152" i="38"/>
  <c r="B143" i="38"/>
  <c r="B140" i="38"/>
  <c r="B134" i="38"/>
  <c r="B128" i="38"/>
  <c r="B98" i="38"/>
  <c r="B88" i="38"/>
  <c r="B84" i="38"/>
  <c r="B82" i="38"/>
  <c r="B55" i="38"/>
  <c r="B48" i="38"/>
  <c r="B44" i="38"/>
  <c r="B41" i="38"/>
  <c r="B37" i="38"/>
  <c r="B33" i="38"/>
  <c r="B27" i="38"/>
  <c r="B24" i="38"/>
  <c r="B11" i="38"/>
  <c r="C26" i="38"/>
  <c r="C20" i="38"/>
  <c r="C178" i="38"/>
  <c r="C171" i="38"/>
  <c r="C164" i="38"/>
  <c r="C159" i="38"/>
  <c r="C179" i="38"/>
  <c r="C176" i="38"/>
  <c r="C169" i="38"/>
  <c r="C165" i="38"/>
  <c r="C160" i="38"/>
  <c r="C155" i="38"/>
  <c r="C151" i="38"/>
  <c r="C145" i="38"/>
  <c r="C139" i="38"/>
  <c r="C136" i="38"/>
  <c r="C131" i="38"/>
  <c r="C97" i="38"/>
  <c r="C87" i="38"/>
  <c r="C66" i="38"/>
  <c r="C63" i="38"/>
  <c r="C58" i="38"/>
  <c r="C54" i="38"/>
  <c r="C47" i="38"/>
  <c r="C40" i="38"/>
  <c r="C36" i="38"/>
  <c r="C10" i="38"/>
  <c r="B20" i="38"/>
  <c r="B179" i="38"/>
  <c r="B176" i="38"/>
  <c r="B169" i="38"/>
  <c r="B165" i="38"/>
  <c r="B160" i="38"/>
  <c r="B155" i="38"/>
  <c r="B151" i="38"/>
  <c r="B145" i="38"/>
  <c r="B139" i="38"/>
  <c r="B136" i="38"/>
  <c r="B131" i="38"/>
  <c r="B97" i="38"/>
  <c r="B87" i="38"/>
  <c r="B66" i="38"/>
  <c r="B63" i="38"/>
  <c r="B58" i="38"/>
  <c r="B54" i="38"/>
  <c r="B47" i="38"/>
  <c r="B40" i="38"/>
  <c r="B36" i="38"/>
  <c r="B26" i="38"/>
  <c r="B10" i="38"/>
  <c r="C175" i="38"/>
  <c r="C168" i="38"/>
  <c r="C158" i="38"/>
  <c r="C167" i="38"/>
  <c r="C157" i="38"/>
  <c r="C153" i="38"/>
  <c r="C141" i="38"/>
  <c r="C137" i="38"/>
  <c r="C135" i="38"/>
  <c r="C132" i="38"/>
  <c r="C129" i="38"/>
  <c r="C126" i="38"/>
  <c r="C85" i="38"/>
  <c r="C64" i="38"/>
  <c r="C62" i="38"/>
  <c r="C56" i="38"/>
  <c r="C45" i="38"/>
  <c r="C38" i="38"/>
  <c r="C34" i="38"/>
  <c r="C28" i="38"/>
  <c r="C25" i="38"/>
  <c r="C22" i="38"/>
  <c r="C12" i="38"/>
  <c r="B167" i="38"/>
  <c r="B157" i="38"/>
  <c r="B153" i="38"/>
  <c r="B141" i="38"/>
  <c r="B137" i="38"/>
  <c r="B135" i="38"/>
  <c r="B132" i="38"/>
  <c r="B129" i="38"/>
  <c r="B126" i="38"/>
  <c r="B85" i="38"/>
  <c r="B64" i="38"/>
  <c r="B62" i="38"/>
  <c r="B56" i="38"/>
  <c r="B45" i="38"/>
  <c r="B38" i="38"/>
  <c r="B34" i="38"/>
  <c r="B28" i="38"/>
  <c r="B25" i="38"/>
  <c r="B22" i="38"/>
  <c r="B12" i="38"/>
  <c r="C161" i="38"/>
  <c r="C150" i="38"/>
  <c r="C143" i="38"/>
  <c r="C127" i="38"/>
  <c r="C88" i="38"/>
  <c r="C55" i="38"/>
  <c r="C29" i="38"/>
  <c r="B29" i="38"/>
  <c r="B53" i="38"/>
  <c r="C46" i="38"/>
  <c r="B175" i="38"/>
  <c r="B159" i="38"/>
  <c r="B150" i="38"/>
  <c r="C142" i="38"/>
  <c r="C134" i="38"/>
  <c r="B127" i="38"/>
  <c r="C86" i="38"/>
  <c r="C53" i="38"/>
  <c r="C41" i="38"/>
  <c r="C173" i="38"/>
  <c r="B142" i="38"/>
  <c r="C133" i="38"/>
  <c r="B86" i="38"/>
  <c r="C65" i="38"/>
  <c r="C39" i="38"/>
  <c r="C27" i="38"/>
  <c r="C156" i="38"/>
  <c r="C83" i="38"/>
  <c r="C37" i="38"/>
  <c r="B171" i="38"/>
  <c r="B158" i="38"/>
  <c r="C140" i="38"/>
  <c r="B133" i="38"/>
  <c r="C84" i="38"/>
  <c r="B65" i="38"/>
  <c r="C48" i="38"/>
  <c r="B39" i="38"/>
  <c r="C138" i="38"/>
  <c r="B168" i="38"/>
  <c r="C154" i="38"/>
  <c r="B138" i="38"/>
  <c r="C130" i="38"/>
  <c r="C98" i="38"/>
  <c r="B83" i="38"/>
  <c r="B46" i="38"/>
  <c r="C35" i="38"/>
  <c r="C24" i="38"/>
  <c r="B164" i="38"/>
  <c r="B144" i="38"/>
  <c r="C128" i="38"/>
  <c r="B57" i="38"/>
  <c r="C33" i="38"/>
  <c r="B23" i="38"/>
  <c r="C166" i="38"/>
  <c r="B154" i="38"/>
  <c r="C144" i="38"/>
  <c r="B130" i="38"/>
  <c r="C82" i="38"/>
  <c r="C57" i="38"/>
  <c r="C44" i="38"/>
  <c r="B35" i="38"/>
  <c r="C23" i="38"/>
  <c r="C11" i="38"/>
  <c r="B178" i="38"/>
  <c r="C152" i="38"/>
  <c r="B15" i="38"/>
  <c r="C14" i="38"/>
  <c r="B14" i="38"/>
  <c r="C15" i="38"/>
  <c r="C13" i="38"/>
  <c r="B13" i="38"/>
  <c r="D56" i="28" l="1"/>
  <c r="D181" i="40"/>
  <c r="A8" i="41"/>
  <c r="A9" i="41" s="1"/>
  <c r="A10" i="41" s="1"/>
  <c r="A11" i="41" s="1"/>
  <c r="A12" i="41" s="1"/>
  <c r="A13" i="41" s="1"/>
  <c r="A14" i="41" s="1"/>
  <c r="A73" i="67"/>
  <c r="A74" i="67" s="1"/>
  <c r="A75" i="67" s="1"/>
  <c r="A76" i="67" s="1"/>
  <c r="A70" i="67"/>
  <c r="A71" i="67" s="1"/>
  <c r="A72" i="67" s="1"/>
  <c r="A64" i="67"/>
  <c r="A65" i="67" s="1" a="1"/>
  <c r="A65" i="67" s="1"/>
  <c r="A66" i="67" s="1"/>
  <c r="A67" i="67" s="1"/>
  <c r="A68" i="67" s="1"/>
  <c r="A69" i="67" s="1"/>
  <c r="A206" i="25" a="1"/>
  <c r="A206" i="25" s="1"/>
  <c r="A210" i="25" a="1"/>
  <c r="A210" i="25" s="1"/>
  <c r="A211" i="25" s="1"/>
  <c r="A212" i="25" s="1"/>
  <c r="A213" i="25" s="1"/>
  <c r="A214" i="25" s="1"/>
  <c r="A215" i="25" s="1"/>
  <c r="A200" i="25"/>
  <c r="A204" i="25"/>
  <c r="A205" i="25" s="1"/>
  <c r="A68" i="80"/>
  <c r="A69" i="80" s="1"/>
  <c r="A70" i="80" s="1"/>
  <c r="A71" i="80" s="1"/>
  <c r="A72" i="80" s="1"/>
  <c r="A73" i="80" s="1"/>
  <c r="A74" i="80" s="1"/>
  <c r="A75" i="80" s="1"/>
  <c r="A15" i="41" l="1"/>
  <c r="A77" i="67"/>
  <c r="A78" i="67" s="1"/>
  <c r="A79" i="67" s="1"/>
  <c r="A207" i="25"/>
  <c r="A208" i="25" s="1"/>
  <c r="A209" i="25" s="1"/>
  <c r="A216" i="25" s="1"/>
  <c r="A217" i="25" s="1"/>
  <c r="A218" i="25" s="1"/>
  <c r="A219" i="25" s="1"/>
  <c r="A220" i="25" s="1"/>
  <c r="A221" i="25" s="1"/>
  <c r="A222" i="25" s="1"/>
  <c r="A223" i="25" s="1"/>
  <c r="A224" i="25" s="1"/>
  <c r="A225" i="25" s="1"/>
  <c r="A226" i="25" s="1"/>
  <c r="A76" i="80"/>
  <c r="A77" i="80" s="1"/>
  <c r="A78" i="80" s="1"/>
  <c r="A16" i="41" l="1"/>
  <c r="A17" i="41" s="1"/>
  <c r="A18" i="41" s="1"/>
  <c r="A19" i="41" s="1"/>
  <c r="A20" i="41" s="1"/>
  <c r="A21" i="41" s="1"/>
  <c r="A22" i="41" s="1"/>
  <c r="A23" i="41" s="1"/>
  <c r="A24" i="41" s="1"/>
  <c r="A25" i="41" s="1"/>
  <c r="A26" i="41" s="1"/>
  <c r="A27" i="41" s="1"/>
  <c r="A28" i="41" s="1"/>
  <c r="A29" i="41" s="1"/>
  <c r="A30" i="41" s="1"/>
  <c r="A80" i="67"/>
  <c r="A81" i="67" s="1"/>
  <c r="A82" i="67"/>
  <c r="A228" i="25"/>
  <c r="A229" i="25" s="1"/>
  <c r="A230" i="25" s="1"/>
  <c r="A227" i="25"/>
  <c r="A79" i="80"/>
  <c r="A80" i="80" s="1"/>
  <c r="A81" i="80" s="1"/>
  <c r="A82" i="80" s="1"/>
  <c r="A83" i="80" s="1"/>
  <c r="A84" i="80" s="1"/>
  <c r="A85" i="80" s="1"/>
  <c r="A86" i="80" s="1"/>
  <c r="D31" i="41" l="1"/>
  <c r="A31" i="41"/>
  <c r="A32" i="41" s="1"/>
  <c r="A33" i="41" s="1"/>
  <c r="A34" i="41" s="1"/>
  <c r="A35" i="41" s="1"/>
  <c r="A36" i="41" s="1"/>
  <c r="A37" i="41" s="1"/>
  <c r="A38" i="41" s="1"/>
  <c r="A39" i="41" s="1"/>
  <c r="A40" i="41" s="1"/>
  <c r="A41" i="41" s="1"/>
  <c r="A42" i="41" s="1"/>
  <c r="D43" i="41" s="1"/>
  <c r="D121" i="28"/>
  <c r="A121" i="28"/>
  <c r="A122" i="28" s="1"/>
  <c r="A123" i="28" s="1"/>
  <c r="A124" i="28" s="1"/>
  <c r="A83" i="67"/>
  <c r="A84" i="67" s="1"/>
  <c r="A85" i="67" s="1"/>
  <c r="A86" i="67" s="1"/>
  <c r="A87" i="67" s="1"/>
  <c r="A88" i="67" s="1"/>
  <c r="A89" i="67" s="1"/>
  <c r="A90" i="67" s="1"/>
  <c r="A91" i="67" s="1"/>
  <c r="A233" i="25" a="1"/>
  <c r="A233" i="25" s="1"/>
  <c r="A234" i="25" s="1"/>
  <c r="A235" i="25" s="1"/>
  <c r="A236" i="25" s="1"/>
  <c r="A237" i="25"/>
  <c r="A238" i="25" s="1"/>
  <c r="A239" i="25" s="1"/>
  <c r="A240" i="25" s="1"/>
  <c r="A241" i="25" s="1"/>
  <c r="A242" i="25" s="1"/>
  <c r="A231" i="25"/>
  <c r="A232" i="25" s="1"/>
  <c r="A87" i="80"/>
  <c r="A88" i="80" s="1"/>
  <c r="A89" i="80" s="1"/>
  <c r="A90" i="80" s="1"/>
  <c r="A91" i="80" s="1"/>
  <c r="A92" i="80" s="1"/>
  <c r="A93" i="80" s="1"/>
  <c r="A94" i="80" s="1"/>
  <c r="A95" i="80" s="1"/>
  <c r="A96" i="80" s="1"/>
  <c r="A97" i="80" s="1"/>
  <c r="A98" i="80" s="1"/>
  <c r="A99" i="80" s="1"/>
  <c r="A100" i="80" s="1"/>
  <c r="A101" i="80" s="1"/>
  <c r="A102" i="80" s="1"/>
  <c r="A103" i="80" s="1"/>
  <c r="A104" i="80" s="1"/>
  <c r="A105" i="80" s="1"/>
  <c r="A106" i="80" s="1"/>
  <c r="A107" i="80" s="1"/>
  <c r="A108" i="80" s="1"/>
  <c r="A109" i="80" s="1"/>
  <c r="A43" i="41" l="1"/>
  <c r="A44" i="41" s="1"/>
  <c r="A45" i="41" s="1"/>
  <c r="A46" i="41" s="1"/>
  <c r="A47" i="41" s="1"/>
  <c r="A48" i="41" s="1"/>
  <c r="A49" i="41" s="1"/>
  <c r="A50" i="41" s="1"/>
  <c r="A51" i="41" s="1"/>
  <c r="D52" i="41" s="1"/>
  <c r="A93" i="67"/>
  <c r="A94" i="67" s="1"/>
  <c r="A95" i="67" s="1"/>
  <c r="A96" i="67" s="1"/>
  <c r="A97" i="67" s="1"/>
  <c r="A98" i="67" s="1"/>
  <c r="A92" i="67"/>
  <c r="A243" i="25"/>
  <c r="A244" i="25" s="1"/>
  <c r="A245" i="25" s="1"/>
  <c r="A246" i="25" s="1"/>
  <c r="A247" i="25" s="1"/>
  <c r="A248" i="25" s="1"/>
  <c r="A249" i="25" s="1"/>
  <c r="A250" i="25" s="1"/>
  <c r="E61" i="18"/>
  <c r="E60" i="18"/>
  <c r="E58" i="18"/>
  <c r="E56" i="18"/>
  <c r="E54" i="18"/>
  <c r="A52" i="41" l="1"/>
  <c r="A53" i="41" s="1"/>
  <c r="A54" i="41" s="1"/>
  <c r="A55" i="41" s="1"/>
  <c r="A56" i="41" s="1"/>
  <c r="A57" i="41" s="1"/>
  <c r="A58" i="41" s="1"/>
  <c r="A59" i="41" s="1"/>
  <c r="D60" i="41" s="1"/>
  <c r="A99" i="67"/>
  <c r="A100" i="67" s="1"/>
  <c r="A101" i="67" s="1"/>
  <c r="A251" i="25"/>
  <c r="A252" i="25" s="1"/>
  <c r="A253" i="25" s="1"/>
  <c r="A254" i="25" s="1"/>
  <c r="A255" i="25" s="1"/>
  <c r="A256" i="25" s="1"/>
  <c r="A257" i="25" s="1"/>
  <c r="A258" i="25" s="1"/>
  <c r="A259" i="25" s="1"/>
  <c r="A260" i="25" s="1"/>
  <c r="A261" i="25" s="1"/>
  <c r="A262" i="25" s="1"/>
  <c r="A263" i="25" s="1"/>
  <c r="A264" i="25" s="1"/>
  <c r="A265" i="25" s="1"/>
  <c r="O2" i="18"/>
  <c r="A60" i="41" l="1"/>
  <c r="A61" i="41" s="1"/>
  <c r="A62" i="41" s="1"/>
  <c r="A63" i="41" s="1"/>
  <c r="A64" i="41" s="1"/>
  <c r="A65" i="41" s="1"/>
  <c r="A66" i="41" s="1"/>
  <c r="A67" i="41" s="1"/>
  <c r="A68" i="41" s="1"/>
  <c r="A69" i="41" s="1"/>
  <c r="A70" i="41" s="1"/>
  <c r="A71" i="41" s="1"/>
  <c r="A72" i="41" s="1"/>
  <c r="A73" i="41" s="1"/>
  <c r="A74" i="41" s="1"/>
  <c r="A75" i="41" s="1"/>
  <c r="A76" i="41" s="1"/>
  <c r="A77" i="41" s="1"/>
  <c r="A78" i="41" s="1"/>
  <c r="A79" i="41" s="1"/>
  <c r="A80" i="41" s="1"/>
  <c r="A81" i="41" s="1"/>
  <c r="A82" i="41" s="1"/>
  <c r="A83" i="41" s="1"/>
  <c r="A84" i="41" s="1"/>
  <c r="A85" i="41" s="1"/>
  <c r="A86" i="41" s="1"/>
  <c r="A87" i="41" s="1"/>
  <c r="A88" i="41" s="1"/>
  <c r="A89" i="41" s="1"/>
  <c r="A90" i="41" s="1"/>
  <c r="A91" i="41" s="1"/>
  <c r="A92" i="41" s="1"/>
  <c r="A93" i="41" s="1"/>
  <c r="A94" i="41" s="1"/>
  <c r="A95" i="41" s="1"/>
  <c r="A96" i="41" s="1"/>
  <c r="A97" i="41" s="1"/>
  <c r="A98" i="41" s="1"/>
  <c r="A99" i="41" s="1"/>
  <c r="A100" i="41" s="1"/>
  <c r="A101" i="41" s="1"/>
  <c r="A102" i="41" s="1"/>
  <c r="A103" i="41" s="1"/>
  <c r="D104" i="41" s="1"/>
  <c r="D123" i="28"/>
  <c r="A102" i="67"/>
  <c r="A103" i="67" s="1"/>
  <c r="A104" i="67" s="1"/>
  <c r="A105" i="67" s="1"/>
  <c r="A266" i="25"/>
  <c r="A267" i="25" s="1"/>
  <c r="A268" i="25" s="1"/>
  <c r="A269" i="25" s="1"/>
  <c r="A270" i="25" s="1"/>
  <c r="A271" i="25" s="1"/>
  <c r="D272" i="25" s="1"/>
  <c r="D266" i="25"/>
  <c r="E25" i="18"/>
  <c r="E37" i="18"/>
  <c r="E38" i="18"/>
  <c r="E39" i="18"/>
  <c r="E40" i="18"/>
  <c r="E42" i="18"/>
  <c r="E47" i="18"/>
  <c r="E48" i="18"/>
  <c r="E50" i="18"/>
  <c r="E52" i="18"/>
  <c r="E53" i="18"/>
  <c r="E24" i="18"/>
  <c r="E23" i="18"/>
  <c r="A104" i="41" l="1"/>
  <c r="A105" i="41" s="1"/>
  <c r="A106" i="41" s="1"/>
  <c r="A107" i="41" s="1"/>
  <c r="A108" i="41" s="1"/>
  <c r="A109" i="41" s="1"/>
  <c r="A110" i="41" s="1"/>
  <c r="A111" i="41" s="1"/>
  <c r="A112" i="41" s="1"/>
  <c r="A113" i="41" s="1"/>
  <c r="A114" i="41" s="1"/>
  <c r="A115" i="41" s="1"/>
  <c r="A116" i="41" s="1"/>
  <c r="A117" i="41" s="1"/>
  <c r="A118" i="41" s="1"/>
  <c r="A119" i="41" s="1"/>
  <c r="A120" i="41" s="1"/>
  <c r="A121" i="41" s="1"/>
  <c r="A122" i="41" s="1"/>
  <c r="A123" i="41" s="1"/>
  <c r="A124" i="41" s="1"/>
  <c r="A125" i="41" s="1"/>
  <c r="A126" i="41" s="1"/>
  <c r="A127" i="41" s="1"/>
  <c r="A128" i="41" s="1"/>
  <c r="A129" i="41" s="1"/>
  <c r="A130" i="41" s="1"/>
  <c r="A131" i="41" s="1"/>
  <c r="A132" i="41" s="1"/>
  <c r="A133" i="41" s="1"/>
  <c r="A134" i="41" s="1"/>
  <c r="A135" i="41" s="1"/>
  <c r="A136" i="41" s="1"/>
  <c r="A137" i="41" s="1"/>
  <c r="A138" i="41" s="1"/>
  <c r="A139" i="41" s="1"/>
  <c r="A140" i="41" s="1"/>
  <c r="A141" i="41" s="1"/>
  <c r="A142" i="41" s="1"/>
  <c r="A143" i="41" s="1"/>
  <c r="A144" i="41" s="1"/>
  <c r="A145" i="41" s="1"/>
  <c r="A146" i="41" s="1"/>
  <c r="A147" i="41" s="1"/>
  <c r="D148" i="41" s="1"/>
  <c r="A125" i="28"/>
  <c r="A126" i="28" s="1"/>
  <c r="A127" i="28" s="1"/>
  <c r="A128" i="28" s="1"/>
  <c r="D125" i="28"/>
  <c r="A272" i="25"/>
  <c r="A273" i="25" s="1"/>
  <c r="A274" i="25" s="1"/>
  <c r="A275" i="25" s="1"/>
  <c r="A276" i="25" s="1"/>
  <c r="A277" i="25" s="1"/>
  <c r="A278" i="25" s="1"/>
  <c r="A279" i="25" s="1"/>
  <c r="A280" i="25" s="1"/>
  <c r="A281" i="25" s="1"/>
  <c r="A282" i="25" s="1"/>
  <c r="A283" i="25" s="1"/>
  <c r="A284" i="25" s="1"/>
  <c r="A285" i="25" s="1"/>
  <c r="A286" i="25" s="1"/>
  <c r="A287" i="25" s="1"/>
  <c r="A288" i="25" s="1"/>
  <c r="A289" i="25" s="1"/>
  <c r="A290" i="25" s="1"/>
  <c r="A291" i="25" s="1"/>
  <c r="A6" i="24" s="1"/>
  <c r="A7" i="24" s="1"/>
  <c r="A8" i="24" s="1"/>
  <c r="A9" i="24" s="1"/>
  <c r="A10" i="24" s="1"/>
  <c r="A11" i="24" s="1"/>
  <c r="B133" i="84"/>
  <c r="B114" i="84"/>
  <c r="B102" i="84"/>
  <c r="B81" i="84"/>
  <c r="B74" i="84"/>
  <c r="B51" i="84"/>
  <c r="B45" i="84"/>
  <c r="B23" i="84"/>
  <c r="B111" i="84"/>
  <c r="B105" i="84"/>
  <c r="B67" i="84"/>
  <c r="B56" i="84"/>
  <c r="B48" i="84"/>
  <c r="B39" i="84"/>
  <c r="B36" i="84"/>
  <c r="B20" i="84"/>
  <c r="B41" i="84"/>
  <c r="B135" i="84"/>
  <c r="B132" i="84"/>
  <c r="B116" i="84"/>
  <c r="B100" i="84"/>
  <c r="B83" i="84"/>
  <c r="B61" i="84"/>
  <c r="B53" i="84"/>
  <c r="B44" i="84"/>
  <c r="B16" i="84"/>
  <c r="B113" i="84"/>
  <c r="B104" i="84"/>
  <c r="B80" i="84"/>
  <c r="B73" i="84"/>
  <c r="B50" i="84"/>
  <c r="B38" i="84"/>
  <c r="B22" i="84"/>
  <c r="B54" i="84"/>
  <c r="B17" i="84"/>
  <c r="B118" i="84"/>
  <c r="B107" i="84"/>
  <c r="B99" i="84"/>
  <c r="B85" i="84"/>
  <c r="B59" i="84"/>
  <c r="B55" i="84"/>
  <c r="B47" i="84"/>
  <c r="B19" i="84"/>
  <c r="B106" i="84"/>
  <c r="B134" i="84"/>
  <c r="B131" i="84"/>
  <c r="B115" i="84"/>
  <c r="B103" i="84"/>
  <c r="B82" i="84"/>
  <c r="B52" i="84"/>
  <c r="B43" i="84"/>
  <c r="B12" i="84"/>
  <c r="B117" i="84"/>
  <c r="B84" i="84"/>
  <c r="B112" i="84"/>
  <c r="B75" i="84"/>
  <c r="B71" i="84"/>
  <c r="B57" i="84"/>
  <c r="B49" i="84"/>
  <c r="B46" i="84"/>
  <c r="B37" i="84"/>
  <c r="B21" i="84"/>
  <c r="B136" i="84"/>
  <c r="A148" i="41" l="1"/>
  <c r="A149" i="41" s="1"/>
  <c r="A150" i="41" s="1"/>
  <c r="A151" i="41" s="1"/>
  <c r="A152" i="41" s="1"/>
  <c r="A153" i="41" s="1"/>
  <c r="A154" i="41" s="1"/>
  <c r="A155" i="41" s="1"/>
  <c r="A156" i="41" s="1"/>
  <c r="A157" i="41" s="1"/>
  <c r="A12" i="24"/>
  <c r="A129" i="28"/>
  <c r="A130" i="28" s="1"/>
  <c r="D129" i="28"/>
  <c r="D290" i="25"/>
  <c r="D158" i="41" l="1"/>
  <c r="A158" i="41"/>
  <c r="A159" i="41" s="1"/>
  <c r="A160" i="41" s="1"/>
  <c r="A161" i="41" s="1"/>
  <c r="A162" i="41" s="1"/>
  <c r="A13" i="24"/>
  <c r="A14" i="24" s="1"/>
  <c r="A15" i="24" s="1"/>
  <c r="A16" i="24" s="1"/>
  <c r="A17" i="24" s="1"/>
  <c r="A18" i="24" s="1"/>
  <c r="A19" i="24" s="1"/>
  <c r="A20" i="24" s="1"/>
  <c r="A21" i="24" s="1"/>
  <c r="A22" i="24" s="1"/>
  <c r="A23" i="24" s="1"/>
  <c r="A24" i="24" s="1"/>
  <c r="A25" i="24" s="1"/>
  <c r="A26" i="24" s="1"/>
  <c r="A27" i="24" s="1"/>
  <c r="A28" i="24" s="1"/>
  <c r="A29" i="24" s="1"/>
  <c r="D163" i="41" l="1"/>
  <c r="A163" i="41"/>
  <c r="A164" i="41" s="1"/>
  <c r="A165" i="41" s="1"/>
  <c r="A166" i="41" s="1"/>
  <c r="A167" i="41" s="1"/>
  <c r="A168" i="41" s="1"/>
  <c r="A169" i="41" s="1"/>
  <c r="A170" i="41" s="1"/>
  <c r="A171" i="41" s="1"/>
  <c r="A172" i="41" s="1"/>
  <c r="A173" i="41" s="1"/>
  <c r="A174" i="41" s="1"/>
  <c r="A175" i="41" s="1"/>
  <c r="A176" i="41" s="1"/>
  <c r="A177" i="41" s="1"/>
  <c r="A178" i="41" s="1"/>
  <c r="A179" i="41" s="1"/>
  <c r="A180" i="41" s="1"/>
  <c r="A181" i="41" s="1"/>
  <c r="A182" i="41" s="1"/>
  <c r="A30" i="24"/>
  <c r="A31" i="24" s="1"/>
  <c r="A32" i="24" s="1"/>
  <c r="A33" i="24" s="1"/>
  <c r="A34" i="24" s="1"/>
  <c r="A35" i="24" s="1"/>
  <c r="A36" i="24" s="1"/>
  <c r="A37" i="24" s="1"/>
  <c r="A38" i="24" s="1"/>
  <c r="A39" i="24" s="1"/>
  <c r="A40" i="24" s="1"/>
  <c r="A41" i="24" s="1"/>
  <c r="D30" i="24"/>
  <c r="D127" i="28"/>
  <c r="D181" i="41" l="1"/>
  <c r="D42" i="24"/>
  <c r="A42" i="24"/>
  <c r="A43" i="24" s="1"/>
  <c r="A44" i="24" s="1"/>
  <c r="A45" i="24" s="1"/>
  <c r="A46" i="24" s="1"/>
  <c r="A47" i="24" s="1"/>
  <c r="A48" i="24" s="1"/>
  <c r="A49" i="24" s="1"/>
  <c r="A50" i="24" l="1"/>
  <c r="A51" i="24" s="1"/>
  <c r="A52" i="24" s="1"/>
  <c r="A53" i="24" s="1"/>
  <c r="A54" i="24" s="1"/>
  <c r="A55" i="24" s="1"/>
  <c r="A56" i="24" s="1"/>
  <c r="A57" i="24" s="1"/>
  <c r="A58" i="24" s="1"/>
  <c r="A59" i="24" s="1"/>
  <c r="A60" i="24" s="1"/>
  <c r="A61" i="24" s="1"/>
  <c r="A62" i="24" s="1"/>
  <c r="A63" i="24" s="1"/>
  <c r="A64" i="24" s="1"/>
  <c r="A65" i="24" s="1"/>
  <c r="D50" i="24"/>
  <c r="A66" i="24" l="1"/>
  <c r="A67" i="24" s="1"/>
  <c r="A68" i="24" s="1"/>
  <c r="A69" i="24" s="1"/>
  <c r="A70" i="24" s="1"/>
  <c r="A71" i="24" s="1"/>
  <c r="A72" i="24" s="1"/>
  <c r="A73" i="24" s="1"/>
  <c r="A74" i="24" s="1"/>
  <c r="A75" i="24" s="1"/>
  <c r="A76" i="24" s="1"/>
  <c r="A77" i="24" s="1"/>
  <c r="A78" i="24"/>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19" i="24" l="1"/>
  <c r="A120" i="24" s="1"/>
  <c r="A121" i="24" s="1"/>
  <c r="A122" i="24" s="1"/>
  <c r="A123" i="24" s="1"/>
  <c r="A124" i="24" s="1"/>
  <c r="A125" i="24" s="1"/>
  <c r="A126" i="24" s="1"/>
  <c r="A127" i="24" s="1"/>
  <c r="A128" i="24" s="1"/>
  <c r="A129" i="24" s="1"/>
  <c r="A130" i="24" s="1"/>
  <c r="A131" i="24" s="1"/>
  <c r="A132" i="24" s="1"/>
  <c r="A133" i="24" s="1"/>
  <c r="A134" i="24" s="1"/>
  <c r="A135" i="24" s="1"/>
  <c r="A136" i="24" s="1"/>
  <c r="A107" i="24"/>
  <c r="A108" i="24" s="1"/>
  <c r="A109" i="24" s="1"/>
  <c r="A110" i="24" s="1"/>
  <c r="A111" i="24" s="1"/>
  <c r="A112" i="24" s="1"/>
  <c r="A113" i="24" s="1"/>
  <c r="A114" i="24" s="1"/>
  <c r="A115" i="24" s="1"/>
  <c r="A116" i="24" s="1"/>
  <c r="A117" i="24" s="1"/>
  <c r="A118" i="24" s="1"/>
  <c r="A131" i="28"/>
  <c r="A132" i="28" s="1"/>
  <c r="A133" i="28" s="1"/>
  <c r="A134" i="28" s="1"/>
  <c r="A135" i="28" s="1"/>
  <c r="A136" i="28" s="1"/>
  <c r="A137" i="24" l="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73" i="24" s="1"/>
  <c r="A174" i="24" s="1"/>
  <c r="A175" i="24" s="1"/>
  <c r="A176" i="24" s="1"/>
  <c r="A177" i="24" s="1"/>
  <c r="A178" i="24" s="1"/>
  <c r="A179" i="24" s="1"/>
  <c r="A180" i="24" s="1"/>
  <c r="A137" i="28"/>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D224" i="28" s="1"/>
  <c r="D137" i="28"/>
  <c r="A161" i="24" l="1"/>
  <c r="A162" i="24" s="1"/>
  <c r="A163" i="24" s="1"/>
  <c r="A164" i="24" s="1"/>
  <c r="A165" i="24" s="1"/>
  <c r="A166" i="24" s="1"/>
  <c r="A167" i="24" s="1"/>
  <c r="A168" i="24" s="1"/>
  <c r="A169" i="24" s="1"/>
  <c r="A170" i="24" s="1"/>
  <c r="A171" i="24" s="1"/>
  <c r="A172"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1" i="24" s="1"/>
  <c r="A202" i="24" s="1"/>
  <c r="A203" i="24" s="1"/>
  <c r="D212" i="28"/>
  <c r="A224" i="28"/>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D246" i="28" s="1"/>
  <c r="A200" i="24" l="1"/>
  <c r="A204" i="24"/>
  <c r="A205" i="24" s="1"/>
  <c r="A206" i="24" a="1"/>
  <c r="A206" i="24" s="1"/>
  <c r="A207" i="24" s="1"/>
  <c r="A208" i="24" s="1"/>
  <c r="A209" i="24" s="1"/>
  <c r="A210" i="24" a="1"/>
  <c r="A210" i="24" s="1"/>
  <c r="A211" i="24" s="1"/>
  <c r="A212" i="24" s="1"/>
  <c r="A213" i="24" s="1"/>
  <c r="A214" i="24" s="1"/>
  <c r="A215" i="24" s="1"/>
  <c r="D229" i="28"/>
  <c r="A246" i="28"/>
  <c r="A247" i="28" s="1"/>
  <c r="D248" i="28" s="1"/>
  <c r="A216" i="24" l="1"/>
  <c r="A217" i="24" s="1"/>
  <c r="A218" i="24" s="1"/>
  <c r="A219" i="24" s="1"/>
  <c r="A220" i="24" s="1"/>
  <c r="A221" i="24" s="1"/>
  <c r="A222" i="24" s="1"/>
  <c r="A223" i="24" s="1"/>
  <c r="A224" i="24" s="1"/>
  <c r="A225" i="24" s="1"/>
  <c r="A226" i="24" s="1"/>
  <c r="A228" i="24" s="1"/>
  <c r="A229" i="24" s="1"/>
  <c r="A230" i="24" s="1"/>
  <c r="A248" i="28"/>
  <c r="A249" i="28" s="1"/>
  <c r="D250" i="28" s="1"/>
  <c r="A227" i="24" l="1"/>
  <c r="A237" i="24"/>
  <c r="A238" i="24" s="1"/>
  <c r="A239" i="24" s="1"/>
  <c r="A240" i="24" s="1"/>
  <c r="A241" i="24" s="1"/>
  <c r="A242" i="24" s="1"/>
  <c r="A233" i="24" a="1"/>
  <c r="A233" i="24" s="1"/>
  <c r="A234" i="24" s="1"/>
  <c r="A235" i="24" s="1"/>
  <c r="A236"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D272" i="24" s="1"/>
  <c r="A231" i="24"/>
  <c r="A232" i="24" s="1"/>
  <c r="A250" i="28"/>
  <c r="A251" i="28" s="1"/>
  <c r="D252" i="28" s="1"/>
  <c r="D266" i="24" l="1"/>
  <c r="A252" i="28"/>
  <c r="A253" i="28" s="1"/>
  <c r="D254" i="28" s="1"/>
  <c r="A272" i="24"/>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6" i="22" s="1"/>
  <c r="A7" i="22" s="1"/>
  <c r="A8" i="22" s="1"/>
  <c r="A9" i="22" s="1"/>
  <c r="A10" i="22" s="1"/>
  <c r="A11" i="22" s="1"/>
  <c r="A12" i="22" l="1"/>
  <c r="A13" i="22" s="1"/>
  <c r="A14" i="22" s="1"/>
  <c r="A15" i="22" s="1"/>
  <c r="A16" i="22" s="1"/>
  <c r="A17" i="22" s="1"/>
  <c r="A18" i="22" s="1"/>
  <c r="A19" i="22" s="1"/>
  <c r="A20" i="22" s="1"/>
  <c r="A21" i="22" s="1"/>
  <c r="A22" i="22" s="1"/>
  <c r="A23" i="22" s="1"/>
  <c r="A24" i="22" s="1"/>
  <c r="A25" i="22" s="1"/>
  <c r="A26" i="22" s="1"/>
  <c r="A27" i="22" s="1"/>
  <c r="A28" i="22" s="1"/>
  <c r="A29" i="22" s="1"/>
  <c r="D30" i="22" s="1"/>
  <c r="A254" i="28"/>
  <c r="A255" i="28" s="1"/>
  <c r="D256" i="28" s="1"/>
  <c r="D290" i="24"/>
  <c r="A256" i="28" l="1"/>
  <c r="A30" i="22"/>
  <c r="A31" i="22" s="1"/>
  <c r="A32" i="22" s="1"/>
  <c r="A33" i="22" s="1"/>
  <c r="A34" i="22" s="1"/>
  <c r="A35" i="22" s="1"/>
  <c r="A36" i="22" s="1"/>
  <c r="A37" i="22" s="1"/>
  <c r="A38" i="22" s="1"/>
  <c r="A39" i="22" s="1"/>
  <c r="A40" i="22" s="1"/>
  <c r="A41" i="22" s="1"/>
  <c r="A257" i="28" l="1"/>
  <c r="A42" i="22"/>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D42" i="22"/>
  <c r="A258" i="28" l="1"/>
  <c r="A259" i="28" s="1"/>
  <c r="D260" i="28" s="1"/>
  <c r="D258" i="28"/>
  <c r="D50" i="22"/>
  <c r="A66" i="22"/>
  <c r="A67" i="22" s="1"/>
  <c r="A68" i="22" s="1"/>
  <c r="A69" i="22" s="1"/>
  <c r="A70" i="22" s="1"/>
  <c r="A71" i="22" s="1"/>
  <c r="A72" i="22" s="1"/>
  <c r="A73" i="22" s="1"/>
  <c r="A74" i="22" s="1"/>
  <c r="A75" i="22" s="1"/>
  <c r="A76" i="22" s="1"/>
  <c r="A77" i="22" s="1"/>
  <c r="A78" i="22"/>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260" i="28" l="1"/>
  <c r="A261" i="28" s="1"/>
  <c r="D262" i="28" s="1"/>
  <c r="A107" i="22"/>
  <c r="A108" i="22" s="1"/>
  <c r="A109" i="22" s="1"/>
  <c r="A110" i="22" s="1"/>
  <c r="A111" i="22" s="1"/>
  <c r="A112" i="22" s="1"/>
  <c r="A113" i="22" s="1"/>
  <c r="A114" i="22" s="1"/>
  <c r="A115" i="22" s="1"/>
  <c r="A116" i="22" s="1"/>
  <c r="A117" i="22" s="1"/>
  <c r="A118" i="22" s="1"/>
  <c r="A137" i="22" s="1"/>
  <c r="A138" i="22" s="1"/>
  <c r="A139" i="22" s="1"/>
  <c r="A140" i="22" s="1"/>
  <c r="A141" i="22" s="1"/>
  <c r="A142" i="22" s="1"/>
  <c r="A143" i="22" s="1"/>
  <c r="A144" i="22" s="1"/>
  <c r="A145" i="22" s="1"/>
  <c r="A146" i="22" s="1"/>
  <c r="A147" i="22" s="1"/>
  <c r="A148" i="22" s="1"/>
  <c r="A149" i="22" s="1"/>
  <c r="A150" i="22" s="1"/>
  <c r="A151" i="22" s="1"/>
  <c r="A152" i="22" s="1"/>
  <c r="A161" i="22" s="1"/>
  <c r="A162" i="22" s="1"/>
  <c r="A163" i="22" s="1"/>
  <c r="A164" i="22" s="1"/>
  <c r="A165" i="22" s="1"/>
  <c r="A166" i="22" s="1"/>
  <c r="A167" i="22" s="1"/>
  <c r="A168" i="22" s="1"/>
  <c r="A169" i="22" s="1"/>
  <c r="A170" i="22" s="1"/>
  <c r="A171" i="22" s="1"/>
  <c r="A172" i="22" s="1"/>
  <c r="A181" i="22" s="1"/>
  <c r="A182" i="22" s="1"/>
  <c r="A183" i="22" s="1"/>
  <c r="A184" i="22" s="1"/>
  <c r="A185" i="22" s="1"/>
  <c r="A186" i="22" s="1"/>
  <c r="A187" i="22" s="1"/>
  <c r="A188" i="22" s="1"/>
  <c r="A189" i="22" s="1"/>
  <c r="A190" i="22" s="1"/>
  <c r="A191" i="22" s="1"/>
  <c r="A192" i="22" s="1"/>
  <c r="A262" i="28" l="1"/>
  <c r="A263" i="28" s="1"/>
  <c r="D264" i="28" s="1"/>
  <c r="A153" i="22"/>
  <c r="A154" i="22" s="1"/>
  <c r="A155" i="22" s="1"/>
  <c r="A156" i="22" s="1"/>
  <c r="A157" i="22" s="1"/>
  <c r="A158" i="22" s="1"/>
  <c r="A159" i="22" s="1"/>
  <c r="A160" i="22" s="1"/>
  <c r="A173" i="22" s="1"/>
  <c r="A174" i="22" s="1"/>
  <c r="A175" i="22" s="1"/>
  <c r="A176" i="22" s="1"/>
  <c r="A177" i="22" s="1"/>
  <c r="A178" i="22" s="1"/>
  <c r="A179" i="22" s="1"/>
  <c r="A180" i="22" s="1"/>
  <c r="A193" i="22" s="1"/>
  <c r="A194" i="22" s="1"/>
  <c r="A195" i="22" s="1"/>
  <c r="A196" i="22" s="1"/>
  <c r="A197" i="22" s="1"/>
  <c r="A198" i="22" s="1"/>
  <c r="A199" i="22" s="1"/>
  <c r="A201" i="22" s="1"/>
  <c r="A202" i="22" s="1"/>
  <c r="A203" i="22" s="1"/>
  <c r="A204" i="22" s="1"/>
  <c r="A205" i="22" s="1"/>
  <c r="A264" i="28" l="1"/>
  <c r="A265" i="28" s="1"/>
  <c r="D266" i="28" s="1"/>
  <c r="A210" i="22" a="1"/>
  <c r="A210" i="22" s="1"/>
  <c r="A211" i="22" s="1"/>
  <c r="A212" i="22" s="1"/>
  <c r="A213" i="22" s="1"/>
  <c r="A214" i="22" s="1"/>
  <c r="A215" i="22" s="1"/>
  <c r="A200" i="22"/>
  <c r="A206" i="22" a="1"/>
  <c r="A206" i="22" s="1"/>
  <c r="A207" i="22" s="1"/>
  <c r="A208" i="22" s="1"/>
  <c r="A209" i="22" s="1"/>
  <c r="A266" i="28" l="1"/>
  <c r="A267" i="28" s="1"/>
  <c r="D268" i="28" s="1"/>
  <c r="A216" i="22"/>
  <c r="A217" i="22" s="1"/>
  <c r="A218" i="22" s="1"/>
  <c r="A219" i="22" s="1"/>
  <c r="A220" i="22" s="1"/>
  <c r="A221" i="22" s="1"/>
  <c r="A222" i="22" s="1"/>
  <c r="A223" i="22" s="1"/>
  <c r="A224" i="22" s="1"/>
  <c r="A225" i="22" s="1"/>
  <c r="A226" i="22" s="1"/>
  <c r="A228" i="22" s="1"/>
  <c r="A229" i="22" s="1"/>
  <c r="A230" i="22" s="1"/>
  <c r="A237" i="22" s="1"/>
  <c r="A238" i="22" s="1"/>
  <c r="A239" i="22" s="1"/>
  <c r="A240" i="22" s="1"/>
  <c r="A241" i="22" s="1"/>
  <c r="A242" i="22" s="1"/>
  <c r="A268" i="28" l="1"/>
  <c r="A269" i="28" s="1"/>
  <c r="A233" i="22" a="1"/>
  <c r="A233" i="22" s="1"/>
  <c r="A234" i="22" s="1"/>
  <c r="A235" i="22" s="1"/>
  <c r="A236"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31" i="22"/>
  <c r="A232" i="22" s="1"/>
  <c r="A227" i="22"/>
  <c r="A270" i="28" l="1"/>
  <c r="A271" i="28" s="1"/>
  <c r="D272" i="28" s="1"/>
  <c r="D270" i="28"/>
  <c r="D266" i="22"/>
  <c r="A266" i="22"/>
  <c r="A267" i="22" s="1"/>
  <c r="A268" i="22" s="1"/>
  <c r="A269" i="22" s="1"/>
  <c r="A270" i="22" s="1"/>
  <c r="A271" i="22" s="1"/>
  <c r="A272" i="28" l="1"/>
  <c r="A273" i="28" s="1"/>
  <c r="D274" i="28" s="1"/>
  <c r="D272" i="22"/>
  <c r="A272" i="22"/>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6" i="23" s="1"/>
  <c r="A7" i="23" s="1"/>
  <c r="A8" i="23" s="1"/>
  <c r="A9" i="23" s="1"/>
  <c r="A10" i="23" s="1"/>
  <c r="A11" i="23" s="1"/>
  <c r="A12" i="23" l="1"/>
  <c r="A13" i="23" s="1"/>
  <c r="A14" i="23" s="1"/>
  <c r="A15" i="23" s="1"/>
  <c r="A16" i="23" s="1"/>
  <c r="A17" i="23" s="1"/>
  <c r="A18" i="23" s="1"/>
  <c r="A19" i="23" s="1"/>
  <c r="A20" i="23" s="1"/>
  <c r="A21" i="23" s="1"/>
  <c r="A22" i="23" s="1"/>
  <c r="A23" i="23" s="1"/>
  <c r="A24" i="23" s="1"/>
  <c r="A25" i="23" s="1"/>
  <c r="A26" i="23" s="1"/>
  <c r="A27" i="23" s="1"/>
  <c r="A28" i="23" s="1"/>
  <c r="A29" i="23" s="1"/>
  <c r="D30" i="23" s="1"/>
  <c r="A274" i="28"/>
  <c r="A275" i="28" s="1" a="1"/>
  <c r="A275" i="28"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a="1"/>
  <c r="A25" i="29" s="1"/>
  <c r="D290" i="22"/>
  <c r="A26" i="29" l="1"/>
  <c r="A27" i="29" s="1"/>
  <c r="A28" i="29" s="1"/>
  <c r="A29" i="29" s="1"/>
  <c r="A30" i="29" s="1"/>
  <c r="A31" i="29" s="1"/>
  <c r="A32" i="29" s="1"/>
  <c r="A33" i="29" s="1"/>
  <c r="A34" i="29" s="1"/>
  <c r="A35" i="29" s="1"/>
  <c r="A36" i="29" s="1"/>
  <c r="A30" i="23"/>
  <c r="A31" i="23" s="1"/>
  <c r="A32" i="23" s="1"/>
  <c r="A33" i="23" s="1"/>
  <c r="A34" i="23" s="1"/>
  <c r="A35" i="23" s="1"/>
  <c r="A36" i="23" s="1"/>
  <c r="A37" i="23" s="1"/>
  <c r="A38" i="23" s="1"/>
  <c r="A39" i="23" s="1"/>
  <c r="A40" i="23" s="1"/>
  <c r="A41" i="23" s="1"/>
  <c r="D42" i="23" s="1"/>
  <c r="D37" i="29" l="1"/>
  <c r="A37" i="29"/>
  <c r="A38" i="29" s="1"/>
  <c r="A39" i="29" s="1"/>
  <c r="A40" i="29" s="1"/>
  <c r="A41" i="29" s="1"/>
  <c r="A42" i="29" s="1"/>
  <c r="A43" i="29" s="1"/>
  <c r="A44" i="29" s="1"/>
  <c r="A45" i="29" s="1"/>
  <c r="A46" i="29" s="1"/>
  <c r="A47" i="29" s="1"/>
  <c r="A48" i="29" s="1"/>
  <c r="D49" i="29" s="1"/>
  <c r="A42" i="23"/>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78" i="23" s="1"/>
  <c r="A79" i="23" s="1"/>
  <c r="A80" i="23" s="1"/>
  <c r="A81" i="23" s="1"/>
  <c r="A82" i="23" s="1"/>
  <c r="A83" i="23" s="1"/>
  <c r="A84" i="23" s="1"/>
  <c r="A85" i="23" s="1"/>
  <c r="A86" i="23" s="1"/>
  <c r="A87" i="23" s="1"/>
  <c r="A88" i="23" s="1"/>
  <c r="A89" i="23" s="1"/>
  <c r="A90" i="23" s="1"/>
  <c r="A91" i="23" s="1"/>
  <c r="A92" i="23" s="1"/>
  <c r="A93" i="23" s="1"/>
  <c r="A94" i="23" s="1"/>
  <c r="A95" i="23" s="1"/>
  <c r="A49" i="29" l="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66" i="23"/>
  <c r="A67" i="23" s="1"/>
  <c r="A68" i="23" s="1"/>
  <c r="A69" i="23" s="1"/>
  <c r="A70" i="23" s="1"/>
  <c r="A71" i="23" s="1"/>
  <c r="A72" i="23" s="1"/>
  <c r="A73" i="23" s="1"/>
  <c r="A74" i="23" s="1"/>
  <c r="A75" i="23" s="1"/>
  <c r="A76" i="23" s="1"/>
  <c r="A77" i="23" s="1"/>
  <c r="A96" i="23" s="1"/>
  <c r="A97" i="23" s="1"/>
  <c r="A98" i="23" s="1"/>
  <c r="A99" i="23" s="1"/>
  <c r="A100" i="23" s="1"/>
  <c r="A101" i="23" s="1"/>
  <c r="A102" i="23" s="1"/>
  <c r="A103" i="23" s="1"/>
  <c r="A104" i="23" s="1"/>
  <c r="A105" i="23" s="1"/>
  <c r="A106"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D50" i="23"/>
  <c r="D121" i="29" l="1"/>
  <c r="D56" i="29"/>
  <c r="D123" i="29"/>
  <c r="A123" i="29"/>
  <c r="A124" i="29" s="1"/>
  <c r="A107" i="23"/>
  <c r="A108" i="23" s="1"/>
  <c r="A109" i="23" s="1"/>
  <c r="A110" i="23" s="1"/>
  <c r="A111" i="23" s="1"/>
  <c r="A112" i="23" s="1"/>
  <c r="A113" i="23" s="1"/>
  <c r="A114" i="23" s="1"/>
  <c r="A115" i="23" s="1"/>
  <c r="A116" i="23" s="1"/>
  <c r="A117" i="23" s="1"/>
  <c r="A118" i="23" s="1"/>
  <c r="A137" i="23" s="1"/>
  <c r="A138" i="23" s="1"/>
  <c r="A139" i="23" s="1"/>
  <c r="A140" i="23" s="1"/>
  <c r="A141" i="23" s="1"/>
  <c r="A142" i="23" s="1"/>
  <c r="A143" i="23" s="1"/>
  <c r="A144" i="23" s="1"/>
  <c r="A145" i="23" s="1"/>
  <c r="A146" i="23" s="1"/>
  <c r="A147" i="23" s="1"/>
  <c r="A148" i="23" s="1"/>
  <c r="A149" i="23" s="1"/>
  <c r="A150" i="23" s="1"/>
  <c r="A151" i="23" s="1"/>
  <c r="A152" i="23" s="1"/>
  <c r="A161" i="23" s="1"/>
  <c r="A162" i="23" s="1"/>
  <c r="A163" i="23" s="1"/>
  <c r="A164" i="23" s="1"/>
  <c r="A165" i="23" s="1"/>
  <c r="A166" i="23" s="1"/>
  <c r="A167" i="23" s="1"/>
  <c r="A168" i="23" s="1"/>
  <c r="A169" i="23" s="1"/>
  <c r="A170" i="23" s="1"/>
  <c r="A171" i="23" s="1"/>
  <c r="A172" i="23" s="1"/>
  <c r="A181" i="23" s="1"/>
  <c r="A182" i="23" s="1"/>
  <c r="A183" i="23" s="1"/>
  <c r="A184" i="23" s="1"/>
  <c r="A185" i="23" s="1"/>
  <c r="A186" i="23" s="1"/>
  <c r="A187" i="23" s="1"/>
  <c r="A188" i="23" s="1"/>
  <c r="A189" i="23" s="1"/>
  <c r="A190" i="23" s="1"/>
  <c r="A191" i="23" s="1"/>
  <c r="A192" i="23" s="1"/>
  <c r="D125" i="29" l="1"/>
  <c r="A125" i="29"/>
  <c r="A126" i="29" s="1"/>
  <c r="A153" i="23"/>
  <c r="A154" i="23" s="1"/>
  <c r="A155" i="23" s="1"/>
  <c r="A156" i="23" s="1"/>
  <c r="A157" i="23" s="1"/>
  <c r="A158" i="23" s="1"/>
  <c r="A159" i="23" s="1"/>
  <c r="A160" i="23" s="1"/>
  <c r="A173" i="23" s="1"/>
  <c r="A174" i="23" s="1"/>
  <c r="A175" i="23" s="1"/>
  <c r="A176" i="23" s="1"/>
  <c r="A177" i="23" s="1"/>
  <c r="A178" i="23" s="1"/>
  <c r="A179" i="23" s="1"/>
  <c r="A180" i="23" s="1"/>
  <c r="A193" i="23" s="1"/>
  <c r="A194" i="23" s="1"/>
  <c r="A195" i="23" s="1"/>
  <c r="A196" i="23" s="1"/>
  <c r="A197" i="23" s="1"/>
  <c r="A198" i="23" s="1"/>
  <c r="A199" i="23" s="1"/>
  <c r="A201" i="23" s="1"/>
  <c r="A202" i="23" s="1"/>
  <c r="A203" i="23" s="1"/>
  <c r="D127" i="29" l="1"/>
  <c r="A127" i="29"/>
  <c r="A128" i="29" s="1"/>
  <c r="A200" i="23"/>
  <c r="A204" i="23"/>
  <c r="A205" i="23" s="1"/>
  <c r="A210" i="23" a="1"/>
  <c r="A210" i="23" s="1"/>
  <c r="A211" i="23" s="1"/>
  <c r="A212" i="23" s="1"/>
  <c r="A213" i="23" s="1"/>
  <c r="A214" i="23" s="1"/>
  <c r="A215" i="23" s="1"/>
  <c r="A206" i="23" a="1"/>
  <c r="A206" i="23" s="1"/>
  <c r="A207" i="23" s="1"/>
  <c r="A208" i="23" s="1"/>
  <c r="A209" i="23" s="1"/>
  <c r="D129" i="29" l="1"/>
  <c r="A129" i="29"/>
  <c r="A130" i="29" s="1"/>
  <c r="A131" i="29" s="1"/>
  <c r="A132" i="29" s="1"/>
  <c r="A133" i="29" s="1"/>
  <c r="A134" i="29" s="1"/>
  <c r="A135" i="29" s="1"/>
  <c r="A136" i="29" s="1"/>
  <c r="D137" i="29" s="1"/>
  <c r="A216" i="23"/>
  <c r="A217" i="23" s="1"/>
  <c r="A218" i="23" s="1"/>
  <c r="A219" i="23" s="1"/>
  <c r="A220" i="23" s="1"/>
  <c r="A221" i="23" s="1"/>
  <c r="A222" i="23" s="1"/>
  <c r="A223" i="23" s="1"/>
  <c r="A224" i="23" s="1"/>
  <c r="A225" i="23" s="1"/>
  <c r="A226" i="23" s="1"/>
  <c r="A227" i="23" s="1"/>
  <c r="A137" i="29" l="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28" i="23"/>
  <c r="A229" i="23" s="1"/>
  <c r="A230" i="23" s="1"/>
  <c r="A237" i="23" s="1"/>
  <c r="A238" i="23" s="1"/>
  <c r="A239" i="23" s="1"/>
  <c r="A240" i="23" s="1"/>
  <c r="A241" i="23" s="1"/>
  <c r="A242" i="23" s="1"/>
  <c r="D212" i="29" l="1"/>
  <c r="A212" i="29"/>
  <c r="A213" i="29" s="1"/>
  <c r="A214" i="29" s="1"/>
  <c r="A215" i="29" s="1"/>
  <c r="A216" i="29" s="1"/>
  <c r="A217" i="29" s="1"/>
  <c r="A218" i="29" s="1"/>
  <c r="A219" i="29" s="1"/>
  <c r="A220" i="29" s="1"/>
  <c r="A221" i="29" s="1"/>
  <c r="A222" i="29" s="1"/>
  <c r="A223" i="29" s="1"/>
  <c r="A231" i="23"/>
  <c r="A232" i="23" s="1"/>
  <c r="A233" i="23" s="1" a="1"/>
  <c r="A233" i="23" s="1"/>
  <c r="A234" i="23" s="1"/>
  <c r="A235" i="23" s="1"/>
  <c r="A236" i="23" s="1"/>
  <c r="A243" i="23" s="1"/>
  <c r="A244" i="23" s="1"/>
  <c r="A245" i="23" s="1"/>
  <c r="A246" i="23" s="1"/>
  <c r="A247" i="23" s="1"/>
  <c r="A248" i="23" s="1"/>
  <c r="A249" i="23" s="1"/>
  <c r="A250" i="23" s="1"/>
  <c r="D224" i="29" l="1"/>
  <c r="A224" i="29"/>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51" i="23"/>
  <c r="A252" i="23" s="1"/>
  <c r="A253" i="23" s="1"/>
  <c r="A254" i="23" s="1"/>
  <c r="A255" i="23" s="1"/>
  <c r="A256" i="23" s="1"/>
  <c r="A257" i="23" s="1"/>
  <c r="A258" i="23" s="1"/>
  <c r="A259" i="23" s="1"/>
  <c r="A260" i="23" s="1"/>
  <c r="A261" i="23" s="1"/>
  <c r="A262" i="23" s="1"/>
  <c r="A263" i="23" s="1"/>
  <c r="A264" i="23" s="1"/>
  <c r="A265" i="23" s="1"/>
  <c r="D266" i="23" s="1"/>
  <c r="D229" i="29" l="1"/>
  <c r="D246" i="29"/>
  <c r="A246" i="29"/>
  <c r="A247" i="29" s="1"/>
  <c r="A266" i="23"/>
  <c r="A267" i="23" s="1"/>
  <c r="A268" i="23" s="1"/>
  <c r="A269" i="23" s="1"/>
  <c r="A270" i="23" s="1"/>
  <c r="A271" i="23" s="1"/>
  <c r="D272" i="23" s="1"/>
  <c r="A248" i="29" l="1"/>
  <c r="A249" i="29" s="1"/>
  <c r="D250" i="29" s="1"/>
  <c r="D248" i="29"/>
  <c r="A272" i="23"/>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50" i="29" l="1"/>
  <c r="A251" i="29" s="1"/>
  <c r="D290" i="23"/>
  <c r="T14" i="87"/>
  <c r="U14" i="87"/>
  <c r="S14" i="87"/>
  <c r="AD14" i="87"/>
  <c r="AE14" i="87"/>
  <c r="AC14" i="87"/>
  <c r="A252" i="29" l="1"/>
  <c r="A253" i="29" s="1"/>
  <c r="D252" i="29"/>
  <c r="C66" i="100"/>
  <c r="N16" i="101" s="1"/>
  <c r="D67" i="100"/>
  <c r="O17" i="101" s="1"/>
  <c r="C68" i="100"/>
  <c r="N18" i="101" s="1"/>
  <c r="C67" i="100"/>
  <c r="N17" i="101" s="1"/>
  <c r="D66" i="100"/>
  <c r="O16" i="101" s="1"/>
  <c r="D68" i="100"/>
  <c r="O18" i="101" s="1"/>
  <c r="A254" i="29" l="1"/>
  <c r="A255" i="29" s="1"/>
  <c r="D256" i="29" s="1"/>
  <c r="D254" i="29"/>
  <c r="A256" i="29" l="1"/>
  <c r="A257" i="29" s="1"/>
  <c r="D258" i="29" l="1"/>
  <c r="A258" i="29"/>
  <c r="A259" i="29" s="1"/>
  <c r="A260" i="29" l="1"/>
  <c r="A261" i="29" s="1"/>
  <c r="D262" i="29" s="1"/>
  <c r="D260" i="29"/>
  <c r="A262" i="29" l="1"/>
  <c r="A263" i="29" s="1"/>
  <c r="D264" i="29" l="1"/>
  <c r="A264" i="29"/>
  <c r="A265" i="29" s="1"/>
  <c r="D266" i="29" l="1"/>
  <c r="A266" i="29"/>
  <c r="A267" i="29" s="1"/>
  <c r="D268" i="29" s="1"/>
  <c r="A268" i="29" l="1"/>
  <c r="A269" i="29" s="1"/>
  <c r="D270" i="29" l="1"/>
  <c r="A270" i="29"/>
  <c r="A271" i="29" s="1"/>
  <c r="A272" i="29" l="1"/>
  <c r="A273" i="29" s="1"/>
  <c r="D274" i="29" s="1"/>
  <c r="D272" i="29"/>
  <c r="A274" i="29" l="1"/>
  <c r="A275" i="29" s="1" a="1"/>
  <c r="A275" i="29" s="1"/>
  <c r="A6" i="30" s="1"/>
  <c r="A7" i="30" s="1"/>
  <c r="A8" i="30" s="1"/>
  <c r="A9" i="30" s="1"/>
  <c r="A10" i="30" s="1"/>
  <c r="A11" i="30" s="1"/>
  <c r="A12" i="30" s="1"/>
  <c r="A13" i="30" s="1"/>
  <c r="A14" i="30" s="1"/>
  <c r="A15" i="30" s="1"/>
  <c r="A16" i="30" s="1"/>
  <c r="A17" i="30" s="1"/>
  <c r="A18" i="30" s="1"/>
  <c r="A19" i="30" l="1"/>
  <c r="A20" i="30" s="1"/>
  <c r="A21" i="30" s="1"/>
  <c r="A22" i="30" s="1"/>
  <c r="A23" i="30" s="1"/>
  <c r="A24" i="30" s="1"/>
  <c r="A25" i="30" s="1" a="1"/>
  <c r="A25" i="30" s="1"/>
  <c r="A26" i="30" s="1"/>
  <c r="A27" i="30" s="1"/>
  <c r="A28" i="30" s="1"/>
  <c r="A29" i="30" s="1"/>
  <c r="A30" i="30" s="1"/>
  <c r="A31" i="30" s="1"/>
  <c r="A32" i="30" s="1"/>
  <c r="A33" i="30" s="1"/>
  <c r="A34" i="30" s="1"/>
  <c r="A35" i="30" s="1"/>
  <c r="A36" i="30" s="1"/>
  <c r="D37" i="30" s="1"/>
  <c r="A37" i="30" l="1"/>
  <c r="A38" i="30" s="1"/>
  <c r="A39" i="30" s="1"/>
  <c r="A40" i="30" s="1"/>
  <c r="A41" i="30" s="1"/>
  <c r="A42" i="30" s="1"/>
  <c r="A43" i="30" s="1"/>
  <c r="A44" i="30" s="1"/>
  <c r="A45" i="30" s="1"/>
  <c r="A46" i="30" s="1"/>
  <c r="A47" i="30" s="1"/>
  <c r="A48" i="30" s="1"/>
  <c r="D49" i="30" s="1"/>
  <c r="A49" i="30" l="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D121" i="30" l="1"/>
  <c r="D56" i="30"/>
  <c r="D123" i="30"/>
  <c r="A123" i="30"/>
  <c r="A124" i="30" s="1"/>
  <c r="D125" i="30" s="1"/>
  <c r="A125" i="30" l="1"/>
  <c r="A126" i="30" s="1"/>
  <c r="D127" i="30" l="1"/>
  <c r="A127" i="30"/>
  <c r="A128" i="30" s="1"/>
  <c r="D129" i="30" s="1"/>
  <c r="A129" i="30" l="1"/>
  <c r="A130" i="30" s="1"/>
  <c r="A131" i="30" s="1"/>
  <c r="A132" i="30" s="1"/>
  <c r="A133" i="30" s="1"/>
  <c r="A134" i="30" s="1"/>
  <c r="A135" i="30" s="1"/>
  <c r="A136" i="30" s="1"/>
  <c r="D137" i="30" s="1"/>
  <c r="A137" i="30" l="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157" i="30" s="1"/>
  <c r="A158" i="30" s="1"/>
  <c r="A159" i="30" s="1"/>
  <c r="A160" i="30" s="1"/>
  <c r="A161" i="30" s="1"/>
  <c r="A162" i="30" s="1"/>
  <c r="A163" i="30" s="1"/>
  <c r="A164" i="30" s="1"/>
  <c r="A165" i="30" s="1"/>
  <c r="A166" i="30" s="1"/>
  <c r="A167" i="30" s="1"/>
  <c r="A168" i="30" s="1"/>
  <c r="A169" i="30" s="1"/>
  <c r="A170" i="30" s="1"/>
  <c r="A171" i="30" s="1"/>
  <c r="A172" i="30" s="1"/>
  <c r="A173" i="30" s="1"/>
  <c r="A174" i="30" s="1"/>
  <c r="A175" i="30" s="1"/>
  <c r="A176" i="30" s="1"/>
  <c r="A177" i="30" s="1"/>
  <c r="A178" i="30" s="1"/>
  <c r="A179" i="30" s="1"/>
  <c r="A180" i="30" s="1"/>
  <c r="A181" i="30" s="1"/>
  <c r="A182" i="30" s="1"/>
  <c r="A183" i="30" s="1"/>
  <c r="A184" i="30" s="1"/>
  <c r="A185" i="30" s="1"/>
  <c r="A186" i="30" s="1"/>
  <c r="A187" i="30" s="1"/>
  <c r="A188" i="30" s="1"/>
  <c r="A189" i="30" s="1"/>
  <c r="A190" i="30" s="1"/>
  <c r="A191" i="30" s="1"/>
  <c r="A192" i="30" s="1"/>
  <c r="A193" i="30" s="1"/>
  <c r="A194" i="30" s="1"/>
  <c r="A195" i="30" s="1"/>
  <c r="A196" i="30" s="1"/>
  <c r="A197" i="30" s="1"/>
  <c r="A198" i="30" s="1"/>
  <c r="A199" i="30" s="1"/>
  <c r="A200" i="30" s="1"/>
  <c r="A201" i="30" s="1"/>
  <c r="A202" i="30" s="1"/>
  <c r="A203" i="30" s="1"/>
  <c r="A204" i="30" s="1"/>
  <c r="A205" i="30" s="1"/>
  <c r="A206" i="30" s="1"/>
  <c r="A207" i="30" s="1"/>
  <c r="A208" i="30" s="1"/>
  <c r="A209" i="30" s="1"/>
  <c r="A210" i="30" s="1"/>
  <c r="A211" i="30" s="1"/>
  <c r="A212" i="30" l="1"/>
  <c r="A213" i="30" s="1"/>
  <c r="A214" i="30" s="1"/>
  <c r="A215" i="30" s="1"/>
  <c r="A216" i="30" s="1"/>
  <c r="A217" i="30" s="1"/>
  <c r="A218" i="30" s="1"/>
  <c r="A219" i="30" s="1"/>
  <c r="A220" i="30" s="1"/>
  <c r="A221" i="30" s="1"/>
  <c r="A222" i="30" s="1"/>
  <c r="A223" i="30" s="1"/>
  <c r="D224" i="30" s="1"/>
  <c r="D212" i="30"/>
  <c r="A224" i="30" l="1"/>
  <c r="A225" i="30" s="1"/>
  <c r="A226" i="30" s="1"/>
  <c r="A227" i="30" s="1"/>
  <c r="A228" i="30" s="1"/>
  <c r="A229" i="30" s="1"/>
  <c r="A230" i="30" s="1"/>
  <c r="A231" i="30" s="1"/>
  <c r="A232" i="30" s="1"/>
  <c r="A233" i="30" s="1"/>
  <c r="A234" i="30" s="1"/>
  <c r="A235" i="30" s="1"/>
  <c r="A236" i="30" s="1"/>
  <c r="A237" i="30" s="1"/>
  <c r="A238" i="30" s="1"/>
  <c r="A239" i="30" s="1"/>
  <c r="A240" i="30" s="1"/>
  <c r="A241" i="30" s="1"/>
  <c r="A242" i="30" s="1"/>
  <c r="A243" i="30" s="1"/>
  <c r="A244" i="30" s="1"/>
  <c r="A245" i="30" s="1"/>
  <c r="D229" i="30" l="1"/>
  <c r="D246" i="30"/>
  <c r="A246" i="30"/>
  <c r="A247" i="30" s="1"/>
  <c r="D248" i="30" l="1"/>
  <c r="A248" i="30"/>
  <c r="A249" i="30" s="1"/>
  <c r="D250" i="30" s="1"/>
  <c r="A250" i="30" l="1"/>
  <c r="A251" i="30" s="1"/>
  <c r="A252" i="30" l="1"/>
  <c r="A253" i="30" s="1"/>
  <c r="D252" i="30"/>
  <c r="D254" i="30" l="1"/>
  <c r="A254" i="30"/>
  <c r="A255" i="30" s="1"/>
  <c r="D256" i="30" s="1"/>
  <c r="A256" i="30" l="1"/>
  <c r="A257" i="30" s="1"/>
  <c r="D258" i="30" l="1"/>
  <c r="A258" i="30"/>
  <c r="A259" i="30" s="1"/>
  <c r="A260" i="30" l="1"/>
  <c r="A261" i="30" s="1"/>
  <c r="D262" i="30" s="1"/>
  <c r="D260" i="30"/>
  <c r="A262" i="30" l="1"/>
  <c r="A263" i="30" s="1"/>
  <c r="D264" i="30" l="1"/>
  <c r="A264" i="30"/>
  <c r="A265" i="30" s="1"/>
  <c r="D266" i="30" l="1"/>
  <c r="A266" i="30"/>
  <c r="A267" i="30" s="1"/>
  <c r="D268" i="30" s="1"/>
  <c r="A268" i="30" l="1"/>
  <c r="A269" i="30" s="1"/>
  <c r="D270" i="30" l="1"/>
  <c r="A270" i="30"/>
  <c r="A271" i="30" s="1"/>
  <c r="A272" i="30" l="1"/>
  <c r="A273" i="30" s="1"/>
  <c r="D274" i="30" s="1"/>
  <c r="D272" i="30"/>
  <c r="A274" i="30" l="1"/>
  <c r="A275" i="30" s="1" a="1"/>
  <c r="A275" i="30" s="1"/>
  <c r="A6" i="31" s="1"/>
  <c r="A7" i="31" s="1"/>
  <c r="A8" i="31" s="1"/>
  <c r="A9" i="31" s="1"/>
  <c r="A10" i="31" s="1"/>
  <c r="A11" i="31" s="1"/>
  <c r="A12" i="31" s="1"/>
  <c r="A13" i="31" l="1"/>
  <c r="A14" i="31" s="1"/>
  <c r="A15" i="31" s="1"/>
  <c r="A16" i="31" s="1"/>
  <c r="A17" i="31" s="1"/>
  <c r="A18" i="31" s="1"/>
  <c r="A19" i="31" s="1"/>
  <c r="A20" i="31" s="1"/>
  <c r="A21" i="31" s="1"/>
  <c r="A22" i="31" l="1"/>
  <c r="A23" i="31" s="1"/>
  <c r="A24" i="31" s="1"/>
  <c r="A25" i="31" s="1" a="1"/>
  <c r="A25" i="31" s="1"/>
  <c r="A26" i="31" s="1"/>
  <c r="A27" i="31" s="1"/>
  <c r="A28" i="31" s="1"/>
  <c r="A29" i="31" s="1"/>
  <c r="A30" i="31" s="1"/>
  <c r="A31" i="31" s="1"/>
  <c r="A32" i="31" s="1"/>
  <c r="A33" i="31" s="1"/>
  <c r="A34" i="31" s="1"/>
  <c r="A35" i="31" s="1"/>
  <c r="A36" i="31" s="1"/>
  <c r="D37" i="31" s="1"/>
  <c r="A37" i="31" l="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D49" i="31" l="1"/>
  <c r="D56" i="31"/>
  <c r="A121" i="31"/>
  <c r="A122" i="31" s="1"/>
  <c r="D121" i="31"/>
  <c r="D123" i="31" l="1"/>
  <c r="A123" i="31"/>
  <c r="A124" i="31" s="1"/>
  <c r="D125" i="31" l="1"/>
  <c r="A125" i="31"/>
  <c r="A126" i="31" s="1"/>
  <c r="D127" i="31" s="1"/>
  <c r="A127" i="31" l="1"/>
  <c r="A128" i="31" s="1"/>
  <c r="D129" i="31" s="1"/>
  <c r="A129" i="31" l="1"/>
  <c r="A130" i="31" s="1"/>
  <c r="A131" i="31" s="1"/>
  <c r="A132" i="31" s="1"/>
  <c r="A133" i="31" s="1"/>
  <c r="A134" i="31" s="1"/>
  <c r="A135" i="31" s="1"/>
  <c r="A136" i="31" s="1"/>
  <c r="D137" i="31" s="1"/>
  <c r="A137" i="31" l="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D212" i="31" l="1"/>
  <c r="A212" i="31"/>
  <c r="A213" i="31" s="1"/>
  <c r="A214" i="31" s="1"/>
  <c r="A215" i="31" s="1"/>
  <c r="A216" i="31" s="1"/>
  <c r="A217" i="31" s="1"/>
  <c r="A218" i="31" s="1"/>
  <c r="A219" i="31" s="1"/>
  <c r="A220" i="31" s="1"/>
  <c r="A221" i="31" s="1"/>
  <c r="A222" i="31" s="1"/>
  <c r="A223" i="31" s="1"/>
  <c r="D224" i="31" s="1"/>
  <c r="A224" i="31" l="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D229" i="31" l="1"/>
  <c r="A246" i="31"/>
  <c r="A247" i="31" s="1"/>
  <c r="D246" i="31"/>
  <c r="D248" i="31" l="1"/>
  <c r="A248" i="31"/>
  <c r="A249" i="31" s="1"/>
  <c r="D250" i="31" s="1"/>
  <c r="A250" i="31" l="1"/>
  <c r="A251" i="31" s="1"/>
  <c r="D252" i="31" l="1"/>
  <c r="A252" i="31"/>
  <c r="A253" i="31" s="1"/>
  <c r="D254" i="31" l="1"/>
  <c r="A254" i="31"/>
  <c r="A255" i="31" s="1"/>
  <c r="D256" i="31" s="1"/>
  <c r="A256" i="31" l="1"/>
  <c r="A257" i="31" s="1"/>
  <c r="D258" i="31" l="1"/>
  <c r="A258" i="31"/>
  <c r="A259" i="31" s="1"/>
  <c r="D260" i="31" l="1"/>
  <c r="A260" i="31"/>
  <c r="A261" i="31" s="1"/>
  <c r="D262" i="31" s="1"/>
  <c r="A262" i="31" l="1"/>
  <c r="A263" i="31" s="1"/>
  <c r="A264" i="31" l="1"/>
  <c r="A265" i="31" s="1"/>
  <c r="D264" i="31"/>
  <c r="A266" i="31" l="1"/>
  <c r="A267" i="31" s="1"/>
  <c r="D268" i="31" s="1"/>
  <c r="D266" i="31"/>
  <c r="A268" i="31" l="1"/>
  <c r="A269" i="31" s="1"/>
  <c r="A270" i="31" l="1"/>
  <c r="A271" i="31" s="1"/>
  <c r="D270" i="31"/>
  <c r="A272" i="31" l="1"/>
  <c r="A273" i="31" s="1"/>
  <c r="D274" i="31" s="1"/>
  <c r="D272" i="31"/>
  <c r="A274" i="31" l="1"/>
  <c r="A275" i="31" s="1" a="1"/>
  <c r="A275" i="31" s="1"/>
  <c r="A6" i="32" s="1"/>
  <c r="A7" i="32" s="1"/>
  <c r="A8" i="32" s="1"/>
  <c r="A9" i="32" s="1"/>
  <c r="A10" i="32" s="1"/>
  <c r="A11" i="32" s="1"/>
  <c r="A12" i="32" s="1"/>
  <c r="A13" i="32" l="1"/>
  <c r="A14" i="32" s="1"/>
  <c r="A15" i="32" s="1"/>
  <c r="A16" i="32" s="1"/>
  <c r="A17" i="32" s="1"/>
  <c r="A18" i="32" s="1"/>
  <c r="A19" i="32" s="1"/>
  <c r="A20" i="32" s="1"/>
  <c r="A21" i="32" s="1"/>
  <c r="A22" i="32" s="1"/>
  <c r="A23" i="32" s="1"/>
  <c r="A24" i="32" s="1"/>
  <c r="A25" i="32" l="1" a="1"/>
  <c r="A25" i="32" s="1"/>
  <c r="A26" i="32" s="1"/>
  <c r="A27" i="32" s="1"/>
  <c r="A28" i="32" s="1"/>
  <c r="A29" i="32" s="1"/>
  <c r="A30" i="32" s="1"/>
  <c r="A31" i="32" s="1"/>
  <c r="A32" i="32" s="1"/>
  <c r="A33" i="32" s="1"/>
  <c r="A34" i="32" s="1"/>
  <c r="A35" i="32" s="1"/>
  <c r="A36" i="32" s="1"/>
  <c r="D37" i="32" s="1"/>
  <c r="A37" i="32" l="1"/>
  <c r="A38" i="32" s="1"/>
  <c r="A39" i="32" s="1"/>
  <c r="A40" i="32" s="1"/>
  <c r="A41" i="32" s="1"/>
  <c r="A42" i="32" s="1"/>
  <c r="A43" i="32" s="1"/>
  <c r="A44" i="32" s="1"/>
  <c r="A45" i="32" s="1"/>
  <c r="A46" i="32" s="1"/>
  <c r="A47" i="32" s="1"/>
  <c r="A48" i="32" s="1"/>
  <c r="D49" i="32" s="1"/>
  <c r="A49" i="32" l="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D121" i="32" s="1"/>
  <c r="A121" i="32" l="1"/>
  <c r="A122" i="32" s="1"/>
  <c r="A123" i="32" s="1"/>
  <c r="A124" i="32" s="1"/>
  <c r="D56" i="32"/>
  <c r="D123" i="32" l="1"/>
  <c r="D125" i="32"/>
  <c r="A125" i="32"/>
  <c r="A126" i="32" s="1"/>
  <c r="D127" i="32" l="1"/>
  <c r="A127" i="32"/>
  <c r="A128" i="32" s="1"/>
  <c r="D129" i="32" s="1"/>
  <c r="A129" i="32" l="1"/>
  <c r="A130" i="32" s="1"/>
  <c r="A131" i="32" s="1"/>
  <c r="A132" i="32" s="1"/>
  <c r="A133" i="32" s="1"/>
  <c r="A134" i="32" s="1"/>
  <c r="A135" i="32" s="1"/>
  <c r="A136" i="32" s="1"/>
  <c r="D137" i="32" s="1"/>
  <c r="A137" i="32" l="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A171" i="32" s="1"/>
  <c r="A172" i="32" s="1"/>
  <c r="A173" i="32" s="1"/>
  <c r="A174" i="32" s="1"/>
  <c r="A175" i="32" s="1"/>
  <c r="A176" i="32" s="1"/>
  <c r="A177" i="32" s="1"/>
  <c r="A178" i="32" s="1"/>
  <c r="A179" i="32" s="1"/>
  <c r="A180" i="32" s="1"/>
  <c r="A181" i="32" s="1"/>
  <c r="A182" i="32" s="1"/>
  <c r="A183" i="32" s="1"/>
  <c r="A184" i="32" s="1"/>
  <c r="A185" i="32" s="1"/>
  <c r="A186" i="32" s="1"/>
  <c r="A187" i="32" s="1"/>
  <c r="A188" i="32" s="1"/>
  <c r="A189" i="32" s="1"/>
  <c r="A190" i="32" s="1"/>
  <c r="A191" i="32" s="1"/>
  <c r="A192" i="32" s="1"/>
  <c r="A193" i="32" s="1"/>
  <c r="A194" i="32" s="1"/>
  <c r="A195" i="32" s="1"/>
  <c r="A196" i="32" s="1"/>
  <c r="A197" i="32" s="1"/>
  <c r="A198" i="32" s="1"/>
  <c r="A199" i="32" s="1"/>
  <c r="A200" i="32" s="1"/>
  <c r="A201" i="32" s="1"/>
  <c r="A202" i="32" s="1"/>
  <c r="A203" i="32" s="1"/>
  <c r="A204" i="32" s="1"/>
  <c r="A205" i="32" s="1"/>
  <c r="A206" i="32" s="1"/>
  <c r="A207" i="32" s="1"/>
  <c r="A208" i="32" s="1"/>
  <c r="A209" i="32" s="1"/>
  <c r="A210" i="32" s="1"/>
  <c r="A211" i="32" s="1"/>
  <c r="A212" i="32" l="1"/>
  <c r="A213" i="32" s="1"/>
  <c r="A214" i="32" s="1"/>
  <c r="A215" i="32" s="1"/>
  <c r="A216" i="32" s="1"/>
  <c r="A217" i="32" s="1"/>
  <c r="A218" i="32" s="1"/>
  <c r="A219" i="32" s="1"/>
  <c r="A220" i="32" s="1"/>
  <c r="A221" i="32" s="1"/>
  <c r="A222" i="32" s="1"/>
  <c r="A223" i="32" s="1"/>
  <c r="D224" i="32" s="1"/>
  <c r="D212" i="32"/>
  <c r="A224" i="32" l="1"/>
  <c r="A225" i="32" s="1"/>
  <c r="A226" i="32" s="1"/>
  <c r="A227" i="32" s="1"/>
  <c r="A228" i="32" s="1"/>
  <c r="A229" i="32" s="1"/>
  <c r="A230" i="32" s="1"/>
  <c r="A231" i="32" s="1"/>
  <c r="A232" i="32" s="1"/>
  <c r="A233" i="32" s="1"/>
  <c r="A234" i="32" s="1"/>
  <c r="A235" i="32" s="1"/>
  <c r="A236" i="32" s="1"/>
  <c r="A237" i="32" s="1"/>
  <c r="A238" i="32" s="1"/>
  <c r="A239" i="32" s="1"/>
  <c r="A240" i="32" s="1"/>
  <c r="A241" i="32" s="1"/>
  <c r="A242" i="32" s="1"/>
  <c r="A243" i="32" s="1"/>
  <c r="A244" i="32" s="1"/>
  <c r="A245" i="32" s="1"/>
  <c r="D229" i="32" l="1"/>
  <c r="D246" i="32"/>
  <c r="A246" i="32"/>
  <c r="A247" i="32" s="1"/>
  <c r="D248" i="32" l="1"/>
  <c r="A248" i="32"/>
  <c r="A249" i="32" s="1"/>
  <c r="D250" i="32" s="1"/>
  <c r="A250" i="32" l="1"/>
  <c r="A251" i="32" s="1"/>
  <c r="D252" i="32" l="1"/>
  <c r="A252" i="32"/>
  <c r="A253" i="32" s="1"/>
  <c r="D254" i="32" l="1"/>
  <c r="A254" i="32"/>
  <c r="A255" i="32" s="1"/>
  <c r="D256" i="32" s="1"/>
  <c r="A256" i="32" l="1"/>
  <c r="A257" i="32" s="1"/>
  <c r="D258" i="32" l="1"/>
  <c r="A258" i="32"/>
  <c r="A259" i="32" s="1"/>
  <c r="D260" i="32" l="1"/>
  <c r="A260" i="32"/>
  <c r="A261" i="32" s="1"/>
  <c r="D262" i="32" s="1"/>
  <c r="A262" i="32" l="1"/>
  <c r="A263" i="32" s="1"/>
  <c r="D264" i="32" l="1"/>
  <c r="A264" i="32"/>
  <c r="A265" i="32" s="1"/>
  <c r="A266" i="32" l="1"/>
  <c r="A267" i="32" s="1"/>
  <c r="D268" i="32" s="1"/>
  <c r="D266" i="32"/>
  <c r="A268" i="32" l="1"/>
  <c r="A269" i="32" s="1"/>
  <c r="D270" i="32" l="1"/>
  <c r="A270" i="32"/>
  <c r="A271" i="32" s="1"/>
  <c r="A272" i="32" l="1"/>
  <c r="A273" i="32" s="1"/>
  <c r="D274" i="32" s="1"/>
  <c r="D272" i="32"/>
  <c r="A274" i="32" l="1"/>
  <c r="A275" i="32" s="1" a="1"/>
  <c r="A275" i="32" s="1"/>
  <c r="A17" i="36"/>
  <c r="A18" i="36" s="1"/>
  <c r="A19" i="36" s="1"/>
  <c r="A20" i="36" l="1"/>
  <c r="A21" i="36" l="1"/>
  <c r="A25" i="36" l="1"/>
  <c r="A26" i="36" s="1"/>
  <c r="A27" i="36" s="1"/>
  <c r="A28" i="36" s="1"/>
  <c r="A29" i="36" s="1"/>
  <c r="A30" i="36" s="1"/>
  <c r="A31" i="36" s="1"/>
  <c r="A32" i="36" s="1"/>
  <c r="A33" i="36" s="1"/>
  <c r="A34" i="36" s="1"/>
  <c r="A35" i="36" s="1"/>
  <c r="A36" i="36" s="1"/>
  <c r="A37" i="36" s="1"/>
  <c r="A38" i="36" s="1"/>
  <c r="A39" i="36" s="1"/>
  <c r="A40" i="36" s="1"/>
  <c r="A41" i="36" s="1"/>
  <c r="A42" i="36" s="1"/>
  <c r="A43" i="36" s="1"/>
  <c r="A22" i="36"/>
  <c r="A23" i="36" s="1"/>
  <c r="A24" i="36" s="1"/>
  <c r="A44" i="36" l="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l="1"/>
  <c r="A159" i="36" s="1"/>
  <c r="A160" i="36" s="1"/>
  <c r="A161" i="36" s="1"/>
  <c r="A162" i="36" s="1"/>
  <c r="A163" i="36" s="1"/>
  <c r="A164" i="36" s="1"/>
  <c r="A165" i="36" s="1"/>
  <c r="A166" i="36" s="1"/>
  <c r="A167" i="36" s="1"/>
  <c r="A168" i="36" l="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l="1"/>
  <c r="A192" i="36" s="1"/>
  <c r="A193" i="36" l="1"/>
  <c r="A194" i="36" s="1"/>
  <c r="A195" i="36" l="1"/>
  <c r="A196" i="36" s="1"/>
  <c r="A197" i="36" l="1"/>
  <c r="A198" i="36" s="1"/>
  <c r="A199" i="36" l="1"/>
  <c r="A200" i="36" s="1"/>
  <c r="A201" i="36" l="1"/>
  <c r="A202" i="36" l="1"/>
  <c r="A203" i="36" l="1"/>
  <c r="A204" i="36" s="1"/>
  <c r="A205"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tc={9F2F1AF6-AC24-4301-AC12-564B78E22AAC}</author>
  </authors>
  <commentList>
    <comment ref="L1" authorId="0" shapeId="0" xr:uid="{9F2F1AF6-AC24-4301-AC12-564B78E22AAC}">
      <text>
        <t>[Threaded comment]
Your version of Excel allows you to read this threaded comment; however, any edits to it will get removed if the file is opened in a newer version of Excel. Learn more: https://go.microsoft.com/fwlink/?linkid=870924
Comment:
    per UPS module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tc={1EDA8CE7-B381-41F1-AFFB-B5ABC2A09930}</author>
    <author>Dan Vanderplas</author>
  </authors>
  <commentList>
    <comment ref="L1" authorId="0" shapeId="0" xr:uid="{1EDA8CE7-B381-41F1-AFFB-B5ABC2A09930}">
      <text>
        <t>[Threaded comment]
Your version of Excel allows you to read this threaded comment; however, any edits to it will get removed if the file is opened in a newer version of Excel. Learn more: https://go.microsoft.com/fwlink/?linkid=870924
Comment:
    per UPS module</t>
      </text>
    </comment>
    <comment ref="G18" authorId="1" shapeId="0" xr:uid="{2BCDB6A4-46DB-46F2-BA6D-CF38303C9440}">
      <text>
        <r>
          <rPr>
            <b/>
            <sz val="9"/>
            <color indexed="81"/>
            <rFont val="Tahoma"/>
            <family val="2"/>
          </rPr>
          <t>Dan Vanderplas:</t>
        </r>
        <r>
          <rPr>
            <sz val="9"/>
            <color indexed="81"/>
            <rFont val="Tahoma"/>
            <family val="2"/>
          </rPr>
          <t xml:space="preserve">
C &amp; D have to be filled out in all four SWs to work on the QPM and the APM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<sst xmlns="http://schemas.openxmlformats.org/spreadsheetml/2006/main" count="33076" uniqueCount="4936">
  <si>
    <t>TASK DETAILS:</t>
  </si>
  <si>
    <t>Task/MOP Name</t>
  </si>
  <si>
    <t>Change Order #</t>
  </si>
  <si>
    <t>Actual Task Start Date</t>
  </si>
  <si>
    <t>Actual Completion Date</t>
  </si>
  <si>
    <t>Start time:</t>
  </si>
  <si>
    <t>End time:</t>
  </si>
  <si>
    <t>Task Scope</t>
  </si>
  <si>
    <t>Location</t>
  </si>
  <si>
    <t>Risk Description</t>
  </si>
  <si>
    <t>Impact</t>
  </si>
  <si>
    <t>MOP Author</t>
  </si>
  <si>
    <t>Author title</t>
  </si>
  <si>
    <t>Equipment Designator</t>
  </si>
  <si>
    <t>ROLES AND RESPONSIBILITIES: (INFORMATION MUST BE COMPLETED PRIOR TO WORK EXECUTION.  HAND-WRITE IF NECESSARY)</t>
  </si>
  <si>
    <t>Non-Critical RTU/MAU/AHU QPM</t>
  </si>
  <si>
    <t>K200</t>
  </si>
  <si>
    <t>Name</t>
  </si>
  <si>
    <t>Organization</t>
  </si>
  <si>
    <t>Responsibility</t>
  </si>
  <si>
    <t>Cell #</t>
  </si>
  <si>
    <t>EU</t>
  </si>
  <si>
    <t>+</t>
  </si>
  <si>
    <t>WO or CHG #</t>
  </si>
  <si>
    <t>MOP Facilitator</t>
  </si>
  <si>
    <t>Reader</t>
  </si>
  <si>
    <t>Operator</t>
  </si>
  <si>
    <t>DRY RUN:</t>
  </si>
  <si>
    <t xml:space="preserve">Date completed </t>
  </si>
  <si>
    <t>EU signature</t>
  </si>
  <si>
    <t>If this is the master copy, write "MASTER" with red pen below</t>
  </si>
  <si>
    <t>(                                   )</t>
  </si>
  <si>
    <t>CERTIFIED MOP:</t>
  </si>
  <si>
    <r>
      <t>EU - Mandatory:</t>
    </r>
    <r>
      <rPr>
        <sz val="9"/>
        <color rgb="FFFF0000"/>
        <rFont val="Calibri"/>
        <family val="2"/>
        <scheme val="minor"/>
      </rPr>
      <t xml:space="preserve"> For dry run -</t>
    </r>
    <r>
      <rPr>
        <sz val="9"/>
        <color theme="1"/>
        <rFont val="Calibri"/>
        <family val="2"/>
        <scheme val="minor"/>
      </rPr>
      <t xml:space="preserve"> 2 APs to validate/ sign-off for all works requiring a HV switching operation OR two or more LV switching operations; also I&amp;E Diagram required.
EU - Mandatory:  For works requiring a HV switching operation OR two or more LV switching operations, the Reader or Operator must be one of one of  APs who validated the MOP.   The Operator must be an AP. The  Reader will be a CP, Prospective AP or AP dependent on level of works (Seek guidance from ROM)</t>
    </r>
  </si>
  <si>
    <t>MOP Template Version:</t>
  </si>
  <si>
    <t>Generator PM - Minor</t>
  </si>
  <si>
    <t>Maintenance</t>
  </si>
  <si>
    <t>Risk</t>
  </si>
  <si>
    <t>Title</t>
  </si>
  <si>
    <t>Data Center Manager</t>
  </si>
  <si>
    <t>Not Applicable</t>
  </si>
  <si>
    <t>REFERENCES:</t>
  </si>
  <si>
    <t>Task Name</t>
  </si>
  <si>
    <t>Document #</t>
  </si>
  <si>
    <t>Document Link</t>
  </si>
  <si>
    <t>Insert or add a functional link to applicable drawings or equipment documentation.  
 If a drawing or support documentation is required to do the work, or write and review the mop, it should be attached as reference</t>
  </si>
  <si>
    <t>PRE-WORK and AS-FOUND VERIFICATION</t>
  </si>
  <si>
    <t>Prior to commencing any critical work, the following checklist must be completed. If "Yes" is selected, it must be brought to the attention of the MOP Facilitator</t>
  </si>
  <si>
    <t>RISK ASSESSMENT</t>
  </si>
  <si>
    <t>Item</t>
  </si>
  <si>
    <t>Yes</t>
  </si>
  <si>
    <t>No</t>
  </si>
  <si>
    <t>Comment</t>
  </si>
  <si>
    <t>Init</t>
  </si>
  <si>
    <t>Are there any additional/unusual safety risks?</t>
  </si>
  <si>
    <t>□</t>
  </si>
  <si>
    <t>Are there any additional/unusual risks to customer operations?</t>
  </si>
  <si>
    <t>Are there any additional/unusual risks to Digital Realty Trust operations?</t>
  </si>
  <si>
    <t>Are there pending weather conditions that may affect maintenance scope or reduce the reliability of utility power?</t>
  </si>
  <si>
    <t xml:space="preserve">Are any local utilities performing any work or having system issues? </t>
  </si>
  <si>
    <t>Is any other construction, operation or maintenance going on or scheduled, whether or not related to this effort?</t>
  </si>
  <si>
    <t>Is there any civil activity such as a demonstration going on or scheduled?</t>
  </si>
  <si>
    <t>Are any entities that will be performing the work or operation unfamiliar with or inexperienced at it?</t>
  </si>
  <si>
    <t>Are the requirements unclear to any entities involved?</t>
  </si>
  <si>
    <t>Is any system or equipment that may be relied upon during this effort in substandard operating condition or prone to an elevated level of issues recently?</t>
  </si>
  <si>
    <t>Has a safety risk analysis/determination been performed to ensure correct tools/equipment for any work, including working at height and use of ladders, will be utilized with all participants?</t>
  </si>
  <si>
    <t>Are any required or related materials not on site and available?</t>
  </si>
  <si>
    <t>Prior to commencing any critical work, the following checklists must be completed. If "No" is selected, it must be brought to the attention of the MOP Facilitator</t>
  </si>
  <si>
    <t>JOB HAZARD / SAFETY</t>
  </si>
  <si>
    <t>CONFIRM all personnel performing any steps required by this Method of Procedure have adequate safety protection and he/she will wear the necessary PPE gear.  Vendors are responsible for ensuring appropriate PPE is provided and worn by all vendor personnel as required in accordance with their company policy, AS/NZS 3000:2018, OSH Act and local regulations?
Absence or improper use of PPE will lead to work cancellation and the vendor will be escorted out of the property and reported to their management</t>
  </si>
  <si>
    <t>CONFIRM a “Hot Work Permit” has been submitted and approved for any work that involves burning, welding or that could create sparks or source an ignition</t>
  </si>
  <si>
    <t>CONFIRM a "Confined Space Entry Permit" has been submitted and approved for any work in a permit required confined space</t>
  </si>
  <si>
    <t>CONFIRM lock-out/tag-outs are available as indicated in the detailed script?</t>
  </si>
  <si>
    <t>CONFIRM review of all safety procedures and escalation procedures with all MOP participants and vendors?</t>
  </si>
  <si>
    <t xml:space="preserve">EXCLUDE any personnel whose work falls within the following criteria:
1. Worked more than 50 hours within 5 days prior to the work effort
2. Completed his/her shift less than 6 hours prior to the work effort
3. Participated in the work effort more than 12 hours  </t>
  </si>
  <si>
    <t>CRITICAL AWARENESS / WORK PROCESS / RULES AND REGULATIONS</t>
  </si>
  <si>
    <t>Verify that all members participating in the effort have signed-in with security</t>
  </si>
  <si>
    <t>Verify that all members have completed Critical Awareness Training</t>
  </si>
  <si>
    <t>Verify that this SOP has been approved by Change Control in Service Now</t>
  </si>
  <si>
    <t>Verify that all members listed in the "Roles and Responsibilities" section of the cover page are equipped with a functional
 2-way radio</t>
  </si>
  <si>
    <t>Verify that all members are aware of the "Stop WORK" mentality (See SOP MOP Policy for details)</t>
  </si>
  <si>
    <t xml:space="preserve">If designated “Critical or High Risk” work, CONFIRM all participants are aware this Method of Procedure requires the presence of two (2) authorized technicians (“TWO Man Rule”) at all times.  This control mechanism is mandatory in order to ensure compliance with all steps outlined in the Method of Procedure.  Operations must supervise all work and each step detailed in the Method of Procedure will be verified by the "Reader" and "Operator".  The Reader shall function using the RAD (Read-Affirm-Document) method and the Operator shall function using the PRO (Point-Read-Operate) </t>
  </si>
  <si>
    <t xml:space="preserve">In order to team to confirm and initial the following statements prior to completing the next critical step within this Method of Procedure:
1. I confirm there have been no deviations to the documented MOP prior to this Critical Awareness Stop.
2. I confirm all systems and components have operated per expected design and operation.
3. I confirm there are currently no other distractions, alarms or other works being conducted which may impede my focus in executing the next step in this MOP.
4. I confirm I have been trained in this system’s operation and I am capable of articulating the expected outcome of the next step in this MOP.
If any member of the team performing this Method of Procedure is unable to confirm any of the statements above, this Method of Procedure must Stop immediately and back-out plan implemented and all systems returned to its pre-existing stabilized condition.
</t>
  </si>
  <si>
    <t>SITE / SPACE / EQUIPMENT</t>
  </si>
  <si>
    <t>N/A</t>
  </si>
  <si>
    <t>Verify all planned use generator fuel tanks are adequately filled to provide a minimum of 24 hours runtime (complete details below)</t>
  </si>
  <si>
    <t>Verify that facility rounds have been completed no more than 4 hours prior to the start of the work effort and that no risk issues are in existence</t>
  </si>
  <si>
    <t>Verify tool inventory and equipment calibration (complete details below)</t>
  </si>
  <si>
    <t>Generator Fuel Available</t>
  </si>
  <si>
    <t>Workspace Conditions</t>
  </si>
  <si>
    <t>Gen or Tank #</t>
  </si>
  <si>
    <t>Capacity</t>
  </si>
  <si>
    <t>Current Level</t>
  </si>
  <si>
    <t>Location/Space</t>
  </si>
  <si>
    <t>Conditions Normal?</t>
  </si>
  <si>
    <t>Tool Inventory / Calibration</t>
  </si>
  <si>
    <t>ITEM</t>
  </si>
  <si>
    <t>Calibration expiration
Date</t>
  </si>
  <si>
    <t>Int.</t>
  </si>
  <si>
    <t>Equipment Readings</t>
  </si>
  <si>
    <t>Equipment ID</t>
  </si>
  <si>
    <t>Reading /
Value</t>
  </si>
  <si>
    <t>Unit of
 Measure</t>
  </si>
  <si>
    <t>Time</t>
  </si>
  <si>
    <t>Suite</t>
  </si>
  <si>
    <t>Equipment</t>
  </si>
  <si>
    <t>Number of RTUs</t>
  </si>
  <si>
    <t>Number of MAUs</t>
  </si>
  <si>
    <t>G100</t>
  </si>
  <si>
    <t>G102</t>
  </si>
  <si>
    <t>G104</t>
  </si>
  <si>
    <t>G106</t>
  </si>
  <si>
    <t>G108</t>
  </si>
  <si>
    <t>G110</t>
  </si>
  <si>
    <t>G114</t>
  </si>
  <si>
    <t>G116</t>
  </si>
  <si>
    <t>G118</t>
  </si>
  <si>
    <t>G120</t>
  </si>
  <si>
    <t>G200</t>
  </si>
  <si>
    <t>G202</t>
  </si>
  <si>
    <t>G204</t>
  </si>
  <si>
    <t>G206</t>
  </si>
  <si>
    <t>G208</t>
  </si>
  <si>
    <t>G210</t>
  </si>
  <si>
    <t>G212</t>
  </si>
  <si>
    <t>G214</t>
  </si>
  <si>
    <t>G216</t>
  </si>
  <si>
    <t>G218</t>
  </si>
  <si>
    <t>G220</t>
  </si>
  <si>
    <t>K100</t>
  </si>
  <si>
    <t>K102</t>
  </si>
  <si>
    <t>K202</t>
  </si>
  <si>
    <t>A PBB</t>
  </si>
  <si>
    <t>B PBB</t>
  </si>
  <si>
    <t>D PBB</t>
  </si>
  <si>
    <t>F PBB</t>
  </si>
  <si>
    <t>G PBB</t>
  </si>
  <si>
    <t>H PBB</t>
  </si>
  <si>
    <t>J PBB</t>
  </si>
  <si>
    <t>K PBB</t>
  </si>
  <si>
    <t>A110</t>
  </si>
  <si>
    <t>A120</t>
  </si>
  <si>
    <t>A130</t>
  </si>
  <si>
    <t>A140</t>
  </si>
  <si>
    <t>A150</t>
  </si>
  <si>
    <t>B110</t>
  </si>
  <si>
    <t>B120</t>
  </si>
  <si>
    <t>B130</t>
  </si>
  <si>
    <t>B140</t>
  </si>
  <si>
    <t>D110</t>
  </si>
  <si>
    <t>D120</t>
  </si>
  <si>
    <t>D130</t>
  </si>
  <si>
    <t>F130</t>
  </si>
  <si>
    <t>F140</t>
  </si>
  <si>
    <t>F150</t>
  </si>
  <si>
    <t>F160</t>
  </si>
  <si>
    <t>F170</t>
  </si>
  <si>
    <t>H100</t>
  </si>
  <si>
    <t>H106</t>
  </si>
  <si>
    <t>H200</t>
  </si>
  <si>
    <t>H206</t>
  </si>
  <si>
    <t>J100</t>
  </si>
  <si>
    <t>J102</t>
  </si>
  <si>
    <t>J106</t>
  </si>
  <si>
    <t>J200</t>
  </si>
  <si>
    <t>J202</t>
  </si>
  <si>
    <t>J206</t>
  </si>
  <si>
    <t>K104</t>
  </si>
  <si>
    <t>K106</t>
  </si>
  <si>
    <t>K108</t>
  </si>
  <si>
    <t>K110</t>
  </si>
  <si>
    <t>K112</t>
  </si>
  <si>
    <t>K114</t>
  </si>
  <si>
    <t>K204</t>
  </si>
  <si>
    <t>K206</t>
  </si>
  <si>
    <t>K208</t>
  </si>
  <si>
    <t>K210</t>
  </si>
  <si>
    <t>K212</t>
  </si>
  <si>
    <t>Task Name Identifier</t>
  </si>
  <si>
    <t>Author</t>
  </si>
  <si>
    <t>POD</t>
  </si>
  <si>
    <t>SWOne</t>
  </si>
  <si>
    <t>SWTwo</t>
  </si>
  <si>
    <t>SWThree</t>
  </si>
  <si>
    <t>SWFour</t>
  </si>
  <si>
    <t>SWFive</t>
  </si>
  <si>
    <t>NumberOfICDs</t>
  </si>
  <si>
    <t>NumberOfSW</t>
  </si>
  <si>
    <t>SWNames</t>
  </si>
  <si>
    <t>Bldg</t>
  </si>
  <si>
    <t>FileName</t>
  </si>
  <si>
    <t>Electrical Room</t>
  </si>
  <si>
    <t>ROP</t>
  </si>
  <si>
    <t>NumberOfElectricalRooms</t>
  </si>
  <si>
    <t>Top Dry Run Name</t>
  </si>
  <si>
    <t>Top Dry Run Date</t>
  </si>
  <si>
    <t>Bottom Dry Run Name</t>
  </si>
  <si>
    <t>Bottom Dry Run Date</t>
  </si>
  <si>
    <t>Done?</t>
  </si>
  <si>
    <t>Routine Generator run with no load transfer</t>
  </si>
  <si>
    <t>zzGenRunNL</t>
  </si>
  <si>
    <t>Dan Vanderplas</t>
  </si>
  <si>
    <t>Manager - Facility Engineering</t>
  </si>
  <si>
    <t>XXX</t>
  </si>
  <si>
    <t>Renzo Giovannini</t>
  </si>
  <si>
    <t>POD 3 &amp; DR</t>
  </si>
  <si>
    <t>Routine Generator load transfer with customer load</t>
  </si>
  <si>
    <t>zzGenRunLoaded</t>
  </si>
  <si>
    <t>Generator PM - Major</t>
  </si>
  <si>
    <t>zzGenMajor</t>
  </si>
  <si>
    <t>zzGenMinor</t>
  </si>
  <si>
    <t>UPS Battery QPM with individual cabinet disconnects</t>
  </si>
  <si>
    <t>zzBattQPM</t>
  </si>
  <si>
    <t>Steve Pierre</t>
  </si>
  <si>
    <t>Gary Cobb</t>
  </si>
  <si>
    <t>UPS Battery APM with individual cabinet disconnects</t>
  </si>
  <si>
    <t>zzBattAPM</t>
  </si>
  <si>
    <t>CRAC SAPM</t>
  </si>
  <si>
    <t>zzCRACSAPM</t>
  </si>
  <si>
    <t>George Panait</t>
  </si>
  <si>
    <t>Humidifier SAPM</t>
  </si>
  <si>
    <t>zzHumidifierSAPM</t>
  </si>
  <si>
    <t>Split System A/C Unit SAPM</t>
  </si>
  <si>
    <t>zzSplitSystemSAPM</t>
  </si>
  <si>
    <t>Pre-Action QPM</t>
  </si>
  <si>
    <t>zzPreActionQPM</t>
  </si>
  <si>
    <t>Wet Sprinkler PBB QPM</t>
  </si>
  <si>
    <t>zzWetSprinklerQPM</t>
  </si>
  <si>
    <t>Lead Engineer</t>
  </si>
  <si>
    <t>PBB</t>
  </si>
  <si>
    <t>Yes, I need info from leads</t>
  </si>
  <si>
    <t>Fire Protection System APM</t>
  </si>
  <si>
    <t>zzFireAlarmAPM</t>
  </si>
  <si>
    <t>Static UPS Maintenance (requires transfer to Maintenance Bypass)</t>
  </si>
  <si>
    <t>zzUPSAPM</t>
  </si>
  <si>
    <t>Yes, but not for D bldg</t>
  </si>
  <si>
    <t>Static UPS Troubleshooting or Repairs (requires transfer to Maintenance Bypass)</t>
  </si>
  <si>
    <t>zzUPSTSR</t>
  </si>
  <si>
    <t>CRAC TSR Without Brazing</t>
  </si>
  <si>
    <t>zzCRACTSRLow</t>
  </si>
  <si>
    <t>Cedric Tache</t>
  </si>
  <si>
    <t>CRAC TSR With Brazing</t>
  </si>
  <si>
    <t>zzCRACTSRCritical</t>
  </si>
  <si>
    <t>De-Energized Maintenance involving essential panels or equipment</t>
  </si>
  <si>
    <t>zzDEEMPentennial</t>
  </si>
  <si>
    <t>Only made for POD 3 redundant SWR.</t>
  </si>
  <si>
    <t>Chill Water Pumps SAPM</t>
  </si>
  <si>
    <t>zzCHWPumpSAPM</t>
  </si>
  <si>
    <t>Bryan Meadows</t>
  </si>
  <si>
    <t>Ed Banks</t>
  </si>
  <si>
    <t>Chiller SAPM</t>
  </si>
  <si>
    <t>zzChillerSAPM</t>
  </si>
  <si>
    <t>Darryl Hoelscher</t>
  </si>
  <si>
    <t>zzRTUNonCritQPM</t>
  </si>
  <si>
    <t>Critical RTU QPM</t>
  </si>
  <si>
    <t>zzRTUCritQPM</t>
  </si>
  <si>
    <t>Generator Jacket Heater Hose Replacement</t>
  </si>
  <si>
    <t>zzGenJacketHoseReplacement</t>
  </si>
  <si>
    <t>Annual Fire Extinguisher Testing</t>
  </si>
  <si>
    <t>zzFireExtinguisherAPM</t>
  </si>
  <si>
    <t>Wait</t>
  </si>
  <si>
    <t>Water Heater APM</t>
  </si>
  <si>
    <t>zzWaterHeaterAPM</t>
  </si>
  <si>
    <t>Cellwatch Battery Monitoring QPM</t>
  </si>
  <si>
    <t>zzBattMonQPM</t>
  </si>
  <si>
    <t>Meadows</t>
  </si>
  <si>
    <t>Energized Maintenance involving PDUs, UPSs, critical switchgear, etc.</t>
  </si>
  <si>
    <t>zzEEMBiennial</t>
  </si>
  <si>
    <t>Above Floor Cleaning</t>
  </si>
  <si>
    <t>zzAboveFloorCleanAPM</t>
  </si>
  <si>
    <t>Sub Floor Cleaning</t>
  </si>
  <si>
    <t>zzUnderFloorCleanBAPM</t>
  </si>
  <si>
    <t>Back Flow Preventer APM</t>
  </si>
  <si>
    <t>zzBackflowPrevAPM</t>
  </si>
  <si>
    <t>Pull the Plug Test</t>
  </si>
  <si>
    <t>zzPullThePlug</t>
  </si>
  <si>
    <t>Do it</t>
  </si>
  <si>
    <t>Name1</t>
  </si>
  <si>
    <t>Name2</t>
  </si>
  <si>
    <t>Name3</t>
  </si>
  <si>
    <t>Name4</t>
  </si>
  <si>
    <t>Name5</t>
  </si>
  <si>
    <t>Location1</t>
  </si>
  <si>
    <t>Location2</t>
  </si>
  <si>
    <t>Location3</t>
  </si>
  <si>
    <t>Location4</t>
  </si>
  <si>
    <t>Location5</t>
  </si>
  <si>
    <t>Responsibility1</t>
  </si>
  <si>
    <t>Responsibility2</t>
  </si>
  <si>
    <t>Responsibility3</t>
  </si>
  <si>
    <t>Responsibility4</t>
  </si>
  <si>
    <t>Responsibility5</t>
  </si>
  <si>
    <t>Company1</t>
  </si>
  <si>
    <t>Company2</t>
  </si>
  <si>
    <t>Company3</t>
  </si>
  <si>
    <t>Company4</t>
  </si>
  <si>
    <t>Company5</t>
  </si>
  <si>
    <t>Phone1</t>
  </si>
  <si>
    <t>Phone2</t>
  </si>
  <si>
    <t>Phone3</t>
  </si>
  <si>
    <t>Phone4</t>
  </si>
  <si>
    <t>Phone5</t>
  </si>
  <si>
    <t>Email1</t>
  </si>
  <si>
    <t>Email2</t>
  </si>
  <si>
    <t>Email3</t>
  </si>
  <si>
    <t>Email4</t>
  </si>
  <si>
    <t>Email5</t>
  </si>
  <si>
    <t>CMOP?</t>
  </si>
  <si>
    <t>BMS Base Station</t>
  </si>
  <si>
    <t>Monitor BMS/Call Buildings Out</t>
  </si>
  <si>
    <t>Perform UPS Maintenance</t>
  </si>
  <si>
    <t>Digital Realty</t>
  </si>
  <si>
    <t>QUS</t>
  </si>
  <si>
    <t>(703) 964-4776</t>
  </si>
  <si>
    <t>novaengineers@digitalrealty.com</t>
  </si>
  <si>
    <t>Reader &amp; Operator</t>
  </si>
  <si>
    <t>Perform Battery QPM</t>
  </si>
  <si>
    <t>Perform Battery APM</t>
  </si>
  <si>
    <t>Perform CRAC SAPM</t>
  </si>
  <si>
    <t>Bowers</t>
  </si>
  <si>
    <t>Perform Split System PM</t>
  </si>
  <si>
    <t>Perform Generator PM</t>
  </si>
  <si>
    <t>Perform Pre-Action QPM</t>
  </si>
  <si>
    <t>Orr Fire Protection</t>
  </si>
  <si>
    <t>Perform Sprinkler QPM</t>
  </si>
  <si>
    <t>Perform Fire System APM</t>
  </si>
  <si>
    <t>Perform DEEM</t>
  </si>
  <si>
    <t>Bopat</t>
  </si>
  <si>
    <t>Perform Fire Extinguisher APM</t>
  </si>
  <si>
    <t>Perform RTU QPM</t>
  </si>
  <si>
    <t>Boland</t>
  </si>
  <si>
    <t>Mechanical Contractor</t>
  </si>
  <si>
    <t>Perform CRAC TSR</t>
  </si>
  <si>
    <t>Perform Chill Water Pump SAPM</t>
  </si>
  <si>
    <t>Perform Chiller SAPM</t>
  </si>
  <si>
    <t>Perform Generator Repair</t>
  </si>
  <si>
    <t>Variable Name in VBA</t>
  </si>
  <si>
    <t>Value</t>
  </si>
  <si>
    <t>MaintenanceSelection</t>
  </si>
  <si>
    <t>Building</t>
  </si>
  <si>
    <t>PreActCabQuantity</t>
  </si>
  <si>
    <t>SuiteOrPBB</t>
  </si>
  <si>
    <t>SuiteOrPOP</t>
  </si>
  <si>
    <t>GenType</t>
  </si>
  <si>
    <t>PowerCommand</t>
  </si>
  <si>
    <t>DEEMType</t>
  </si>
  <si>
    <t>DEEMSuite4</t>
  </si>
  <si>
    <t>RefAddress1</t>
  </si>
  <si>
    <t>RefAddress2</t>
  </si>
  <si>
    <t>RefAddress3</t>
  </si>
  <si>
    <t>RefAddress4</t>
  </si>
  <si>
    <t>RefAddress5</t>
  </si>
  <si>
    <t>RefAddress6</t>
  </si>
  <si>
    <t>RefAddress7</t>
  </si>
  <si>
    <t>RefAddress8</t>
  </si>
  <si>
    <t>NumberOfChillers</t>
  </si>
  <si>
    <t>RefGeneral1</t>
  </si>
  <si>
    <t>RefGeneral2</t>
  </si>
  <si>
    <t>RefGeneral3</t>
  </si>
  <si>
    <t>RefGeneral4</t>
  </si>
  <si>
    <t>RefGeneral5</t>
  </si>
  <si>
    <t>RefGeneral6</t>
  </si>
  <si>
    <t>RefGeneral7</t>
  </si>
  <si>
    <t>RefGeneral8</t>
  </si>
  <si>
    <t>RefGeneral9</t>
  </si>
  <si>
    <t>RefGeneral10</t>
  </si>
  <si>
    <t>Static UPS APM (requires transfer to Maintenance Bypass)</t>
  </si>
  <si>
    <t>Maintenance Standards</t>
  </si>
  <si>
    <t>One-Line Diagram</t>
  </si>
  <si>
    <t>MSA Scope of Work</t>
  </si>
  <si>
    <t>Operations Guide</t>
  </si>
  <si>
    <t>Digital Realty Maintenance &amp; Operations Standards Version 5.7</t>
  </si>
  <si>
    <t>QUS UPS Scope of Work</t>
  </si>
  <si>
    <t>https://digitalrealty.sharepoint.com/sites/og/Templates%20%20Forms/Chapter%2016%20Technical%20Operations%20and%20Maintenance/Maintenance%20and%20Operations%20Standards%20v5.7.pdf</t>
  </si>
  <si>
    <t>QUS Battery Scope of Work</t>
  </si>
  <si>
    <t>Cushman Wakefield Scope of Work</t>
  </si>
  <si>
    <t>Bass Electric Scope of Work</t>
  </si>
  <si>
    <t>Equipment1</t>
  </si>
  <si>
    <t>Equipment2</t>
  </si>
  <si>
    <t>Equipment3</t>
  </si>
  <si>
    <t>Equipment4</t>
  </si>
  <si>
    <t>Equipment5</t>
  </si>
  <si>
    <t>Equipment6</t>
  </si>
  <si>
    <t>Equipment7</t>
  </si>
  <si>
    <t>Equipment8</t>
  </si>
  <si>
    <t>Equipment9</t>
  </si>
  <si>
    <t>Equipment10</t>
  </si>
  <si>
    <t>Units1</t>
  </si>
  <si>
    <t>Units2</t>
  </si>
  <si>
    <t>Units3</t>
  </si>
  <si>
    <t>Units4</t>
  </si>
  <si>
    <t>Units5</t>
  </si>
  <si>
    <t>Units6</t>
  </si>
  <si>
    <t>Units7</t>
  </si>
  <si>
    <t>Units8</t>
  </si>
  <si>
    <t>Units9</t>
  </si>
  <si>
    <t>Units10</t>
  </si>
  <si>
    <t>Comments1</t>
  </si>
  <si>
    <t>Comments2</t>
  </si>
  <si>
    <t>Comments3</t>
  </si>
  <si>
    <t>Comments4</t>
  </si>
  <si>
    <t>Comments5</t>
  </si>
  <si>
    <t>Comments6</t>
  </si>
  <si>
    <t>Comments7</t>
  </si>
  <si>
    <t>Comments8</t>
  </si>
  <si>
    <t>Comments9</t>
  </si>
  <si>
    <t>Comments10</t>
  </si>
  <si>
    <t>Generator</t>
  </si>
  <si>
    <t>Fuel Capacity</t>
  </si>
  <si>
    <t>PSI</t>
  </si>
  <si>
    <t>15-60 PSI</t>
  </si>
  <si>
    <t>90-150 PSI</t>
  </si>
  <si>
    <t>°F</t>
  </si>
  <si>
    <t>Chiller Sequence</t>
  </si>
  <si>
    <t>Primary CW Pumps Online</t>
  </si>
  <si>
    <t>Secondary CW Pumps Online</t>
  </si>
  <si>
    <t>Secondary CW Supply Temp</t>
  </si>
  <si>
    <t>Gen Type</t>
  </si>
  <si>
    <t>Power Command</t>
  </si>
  <si>
    <t>GenRunUPS1</t>
  </si>
  <si>
    <t>GenRunUPS2</t>
  </si>
  <si>
    <t>UtilityInputBreaker</t>
  </si>
  <si>
    <t>CMOP Passes</t>
  </si>
  <si>
    <t>Programmed Gen Run List</t>
  </si>
  <si>
    <t>Gen Hose Repair List</t>
  </si>
  <si>
    <t>A House Gen</t>
  </si>
  <si>
    <t>Cummins</t>
  </si>
  <si>
    <t>House</t>
  </si>
  <si>
    <t>681 gal</t>
  </si>
  <si>
    <t>1st Pass</t>
  </si>
  <si>
    <t>G100-Gen-B</t>
  </si>
  <si>
    <t>B House Gen</t>
  </si>
  <si>
    <t>836 gal</t>
  </si>
  <si>
    <t>D House Gen</t>
  </si>
  <si>
    <t>G102-Gen-B</t>
  </si>
  <si>
    <t>529 gal</t>
  </si>
  <si>
    <t>G House Gen East</t>
  </si>
  <si>
    <t>G104-Gen-B</t>
  </si>
  <si>
    <t>F House Gen</t>
  </si>
  <si>
    <t>660 gal</t>
  </si>
  <si>
    <t>G House Gen West</t>
  </si>
  <si>
    <t>G106-Gen-B</t>
  </si>
  <si>
    <t>CAT</t>
  </si>
  <si>
    <t>1123 gal</t>
  </si>
  <si>
    <t>H House Gen</t>
  </si>
  <si>
    <t>G108-Gen-B</t>
  </si>
  <si>
    <t>J House Gen</t>
  </si>
  <si>
    <t>G200-Gen-B</t>
  </si>
  <si>
    <t>G Roll-up</t>
  </si>
  <si>
    <t>K House Gen</t>
  </si>
  <si>
    <t>G202-Gen-B</t>
  </si>
  <si>
    <t>1039 gal</t>
  </si>
  <si>
    <t>G204-Gen-B</t>
  </si>
  <si>
    <t>G206-Gen-B</t>
  </si>
  <si>
    <t>G208-Gen-B</t>
  </si>
  <si>
    <t>A110B</t>
  </si>
  <si>
    <t>4853 gal</t>
  </si>
  <si>
    <t>G110-Gen-B</t>
  </si>
  <si>
    <t>A110D</t>
  </si>
  <si>
    <t>G110-Gen-D</t>
  </si>
  <si>
    <t>A110R</t>
  </si>
  <si>
    <t>Redundant</t>
  </si>
  <si>
    <t>G110-Gen-AB (R)</t>
  </si>
  <si>
    <t>A120B</t>
  </si>
  <si>
    <t>G110-Gen-CD (R)</t>
  </si>
  <si>
    <t>A120D</t>
  </si>
  <si>
    <t>G114-Gen-B</t>
  </si>
  <si>
    <t>A120R</t>
  </si>
  <si>
    <t>G114-Gen-AB (R)</t>
  </si>
  <si>
    <t>A130B</t>
  </si>
  <si>
    <t>G116-Gen-B</t>
  </si>
  <si>
    <t>A140B</t>
  </si>
  <si>
    <t>G116-Gen-AB (R)</t>
  </si>
  <si>
    <t>A130/A140R</t>
  </si>
  <si>
    <t>G118-Gen-B</t>
  </si>
  <si>
    <t>A150B</t>
  </si>
  <si>
    <t>G118-Gen-AB (R)</t>
  </si>
  <si>
    <t>A150D</t>
  </si>
  <si>
    <t>G120-Gen-B</t>
  </si>
  <si>
    <t>A150R</t>
  </si>
  <si>
    <t>G210-Gen-B</t>
  </si>
  <si>
    <t>B110B</t>
  </si>
  <si>
    <t>G212-Gen-B</t>
  </si>
  <si>
    <t>B110D</t>
  </si>
  <si>
    <t>G214-Gen-B</t>
  </si>
  <si>
    <t>B110R</t>
  </si>
  <si>
    <t>G216-Gen-B</t>
  </si>
  <si>
    <t>B120B</t>
  </si>
  <si>
    <t>G218-Gen-B</t>
  </si>
  <si>
    <t>B120D</t>
  </si>
  <si>
    <t>G220-Gen-B</t>
  </si>
  <si>
    <t>B120R</t>
  </si>
  <si>
    <t>G-GR1</t>
  </si>
  <si>
    <t>B130B</t>
  </si>
  <si>
    <t>G-GR2</t>
  </si>
  <si>
    <t>B130D</t>
  </si>
  <si>
    <t>H100-Gen-A</t>
  </si>
  <si>
    <t>G-GR3</t>
  </si>
  <si>
    <t>B130R</t>
  </si>
  <si>
    <t>H100-Gen-B</t>
  </si>
  <si>
    <t>G-GR4</t>
  </si>
  <si>
    <t>B140B</t>
  </si>
  <si>
    <t>H100-Gen-C</t>
  </si>
  <si>
    <t>G-GR5</t>
  </si>
  <si>
    <t>B140D</t>
  </si>
  <si>
    <t>H100-Gen-D</t>
  </si>
  <si>
    <t>G-GR9</t>
  </si>
  <si>
    <t>B140R</t>
  </si>
  <si>
    <t>H106-Gen-A</t>
  </si>
  <si>
    <t>D110A</t>
  </si>
  <si>
    <t>H106-Gen-B</t>
  </si>
  <si>
    <t>D110B</t>
  </si>
  <si>
    <t>H106-Gen-C</t>
  </si>
  <si>
    <t>D120B</t>
  </si>
  <si>
    <t>H106-Gen-D</t>
  </si>
  <si>
    <t>D120D</t>
  </si>
  <si>
    <t>H200-Gen-A</t>
  </si>
  <si>
    <t>D120R</t>
  </si>
  <si>
    <t>H200-Gen-B</t>
  </si>
  <si>
    <t>D130A</t>
  </si>
  <si>
    <t>X</t>
  </si>
  <si>
    <t>11200 gal</t>
  </si>
  <si>
    <t>H200-Gen-C</t>
  </si>
  <si>
    <t>D130B</t>
  </si>
  <si>
    <t>H200-Gen-D</t>
  </si>
  <si>
    <t>D130C</t>
  </si>
  <si>
    <t>H206-Gen-A</t>
  </si>
  <si>
    <t>D130D</t>
  </si>
  <si>
    <t>H206-Gen-B</t>
  </si>
  <si>
    <t>F130B</t>
  </si>
  <si>
    <t>H206-Gen-C</t>
  </si>
  <si>
    <t>F130/140R</t>
  </si>
  <si>
    <t>H206-Gen-D</t>
  </si>
  <si>
    <t>F140B</t>
  </si>
  <si>
    <t>J100-Gen-B</t>
  </si>
  <si>
    <t>F150B</t>
  </si>
  <si>
    <t>J102-Gen-A</t>
  </si>
  <si>
    <t>F150D</t>
  </si>
  <si>
    <t>J102-Gen-B</t>
  </si>
  <si>
    <t>F150R</t>
  </si>
  <si>
    <t>J102-Gen-C</t>
  </si>
  <si>
    <t>F160B</t>
  </si>
  <si>
    <t>J106-Gen-A</t>
  </si>
  <si>
    <t>F160/170R</t>
  </si>
  <si>
    <t>J106-Gen-B</t>
  </si>
  <si>
    <t>F170D</t>
  </si>
  <si>
    <t>J106-Gen-C</t>
  </si>
  <si>
    <t>A</t>
  </si>
  <si>
    <t>B</t>
  </si>
  <si>
    <t>4000 gal</t>
  </si>
  <si>
    <t>J106-Gen-D</t>
  </si>
  <si>
    <t>J200-Gen-B</t>
  </si>
  <si>
    <t>J202-Gen-A</t>
  </si>
  <si>
    <t>J-GR1</t>
  </si>
  <si>
    <t>J202-Gen-B</t>
  </si>
  <si>
    <t>K100-Gen-B</t>
  </si>
  <si>
    <t>J202-Gen-C</t>
  </si>
  <si>
    <t>K102-Gen-B</t>
  </si>
  <si>
    <t>J206-Gen-A</t>
  </si>
  <si>
    <t>K104-Gen-B</t>
  </si>
  <si>
    <t>J206-Gen-B</t>
  </si>
  <si>
    <t>K106-Gen-B</t>
  </si>
  <si>
    <t>J206-Gen-C</t>
  </si>
  <si>
    <t>K108-Gen-B</t>
  </si>
  <si>
    <t>J206-Gen-D</t>
  </si>
  <si>
    <t>K110-Gen-B</t>
  </si>
  <si>
    <t>J206-Gen-F</t>
  </si>
  <si>
    <t>K112-Gen-B</t>
  </si>
  <si>
    <t>AB</t>
  </si>
  <si>
    <t>U1</t>
  </si>
  <si>
    <t>4th+ Pass</t>
  </si>
  <si>
    <t>K114-Gen-B</t>
  </si>
  <si>
    <t>D</t>
  </si>
  <si>
    <t>CD</t>
  </si>
  <si>
    <t>C</t>
  </si>
  <si>
    <t>U2</t>
  </si>
  <si>
    <t>K200-Gen-B</t>
  </si>
  <si>
    <t>K202-Gen-B</t>
  </si>
  <si>
    <t>K204-Gen-B</t>
  </si>
  <si>
    <t>K206-Gen-B</t>
  </si>
  <si>
    <t>K208-Gen-B</t>
  </si>
  <si>
    <t>K210-Gen-B</t>
  </si>
  <si>
    <t>4200 gal</t>
  </si>
  <si>
    <t>K212-Gen-A</t>
  </si>
  <si>
    <t>K212-Gen-B</t>
  </si>
  <si>
    <t>K212-Gen-C</t>
  </si>
  <si>
    <t>K-GR1</t>
  </si>
  <si>
    <t>K-GR2</t>
  </si>
  <si>
    <t>K-GR3</t>
  </si>
  <si>
    <t>K-GR4</t>
  </si>
  <si>
    <t>DR</t>
  </si>
  <si>
    <t>4700 gal</t>
  </si>
  <si>
    <t>4400 gal</t>
  </si>
  <si>
    <t>4800 gal</t>
  </si>
  <si>
    <t>F</t>
  </si>
  <si>
    <t>UPS Model</t>
  </si>
  <si>
    <t># of SW</t>
  </si>
  <si>
    <t>SW Names</t>
  </si>
  <si>
    <t>SW1</t>
  </si>
  <si>
    <t>SW2</t>
  </si>
  <si>
    <t>SW3</t>
  </si>
  <si>
    <t>SW4</t>
  </si>
  <si>
    <t>SW5</t>
  </si>
  <si>
    <t># of Batt. ICDs</t>
  </si>
  <si>
    <t>Current POD</t>
  </si>
  <si>
    <t>Current Suite</t>
  </si>
  <si>
    <t>Rows to hide-APC</t>
  </si>
  <si>
    <t>Shift:</t>
  </si>
  <si>
    <t>Rows to hide-eXL</t>
  </si>
  <si>
    <t>MGE</t>
  </si>
  <si>
    <t>ABCD</t>
  </si>
  <si>
    <t>One</t>
  </si>
  <si>
    <t>Hide master battery cabinet steps for A, B, C &amp; D</t>
  </si>
  <si>
    <t>New arrays</t>
  </si>
  <si>
    <t>If number of SW=2, hide kW readings for C &amp; D</t>
  </si>
  <si>
    <t>A, B, &amp; C</t>
  </si>
  <si>
    <t>A &amp; B</t>
  </si>
  <si>
    <t>16:24,68:76,189:197</t>
  </si>
  <si>
    <t>If number of SW=3, hide kW readings for D &amp; F, show C</t>
  </si>
  <si>
    <t>If number of SW=2, hide all kW readings for C &amp; D</t>
  </si>
  <si>
    <t>Hide</t>
  </si>
  <si>
    <t>19:24,71:76,192:197</t>
  </si>
  <si>
    <t>Unhide</t>
  </si>
  <si>
    <t>If number of SW=3, hide all kW readings for D, unhide kW readings for C</t>
  </si>
  <si>
    <t>16:18,68:70,189:191</t>
  </si>
  <si>
    <t>If number of SW=4, hide kW readings for F, show C &amp; D</t>
  </si>
  <si>
    <t>Two</t>
  </si>
  <si>
    <t>A, B, C, &amp; D</t>
  </si>
  <si>
    <t>22:24,74:76,195:197</t>
  </si>
  <si>
    <t>NX</t>
  </si>
  <si>
    <t>Three</t>
  </si>
  <si>
    <t>16:21,68:73,189:194</t>
  </si>
  <si>
    <t>APC</t>
  </si>
  <si>
    <t>If number of SW=4, unhide all kW readings</t>
  </si>
  <si>
    <t>If number of SW=5, show all kW readings</t>
  </si>
  <si>
    <t>If Suite=H206, show H206-D battery master cabinet steps</t>
  </si>
  <si>
    <t>If number of battery cabinet ICDs=4, hide the rows for the 6 ICD version</t>
  </si>
  <si>
    <t>If number of battery cabinet ICDs=6, hide the rows for the 4 ICD version</t>
  </si>
  <si>
    <t>eXL</t>
  </si>
  <si>
    <t>ABC</t>
  </si>
  <si>
    <t>ABCDF</t>
  </si>
  <si>
    <t>FA APM</t>
  </si>
  <si>
    <t>PA QPM</t>
  </si>
  <si>
    <t>PreActCab1Areas</t>
  </si>
  <si>
    <t>PreActCab1Zones</t>
  </si>
  <si>
    <t>PreActCab2Areas</t>
  </si>
  <si>
    <t>PreActCab2Zones</t>
  </si>
  <si>
    <t>PreActCab3Areas</t>
  </si>
  <si>
    <t>PreActCab3Zones</t>
  </si>
  <si>
    <t>Fire Extinguisher APM</t>
  </si>
  <si>
    <t>Wet Sprinklers QPM</t>
  </si>
  <si>
    <t>Sprinkler Rooms</t>
  </si>
  <si>
    <t>Dry Zones</t>
  </si>
  <si>
    <t>Wet Zones</t>
  </si>
  <si>
    <t>UNVERIFIED</t>
  </si>
  <si>
    <t>A Building</t>
  </si>
  <si>
    <t>A-PBB</t>
  </si>
  <si>
    <t>B Building</t>
  </si>
  <si>
    <t>B-PBB</t>
  </si>
  <si>
    <t>D Building</t>
  </si>
  <si>
    <t>D-PBB</t>
  </si>
  <si>
    <t>F Building</t>
  </si>
  <si>
    <t>F-PBB</t>
  </si>
  <si>
    <t>G Building</t>
  </si>
  <si>
    <t>G-PBB</t>
  </si>
  <si>
    <t>3 (Loading Dock, EPOP, &amp; WPOP</t>
  </si>
  <si>
    <t>4 (G1 Main, G2 Main, 1st floor PBB, &amp; 2nd floor PBB)</t>
  </si>
  <si>
    <t>A POP Rooms</t>
  </si>
  <si>
    <t>PPOP</t>
  </si>
  <si>
    <t>SPOP</t>
  </si>
  <si>
    <t>H Building</t>
  </si>
  <si>
    <t>H-PBB</t>
  </si>
  <si>
    <t>1 (Loading Dock)</t>
  </si>
  <si>
    <t>2 (1st floor &amp; 2nd floor)</t>
  </si>
  <si>
    <t>Pre-Action for PPOP &amp; SPOP</t>
  </si>
  <si>
    <t>J Building</t>
  </si>
  <si>
    <t>J-PBB</t>
  </si>
  <si>
    <t>K Building</t>
  </si>
  <si>
    <t>K-PBB</t>
  </si>
  <si>
    <t>B POP Rooms</t>
  </si>
  <si>
    <t>D POP Rooms</t>
  </si>
  <si>
    <t>F POP Rooms</t>
  </si>
  <si>
    <t>No nitrogen</t>
  </si>
  <si>
    <t>A/C</t>
  </si>
  <si>
    <t>B/D</t>
  </si>
  <si>
    <t>G POP Rooms</t>
  </si>
  <si>
    <t>E-POP</t>
  </si>
  <si>
    <t>W-POP</t>
  </si>
  <si>
    <t>C/D</t>
  </si>
  <si>
    <t>H POP Rooms</t>
  </si>
  <si>
    <t>J POP Rooms</t>
  </si>
  <si>
    <t>K POP Rooms</t>
  </si>
  <si>
    <t>Rows to hide (not up to date)</t>
  </si>
  <si>
    <t>21-26</t>
  </si>
  <si>
    <t>77-82</t>
  </si>
  <si>
    <t>183-188</t>
  </si>
  <si>
    <t>238-243</t>
  </si>
  <si>
    <t>If number of SW=3, hide all kW readings for D</t>
  </si>
  <si>
    <t>24-26</t>
  </si>
  <si>
    <t>80-82</t>
  </si>
  <si>
    <t>186-188</t>
  </si>
  <si>
    <t>Dinosaur</t>
  </si>
  <si>
    <t>241-243</t>
  </si>
  <si>
    <t>Toshiba</t>
  </si>
  <si>
    <t>142-143</t>
  </si>
  <si>
    <t>170-171</t>
  </si>
  <si>
    <t>'If number of battery cabinet ICDs=4, hide the rows for the 6 ICD version</t>
  </si>
  <si>
    <t>96-101</t>
  </si>
  <si>
    <t>120-125</t>
  </si>
  <si>
    <t>156-161</t>
  </si>
  <si>
    <t>184-189</t>
  </si>
  <si>
    <t>92-95</t>
  </si>
  <si>
    <t>116-119</t>
  </si>
  <si>
    <t>152-155</t>
  </si>
  <si>
    <t>180-183</t>
  </si>
  <si>
    <t>Chiller1</t>
  </si>
  <si>
    <t>Chiller2</t>
  </si>
  <si>
    <t>Chiller3</t>
  </si>
  <si>
    <t># of Chillers</t>
  </si>
  <si>
    <t>Chiller Location</t>
  </si>
  <si>
    <t>Pump Location</t>
  </si>
  <si>
    <t>R</t>
  </si>
  <si>
    <t>Roof</t>
  </si>
  <si>
    <t>Mechanical Room</t>
  </si>
  <si>
    <t>Generator Yard</t>
  </si>
  <si>
    <t>Pump House</t>
  </si>
  <si>
    <t>F160/F170</t>
  </si>
  <si>
    <t>CRACs for Suite Cooling</t>
  </si>
  <si>
    <t>CRACs for Electrical Rooms</t>
  </si>
  <si>
    <t>Total # of CRACs</t>
  </si>
  <si>
    <t>ER Cooling</t>
  </si>
  <si>
    <t>Current # of total CRACs</t>
  </si>
  <si>
    <t>MDF 112-10 has 2 CRACs</t>
  </si>
  <si>
    <t>MDF 114-10 has 2 CRACs</t>
  </si>
  <si>
    <t>IDF 117 has 2 CRACs</t>
  </si>
  <si>
    <t>RTU</t>
  </si>
  <si>
    <t>PBBs</t>
  </si>
  <si>
    <t>d</t>
  </si>
  <si>
    <t>g</t>
  </si>
  <si>
    <t>h</t>
  </si>
  <si>
    <t>j</t>
  </si>
  <si>
    <t>k</t>
  </si>
  <si>
    <t>CRAC</t>
  </si>
  <si>
    <t>IT Capacity (kW)</t>
  </si>
  <si>
    <t>CRAC Capacity (kW)</t>
  </si>
  <si>
    <t>N+1 CRACs</t>
  </si>
  <si>
    <t>Full List of CRACs</t>
  </si>
  <si>
    <t>A-PBB-CRAC-1</t>
  </si>
  <si>
    <t>A-PBB-CRAC-2</t>
  </si>
  <si>
    <t>A-PBB-CRAC-3</t>
  </si>
  <si>
    <t>A-PBB-CRAC-4</t>
  </si>
  <si>
    <t>B-PBB-CRAC-1</t>
  </si>
  <si>
    <t>B-PBB-CRAC-2</t>
  </si>
  <si>
    <t>B-PBB-CRAC-3</t>
  </si>
  <si>
    <t>B-PBB-CRAC-4</t>
  </si>
  <si>
    <t>D-PBB-CRAC-1</t>
  </si>
  <si>
    <t>D-PBB-CRAC-2</t>
  </si>
  <si>
    <t>F-PBB-CRAC-1</t>
  </si>
  <si>
    <t>F-PBB-CRAC-2</t>
  </si>
  <si>
    <t>F-PBB-CRAC-3</t>
  </si>
  <si>
    <t>F-PBB-CRAC-4</t>
  </si>
  <si>
    <t>G-PBB-CRAC-1</t>
  </si>
  <si>
    <t>G-PBB-CRAC-2</t>
  </si>
  <si>
    <t>G-PBB-CRAC-3</t>
  </si>
  <si>
    <t>G-PBB-CRAC-4</t>
  </si>
  <si>
    <t>H-PBB-CRAC-1</t>
  </si>
  <si>
    <t>H-PBB-CRAC-2</t>
  </si>
  <si>
    <t>H-PBB-CRAC-3</t>
  </si>
  <si>
    <t>H-PBB-CRAC-4</t>
  </si>
  <si>
    <t>J-PBB-CRAC-1</t>
  </si>
  <si>
    <t>J-PBB-CRAC-2</t>
  </si>
  <si>
    <t>J-PBB-CRAC-3</t>
  </si>
  <si>
    <t>J-PBB-CRAC-4</t>
  </si>
  <si>
    <t>K-PBB-CRAC-1</t>
  </si>
  <si>
    <t>K-PBB-CRAC-2</t>
  </si>
  <si>
    <t>K-PBB-CRAC-3</t>
  </si>
  <si>
    <t>K-PBB-CRAC-4</t>
  </si>
  <si>
    <t>D130-CRAC-1</t>
  </si>
  <si>
    <t>D130-CRAC-2</t>
  </si>
  <si>
    <t>D130-CRAC-3</t>
  </si>
  <si>
    <t>D130-CRAC-4</t>
  </si>
  <si>
    <t>D130-CRAC-5</t>
  </si>
  <si>
    <t>D130-CRAC-6</t>
  </si>
  <si>
    <t>D130-CRAC-7</t>
  </si>
  <si>
    <t>D130-CRAC-8</t>
  </si>
  <si>
    <t>D130-CRAC-9</t>
  </si>
  <si>
    <t>D130-CRAC-10</t>
  </si>
  <si>
    <t>D130-CRAC-11</t>
  </si>
  <si>
    <t>D130-CRAC-12</t>
  </si>
  <si>
    <t>D130-CRAC-13</t>
  </si>
  <si>
    <t>D130-CRAC-14</t>
  </si>
  <si>
    <t>D130-CRAC-15</t>
  </si>
  <si>
    <t>D130-CRAC-16</t>
  </si>
  <si>
    <t>D130-CRAC-17</t>
  </si>
  <si>
    <t>D130-CRAC-18</t>
  </si>
  <si>
    <t>D130-CRAC-19</t>
  </si>
  <si>
    <t>D130-CRAC-20</t>
  </si>
  <si>
    <t>G110-CRAC-1</t>
  </si>
  <si>
    <t>G110-CRAC-2</t>
  </si>
  <si>
    <t>G110-CRAC-3</t>
  </si>
  <si>
    <t>G110-CRAC-4</t>
  </si>
  <si>
    <t>G110-CRAC-5</t>
  </si>
  <si>
    <t>G110-CRAC-6</t>
  </si>
  <si>
    <t>G110-CRAC-7</t>
  </si>
  <si>
    <t>G110-CRAC-8</t>
  </si>
  <si>
    <t>G110-CRAC-9</t>
  </si>
  <si>
    <t>G110-CRAC-10</t>
  </si>
  <si>
    <t>G110-CRAC-11</t>
  </si>
  <si>
    <t>G110-CRAC-12</t>
  </si>
  <si>
    <t>G110-CRAC-13</t>
  </si>
  <si>
    <t>G110-CRAC-14</t>
  </si>
  <si>
    <t>G110-CRAC-15</t>
  </si>
  <si>
    <t>G110-CRAC-16</t>
  </si>
  <si>
    <t>G110-CRAC-17</t>
  </si>
  <si>
    <t>G110-CRAC-18</t>
  </si>
  <si>
    <t>G114-CRAC-1</t>
  </si>
  <si>
    <t>G114-CRAC-2</t>
  </si>
  <si>
    <t>G114-CRAC-3</t>
  </si>
  <si>
    <t>G114-CRAC-4</t>
  </si>
  <si>
    <t>G114-CRAC-5</t>
  </si>
  <si>
    <t>G114-CRAC-6</t>
  </si>
  <si>
    <t>G114-CRAC-7</t>
  </si>
  <si>
    <t>G114-CRAC-8</t>
  </si>
  <si>
    <t>G114-CRAC-9</t>
  </si>
  <si>
    <t>G116-CRAC-1</t>
  </si>
  <si>
    <t>G116-CRAC-2</t>
  </si>
  <si>
    <t>G116-CRAC-3</t>
  </si>
  <si>
    <t>G116-CRAC-4</t>
  </si>
  <si>
    <t>G116-CRAC-5</t>
  </si>
  <si>
    <t>G116-CRAC-6</t>
  </si>
  <si>
    <t>G116-CRAC-7</t>
  </si>
  <si>
    <t>G116-CRAC-8</t>
  </si>
  <si>
    <t>G116-CRAC-9</t>
  </si>
  <si>
    <t>G116-CRAC-10</t>
  </si>
  <si>
    <t>G116-CRAC-11</t>
  </si>
  <si>
    <t>G116-CRAC-12</t>
  </si>
  <si>
    <t>G118-CRAC-1</t>
  </si>
  <si>
    <t>G118-CRAC-2</t>
  </si>
  <si>
    <t>G118-CRAC-3</t>
  </si>
  <si>
    <t>G118-CRAC-4</t>
  </si>
  <si>
    <t>G118-CRAC-5</t>
  </si>
  <si>
    <t>G118-CRAC-6</t>
  </si>
  <si>
    <t>G118-CRAC-7</t>
  </si>
  <si>
    <t>G118-CRAC-8</t>
  </si>
  <si>
    <t>G118-CRAC-9</t>
  </si>
  <si>
    <t>G118-CRAC-10</t>
  </si>
  <si>
    <t>G118-CRAC-11</t>
  </si>
  <si>
    <t>G118-CRAC-12</t>
  </si>
  <si>
    <t>G120-CRAC-1</t>
  </si>
  <si>
    <t>G120-CRAC-2</t>
  </si>
  <si>
    <t>G120-CRAC-3</t>
  </si>
  <si>
    <t>G120-CRAC-4</t>
  </si>
  <si>
    <t>G120-CRAC-5</t>
  </si>
  <si>
    <t>G120-CRAC-6</t>
  </si>
  <si>
    <t>G120-CRAC-7</t>
  </si>
  <si>
    <t>G120-CRAC-8</t>
  </si>
  <si>
    <t>G120-CRAC-9</t>
  </si>
  <si>
    <t>G210-CRAC-1</t>
  </si>
  <si>
    <t>G210-CRAC-2</t>
  </si>
  <si>
    <t>G210-CRAC-3</t>
  </si>
  <si>
    <t>G210-CRAC-4</t>
  </si>
  <si>
    <t>G210-CRAC-5</t>
  </si>
  <si>
    <t>G210-CRAC-6</t>
  </si>
  <si>
    <t>G210-CRAC-7</t>
  </si>
  <si>
    <t>G210-CRAC-8</t>
  </si>
  <si>
    <t>G210-CRAC-9</t>
  </si>
  <si>
    <t>G212-CRAC-1</t>
  </si>
  <si>
    <t>G212-CRAC-2</t>
  </si>
  <si>
    <t>G212-CRAC-3</t>
  </si>
  <si>
    <t>G212-CRAC-4</t>
  </si>
  <si>
    <t>G212-CRAC-5</t>
  </si>
  <si>
    <t>G212-CRAC-6</t>
  </si>
  <si>
    <t>G212-CRAC-7</t>
  </si>
  <si>
    <t>G212-CRAC-8</t>
  </si>
  <si>
    <t>G212-CRAC-9</t>
  </si>
  <si>
    <t>G214-CRAC-1</t>
  </si>
  <si>
    <t>G214-CRAC-2</t>
  </si>
  <si>
    <t>G214-CRAC-3</t>
  </si>
  <si>
    <t>G214-CRAC-4</t>
  </si>
  <si>
    <t>G214-CRAC-5</t>
  </si>
  <si>
    <t>G214-CRAC-6</t>
  </si>
  <si>
    <t>G214-CRAC-7</t>
  </si>
  <si>
    <t>G214-CRAC-8</t>
  </si>
  <si>
    <t>G214-CRAC-9</t>
  </si>
  <si>
    <t>G216-CRAC-1</t>
  </si>
  <si>
    <t>G216-CRAC-2</t>
  </si>
  <si>
    <t>G216-CRAC-3</t>
  </si>
  <si>
    <t>G216-CRAC-4</t>
  </si>
  <si>
    <t>G216-CRAC-5</t>
  </si>
  <si>
    <t>G216-CRAC-6</t>
  </si>
  <si>
    <t>G216-CRAC-7</t>
  </si>
  <si>
    <t>G216-CRAC-8</t>
  </si>
  <si>
    <t>G216-CRAC-9</t>
  </si>
  <si>
    <t>G218-CRAC-1</t>
  </si>
  <si>
    <t>G218-CRAC-2</t>
  </si>
  <si>
    <t>G218-CRAC-3</t>
  </si>
  <si>
    <t>G218-CRAC-4</t>
  </si>
  <si>
    <t>G218-CRAC-5</t>
  </si>
  <si>
    <t>G218-CRAC-6</t>
  </si>
  <si>
    <t>G218-CRAC-7</t>
  </si>
  <si>
    <t>G218-CRAC-8</t>
  </si>
  <si>
    <t>G218-CRAC-9</t>
  </si>
  <si>
    <t>G220-CRAC-1</t>
  </si>
  <si>
    <t>G220-CRAC-2</t>
  </si>
  <si>
    <t>G220-CRAC-3</t>
  </si>
  <si>
    <t>G220-CRAC-4</t>
  </si>
  <si>
    <t>G220-CRAC-5</t>
  </si>
  <si>
    <t>G220-CRAC-6</t>
  </si>
  <si>
    <t>G220-CRAC-7</t>
  </si>
  <si>
    <t>G220-CRAC-8</t>
  </si>
  <si>
    <t>G220-CRAC-9</t>
  </si>
  <si>
    <t>H100-CRAC-1</t>
  </si>
  <si>
    <t>H100-CRAC-2</t>
  </si>
  <si>
    <t>H100-CRAC-3</t>
  </si>
  <si>
    <t>H100-CRAC-4</t>
  </si>
  <si>
    <t>H100-CRAC-5</t>
  </si>
  <si>
    <t>H100-CRAC-6</t>
  </si>
  <si>
    <t>H100-CRAC-7</t>
  </si>
  <si>
    <t>H100-CRAC-8</t>
  </si>
  <si>
    <t>H100-CRAC-9</t>
  </si>
  <si>
    <t>H100-CRAC-10</t>
  </si>
  <si>
    <t>H100-CRAC-11</t>
  </si>
  <si>
    <t>H100-CRAC-12</t>
  </si>
  <si>
    <t>H100-CRAC-13</t>
  </si>
  <si>
    <t>H100-CRAC-14</t>
  </si>
  <si>
    <t>H100-CRAC-15</t>
  </si>
  <si>
    <t>H100-CRAC-16</t>
  </si>
  <si>
    <t>H100-CRAC-17</t>
  </si>
  <si>
    <t>H100-CRAC-18</t>
  </si>
  <si>
    <t>H100-CRAC-19</t>
  </si>
  <si>
    <t>H100-CRAC-20</t>
  </si>
  <si>
    <t>H100-CRAC-21</t>
  </si>
  <si>
    <t>H100-CRAC-22</t>
  </si>
  <si>
    <t>H100-CRAC-23</t>
  </si>
  <si>
    <t>H100-CRAC-24</t>
  </si>
  <si>
    <t>H100-CRAC-25</t>
  </si>
  <si>
    <t>H100-CRAC-26</t>
  </si>
  <si>
    <t>H100-CRAC-27</t>
  </si>
  <si>
    <t>H100-CRAC-28</t>
  </si>
  <si>
    <t>H100-CRAC-29</t>
  </si>
  <si>
    <t>H100-CRAC-30</t>
  </si>
  <si>
    <t>H100-CRAC-31</t>
  </si>
  <si>
    <t>H100-CRAC-32</t>
  </si>
  <si>
    <t>H100-CRAC-33</t>
  </si>
  <si>
    <t>H100-CRAC-34</t>
  </si>
  <si>
    <t>H100-CRAC-35</t>
  </si>
  <si>
    <t>H100-CRAC-36</t>
  </si>
  <si>
    <t>H106-CRAC-1</t>
  </si>
  <si>
    <t>H106-CRAC-2</t>
  </si>
  <si>
    <t>H106-CRAC-3</t>
  </si>
  <si>
    <t>H106-CRAC-4</t>
  </si>
  <si>
    <t>H106-CRAC-5</t>
  </si>
  <si>
    <t>H106-CRAC-6</t>
  </si>
  <si>
    <t>H106-CRAC-7</t>
  </si>
  <si>
    <t>H106-CRAC-8</t>
  </si>
  <si>
    <t>H106-CRAC-9</t>
  </si>
  <si>
    <t>H106-CRAC-10</t>
  </si>
  <si>
    <t>H106-CRAC-11</t>
  </si>
  <si>
    <t>H106-CRAC-12</t>
  </si>
  <si>
    <t>H106-CRAC-13</t>
  </si>
  <si>
    <t>H106-CRAC-14</t>
  </si>
  <si>
    <t>H106-CRAC-15</t>
  </si>
  <si>
    <t>H106-CRAC-16</t>
  </si>
  <si>
    <t>H106-CRAC-17</t>
  </si>
  <si>
    <t>H106-CRAC-18</t>
  </si>
  <si>
    <t>H106-CRAC-19</t>
  </si>
  <si>
    <t>H106-CRAC-20</t>
  </si>
  <si>
    <t>H106-CRAC-21</t>
  </si>
  <si>
    <t>H106-CRAC-22</t>
  </si>
  <si>
    <t>H106-CRAC-23</t>
  </si>
  <si>
    <t>H106-CRAC-24</t>
  </si>
  <si>
    <t>H106-CRAC-25</t>
  </si>
  <si>
    <t>H106-CRAC-26</t>
  </si>
  <si>
    <t>H106-CRAC-27</t>
  </si>
  <si>
    <t>H106-CRAC-28</t>
  </si>
  <si>
    <t>H200-CRAC-1</t>
  </si>
  <si>
    <t>H200-CRAC-2</t>
  </si>
  <si>
    <t>H200-CRAC-3</t>
  </si>
  <si>
    <t>H200-CRAC-4</t>
  </si>
  <si>
    <t>H200-CRAC-5</t>
  </si>
  <si>
    <t>H200-CRAC-6</t>
  </si>
  <si>
    <t>H200-CRAC-7</t>
  </si>
  <si>
    <t>H200-CRAC-8</t>
  </si>
  <si>
    <t>H200-CRAC-9</t>
  </si>
  <si>
    <t>H200-CRAC-10</t>
  </si>
  <si>
    <t>H200-CRAC-11</t>
  </si>
  <si>
    <t>H200-CRAC-12</t>
  </si>
  <si>
    <t>H200-CRAC-13</t>
  </si>
  <si>
    <t>H200-CRAC-14</t>
  </si>
  <si>
    <t>H200-CRAC-15</t>
  </si>
  <si>
    <t>H200-CRAC-16</t>
  </si>
  <si>
    <t>H200-CRAC-17</t>
  </si>
  <si>
    <t>H200-CRAC-18</t>
  </si>
  <si>
    <t>H200-CRAC-19</t>
  </si>
  <si>
    <t>H200-CRAC-20</t>
  </si>
  <si>
    <t>H200-CRAC-21</t>
  </si>
  <si>
    <t>H200-CRAC-22</t>
  </si>
  <si>
    <t>H200-CRAC-23</t>
  </si>
  <si>
    <t>H200-CRAC-24</t>
  </si>
  <si>
    <t>H200-CRAC-25</t>
  </si>
  <si>
    <t>H200-CRAC-26</t>
  </si>
  <si>
    <t>H200-CRAC-27</t>
  </si>
  <si>
    <t>H200-CRAC-28</t>
  </si>
  <si>
    <t>H200-CRAC-29</t>
  </si>
  <si>
    <t>H200-CRAC-30</t>
  </si>
  <si>
    <t>H200-CRAC-31</t>
  </si>
  <si>
    <t>H200-CRAC-32</t>
  </si>
  <si>
    <t>H200-CRAC-33</t>
  </si>
  <si>
    <t>H200-CRAC-34</t>
  </si>
  <si>
    <t>H200-CRAC-35</t>
  </si>
  <si>
    <t>H200-CRAC-36</t>
  </si>
  <si>
    <t>H206-CRAC-1</t>
  </si>
  <si>
    <t>H206-CRAC-2</t>
  </si>
  <si>
    <t>H206-CRAC-3</t>
  </si>
  <si>
    <t>H206-CRAC-4</t>
  </si>
  <si>
    <t>H206-CRAC-5</t>
  </si>
  <si>
    <t>H206-CRAC-6</t>
  </si>
  <si>
    <t>H206-CRAC-7</t>
  </si>
  <si>
    <t>H206-CRAC-8</t>
  </si>
  <si>
    <t>H206-CRAC-9</t>
  </si>
  <si>
    <t>H206-CRAC-10</t>
  </si>
  <si>
    <t>H206-CRAC-11</t>
  </si>
  <si>
    <t>H206-CRAC-12</t>
  </si>
  <si>
    <t>H206-CRAC-13</t>
  </si>
  <si>
    <t>H206-CRAC-14</t>
  </si>
  <si>
    <t>H206-CRAC-15</t>
  </si>
  <si>
    <t>H206-CRAC-16</t>
  </si>
  <si>
    <t>H206-CRAC-17</t>
  </si>
  <si>
    <t>H206-CRAC-18</t>
  </si>
  <si>
    <t>H206-CRAC-19</t>
  </si>
  <si>
    <t>H206-CRAC-20</t>
  </si>
  <si>
    <t>H206-CRAC-21</t>
  </si>
  <si>
    <t>H206-CRAC-22</t>
  </si>
  <si>
    <t>H206-CRAC-23</t>
  </si>
  <si>
    <t>H206-CRAC-24</t>
  </si>
  <si>
    <t>H206-CRAC-25</t>
  </si>
  <si>
    <t>H206-CRAC-26</t>
  </si>
  <si>
    <t>H206-CRAC-27</t>
  </si>
  <si>
    <t>H206-CRAC-28</t>
  </si>
  <si>
    <t>J100-CRAC-1</t>
  </si>
  <si>
    <t>J100-CRAC-2</t>
  </si>
  <si>
    <t>J100-CRAC-3</t>
  </si>
  <si>
    <t>J100-CRAC-4</t>
  </si>
  <si>
    <t>J100-CRAC-5</t>
  </si>
  <si>
    <t>J100-CRAC-6</t>
  </si>
  <si>
    <t>J100-CRAC-7</t>
  </si>
  <si>
    <t>J100-CRAC-8</t>
  </si>
  <si>
    <t>J100-CRAC-9</t>
  </si>
  <si>
    <t>J100-CRAC-10</t>
  </si>
  <si>
    <t>J100-CRAC-11</t>
  </si>
  <si>
    <t>J102-CRAC-1</t>
  </si>
  <si>
    <t>J102-CRAC-2</t>
  </si>
  <si>
    <t>J102-CRAC-3</t>
  </si>
  <si>
    <t>J102-CRAC-4</t>
  </si>
  <si>
    <t>J102-CRAC-5</t>
  </si>
  <si>
    <t>J102-CRAC-6</t>
  </si>
  <si>
    <t>J102-CRAC-7</t>
  </si>
  <si>
    <t>J102-CRAC-8</t>
  </si>
  <si>
    <t>J102-CRAC-9</t>
  </si>
  <si>
    <t>J102-CRAC-10</t>
  </si>
  <si>
    <t>J102-CRAC-11</t>
  </si>
  <si>
    <t>J102-CRAC-12</t>
  </si>
  <si>
    <t>J102-CRAC-13</t>
  </si>
  <si>
    <t>J102-CRAC-14</t>
  </si>
  <si>
    <t>J102-CRAC-15</t>
  </si>
  <si>
    <t>J102-CRAC-16</t>
  </si>
  <si>
    <t>J102-CRAC-17</t>
  </si>
  <si>
    <t>J102-CRAC-18</t>
  </si>
  <si>
    <t>J102-CRAC-19</t>
  </si>
  <si>
    <t>J102-CRAC-20</t>
  </si>
  <si>
    <t>J102-CRAC-21</t>
  </si>
  <si>
    <t>J102-CRAC-22</t>
  </si>
  <si>
    <t>J102-CRAC-23</t>
  </si>
  <si>
    <t>J106-CRAC-1</t>
  </si>
  <si>
    <t>J106-CRAC-2</t>
  </si>
  <si>
    <t>J106-CRAC-3</t>
  </si>
  <si>
    <t>J106-CRAC-4</t>
  </si>
  <si>
    <t>J106-CRAC-5</t>
  </si>
  <si>
    <t>J106-CRAC-6</t>
  </si>
  <si>
    <t>J106-CRAC-7</t>
  </si>
  <si>
    <t>J106-CRAC-8</t>
  </si>
  <si>
    <t>J106-CRAC-9</t>
  </si>
  <si>
    <t>J106-CRAC-10</t>
  </si>
  <si>
    <t>J106-CRAC-11</t>
  </si>
  <si>
    <t>J106-CRAC-12</t>
  </si>
  <si>
    <t>J106-CRAC-13</t>
  </si>
  <si>
    <t>J106-CRAC-14</t>
  </si>
  <si>
    <t>J106-CRAC-15</t>
  </si>
  <si>
    <t>J106-CRAC-16</t>
  </si>
  <si>
    <t>J106-CRAC-17</t>
  </si>
  <si>
    <t>J106-CRAC-18</t>
  </si>
  <si>
    <t>J106-CRAC-19</t>
  </si>
  <si>
    <t>J106-CRAC-20</t>
  </si>
  <si>
    <t>J106-CRAC-21</t>
  </si>
  <si>
    <t>J106-CRAC-22</t>
  </si>
  <si>
    <t>J106-CRAC-23</t>
  </si>
  <si>
    <t>J106-CRAC-24</t>
  </si>
  <si>
    <t>J106-CRAC-25</t>
  </si>
  <si>
    <t>J106-CRAC-26</t>
  </si>
  <si>
    <t>J106-CRAC-27</t>
  </si>
  <si>
    <t>J106-CRAC-28</t>
  </si>
  <si>
    <t>J200-CRAC-1</t>
  </si>
  <si>
    <t>J200-CRAC-2</t>
  </si>
  <si>
    <t>J200-CRAC-3</t>
  </si>
  <si>
    <t>J200-CRAC-4</t>
  </si>
  <si>
    <t>J200-CRAC-5</t>
  </si>
  <si>
    <t>J200-CRAC-6</t>
  </si>
  <si>
    <t>J200-CRAC-7</t>
  </si>
  <si>
    <t>J200-CRAC-8</t>
  </si>
  <si>
    <t>J200-CRAC-9</t>
  </si>
  <si>
    <t>J200-CRAC-10</t>
  </si>
  <si>
    <t>J200-CRAC-11</t>
  </si>
  <si>
    <t>J202-CRAC-1</t>
  </si>
  <si>
    <t>J202-CRAC-2</t>
  </si>
  <si>
    <t>J202-CRAC-3</t>
  </si>
  <si>
    <t>J202-CRAC-4</t>
  </si>
  <si>
    <t>J202-CRAC-5</t>
  </si>
  <si>
    <t>J202-CRAC-6</t>
  </si>
  <si>
    <t>J202-CRAC-7</t>
  </si>
  <si>
    <t>J202-CRAC-8</t>
  </si>
  <si>
    <t>J202-CRAC-9</t>
  </si>
  <si>
    <t>J202-CRAC-10</t>
  </si>
  <si>
    <t>J202-CRAC-11</t>
  </si>
  <si>
    <t>J202-CRAC-12</t>
  </si>
  <si>
    <t>J202-CRAC-13</t>
  </si>
  <si>
    <t>J202-CRAC-14</t>
  </si>
  <si>
    <t>J202-CRAC-15</t>
  </si>
  <si>
    <t>J202-CRAC-16</t>
  </si>
  <si>
    <t>J202-CRAC-17</t>
  </si>
  <si>
    <t>J202-CRAC-18</t>
  </si>
  <si>
    <t>J202-CRAC-19</t>
  </si>
  <si>
    <t>J202-CRAC-20</t>
  </si>
  <si>
    <t>J202-CRAC-21</t>
  </si>
  <si>
    <t>J202-CRAC-22</t>
  </si>
  <si>
    <t>J202-CRAC-23</t>
  </si>
  <si>
    <t>J206-CRAC-1</t>
  </si>
  <si>
    <t>J206-CRAC-2</t>
  </si>
  <si>
    <t>J206-CRAC-3</t>
  </si>
  <si>
    <t>J206-CRAC-4</t>
  </si>
  <si>
    <t>J206-CRAC-5</t>
  </si>
  <si>
    <t>J206-CRAC-6</t>
  </si>
  <si>
    <t>J206-CRAC-7</t>
  </si>
  <si>
    <t>J206-CRAC-8</t>
  </si>
  <si>
    <t>J206-CRAC-9</t>
  </si>
  <si>
    <t>J206-CRAC-10</t>
  </si>
  <si>
    <t>J206-CRAC-11</t>
  </si>
  <si>
    <t>J206-CRAC-12</t>
  </si>
  <si>
    <t>J206-CRAC-13</t>
  </si>
  <si>
    <t>J206-CRAC-14</t>
  </si>
  <si>
    <t>J206-CRAC-15</t>
  </si>
  <si>
    <t>J206-CRAC-16</t>
  </si>
  <si>
    <t>J206-CRAC-17</t>
  </si>
  <si>
    <t>J206-CRAC-18</t>
  </si>
  <si>
    <t>J206-CRAC-19</t>
  </si>
  <si>
    <t>J206-CRAC-20</t>
  </si>
  <si>
    <t>J206-CRAC-21</t>
  </si>
  <si>
    <t>J206-CRAC-22</t>
  </si>
  <si>
    <t>J206-CRAC-23</t>
  </si>
  <si>
    <t>J206-CRAC-24</t>
  </si>
  <si>
    <t>J206-CRAC-25</t>
  </si>
  <si>
    <t>J206-CRAC-26</t>
  </si>
  <si>
    <t>J206-CRAC-27</t>
  </si>
  <si>
    <t>J206-CRAC-28</t>
  </si>
  <si>
    <t>J206-CRAC-29</t>
  </si>
  <si>
    <t>J206-CRAC-30</t>
  </si>
  <si>
    <t>J206-CRAC-31</t>
  </si>
  <si>
    <t>J206-CRAC-32</t>
  </si>
  <si>
    <t>J206-CRAC-33</t>
  </si>
  <si>
    <t>J206-CRAC-34</t>
  </si>
  <si>
    <t>J206-CRAC-35</t>
  </si>
  <si>
    <t>J206-CRAC-36</t>
  </si>
  <si>
    <t>J206-CRAC-37</t>
  </si>
  <si>
    <t>K100-CRAC-1</t>
  </si>
  <si>
    <t>K100-CRAC-2</t>
  </si>
  <si>
    <t>K100-CRAC-3</t>
  </si>
  <si>
    <t>K100-CRAC-4</t>
  </si>
  <si>
    <t>K100-CRAC-5</t>
  </si>
  <si>
    <t>K100-CRAC-6</t>
  </si>
  <si>
    <t>K100-CRAC-7</t>
  </si>
  <si>
    <t>K100-CRAC-8</t>
  </si>
  <si>
    <t>K100-CRAC-9</t>
  </si>
  <si>
    <t>K102-CRAC-1</t>
  </si>
  <si>
    <t>K102-CRAC-2</t>
  </si>
  <si>
    <t>K102-CRAC-3</t>
  </si>
  <si>
    <t>K102-CRAC-4</t>
  </si>
  <si>
    <t>K102-CRAC-5</t>
  </si>
  <si>
    <t>K102-CRAC-6</t>
  </si>
  <si>
    <t>K102-CRAC-7</t>
  </si>
  <si>
    <t>K102-CRAC-8</t>
  </si>
  <si>
    <t>K102-CRAC-9</t>
  </si>
  <si>
    <t>K104-CRAC-1</t>
  </si>
  <si>
    <t>K104-CRAC-2</t>
  </si>
  <si>
    <t>K104-CRAC-3</t>
  </si>
  <si>
    <t>K104-CRAC-4</t>
  </si>
  <si>
    <t>K104-CRAC-5</t>
  </si>
  <si>
    <t>K104-CRAC-6</t>
  </si>
  <si>
    <t>K104-CRAC-7</t>
  </si>
  <si>
    <t>K104-CRAC-8</t>
  </si>
  <si>
    <t>K104-CRAC-9</t>
  </si>
  <si>
    <t>K104-CRAC-10</t>
  </si>
  <si>
    <t>K104-CRAC-11</t>
  </si>
  <si>
    <t>K106-CRAC-1</t>
  </si>
  <si>
    <t>K106-CRAC-2</t>
  </si>
  <si>
    <t>K106-CRAC-3</t>
  </si>
  <si>
    <t>K106-CRAC-4</t>
  </si>
  <si>
    <t>K106-CRAC-5</t>
  </si>
  <si>
    <t>K106-CRAC-6</t>
  </si>
  <si>
    <t>K106-CRAC-7</t>
  </si>
  <si>
    <t>K106-CRAC-8</t>
  </si>
  <si>
    <t>K106-CRAC-9</t>
  </si>
  <si>
    <t>K106-CRAC-10</t>
  </si>
  <si>
    <t>K106-CRAC-11</t>
  </si>
  <si>
    <t>K108-CRAC-1</t>
  </si>
  <si>
    <t>K108-CRAC-2</t>
  </si>
  <si>
    <t>K108-CRAC-3</t>
  </si>
  <si>
    <t>K108-CRAC-4</t>
  </si>
  <si>
    <t>K108-CRAC-5</t>
  </si>
  <si>
    <t>K108-CRAC-6</t>
  </si>
  <si>
    <t>K108-CRAC-7</t>
  </si>
  <si>
    <t>K108-CRAC-8</t>
  </si>
  <si>
    <t>K108-CRAC-9</t>
  </si>
  <si>
    <t>K108-CRAC-10</t>
  </si>
  <si>
    <t>K108-CRAC-11</t>
  </si>
  <si>
    <t>K110-CRAC-1</t>
  </si>
  <si>
    <t>K110-CRAC-2</t>
  </si>
  <si>
    <t>K110-CRAC-3</t>
  </si>
  <si>
    <t>K110-CRAC-4</t>
  </si>
  <si>
    <t>K110-CRAC-5</t>
  </si>
  <si>
    <t>K110-CRAC-6</t>
  </si>
  <si>
    <t>K110-CRAC-7</t>
  </si>
  <si>
    <t>K110-CRAC-8</t>
  </si>
  <si>
    <t>K110-CRAC-9</t>
  </si>
  <si>
    <t>K110-CRAC-10</t>
  </si>
  <si>
    <t>K110-CRAC-11</t>
  </si>
  <si>
    <t>K112-CRAC-1</t>
  </si>
  <si>
    <t>K112-CRAC-2</t>
  </si>
  <si>
    <t>K112-CRAC-3</t>
  </si>
  <si>
    <t>K112-CRAC-4</t>
  </si>
  <si>
    <t>K112-CRAC-5</t>
  </si>
  <si>
    <t>K112-CRAC-6</t>
  </si>
  <si>
    <t>K112-CRAC-7</t>
  </si>
  <si>
    <t>K112-CRAC-8</t>
  </si>
  <si>
    <t>K112-CRAC-9</t>
  </si>
  <si>
    <t>K112-CRAC-10</t>
  </si>
  <si>
    <t>K112-CRAC-11</t>
  </si>
  <si>
    <t>K114-CRAC-1</t>
  </si>
  <si>
    <t>K114-CRAC-2</t>
  </si>
  <si>
    <t>K114-CRAC-3</t>
  </si>
  <si>
    <t>K114-CRAC-4</t>
  </si>
  <si>
    <t>K114-CRAC-5</t>
  </si>
  <si>
    <t>K114-CRAC-6</t>
  </si>
  <si>
    <t>K114-CRAC-7</t>
  </si>
  <si>
    <t>K114-CRAC-8</t>
  </si>
  <si>
    <t>K114-CRAC-9</t>
  </si>
  <si>
    <t>K114-CRAC-10</t>
  </si>
  <si>
    <t>K114-CRAC-11</t>
  </si>
  <si>
    <t>K200-CRAC-1</t>
  </si>
  <si>
    <t>K200-CRAC-2</t>
  </si>
  <si>
    <t>K200-CRAC-3</t>
  </si>
  <si>
    <t>K200-CRAC-4</t>
  </si>
  <si>
    <t>K200-CRAC-5</t>
  </si>
  <si>
    <t>K200-CRAC-6</t>
  </si>
  <si>
    <t>K200-CRAC-7</t>
  </si>
  <si>
    <t>K200-CRAC-8</t>
  </si>
  <si>
    <t>K200-CRAC-9</t>
  </si>
  <si>
    <t>K202-CRAC-1</t>
  </si>
  <si>
    <t>K202-CRAC-2</t>
  </si>
  <si>
    <t>K202-CRAC-3</t>
  </si>
  <si>
    <t>K202-CRAC-4</t>
  </si>
  <si>
    <t>K202-CRAC-5</t>
  </si>
  <si>
    <t>K202-CRAC-6</t>
  </si>
  <si>
    <t>K202-CRAC-7</t>
  </si>
  <si>
    <t>K202-CRAC-8</t>
  </si>
  <si>
    <t>K202-CRAC-9</t>
  </si>
  <si>
    <t>K204-CRAC-1</t>
  </si>
  <si>
    <t>K204-CRAC-2</t>
  </si>
  <si>
    <t>K204-CRAC-3</t>
  </si>
  <si>
    <t>K204-CRAC-4</t>
  </si>
  <si>
    <t>K204-CRAC-5</t>
  </si>
  <si>
    <t>K204-CRAC-6</t>
  </si>
  <si>
    <t>K204-CRAC-7</t>
  </si>
  <si>
    <t>K204-CRAC-8</t>
  </si>
  <si>
    <t>K204-CRAC-9</t>
  </si>
  <si>
    <t>K204-CRAC-10</t>
  </si>
  <si>
    <t>K204-CRAC-11</t>
  </si>
  <si>
    <t>K206-CRAC-1</t>
  </si>
  <si>
    <t>K206-CRAC-2</t>
  </si>
  <si>
    <t>K206-CRAC-3</t>
  </si>
  <si>
    <t>K206-CRAC-4</t>
  </si>
  <si>
    <t>K206-CRAC-5</t>
  </si>
  <si>
    <t>K206-CRAC-6</t>
  </si>
  <si>
    <t>K206-CRAC-7</t>
  </si>
  <si>
    <t>K206-CRAC-8</t>
  </si>
  <si>
    <t>K206-CRAC-9</t>
  </si>
  <si>
    <t>K206-CRAC-10</t>
  </si>
  <si>
    <t>K206-CRAC-11</t>
  </si>
  <si>
    <t>K208-CRAC-1</t>
  </si>
  <si>
    <t>K208-CRAC-2</t>
  </si>
  <si>
    <t>K208-CRAC-3</t>
  </si>
  <si>
    <t>K208-CRAC-4</t>
  </si>
  <si>
    <t>K208-CRAC-5</t>
  </si>
  <si>
    <t>K208-CRAC-6</t>
  </si>
  <si>
    <t>K208-CRAC-7</t>
  </si>
  <si>
    <t>K208-CRAC-8</t>
  </si>
  <si>
    <t>K208-CRAC-9</t>
  </si>
  <si>
    <t>K208-CRAC-10</t>
  </si>
  <si>
    <t>K208-CRAC-11</t>
  </si>
  <si>
    <t>K210-CRAC-1</t>
  </si>
  <si>
    <t>K210-CRAC-2</t>
  </si>
  <si>
    <t>K210-CRAC-3</t>
  </si>
  <si>
    <t>K210-CRAC-4</t>
  </si>
  <si>
    <t>K210-CRAC-5</t>
  </si>
  <si>
    <t>K210-CRAC-6</t>
  </si>
  <si>
    <t>K210-CRAC-7</t>
  </si>
  <si>
    <t>K210-CRAC-8</t>
  </si>
  <si>
    <t>K210-CRAC-9</t>
  </si>
  <si>
    <t>K210-CRAC-10</t>
  </si>
  <si>
    <t>K210-CRAC-11</t>
  </si>
  <si>
    <t>K212-CRAC-1</t>
  </si>
  <si>
    <t>K212-CRAC-2</t>
  </si>
  <si>
    <t>K212-CRAC-3</t>
  </si>
  <si>
    <t>K212-CRAC-4</t>
  </si>
  <si>
    <t>K212-CRAC-5</t>
  </si>
  <si>
    <t>K212-CRAC-6</t>
  </si>
  <si>
    <t>K212-CRAC-7</t>
  </si>
  <si>
    <t>K212-CRAC-8</t>
  </si>
  <si>
    <t>K212-CRAC-9</t>
  </si>
  <si>
    <t>K212-CRAC-10</t>
  </si>
  <si>
    <t>K212-CRAC-11</t>
  </si>
  <si>
    <t>K212-CRAC-12</t>
  </si>
  <si>
    <t>K212-CRAC-13</t>
  </si>
  <si>
    <t>K212-CRAC-14</t>
  </si>
  <si>
    <t>K212-CRAC-15</t>
  </si>
  <si>
    <t>K212-CRAC-16</t>
  </si>
  <si>
    <t>K212-CRAC-17</t>
  </si>
  <si>
    <t>K212-CRAC-18</t>
  </si>
  <si>
    <t>K212-CRAC-19</t>
  </si>
  <si>
    <t>K212-CRAC-20</t>
  </si>
  <si>
    <t>K212-CRAC-21</t>
  </si>
  <si>
    <t>K212-CRAC-22</t>
  </si>
  <si>
    <t>CRAC Galleries</t>
  </si>
  <si>
    <t>Humidifier Closets</t>
  </si>
  <si>
    <t>CRAC Gallery</t>
  </si>
  <si>
    <t># of electrical rooms</t>
  </si>
  <si>
    <t>3 units</t>
  </si>
  <si>
    <t>SWGR</t>
  </si>
  <si>
    <t>Manufacturer</t>
  </si>
  <si>
    <t>DEEMSuite1</t>
  </si>
  <si>
    <t>DEEMSuite2</t>
  </si>
  <si>
    <t>DEEMSuite3</t>
  </si>
  <si>
    <t>Transformer</t>
  </si>
  <si>
    <t>DEEMOutsideGear</t>
  </si>
  <si>
    <t>Square D</t>
  </si>
  <si>
    <t>KA36</t>
  </si>
  <si>
    <t>SWR4</t>
  </si>
  <si>
    <t>Siemens</t>
  </si>
  <si>
    <t>LA35</t>
  </si>
  <si>
    <t>SWR5</t>
  </si>
  <si>
    <t>LA64</t>
  </si>
  <si>
    <t>SWR9</t>
  </si>
  <si>
    <t>MA05</t>
  </si>
  <si>
    <t>SWR1</t>
  </si>
  <si>
    <t>MA25</t>
  </si>
  <si>
    <t>SWR2</t>
  </si>
  <si>
    <t>MA43</t>
  </si>
  <si>
    <t>SWR3</t>
  </si>
  <si>
    <t>MA71</t>
  </si>
  <si>
    <t>MA13</t>
  </si>
  <si>
    <t>MA23</t>
  </si>
  <si>
    <t>MA33</t>
  </si>
  <si>
    <t>MA42</t>
  </si>
  <si>
    <t>MA61</t>
  </si>
  <si>
    <t>MA72</t>
  </si>
  <si>
    <t>MA90</t>
  </si>
  <si>
    <t>MA79</t>
  </si>
  <si>
    <t>MA14</t>
  </si>
  <si>
    <t>MA24</t>
  </si>
  <si>
    <t>MA34</t>
  </si>
  <si>
    <t>MA52</t>
  </si>
  <si>
    <t>MA62</t>
  </si>
  <si>
    <t>MA80</t>
  </si>
  <si>
    <t>K212-A</t>
  </si>
  <si>
    <t>MA81</t>
  </si>
  <si>
    <t>K212-B</t>
  </si>
  <si>
    <t>MA91</t>
  </si>
  <si>
    <t>K212-C</t>
  </si>
  <si>
    <t>MA92</t>
  </si>
  <si>
    <t>KA73</t>
  </si>
  <si>
    <t>KA54</t>
  </si>
  <si>
    <t>KA45</t>
  </si>
  <si>
    <t>KA18</t>
  </si>
  <si>
    <t>KA34</t>
  </si>
  <si>
    <t>KA37</t>
  </si>
  <si>
    <t>KA46</t>
  </si>
  <si>
    <t>KA63</t>
  </si>
  <si>
    <t>G110-1</t>
  </si>
  <si>
    <t>LA26</t>
  </si>
  <si>
    <t>G110-2</t>
  </si>
  <si>
    <t>LA16</t>
  </si>
  <si>
    <t>G110R</t>
  </si>
  <si>
    <t>LA25</t>
  </si>
  <si>
    <t>LA43</t>
  </si>
  <si>
    <t>KA25</t>
  </si>
  <si>
    <t>KA35</t>
  </si>
  <si>
    <t>KA44</t>
  </si>
  <si>
    <t>KA53</t>
  </si>
  <si>
    <t>KA64</t>
  </si>
  <si>
    <t>LA24</t>
  </si>
  <si>
    <t>LA34</t>
  </si>
  <si>
    <t>LA44</t>
  </si>
  <si>
    <t>LA53</t>
  </si>
  <si>
    <t>LA63</t>
  </si>
  <si>
    <t>LA73</t>
  </si>
  <si>
    <t>IAD15</t>
  </si>
  <si>
    <t>439</t>
  </si>
  <si>
    <t>43915 Devin Shafron Drive</t>
  </si>
  <si>
    <t>001159.58-07</t>
  </si>
  <si>
    <t>IAD12</t>
  </si>
  <si>
    <t>M90011</t>
  </si>
  <si>
    <t>438</t>
  </si>
  <si>
    <t>43881 Devin Shafron Drive</t>
  </si>
  <si>
    <t>001159.58-05</t>
  </si>
  <si>
    <t>IAD14</t>
  </si>
  <si>
    <t>43791 Devin Shafron Drive</t>
  </si>
  <si>
    <t>001159.58-02</t>
  </si>
  <si>
    <t>IAD24</t>
  </si>
  <si>
    <t>093229</t>
  </si>
  <si>
    <t>43830 Devin Shafron Drive</t>
  </si>
  <si>
    <t>001159.58-08</t>
  </si>
  <si>
    <t>G</t>
  </si>
  <si>
    <t>IAD35</t>
  </si>
  <si>
    <t>0P3654</t>
  </si>
  <si>
    <t>43940 Digital Loudoun Plaza</t>
  </si>
  <si>
    <t>001159.58-11</t>
  </si>
  <si>
    <t>H</t>
  </si>
  <si>
    <t>IAD36</t>
  </si>
  <si>
    <t>223042</t>
  </si>
  <si>
    <t>437</t>
  </si>
  <si>
    <t>43780 Digital Loudoun Plaza</t>
  </si>
  <si>
    <t>001159.58-21</t>
  </si>
  <si>
    <t>J</t>
  </si>
  <si>
    <t>IAD38</t>
  </si>
  <si>
    <t>M24952</t>
  </si>
  <si>
    <t>952</t>
  </si>
  <si>
    <t>44100 Digital Loudoun Plaza</t>
  </si>
  <si>
    <t>001159.58-17</t>
  </si>
  <si>
    <t>K</t>
  </si>
  <si>
    <t>IAD37</t>
  </si>
  <si>
    <t>0D4244</t>
  </si>
  <si>
    <t>440</t>
  </si>
  <si>
    <t>44060 Digital Loudoun Plaza</t>
  </si>
  <si>
    <t>001159.58-13</t>
  </si>
  <si>
    <t>Comments</t>
  </si>
  <si>
    <t>Current level</t>
  </si>
  <si>
    <t>DETAILED SCRIPT</t>
  </si>
  <si>
    <t>Step</t>
  </si>
  <si>
    <t>Equipment
ID</t>
  </si>
  <si>
    <t>Action/Operation and Reason</t>
  </si>
  <si>
    <t>Responsible Party</t>
  </si>
  <si>
    <t>Time
Completed</t>
  </si>
  <si>
    <t>Initials</t>
  </si>
  <si>
    <t>Perform Pre-Work Notification</t>
  </si>
  <si>
    <t>Base</t>
  </si>
  <si>
    <t>NOTIFY the appropriate person(s) and agencies prior to maintenance.</t>
  </si>
  <si>
    <t>DLR Ops</t>
  </si>
  <si>
    <t>Record Initial Conditions</t>
  </si>
  <si>
    <t>UPS A1</t>
  </si>
  <si>
    <t>Notate the output kW reading at UPS-A1:  ___________kW</t>
  </si>
  <si>
    <t>UPS A2</t>
  </si>
  <si>
    <t>Notate the output kW reading at UPS-A2:  ___________kW</t>
  </si>
  <si>
    <t>UPA</t>
  </si>
  <si>
    <t>Notate the kW reading at UPA Critical Bus Panel Meter: _________kW</t>
  </si>
  <si>
    <t>UPS B1</t>
  </si>
  <si>
    <t>Notate the output kW reading at UPS-B1:  ___________kW</t>
  </si>
  <si>
    <t>UPS B2</t>
  </si>
  <si>
    <t>Notate the output kW reading at UPS-B2:  ___________kW</t>
  </si>
  <si>
    <t>UPB</t>
  </si>
  <si>
    <t>Notate the kW reading at UPB Critical Bus Panel Meter: _________kW</t>
  </si>
  <si>
    <t>UPS C1</t>
  </si>
  <si>
    <t>Notate the output kW reading at UPS-C1:  ___________kW</t>
  </si>
  <si>
    <t>UPS C2</t>
  </si>
  <si>
    <t>Notate the output kW reading at UPS-C2:  ___________kW</t>
  </si>
  <si>
    <t>UPC</t>
  </si>
  <si>
    <t>Notate the kW reading at UPC Critical Bus Panel Meter: _________kW</t>
  </si>
  <si>
    <t>UPS D1</t>
  </si>
  <si>
    <t>Notate the output kW reading at UPS-D1:  ___________kW</t>
  </si>
  <si>
    <t>UPS D2</t>
  </si>
  <si>
    <t>Notate the output kW reading at UPS-D2:  ___________kW</t>
  </si>
  <si>
    <t>UPD</t>
  </si>
  <si>
    <t>Notate the kW reading at UPD Critical Bus Panel Meter: _________kW</t>
  </si>
  <si>
    <t>UPS F1</t>
  </si>
  <si>
    <t>Notate the output kW reading at UPS-F1:  ___________kW</t>
  </si>
  <si>
    <t>UPS F2</t>
  </si>
  <si>
    <t>Notate the output kW reading at UPS-F2:  ___________kW</t>
  </si>
  <si>
    <t>UPF</t>
  </si>
  <si>
    <t>Notate the kW reading at UPF Critical Bus Panel Meter: _________kW</t>
  </si>
  <si>
    <t>Select the ''Operation'' button at the main screen.</t>
  </si>
  <si>
    <t>Type the password into the dialog box. 
Note: the engineer stationed on base can provide the password.</t>
  </si>
  <si>
    <t>Select "Transfer".</t>
  </si>
  <si>
    <t>Select "Transfer all Modules".</t>
  </si>
  <si>
    <t>Select "Transfer all Modules to Bypass".</t>
  </si>
  <si>
    <t>Critical Customer Loads are now served from the Static Bypass Source.</t>
  </si>
  <si>
    <t>Transfer the Customer Load to Maintenance Bypass</t>
  </si>
  <si>
    <t>Verify the SKRU RELEASE BUTTON indicator is ILLUMINATED.</t>
  </si>
  <si>
    <t>Depress and hold the SKRU RELEASE BUTTON and simultaneously rotate the interlock key 180 degrees.</t>
  </si>
  <si>
    <t xml:space="preserve">Remove the interlock key from the SKRU lock cylinder. </t>
  </si>
  <si>
    <t>Critical Customer Loads are now served from Maintenance Bypass Source.</t>
  </si>
  <si>
    <t>Verify the SKRU RELEASE BUTTON indicator is NOT illuminated.</t>
  </si>
  <si>
    <t>Insert the interlock key into the SKRU lock cylinder.</t>
  </si>
  <si>
    <t xml:space="preserve">Rotate the interlock key 180 degrees to capture the interlock key in the SKRU lock cylinder. </t>
  </si>
  <si>
    <t>SKRU RELEASE BUTTON indicator will ILLUMINATE.</t>
  </si>
  <si>
    <t>Select the "Operation" button at the main screen.</t>
  </si>
  <si>
    <t>Select "Shutdown".</t>
  </si>
  <si>
    <t>Select "All Modules".
Note: the message "Press OK to turn off the UPS and bypass of every module. Load drop will occur." will appear.</t>
  </si>
  <si>
    <t>Select "OK".
Note: the message "Proceed with All Modules Shutdown?" will appear.</t>
  </si>
  <si>
    <t>Select "Yes".
Note: the message "Press OK to proceed with shutdown" will appear.</t>
  </si>
  <si>
    <t>Select "OK".</t>
  </si>
  <si>
    <t xml:space="preserve">Note: all UPS and battery breakers will trip. </t>
  </si>
  <si>
    <t>Update the LOTO log.</t>
  </si>
  <si>
    <t xml:space="preserve">
</t>
  </si>
  <si>
    <t>Note: The DC Bus will display "Discharge". DO NOT PROCEED until complete.</t>
  </si>
  <si>
    <t>UPS A</t>
  </si>
  <si>
    <t>UPS B</t>
  </si>
  <si>
    <t>UPS C</t>
  </si>
  <si>
    <t>UPS D</t>
  </si>
  <si>
    <t>UPS F</t>
  </si>
  <si>
    <t>Turn over system to technician to perform maintenance and/or repair. Technician to verify control of hazardous energy.
Note: Vendor may require the input breakers to be intermittently opened and closed during inspection.</t>
  </si>
  <si>
    <t>Verify all tools are removed from unit.</t>
  </si>
  <si>
    <t>Verify with Technician that the unit is ready to return to service.</t>
  </si>
  <si>
    <t>Vendor</t>
  </si>
  <si>
    <t>UPS Technician signature: _________________________________</t>
  </si>
  <si>
    <t>Select "Startup".</t>
  </si>
  <si>
    <t xml:space="preserve">Select "All Modules". 
Note: The message "Press OK to start rectifier" will appear. </t>
  </si>
  <si>
    <t>Note: CB1 will close and the rectifier will turn on.</t>
  </si>
  <si>
    <t>Select "OK".
Note: The message "Press OK to turn DC/DC Converter on" will appear.</t>
  </si>
  <si>
    <t>Select "OK".
Note: The message "Press OK to close all Battery Breaker(s)" will appear.</t>
  </si>
  <si>
    <t>Select "OK".
Note: The HMI will prompt the operator to close all battery breakers.</t>
  </si>
  <si>
    <t xml:space="preserve">Select "This Module". 
Note: The message "Press OK to start rectifier" will appear. </t>
  </si>
  <si>
    <t>Press "OK" at "All Modules Startup" tab.</t>
  </si>
  <si>
    <t>When prompted, Select "OK" to turn on the SBS (Static Bypass) for all Modules.</t>
  </si>
  <si>
    <t>When prompted to "Close MIB", select "SKIP".</t>
  </si>
  <si>
    <t>Select "OK" to "Transfer all Modules to UPS".</t>
  </si>
  <si>
    <t>Select "OK" to "Complete Transfer".</t>
  </si>
  <si>
    <t>After successful transfer:</t>
  </si>
  <si>
    <t>Select "System View".</t>
  </si>
  <si>
    <t>Select "Show Status".</t>
  </si>
  <si>
    <t>Verify system shows "NORMAL".</t>
  </si>
  <si>
    <t>Select "All Modules".</t>
  </si>
  <si>
    <t>Select "OK" to "Transfer all Modules to Bypass".</t>
  </si>
  <si>
    <t xml:space="preserve">Verify system shows "STATIC BYPASS". </t>
  </si>
  <si>
    <t xml:space="preserve">Verify no active alarms on UPS. </t>
  </si>
  <si>
    <t>Transfer Customer Load From Maintenance Bypass to Static Bypass</t>
  </si>
  <si>
    <t>Depress and hold the SKRU RELEASE BUTTON and simultaneously ROTATE the interlock key 180 degrees.</t>
  </si>
  <si>
    <t>Verify the Q4 "OK TO OPERATE" indicator is EXTINGUISHED.</t>
  </si>
  <si>
    <t>Select the "Operation" button at main screen.</t>
  </si>
  <si>
    <t>Press "OK" to "Transfer all Modules to UPS".</t>
  </si>
  <si>
    <t>Verify UPS system is in normal line up at display graphics.</t>
  </si>
  <si>
    <t>Critical Customer Loads are now served from the UPS Inverter.</t>
  </si>
  <si>
    <t>Notify the appropriate person(s) and agencies of completion of maintenance.</t>
  </si>
  <si>
    <t>Review Reference Table #1 prior to proceeding.</t>
  </si>
  <si>
    <t>TOUCH the OPERATION (WRENCH) graphic on the UPS display.</t>
  </si>
  <si>
    <t>TOUCH the SHUTDOWN button on the UPS display.</t>
  </si>
  <si>
    <t>Type the password into the dialog box. Note: the engineer stationed on base can provide the password.</t>
  </si>
  <si>
    <t>Press enter to close the on-screen keyboard.</t>
  </si>
  <si>
    <t>Press enter again to submit the password.</t>
  </si>
  <si>
    <t>TOUCH the INITIATE TRANSFER button on the UPS display to initiate transfer to STATIC BYPASS.</t>
  </si>
  <si>
    <t>Canboard</t>
  </si>
  <si>
    <t>VERIFY the Q3 "OK TO OPERATE" indicator has ILLUMINATED.</t>
  </si>
  <si>
    <t>VERIFY the SKRU RELEASE BUTTON indicator is ILLUMINATED.</t>
  </si>
  <si>
    <t>DEPRESS and hold the SKRU RELEASE BUTTON and simultaneously ROTATE the interlock key 180 degrees.</t>
  </si>
  <si>
    <t xml:space="preserve">REMOVE the interlock key from the SKRU lock cylinder. </t>
  </si>
  <si>
    <t>VERIFY the Q4 "OK TO OPERATE" indicator has ILLUMINATED.</t>
  </si>
  <si>
    <t>VERIFY the Q3 "OK TO OPERATE" indicator has EXTINGUISHED.</t>
  </si>
  <si>
    <t>VERIFY the SKRU RELEASE BUTTON indicator is NOT illuminated.</t>
  </si>
  <si>
    <t>INSERT the interlock key into the SKRU lock cylinder.</t>
  </si>
  <si>
    <t xml:space="preserve">ROTATE the interlock key 180 degrees to CAPTURE the interlock key in the SKRU lock cylinder. </t>
  </si>
  <si>
    <t>DEPRESS the physical OFF button behind the clear protective cover. Expect to hear contactor operations from UPS module and cooling fans to stop.</t>
  </si>
  <si>
    <t>Module will indicate MANUAL BYPASS/OFF on the upper right hand corner of the display creen.</t>
  </si>
  <si>
    <t>VERIFY the Q2A "OK TO OPERATE" indicator has ILLUMINATED.</t>
  </si>
  <si>
    <t>VERIFY the Q7 and Q8 "OK TO OPERATE" indicators are ILLUMINATED.</t>
  </si>
  <si>
    <t>4 ICDs</t>
  </si>
  <si>
    <t>6 ICDs</t>
  </si>
  <si>
    <t>VERIFY the Q2A "OK to OPERATE" indicator has EXTINGUISHED and the Q4 "OK TO OPERATE" indicator remains ILLUMINATED.</t>
  </si>
  <si>
    <t>VERIFY the Q2B "OK TO OPERATE" indicator has ILLUMINATED and the Q4 "OK TO OPERATE" indicator remains ILLUMINATED.</t>
  </si>
  <si>
    <t>Turn system over to technician to perform maintenance and/or repair.</t>
  </si>
  <si>
    <t>VERIFY all tools are removed from unit, and VERIFY with Technician the unit is ready to return to service.</t>
  </si>
  <si>
    <t xml:space="preserve">
UPS technician signature: _____________________________</t>
  </si>
  <si>
    <t>ALLOW 60-90 seconds for UPS firmware to initialize and touchscreens to display system status. Expect to hear multiple contactor operations during this time.</t>
  </si>
  <si>
    <t>VERIFY the Q2A, Q2B, and Q4 "OK TO OPERATE" indicators have ILLUMINATED.</t>
  </si>
  <si>
    <t>TOUCH the STARTUP button on the UPS display.</t>
  </si>
  <si>
    <t>CAUTION: At least one Q7 and one Q8 battery breaker must be closed within approximately 15 seconds of the Q7 and Q8 "OK TO OPERATE" lights illuminating. The operator must be in position and prepared to close one breaker on each string as soon as the reader instructs them to. The reader must watch the Q7 and Q8 "OK TO OPERATE" lights to inform the operator when it is time to close the Q7 and Q8 battery breakers. If the Q7 and Q8 "OK TO OPERATE" lights go out before at least one breaker in each string is closed, STOP! Open all battery breakers and wait for the DC bus voltage to drop to 0VDC before re-charging the DC bus.</t>
  </si>
  <si>
    <t>VRLA</t>
  </si>
  <si>
    <t>CAUTION: At least one Q7 and one Q8 battery breaker must be closed within approximately 10 seconds of the Q7 and Q8 "OK TO OPERATE" lights and the "CONTROL SYSTEM READY" light illuminating. The operator must be in position and prepared to reset faults, then close one breaker on each string as soon as the reader instructs them to. The reader must watch the Q7 and Q8 "OK TO OPERATE" lights and the "CONTROL SYSTEM READY" light to inform the operator when it is time to close the Q7 and Q8 battery breakers. If the Q7 and Q8 "OK TO OPERATE" lights go out before at least one breaker in each string is closed, STOP! Open all battery breakers and wait for the DC bus voltage to drop to 0VDC before re-charging the DC bus.</t>
  </si>
  <si>
    <t>Li-Ion</t>
  </si>
  <si>
    <t>TOUCH the INITIATE CHARGE button on the UPS display.</t>
  </si>
  <si>
    <t>VERIFY the Q7 and Q8 "OK TO OPERATE" lights are ILLUMINATED.</t>
  </si>
  <si>
    <t>VERIFY the "CONTROL SYSTEM READY" light is ILLUMINATED.</t>
  </si>
  <si>
    <t>PRESS and HOLD the red ''RESET'' button on the master battery cabinet (D1-4) until the red LED fault light extinguishes.</t>
  </si>
  <si>
    <t>DEPRESS the physical ON button behind the clear protective cover. Expect to hear contactor operations from UPS module and cooling fans to start.</t>
  </si>
  <si>
    <t>VERIFY the Q2A and Q4 "OK TO OPERATE" indicators have EXTINGUISHED.</t>
  </si>
  <si>
    <t>PRESS and HOLD the red ''RESET'' button on the master battery cabinet (D2-1) until the red LED fault light extinguishes.</t>
  </si>
  <si>
    <t>VERIFY the Q2B "OK TO OPERATE" indicator has EXTINGUISHED.</t>
  </si>
  <si>
    <t>Transfer the Customer Load to Static Bypass</t>
  </si>
  <si>
    <t>TOUCH the BACK graphic button to navigate to the OPERATIONS screen.</t>
  </si>
  <si>
    <t>TOUCH the ONLINE &gt; STATIC BYPASS graphic button.</t>
  </si>
  <si>
    <t>TOUCH the INITIATE TRANSFER graphic button. Expect to hear contactor operations from the module.</t>
  </si>
  <si>
    <t>At the CANBOARD CONTROL PANEL, VERIFY the Q4 "OK TO OPERATE" indicator has ILLUMINATED.</t>
  </si>
  <si>
    <t>At the CANBOARD CONTROL PANEL, VERIFY the Q3 "OK TO OPERATE" indicator has ILLUMINATED.</t>
  </si>
  <si>
    <t>VERIFY the Q4 "OK TO OPERATE" indicator has EXTINGUISHED.</t>
  </si>
  <si>
    <t xml:space="preserve">TOUCH the STATIC BYPASS &gt; ONLINE graphic button. </t>
  </si>
  <si>
    <t>TOUCH the INITIATE TRANSFER graphic button to transfer from Static Bypass to Online.</t>
  </si>
  <si>
    <t>VERIFY One line indicates as UPS ONLINE with no critical alarms.</t>
  </si>
  <si>
    <t>VERIFY all indicators have EXTINGUISHED.</t>
  </si>
  <si>
    <r>
      <t>VERIFY</t>
    </r>
    <r>
      <rPr>
        <sz val="14"/>
        <rFont val="Calibri"/>
        <family val="2"/>
        <scheme val="minor"/>
      </rPr>
      <t xml:space="preserve"> UPS systems A and B are on-line with no critical alarms present.</t>
    </r>
  </si>
  <si>
    <r>
      <t>NOTATE</t>
    </r>
    <r>
      <rPr>
        <sz val="14"/>
        <rFont val="Calibri"/>
        <family val="2"/>
        <scheme val="minor"/>
      </rPr>
      <t xml:space="preserve"> the kW reading at </t>
    </r>
    <r>
      <rPr>
        <b/>
        <u/>
        <sz val="14"/>
        <rFont val="Calibri"/>
        <family val="2"/>
        <scheme val="minor"/>
      </rPr>
      <t>UPA</t>
    </r>
    <r>
      <rPr>
        <sz val="14"/>
        <rFont val="Calibri"/>
        <family val="2"/>
        <scheme val="minor"/>
      </rPr>
      <t xml:space="preserve"> Critical Bus Panel Meter: _________</t>
    </r>
  </si>
  <si>
    <t>Prepare UPA for Transfer to Maintenance Bypass</t>
  </si>
  <si>
    <r>
      <rPr>
        <b/>
        <sz val="14"/>
        <rFont val="Calibri"/>
        <family val="2"/>
      </rPr>
      <t xml:space="preserve">PUMP </t>
    </r>
    <r>
      <rPr>
        <sz val="14"/>
        <rFont val="Calibri"/>
        <family val="2"/>
      </rPr>
      <t xml:space="preserve">the </t>
    </r>
    <r>
      <rPr>
        <b/>
        <u/>
        <sz val="14"/>
        <rFont val="Calibri"/>
        <family val="2"/>
      </rPr>
      <t>MBUPA</t>
    </r>
    <r>
      <rPr>
        <b/>
        <sz val="14"/>
        <rFont val="Calibri"/>
        <family val="2"/>
      </rPr>
      <t xml:space="preserve"> </t>
    </r>
    <r>
      <rPr>
        <sz val="14"/>
        <rFont val="Calibri"/>
        <family val="2"/>
      </rPr>
      <t xml:space="preserve">breaker charging handle repeatedly to compress spring and </t>
    </r>
    <r>
      <rPr>
        <b/>
        <sz val="14"/>
        <rFont val="Calibri"/>
        <family val="2"/>
      </rPr>
      <t>CHARGE</t>
    </r>
    <r>
      <rPr>
        <sz val="14"/>
        <rFont val="Calibri"/>
        <family val="2"/>
      </rPr>
      <t xml:space="preserve"> breaker.</t>
    </r>
  </si>
  <si>
    <t>Transfer UPS System A to Static Bypass</t>
  </si>
  <si>
    <r>
      <t>NAVIGATE</t>
    </r>
    <r>
      <rPr>
        <sz val="14"/>
        <rFont val="Calibri"/>
        <family val="2"/>
        <scheme val="minor"/>
      </rPr>
      <t xml:space="preserve"> to the </t>
    </r>
    <r>
      <rPr>
        <b/>
        <u/>
        <sz val="14"/>
        <rFont val="Calibri"/>
        <family val="2"/>
        <scheme val="minor"/>
      </rPr>
      <t>UPS HOME</t>
    </r>
    <r>
      <rPr>
        <sz val="14"/>
        <rFont val="Calibri"/>
        <family val="2"/>
        <scheme val="minor"/>
      </rPr>
      <t xml:space="preserve"> screen by pressing the </t>
    </r>
    <r>
      <rPr>
        <b/>
        <sz val="14"/>
        <rFont val="Calibri"/>
        <family val="2"/>
        <scheme val="minor"/>
      </rPr>
      <t>HOME</t>
    </r>
    <r>
      <rPr>
        <sz val="14"/>
        <rFont val="Calibri"/>
        <family val="2"/>
        <scheme val="minor"/>
      </rPr>
      <t xml:space="preserve"> button located in the upper right hand corner of touchscreen, if not already at this screen.</t>
    </r>
  </si>
  <si>
    <r>
      <t>TOUCH</t>
    </r>
    <r>
      <rPr>
        <sz val="14"/>
        <rFont val="Calibri"/>
        <family val="2"/>
        <scheme val="minor"/>
      </rPr>
      <t xml:space="preserve"> the </t>
    </r>
    <r>
      <rPr>
        <b/>
        <u/>
        <sz val="14"/>
        <rFont val="Calibri"/>
        <family val="2"/>
        <scheme val="minor"/>
      </rPr>
      <t>STOP INVERTER</t>
    </r>
    <r>
      <rPr>
        <b/>
        <sz val="14"/>
        <rFont val="Calibri"/>
        <family val="2"/>
        <scheme val="minor"/>
      </rPr>
      <t xml:space="preserve"> </t>
    </r>
    <r>
      <rPr>
        <sz val="14"/>
        <rFont val="Calibri"/>
        <family val="2"/>
        <scheme val="minor"/>
      </rPr>
      <t xml:space="preserve">graphic button on the </t>
    </r>
    <r>
      <rPr>
        <b/>
        <u/>
        <sz val="14"/>
        <rFont val="Calibri"/>
        <family val="2"/>
        <scheme val="minor"/>
      </rPr>
      <t>UPS HOME</t>
    </r>
    <r>
      <rPr>
        <sz val="14"/>
        <rFont val="Calibri"/>
        <family val="2"/>
        <scheme val="minor"/>
      </rPr>
      <t xml:space="preserve"> screen.</t>
    </r>
  </si>
  <si>
    <t>Screen will prompt Confirm?</t>
  </si>
  <si>
    <r>
      <t>TOUCH</t>
    </r>
    <r>
      <rPr>
        <sz val="14"/>
        <rFont val="Calibri"/>
        <family val="2"/>
        <scheme val="minor"/>
      </rPr>
      <t xml:space="preserve"> the </t>
    </r>
    <r>
      <rPr>
        <b/>
        <u/>
        <sz val="14"/>
        <rFont val="Calibri"/>
        <family val="2"/>
        <scheme val="minor"/>
      </rPr>
      <t>CONFIRM</t>
    </r>
    <r>
      <rPr>
        <sz val="14"/>
        <rFont val="Calibri"/>
        <family val="2"/>
        <scheme val="minor"/>
      </rPr>
      <t xml:space="preserve"> button on graphic.</t>
    </r>
  </si>
  <si>
    <t>On screen, Inverter symbol will change from green to gray in color, yellow exclamation flag will appear, and the Static Bypass Switch symbol will change from gray to green in color.</t>
  </si>
  <si>
    <r>
      <t>TOUCH</t>
    </r>
    <r>
      <rPr>
        <sz val="14"/>
        <rFont val="Calibri"/>
        <family val="2"/>
        <scheme val="minor"/>
      </rPr>
      <t xml:space="preserve"> the </t>
    </r>
    <r>
      <rPr>
        <b/>
        <u/>
        <sz val="14"/>
        <rFont val="Calibri"/>
        <family val="2"/>
        <scheme val="minor"/>
      </rPr>
      <t>STOP INVERTER</t>
    </r>
    <r>
      <rPr>
        <b/>
        <sz val="14"/>
        <rFont val="Calibri"/>
        <family val="2"/>
        <scheme val="minor"/>
      </rPr>
      <t xml:space="preserve"> </t>
    </r>
    <r>
      <rPr>
        <sz val="14"/>
        <rFont val="Calibri"/>
        <family val="2"/>
        <scheme val="minor"/>
      </rPr>
      <t>graphic button on the UPS Summary screen.</t>
    </r>
  </si>
  <si>
    <r>
      <t>UPS-A1</t>
    </r>
    <r>
      <rPr>
        <sz val="14"/>
        <rFont val="Calibri"/>
        <family val="2"/>
        <scheme val="minor"/>
      </rPr>
      <t xml:space="preserve"> and </t>
    </r>
    <r>
      <rPr>
        <b/>
        <u/>
        <sz val="14"/>
        <rFont val="Calibri"/>
        <family val="2"/>
        <scheme val="minor"/>
      </rPr>
      <t>UPS-A2</t>
    </r>
    <r>
      <rPr>
        <sz val="14"/>
        <rFont val="Calibri"/>
        <family val="2"/>
        <scheme val="minor"/>
      </rPr>
      <t xml:space="preserve"> will transfer to Static Bypass.</t>
    </r>
  </si>
  <si>
    <r>
      <t>VERIFY</t>
    </r>
    <r>
      <rPr>
        <sz val="14"/>
        <rFont val="Calibri"/>
        <family val="2"/>
        <scheme val="minor"/>
      </rPr>
      <t xml:space="preserve"> unit indicates as in static bypass by following the one line graphic.</t>
    </r>
  </si>
  <si>
    <r>
      <t>NOTATE</t>
    </r>
    <r>
      <rPr>
        <sz val="14"/>
        <rFont val="Calibri"/>
        <family val="2"/>
      </rPr>
      <t xml:space="preserve"> the kW reading at </t>
    </r>
    <r>
      <rPr>
        <b/>
        <u/>
        <sz val="14"/>
        <rFont val="Calibri"/>
        <family val="2"/>
      </rPr>
      <t>UPA</t>
    </r>
    <r>
      <rPr>
        <sz val="14"/>
        <rFont val="Calibri"/>
        <family val="2"/>
      </rPr>
      <t xml:space="preserve"> Critical Bus Panel Meter:_________</t>
    </r>
  </si>
  <si>
    <r>
      <t>VERIFY</t>
    </r>
    <r>
      <rPr>
        <sz val="14"/>
        <rFont val="Calibri"/>
        <family val="2"/>
      </rPr>
      <t xml:space="preserve"> the </t>
    </r>
    <r>
      <rPr>
        <b/>
        <u/>
        <sz val="14"/>
        <rFont val="Calibri"/>
        <family val="2"/>
      </rPr>
      <t>SKRU RELEASE BUTTON</t>
    </r>
    <r>
      <rPr>
        <sz val="14"/>
        <rFont val="Calibri"/>
        <family val="2"/>
      </rPr>
      <t xml:space="preserve"> indicator is </t>
    </r>
    <r>
      <rPr>
        <b/>
        <sz val="14"/>
        <rFont val="Calibri"/>
        <family val="2"/>
      </rPr>
      <t>ILLUMINATED</t>
    </r>
    <r>
      <rPr>
        <sz val="14"/>
        <rFont val="Calibri"/>
        <family val="2"/>
      </rPr>
      <t>.</t>
    </r>
  </si>
  <si>
    <r>
      <t>DEPRESS</t>
    </r>
    <r>
      <rPr>
        <sz val="14"/>
        <rFont val="Calibri"/>
        <family val="2"/>
        <scheme val="minor"/>
      </rPr>
      <t xml:space="preserve"> and hold the </t>
    </r>
    <r>
      <rPr>
        <b/>
        <u/>
        <sz val="14"/>
        <rFont val="Calibri"/>
        <family val="2"/>
        <scheme val="minor"/>
      </rPr>
      <t>SKRU RELEASE BUTTON</t>
    </r>
    <r>
      <rPr>
        <sz val="14"/>
        <rFont val="Calibri"/>
        <family val="2"/>
        <scheme val="minor"/>
      </rPr>
      <t xml:space="preserve"> and simultaneously </t>
    </r>
    <r>
      <rPr>
        <b/>
        <sz val="14"/>
        <rFont val="Calibri"/>
        <family val="2"/>
        <scheme val="minor"/>
      </rPr>
      <t>ROTATE</t>
    </r>
    <r>
      <rPr>
        <sz val="14"/>
        <rFont val="Calibri"/>
        <family val="2"/>
        <scheme val="minor"/>
      </rPr>
      <t xml:space="preserve"> the interlock key 180 degrees.</t>
    </r>
  </si>
  <si>
    <r>
      <t>REMOVE</t>
    </r>
    <r>
      <rPr>
        <sz val="14"/>
        <rFont val="Calibri"/>
        <family val="2"/>
        <scheme val="minor"/>
      </rPr>
      <t xml:space="preserve"> the interlock key from the SKRU lock cylinder. </t>
    </r>
  </si>
  <si>
    <r>
      <t>INSERT</t>
    </r>
    <r>
      <rPr>
        <sz val="14"/>
        <rFont val="Calibri"/>
        <family val="2"/>
      </rPr>
      <t xml:space="preserve"> the interlock key into the </t>
    </r>
    <r>
      <rPr>
        <b/>
        <u/>
        <sz val="14"/>
        <rFont val="Calibri"/>
        <family val="2"/>
      </rPr>
      <t>MBUPA</t>
    </r>
    <r>
      <rPr>
        <sz val="14"/>
        <rFont val="Calibri"/>
        <family val="2"/>
      </rPr>
      <t xml:space="preserve"> breaker lock cylinder.</t>
    </r>
  </si>
  <si>
    <r>
      <t>ROTATE</t>
    </r>
    <r>
      <rPr>
        <sz val="14"/>
        <rFont val="Calibri"/>
        <family val="2"/>
        <scheme val="minor"/>
      </rPr>
      <t xml:space="preserve"> the interlock key 90 degrees to </t>
    </r>
    <r>
      <rPr>
        <b/>
        <sz val="14"/>
        <rFont val="Calibri"/>
        <family val="2"/>
        <scheme val="minor"/>
      </rPr>
      <t>UNLOCK</t>
    </r>
    <r>
      <rPr>
        <sz val="14"/>
        <rFont val="Calibri"/>
        <family val="2"/>
        <scheme val="minor"/>
      </rPr>
      <t xml:space="preserve"> the </t>
    </r>
    <r>
      <rPr>
        <b/>
        <u/>
        <sz val="14"/>
        <rFont val="Calibri"/>
        <family val="2"/>
        <scheme val="minor"/>
      </rPr>
      <t>MBUPA</t>
    </r>
    <r>
      <rPr>
        <sz val="14"/>
        <rFont val="Calibri"/>
        <family val="2"/>
        <scheme val="minor"/>
      </rPr>
      <t xml:space="preserve"> breaker.</t>
    </r>
  </si>
  <si>
    <r>
      <t xml:space="preserve">CLOSE </t>
    </r>
    <r>
      <rPr>
        <sz val="14"/>
        <rFont val="Calibri"/>
        <family val="2"/>
        <scheme val="minor"/>
      </rPr>
      <t>breaker</t>
    </r>
    <r>
      <rPr>
        <b/>
        <sz val="14"/>
        <rFont val="Calibri"/>
        <family val="2"/>
        <scheme val="minor"/>
      </rPr>
      <t xml:space="preserve"> MBUPA. </t>
    </r>
  </si>
  <si>
    <r>
      <t>VERIFY</t>
    </r>
    <r>
      <rPr>
        <sz val="14"/>
        <rFont val="Calibri"/>
        <family val="2"/>
        <scheme val="minor"/>
      </rPr>
      <t xml:space="preserve"> </t>
    </r>
    <r>
      <rPr>
        <b/>
        <u/>
        <sz val="14"/>
        <rFont val="Calibri"/>
        <family val="2"/>
        <scheme val="minor"/>
      </rPr>
      <t>MBUPA</t>
    </r>
    <r>
      <rPr>
        <sz val="14"/>
        <rFont val="Calibri"/>
        <family val="2"/>
        <scheme val="minor"/>
      </rPr>
      <t xml:space="preserve"> breaker flag indicates </t>
    </r>
    <r>
      <rPr>
        <b/>
        <sz val="14"/>
        <rFont val="Calibri"/>
        <family val="2"/>
        <scheme val="minor"/>
      </rPr>
      <t>CLOSED</t>
    </r>
    <r>
      <rPr>
        <sz val="14"/>
        <rFont val="Calibri"/>
        <family val="2"/>
        <scheme val="minor"/>
      </rPr>
      <t>.</t>
    </r>
  </si>
  <si>
    <r>
      <t>VERIFY</t>
    </r>
    <r>
      <rPr>
        <sz val="14"/>
        <rFont val="Calibri"/>
        <family val="2"/>
        <scheme val="minor"/>
      </rPr>
      <t xml:space="preserve"> breaker </t>
    </r>
    <r>
      <rPr>
        <b/>
        <u/>
        <sz val="14"/>
        <rFont val="Calibri"/>
        <family val="2"/>
        <scheme val="minor"/>
      </rPr>
      <t>MBUPA</t>
    </r>
    <r>
      <rPr>
        <sz val="14"/>
        <rFont val="Calibri"/>
        <family val="2"/>
        <scheme val="minor"/>
      </rPr>
      <t xml:space="preserve"> is carrying a portion of critical customer load using breaker mounted metering.</t>
    </r>
  </si>
  <si>
    <r>
      <t>VERIFY</t>
    </r>
    <r>
      <rPr>
        <sz val="14"/>
        <rFont val="Calibri"/>
        <family val="2"/>
        <scheme val="minor"/>
      </rPr>
      <t xml:space="preserve"> breaker </t>
    </r>
    <r>
      <rPr>
        <b/>
        <u/>
        <sz val="14"/>
        <rFont val="Calibri"/>
        <family val="2"/>
        <scheme val="minor"/>
      </rPr>
      <t>MCBUPA</t>
    </r>
    <r>
      <rPr>
        <sz val="14"/>
        <rFont val="Calibri"/>
        <family val="2"/>
        <scheme val="minor"/>
      </rPr>
      <t xml:space="preserve"> is carrying a portion of critical customer load using breaker mounted metering.</t>
    </r>
  </si>
  <si>
    <r>
      <t>VERIFY</t>
    </r>
    <r>
      <rPr>
        <sz val="14"/>
        <rFont val="Calibri"/>
        <family val="2"/>
        <scheme val="minor"/>
      </rPr>
      <t xml:space="preserve"> load on </t>
    </r>
    <r>
      <rPr>
        <b/>
        <u/>
        <sz val="14"/>
        <rFont val="Calibri"/>
        <family val="2"/>
        <scheme val="minor"/>
      </rPr>
      <t>UPA</t>
    </r>
    <r>
      <rPr>
        <sz val="14"/>
        <rFont val="Calibri"/>
        <family val="2"/>
        <scheme val="minor"/>
      </rPr>
      <t xml:space="preserve"> Critical Bus Panel Meter is the same as noted previously.</t>
    </r>
  </si>
  <si>
    <r>
      <rPr>
        <b/>
        <sz val="14"/>
        <rFont val="Calibri"/>
        <family val="2"/>
      </rPr>
      <t xml:space="preserve">PUMP </t>
    </r>
    <r>
      <rPr>
        <sz val="14"/>
        <rFont val="Calibri"/>
        <family val="2"/>
      </rPr>
      <t xml:space="preserve">the </t>
    </r>
    <r>
      <rPr>
        <b/>
        <u/>
        <sz val="14"/>
        <rFont val="Calibri"/>
        <family val="2"/>
      </rPr>
      <t>MCBUPA</t>
    </r>
    <r>
      <rPr>
        <b/>
        <sz val="14"/>
        <rFont val="Calibri"/>
        <family val="2"/>
      </rPr>
      <t xml:space="preserve"> </t>
    </r>
    <r>
      <rPr>
        <sz val="14"/>
        <rFont val="Calibri"/>
        <family val="2"/>
      </rPr>
      <t xml:space="preserve">breaker charging handle repeatedly to compress spring and </t>
    </r>
    <r>
      <rPr>
        <b/>
        <sz val="14"/>
        <rFont val="Calibri"/>
        <family val="2"/>
      </rPr>
      <t>CHARGE</t>
    </r>
    <r>
      <rPr>
        <sz val="14"/>
        <rFont val="Calibri"/>
        <family val="2"/>
      </rPr>
      <t xml:space="preserve"> breaker.</t>
    </r>
  </si>
  <si>
    <r>
      <t xml:space="preserve">Note: If breaker </t>
    </r>
    <r>
      <rPr>
        <b/>
        <u/>
        <sz val="14"/>
        <rFont val="Calibri"/>
        <family val="2"/>
        <scheme val="minor"/>
      </rPr>
      <t>MCBUPA</t>
    </r>
    <r>
      <rPr>
        <sz val="14"/>
        <rFont val="Calibri"/>
        <family val="2"/>
        <scheme val="minor"/>
      </rPr>
      <t xml:space="preserve"> fails to charge, do not proceed with the procedure as this will prevent system restoration and stabilization following completion of maintenance.</t>
    </r>
  </si>
  <si>
    <r>
      <t>OPEN</t>
    </r>
    <r>
      <rPr>
        <sz val="14"/>
        <rFont val="Calibri"/>
        <family val="2"/>
        <scheme val="minor"/>
      </rPr>
      <t xml:space="preserve"> breaker </t>
    </r>
    <r>
      <rPr>
        <b/>
        <u/>
        <sz val="14"/>
        <rFont val="Calibri"/>
        <family val="2"/>
        <scheme val="minor"/>
      </rPr>
      <t>MCBUPA</t>
    </r>
    <r>
      <rPr>
        <sz val="14"/>
        <rFont val="Calibri"/>
        <family val="2"/>
        <scheme val="minor"/>
      </rPr>
      <t>.</t>
    </r>
  </si>
  <si>
    <r>
      <t>VERIFY</t>
    </r>
    <r>
      <rPr>
        <sz val="14"/>
        <rFont val="Calibri"/>
        <family val="2"/>
        <scheme val="minor"/>
      </rPr>
      <t xml:space="preserve"> </t>
    </r>
    <r>
      <rPr>
        <b/>
        <u/>
        <sz val="14"/>
        <rFont val="Calibri"/>
        <family val="2"/>
        <scheme val="minor"/>
      </rPr>
      <t>MCBUPA</t>
    </r>
    <r>
      <rPr>
        <sz val="14"/>
        <rFont val="Calibri"/>
        <family val="2"/>
        <scheme val="minor"/>
      </rPr>
      <t xml:space="preserve"> breaker flag indicates </t>
    </r>
    <r>
      <rPr>
        <b/>
        <sz val="14"/>
        <rFont val="Calibri"/>
        <family val="2"/>
        <scheme val="minor"/>
      </rPr>
      <t>OPEN</t>
    </r>
    <r>
      <rPr>
        <sz val="14"/>
        <rFont val="Calibri"/>
        <family val="2"/>
        <scheme val="minor"/>
      </rPr>
      <t>.</t>
    </r>
  </si>
  <si>
    <r>
      <t>ROTATE</t>
    </r>
    <r>
      <rPr>
        <sz val="14"/>
        <rFont val="Calibri"/>
        <family val="2"/>
        <scheme val="minor"/>
      </rPr>
      <t xml:space="preserve"> the interlock key 90 degrees to </t>
    </r>
    <r>
      <rPr>
        <b/>
        <sz val="14"/>
        <rFont val="Calibri"/>
        <family val="2"/>
        <scheme val="minor"/>
      </rPr>
      <t>LOCK</t>
    </r>
    <r>
      <rPr>
        <sz val="14"/>
        <rFont val="Calibri"/>
        <family val="2"/>
        <scheme val="minor"/>
      </rPr>
      <t xml:space="preserve"> the </t>
    </r>
    <r>
      <rPr>
        <b/>
        <u/>
        <sz val="14"/>
        <rFont val="Calibri"/>
        <family val="2"/>
        <scheme val="minor"/>
      </rPr>
      <t>MCBUPA</t>
    </r>
    <r>
      <rPr>
        <sz val="14"/>
        <rFont val="Calibri"/>
        <family val="2"/>
        <scheme val="minor"/>
      </rPr>
      <t xml:space="preserve"> breaker.</t>
    </r>
  </si>
  <si>
    <r>
      <t>REMOVE</t>
    </r>
    <r>
      <rPr>
        <sz val="14"/>
        <rFont val="Calibri"/>
        <family val="2"/>
        <scheme val="minor"/>
      </rPr>
      <t xml:space="preserve"> the interlock key from the </t>
    </r>
    <r>
      <rPr>
        <b/>
        <u/>
        <sz val="14"/>
        <rFont val="Calibri"/>
        <family val="2"/>
        <scheme val="minor"/>
      </rPr>
      <t>MCBUPA</t>
    </r>
    <r>
      <rPr>
        <b/>
        <sz val="14"/>
        <rFont val="Calibri"/>
        <family val="2"/>
        <scheme val="minor"/>
      </rPr>
      <t xml:space="preserve"> </t>
    </r>
    <r>
      <rPr>
        <sz val="14"/>
        <rFont val="Calibri"/>
        <family val="2"/>
        <scheme val="minor"/>
      </rPr>
      <t>breaker lock cylinder.</t>
    </r>
  </si>
  <si>
    <r>
      <t>VERIFY</t>
    </r>
    <r>
      <rPr>
        <sz val="14"/>
        <rFont val="Calibri"/>
        <family val="2"/>
      </rPr>
      <t xml:space="preserve"> the </t>
    </r>
    <r>
      <rPr>
        <b/>
        <u/>
        <sz val="14"/>
        <rFont val="Calibri"/>
        <family val="2"/>
      </rPr>
      <t>SKRU RELEASE BUTTON</t>
    </r>
    <r>
      <rPr>
        <sz val="14"/>
        <rFont val="Calibri"/>
        <family val="2"/>
      </rPr>
      <t xml:space="preserve"> indicator is </t>
    </r>
    <r>
      <rPr>
        <b/>
        <sz val="14"/>
        <rFont val="Calibri"/>
        <family val="2"/>
      </rPr>
      <t xml:space="preserve">NOT </t>
    </r>
    <r>
      <rPr>
        <sz val="14"/>
        <rFont val="Calibri"/>
        <family val="2"/>
      </rPr>
      <t>illuminated.</t>
    </r>
  </si>
  <si>
    <r>
      <t>INSERT</t>
    </r>
    <r>
      <rPr>
        <sz val="14"/>
        <rFont val="Calibri"/>
        <family val="2"/>
        <scheme val="minor"/>
      </rPr>
      <t xml:space="preserve"> the interlock key into the SKRU lock cylinder.</t>
    </r>
  </si>
  <si>
    <r>
      <t>ROTATE</t>
    </r>
    <r>
      <rPr>
        <sz val="14"/>
        <rFont val="Calibri"/>
        <family val="2"/>
        <scheme val="minor"/>
      </rPr>
      <t xml:space="preserve"> the interlock key 180 degrees to </t>
    </r>
    <r>
      <rPr>
        <b/>
        <sz val="14"/>
        <rFont val="Calibri"/>
        <family val="2"/>
        <scheme val="minor"/>
      </rPr>
      <t xml:space="preserve">CAPTURE </t>
    </r>
    <r>
      <rPr>
        <sz val="14"/>
        <rFont val="Calibri"/>
        <family val="2"/>
        <scheme val="minor"/>
      </rPr>
      <t xml:space="preserve">the interlock key in the SKRU lock cylinder. </t>
    </r>
  </si>
  <si>
    <r>
      <t>RELEASE BUTTON</t>
    </r>
    <r>
      <rPr>
        <sz val="14"/>
        <rFont val="Calibri"/>
        <family val="2"/>
        <scheme val="minor"/>
      </rPr>
      <t xml:space="preserve"> indicator will </t>
    </r>
    <r>
      <rPr>
        <b/>
        <sz val="14"/>
        <rFont val="Calibri"/>
        <family val="2"/>
        <scheme val="minor"/>
      </rPr>
      <t>ILLUMINATE</t>
    </r>
    <r>
      <rPr>
        <sz val="14"/>
        <rFont val="Calibri"/>
        <family val="2"/>
        <scheme val="minor"/>
      </rPr>
      <t>.</t>
    </r>
  </si>
  <si>
    <t>Shut Down UPS System A</t>
  </si>
  <si>
    <r>
      <t>OPEN</t>
    </r>
    <r>
      <rPr>
        <sz val="14"/>
        <rFont val="Calibri"/>
        <family val="2"/>
        <scheme val="minor"/>
      </rPr>
      <t xml:space="preserve"> breaker </t>
    </r>
    <r>
      <rPr>
        <b/>
        <u/>
        <sz val="14"/>
        <rFont val="Calibri"/>
        <family val="2"/>
        <scheme val="minor"/>
      </rPr>
      <t>DP-A1</t>
    </r>
    <r>
      <rPr>
        <sz val="14"/>
        <rFont val="Calibri"/>
        <family val="2"/>
        <scheme val="minor"/>
      </rPr>
      <t>. (MOB, Module Output Breaker)</t>
    </r>
  </si>
  <si>
    <r>
      <rPr>
        <sz val="14"/>
        <rFont val="Calibri"/>
        <family val="2"/>
        <scheme val="minor"/>
      </rPr>
      <t xml:space="preserve">Apply LOTO to breaker </t>
    </r>
    <r>
      <rPr>
        <b/>
        <u/>
        <sz val="14"/>
        <rFont val="Calibri"/>
        <family val="2"/>
        <scheme val="minor"/>
      </rPr>
      <t>DP-A1</t>
    </r>
    <r>
      <rPr>
        <sz val="14"/>
        <rFont val="Calibri"/>
        <family val="2"/>
        <scheme val="minor"/>
      </rPr>
      <t>.</t>
    </r>
  </si>
  <si>
    <t>Line from Inverter graphic to Load graphic will change from green to black, indicating UPS is now isolated from load.</t>
  </si>
  <si>
    <r>
      <t>OPEN</t>
    </r>
    <r>
      <rPr>
        <sz val="14"/>
        <rFont val="Calibri"/>
        <family val="2"/>
        <scheme val="minor"/>
      </rPr>
      <t xml:space="preserve"> breaker </t>
    </r>
    <r>
      <rPr>
        <b/>
        <u/>
        <sz val="14"/>
        <rFont val="Calibri"/>
        <family val="2"/>
        <scheme val="minor"/>
      </rPr>
      <t>DP-A2</t>
    </r>
    <r>
      <rPr>
        <sz val="14"/>
        <rFont val="Calibri"/>
        <family val="2"/>
        <scheme val="minor"/>
      </rPr>
      <t>. (MOB, Module Output Breaker)</t>
    </r>
  </si>
  <si>
    <r>
      <rPr>
        <sz val="14"/>
        <rFont val="Calibri"/>
        <family val="2"/>
        <scheme val="minor"/>
      </rPr>
      <t xml:space="preserve">Apply LOTO to breaker </t>
    </r>
    <r>
      <rPr>
        <b/>
        <u/>
        <sz val="14"/>
        <rFont val="Calibri"/>
        <family val="2"/>
        <scheme val="minor"/>
      </rPr>
      <t>DP-A2</t>
    </r>
    <r>
      <rPr>
        <sz val="14"/>
        <rFont val="Calibri"/>
        <family val="2"/>
        <scheme val="minor"/>
      </rPr>
      <t>.</t>
    </r>
  </si>
  <si>
    <r>
      <t xml:space="preserve">OPEN </t>
    </r>
    <r>
      <rPr>
        <sz val="14"/>
        <rFont val="Calibri"/>
        <family val="2"/>
        <scheme val="minor"/>
      </rPr>
      <t xml:space="preserve">Battery Breaker at </t>
    </r>
    <r>
      <rPr>
        <b/>
        <u/>
        <sz val="14"/>
        <rFont val="Calibri"/>
        <family val="2"/>
        <scheme val="minor"/>
      </rPr>
      <t>Cabinet A1-1</t>
    </r>
    <r>
      <rPr>
        <sz val="14"/>
        <rFont val="Calibri"/>
        <family val="2"/>
        <scheme val="minor"/>
      </rPr>
      <t>.</t>
    </r>
  </si>
  <si>
    <r>
      <rPr>
        <sz val="14"/>
        <rFont val="Calibri"/>
        <family val="2"/>
        <scheme val="minor"/>
      </rPr>
      <t xml:space="preserve">Apply LOTO to </t>
    </r>
    <r>
      <rPr>
        <b/>
        <u/>
        <sz val="14"/>
        <rFont val="Calibri"/>
        <family val="2"/>
        <scheme val="minor"/>
      </rPr>
      <t>cabinet A1-1</t>
    </r>
    <r>
      <rPr>
        <sz val="14"/>
        <rFont val="Calibri"/>
        <family val="2"/>
        <scheme val="minor"/>
      </rPr>
      <t xml:space="preserve"> battery breaker.</t>
    </r>
  </si>
  <si>
    <r>
      <t xml:space="preserve">OPEN </t>
    </r>
    <r>
      <rPr>
        <sz val="14"/>
        <rFont val="Calibri"/>
        <family val="2"/>
        <scheme val="minor"/>
      </rPr>
      <t xml:space="preserve">Battery Breaker at </t>
    </r>
    <r>
      <rPr>
        <b/>
        <u/>
        <sz val="14"/>
        <rFont val="Calibri"/>
        <family val="2"/>
        <scheme val="minor"/>
      </rPr>
      <t>Cabinet A1-2</t>
    </r>
    <r>
      <rPr>
        <sz val="14"/>
        <rFont val="Calibri"/>
        <family val="2"/>
        <scheme val="minor"/>
      </rPr>
      <t>.</t>
    </r>
  </si>
  <si>
    <r>
      <rPr>
        <sz val="14"/>
        <rFont val="Calibri"/>
        <family val="2"/>
        <scheme val="minor"/>
      </rPr>
      <t xml:space="preserve">Apply LOTO to </t>
    </r>
    <r>
      <rPr>
        <b/>
        <u/>
        <sz val="14"/>
        <rFont val="Calibri"/>
        <family val="2"/>
        <scheme val="minor"/>
      </rPr>
      <t>cabinet A1-2</t>
    </r>
    <r>
      <rPr>
        <sz val="14"/>
        <rFont val="Calibri"/>
        <family val="2"/>
        <scheme val="minor"/>
      </rPr>
      <t xml:space="preserve"> battery breaker.</t>
    </r>
  </si>
  <si>
    <r>
      <t xml:space="preserve">OPEN </t>
    </r>
    <r>
      <rPr>
        <sz val="14"/>
        <rFont val="Calibri"/>
        <family val="2"/>
        <scheme val="minor"/>
      </rPr>
      <t xml:space="preserve">Battery Breaker at </t>
    </r>
    <r>
      <rPr>
        <b/>
        <u/>
        <sz val="14"/>
        <rFont val="Calibri"/>
        <family val="2"/>
        <scheme val="minor"/>
      </rPr>
      <t>Cabinet A1-3</t>
    </r>
    <r>
      <rPr>
        <sz val="14"/>
        <rFont val="Calibri"/>
        <family val="2"/>
        <scheme val="minor"/>
      </rPr>
      <t>.</t>
    </r>
  </si>
  <si>
    <r>
      <rPr>
        <sz val="14"/>
        <rFont val="Calibri"/>
        <family val="2"/>
        <scheme val="minor"/>
      </rPr>
      <t xml:space="preserve">Apply LOTO to </t>
    </r>
    <r>
      <rPr>
        <b/>
        <u/>
        <sz val="14"/>
        <rFont val="Calibri"/>
        <family val="2"/>
        <scheme val="minor"/>
      </rPr>
      <t>cabinet A1-3</t>
    </r>
    <r>
      <rPr>
        <sz val="14"/>
        <rFont val="Calibri"/>
        <family val="2"/>
        <scheme val="minor"/>
      </rPr>
      <t xml:space="preserve"> battery breaker.</t>
    </r>
  </si>
  <si>
    <t>Module Battery graphic will change from green to red in color.</t>
  </si>
  <si>
    <r>
      <t xml:space="preserve">OPEN </t>
    </r>
    <r>
      <rPr>
        <sz val="14"/>
        <rFont val="Calibri"/>
        <family val="2"/>
        <scheme val="minor"/>
      </rPr>
      <t xml:space="preserve">Battery Breaker at </t>
    </r>
    <r>
      <rPr>
        <b/>
        <u/>
        <sz val="14"/>
        <rFont val="Calibri"/>
        <family val="2"/>
        <scheme val="minor"/>
      </rPr>
      <t>Cabinet A2-1</t>
    </r>
    <r>
      <rPr>
        <sz val="14"/>
        <rFont val="Calibri"/>
        <family val="2"/>
        <scheme val="minor"/>
      </rPr>
      <t>.</t>
    </r>
  </si>
  <si>
    <r>
      <rPr>
        <sz val="14"/>
        <rFont val="Calibri"/>
        <family val="2"/>
        <scheme val="minor"/>
      </rPr>
      <t xml:space="preserve">Apply LOTO to </t>
    </r>
    <r>
      <rPr>
        <b/>
        <u/>
        <sz val="14"/>
        <rFont val="Calibri"/>
        <family val="2"/>
        <scheme val="minor"/>
      </rPr>
      <t>cabinet A2-1</t>
    </r>
    <r>
      <rPr>
        <sz val="14"/>
        <rFont val="Calibri"/>
        <family val="2"/>
        <scheme val="minor"/>
      </rPr>
      <t xml:space="preserve"> battery breaker.</t>
    </r>
  </si>
  <si>
    <r>
      <t xml:space="preserve">OPEN </t>
    </r>
    <r>
      <rPr>
        <sz val="14"/>
        <rFont val="Calibri"/>
        <family val="2"/>
        <scheme val="minor"/>
      </rPr>
      <t xml:space="preserve">Battery Breaker at </t>
    </r>
    <r>
      <rPr>
        <b/>
        <u/>
        <sz val="14"/>
        <rFont val="Calibri"/>
        <family val="2"/>
        <scheme val="minor"/>
      </rPr>
      <t>Cabinet A2-2</t>
    </r>
    <r>
      <rPr>
        <sz val="14"/>
        <rFont val="Calibri"/>
        <family val="2"/>
        <scheme val="minor"/>
      </rPr>
      <t>.</t>
    </r>
  </si>
  <si>
    <r>
      <rPr>
        <sz val="14"/>
        <rFont val="Calibri"/>
        <family val="2"/>
        <scheme val="minor"/>
      </rPr>
      <t xml:space="preserve">Apply LOTO to </t>
    </r>
    <r>
      <rPr>
        <b/>
        <u/>
        <sz val="14"/>
        <rFont val="Calibri"/>
        <family val="2"/>
        <scheme val="minor"/>
      </rPr>
      <t>cabinet A2-2</t>
    </r>
    <r>
      <rPr>
        <sz val="14"/>
        <rFont val="Calibri"/>
        <family val="2"/>
        <scheme val="minor"/>
      </rPr>
      <t xml:space="preserve"> battery breaker.</t>
    </r>
  </si>
  <si>
    <r>
      <t xml:space="preserve">OPEN </t>
    </r>
    <r>
      <rPr>
        <sz val="14"/>
        <rFont val="Calibri"/>
        <family val="2"/>
        <scheme val="minor"/>
      </rPr>
      <t xml:space="preserve">Battery Breaker at </t>
    </r>
    <r>
      <rPr>
        <b/>
        <u/>
        <sz val="14"/>
        <rFont val="Calibri"/>
        <family val="2"/>
        <scheme val="minor"/>
      </rPr>
      <t>Cabinet A2-3</t>
    </r>
    <r>
      <rPr>
        <sz val="14"/>
        <rFont val="Calibri"/>
        <family val="2"/>
        <scheme val="minor"/>
      </rPr>
      <t>.</t>
    </r>
  </si>
  <si>
    <r>
      <rPr>
        <sz val="14"/>
        <rFont val="Calibri"/>
        <family val="2"/>
        <scheme val="minor"/>
      </rPr>
      <t xml:space="preserve">Apply LOTO to </t>
    </r>
    <r>
      <rPr>
        <b/>
        <u/>
        <sz val="14"/>
        <rFont val="Calibri"/>
        <family val="2"/>
        <scheme val="minor"/>
      </rPr>
      <t>cabinet A2-3</t>
    </r>
    <r>
      <rPr>
        <sz val="14"/>
        <rFont val="Calibri"/>
        <family val="2"/>
        <scheme val="minor"/>
      </rPr>
      <t xml:space="preserve"> battery breaker.</t>
    </r>
  </si>
  <si>
    <r>
      <t>OPEN</t>
    </r>
    <r>
      <rPr>
        <sz val="14"/>
        <rFont val="Calibri"/>
        <family val="2"/>
        <scheme val="minor"/>
      </rPr>
      <t xml:space="preserve"> the</t>
    </r>
    <r>
      <rPr>
        <b/>
        <sz val="14"/>
        <rFont val="Calibri"/>
        <family val="2"/>
        <scheme val="minor"/>
      </rPr>
      <t xml:space="preserve"> </t>
    </r>
    <r>
      <rPr>
        <b/>
        <u/>
        <sz val="14"/>
        <rFont val="Calibri"/>
        <family val="2"/>
        <scheme val="minor"/>
      </rPr>
      <t>BFB</t>
    </r>
    <r>
      <rPr>
        <b/>
        <sz val="14"/>
        <rFont val="Calibri"/>
        <family val="2"/>
        <scheme val="minor"/>
      </rPr>
      <t xml:space="preserve"> </t>
    </r>
    <r>
      <rPr>
        <sz val="14"/>
        <rFont val="Calibri"/>
        <family val="2"/>
        <scheme val="minor"/>
      </rPr>
      <t>breaker</t>
    </r>
    <r>
      <rPr>
        <b/>
        <sz val="14"/>
        <rFont val="Calibri"/>
        <family val="2"/>
        <scheme val="minor"/>
      </rPr>
      <t>.</t>
    </r>
    <r>
      <rPr>
        <sz val="14"/>
        <rFont val="Calibri"/>
        <family val="2"/>
        <scheme val="minor"/>
      </rPr>
      <t xml:space="preserve"> (Back Feed Breaker, Static Bypass Feed) This is located behind the 1</t>
    </r>
    <r>
      <rPr>
        <vertAlign val="superscript"/>
        <sz val="14"/>
        <rFont val="Calibri"/>
        <family val="2"/>
        <scheme val="minor"/>
      </rPr>
      <t>st</t>
    </r>
    <r>
      <rPr>
        <sz val="14"/>
        <rFont val="Calibri"/>
        <family val="2"/>
        <scheme val="minor"/>
      </rPr>
      <t xml:space="preserve"> door of the UPS.</t>
    </r>
  </si>
  <si>
    <t xml:space="preserve">Static Bypass Switch graphic will change from green to gray in color. </t>
  </si>
  <si>
    <r>
      <t>OPEN</t>
    </r>
    <r>
      <rPr>
        <sz val="14"/>
        <rFont val="Calibri"/>
        <family val="2"/>
        <scheme val="minor"/>
      </rPr>
      <t xml:space="preserve"> breaker marked as serving </t>
    </r>
    <r>
      <rPr>
        <b/>
        <u/>
        <sz val="14"/>
        <rFont val="Calibri"/>
        <family val="2"/>
        <scheme val="minor"/>
      </rPr>
      <t>UPS-A1</t>
    </r>
    <r>
      <rPr>
        <sz val="14"/>
        <rFont val="Calibri"/>
        <family val="2"/>
        <scheme val="minor"/>
      </rPr>
      <t xml:space="preserve">. </t>
    </r>
    <r>
      <rPr>
        <b/>
        <sz val="14"/>
        <rFont val="Calibri"/>
        <family val="2"/>
        <scheme val="minor"/>
      </rPr>
      <t>APPLY</t>
    </r>
    <r>
      <rPr>
        <sz val="14"/>
        <rFont val="Calibri"/>
        <family val="2"/>
        <scheme val="minor"/>
      </rPr>
      <t xml:space="preserve"> LOTO.</t>
    </r>
  </si>
  <si>
    <r>
      <rPr>
        <sz val="14"/>
        <rFont val="Calibri"/>
        <family val="2"/>
        <scheme val="minor"/>
      </rPr>
      <t xml:space="preserve">Apply LOTO to breaker </t>
    </r>
    <r>
      <rPr>
        <b/>
        <u/>
        <sz val="14"/>
        <rFont val="Calibri"/>
        <family val="2"/>
        <scheme val="minor"/>
      </rPr>
      <t>UPS-A1</t>
    </r>
    <r>
      <rPr>
        <sz val="14"/>
        <rFont val="Calibri"/>
        <family val="2"/>
        <scheme val="minor"/>
      </rPr>
      <t>.</t>
    </r>
  </si>
  <si>
    <r>
      <t>OPEN</t>
    </r>
    <r>
      <rPr>
        <sz val="14"/>
        <rFont val="Calibri"/>
        <family val="2"/>
        <scheme val="minor"/>
      </rPr>
      <t xml:space="preserve"> breaker marked as serving </t>
    </r>
    <r>
      <rPr>
        <b/>
        <u/>
        <sz val="14"/>
        <rFont val="Calibri"/>
        <family val="2"/>
        <scheme val="minor"/>
      </rPr>
      <t>UPS-A2</t>
    </r>
    <r>
      <rPr>
        <sz val="14"/>
        <rFont val="Calibri"/>
        <family val="2"/>
        <scheme val="minor"/>
      </rPr>
      <t>.</t>
    </r>
    <r>
      <rPr>
        <b/>
        <sz val="14"/>
        <rFont val="Calibri"/>
        <family val="2"/>
        <scheme val="minor"/>
      </rPr>
      <t xml:space="preserve"> APPLY</t>
    </r>
    <r>
      <rPr>
        <sz val="14"/>
        <rFont val="Calibri"/>
        <family val="2"/>
        <scheme val="minor"/>
      </rPr>
      <t xml:space="preserve"> LOTO.</t>
    </r>
  </si>
  <si>
    <r>
      <rPr>
        <sz val="14"/>
        <rFont val="Calibri"/>
        <family val="2"/>
        <scheme val="minor"/>
      </rPr>
      <t xml:space="preserve">Apply LOTO to breaker </t>
    </r>
    <r>
      <rPr>
        <b/>
        <u/>
        <sz val="14"/>
        <rFont val="Calibri"/>
        <family val="2"/>
        <scheme val="minor"/>
      </rPr>
      <t>UPS-A2</t>
    </r>
    <r>
      <rPr>
        <sz val="14"/>
        <rFont val="Calibri"/>
        <family val="2"/>
        <scheme val="minor"/>
      </rPr>
      <t>.</t>
    </r>
  </si>
  <si>
    <t>UPS SYSTEM A is now completely offline. Critical Customer Load remains on Maintenance Bypass Source.</t>
  </si>
  <si>
    <t>Restart UPS System A</t>
  </si>
  <si>
    <t>VERIFY all tools are removed from unit and VERIFY with Technician the unit is ready to return to service.</t>
  </si>
  <si>
    <t>UPS technician signature: _________________________________</t>
  </si>
  <si>
    <r>
      <rPr>
        <sz val="14"/>
        <rFont val="Calibri"/>
        <family val="2"/>
        <scheme val="minor"/>
      </rPr>
      <t xml:space="preserve">Remove LOTO from breaker </t>
    </r>
    <r>
      <rPr>
        <b/>
        <u/>
        <sz val="14"/>
        <rFont val="Calibri"/>
        <family val="2"/>
        <scheme val="minor"/>
      </rPr>
      <t>DP-A1</t>
    </r>
    <r>
      <rPr>
        <sz val="14"/>
        <rFont val="Calibri"/>
        <family val="2"/>
        <scheme val="minor"/>
      </rPr>
      <t>.</t>
    </r>
  </si>
  <si>
    <r>
      <rPr>
        <sz val="14"/>
        <rFont val="Calibri"/>
        <family val="2"/>
        <scheme val="minor"/>
      </rPr>
      <t xml:space="preserve">Remove LOTO from breaker </t>
    </r>
    <r>
      <rPr>
        <b/>
        <u/>
        <sz val="14"/>
        <rFont val="Calibri"/>
        <family val="2"/>
        <scheme val="minor"/>
      </rPr>
      <t>DP-A2</t>
    </r>
    <r>
      <rPr>
        <sz val="14"/>
        <rFont val="Calibri"/>
        <family val="2"/>
        <scheme val="minor"/>
      </rPr>
      <t>.</t>
    </r>
  </si>
  <si>
    <r>
      <rPr>
        <sz val="14"/>
        <rFont val="Calibri"/>
        <family val="2"/>
        <scheme val="minor"/>
      </rPr>
      <t xml:space="preserve">Remove LOTO from </t>
    </r>
    <r>
      <rPr>
        <b/>
        <u/>
        <sz val="14"/>
        <rFont val="Calibri"/>
        <family val="2"/>
        <scheme val="minor"/>
      </rPr>
      <t>cabinet A1-1</t>
    </r>
    <r>
      <rPr>
        <sz val="14"/>
        <rFont val="Calibri"/>
        <family val="2"/>
        <scheme val="minor"/>
      </rPr>
      <t xml:space="preserve"> battery breaker.</t>
    </r>
  </si>
  <si>
    <r>
      <rPr>
        <sz val="14"/>
        <rFont val="Calibri"/>
        <family val="2"/>
        <scheme val="minor"/>
      </rPr>
      <t xml:space="preserve">Remove LOTO from </t>
    </r>
    <r>
      <rPr>
        <b/>
        <u/>
        <sz val="14"/>
        <rFont val="Calibri"/>
        <family val="2"/>
        <scheme val="minor"/>
      </rPr>
      <t>cabinet A1-2</t>
    </r>
    <r>
      <rPr>
        <sz val="14"/>
        <rFont val="Calibri"/>
        <family val="2"/>
        <scheme val="minor"/>
      </rPr>
      <t xml:space="preserve"> battery breaker.</t>
    </r>
  </si>
  <si>
    <r>
      <rPr>
        <sz val="14"/>
        <rFont val="Calibri"/>
        <family val="2"/>
        <scheme val="minor"/>
      </rPr>
      <t xml:space="preserve">Remove LOTO from </t>
    </r>
    <r>
      <rPr>
        <b/>
        <u/>
        <sz val="14"/>
        <rFont val="Calibri"/>
        <family val="2"/>
        <scheme val="minor"/>
      </rPr>
      <t>cabinet A1-3</t>
    </r>
    <r>
      <rPr>
        <sz val="14"/>
        <rFont val="Calibri"/>
        <family val="2"/>
        <scheme val="minor"/>
      </rPr>
      <t xml:space="preserve"> battery breaker.</t>
    </r>
  </si>
  <si>
    <r>
      <rPr>
        <sz val="14"/>
        <rFont val="Calibri"/>
        <family val="2"/>
        <scheme val="minor"/>
      </rPr>
      <t xml:space="preserve">Remove LOTO from </t>
    </r>
    <r>
      <rPr>
        <b/>
        <u/>
        <sz val="14"/>
        <rFont val="Calibri"/>
        <family val="2"/>
        <scheme val="minor"/>
      </rPr>
      <t>cabinet A2-1</t>
    </r>
    <r>
      <rPr>
        <sz val="14"/>
        <rFont val="Calibri"/>
        <family val="2"/>
        <scheme val="minor"/>
      </rPr>
      <t xml:space="preserve"> battery breaker.</t>
    </r>
  </si>
  <si>
    <r>
      <rPr>
        <sz val="14"/>
        <rFont val="Calibri"/>
        <family val="2"/>
        <scheme val="minor"/>
      </rPr>
      <t xml:space="preserve">Remove LOTO from </t>
    </r>
    <r>
      <rPr>
        <b/>
        <u/>
        <sz val="14"/>
        <rFont val="Calibri"/>
        <family val="2"/>
        <scheme val="minor"/>
      </rPr>
      <t>cabinet A2-2</t>
    </r>
    <r>
      <rPr>
        <sz val="14"/>
        <rFont val="Calibri"/>
        <family val="2"/>
        <scheme val="minor"/>
      </rPr>
      <t xml:space="preserve"> battery breaker.</t>
    </r>
  </si>
  <si>
    <r>
      <rPr>
        <sz val="14"/>
        <rFont val="Calibri"/>
        <family val="2"/>
        <scheme val="minor"/>
      </rPr>
      <t xml:space="preserve">Remove LOTO from </t>
    </r>
    <r>
      <rPr>
        <b/>
        <u/>
        <sz val="14"/>
        <rFont val="Calibri"/>
        <family val="2"/>
        <scheme val="minor"/>
      </rPr>
      <t>cabinet A2-3</t>
    </r>
    <r>
      <rPr>
        <sz val="14"/>
        <rFont val="Calibri"/>
        <family val="2"/>
        <scheme val="minor"/>
      </rPr>
      <t xml:space="preserve"> battery breaker.</t>
    </r>
  </si>
  <si>
    <r>
      <rPr>
        <sz val="14"/>
        <rFont val="Calibri"/>
        <family val="2"/>
        <scheme val="minor"/>
      </rPr>
      <t xml:space="preserve">Remove LOTO from breaker </t>
    </r>
    <r>
      <rPr>
        <b/>
        <u/>
        <sz val="14"/>
        <rFont val="Calibri"/>
        <family val="2"/>
        <scheme val="minor"/>
      </rPr>
      <t>UPS-A1</t>
    </r>
    <r>
      <rPr>
        <sz val="14"/>
        <rFont val="Calibri"/>
        <family val="2"/>
        <scheme val="minor"/>
      </rPr>
      <t>.</t>
    </r>
  </si>
  <si>
    <r>
      <rPr>
        <sz val="14"/>
        <rFont val="Calibri"/>
        <family val="2"/>
        <scheme val="minor"/>
      </rPr>
      <t xml:space="preserve">Remove LOTO from breaker </t>
    </r>
    <r>
      <rPr>
        <b/>
        <u/>
        <sz val="14"/>
        <rFont val="Calibri"/>
        <family val="2"/>
        <scheme val="minor"/>
      </rPr>
      <t>UPS-A2</t>
    </r>
    <r>
      <rPr>
        <sz val="14"/>
        <rFont val="Calibri"/>
        <family val="2"/>
        <scheme val="minor"/>
      </rPr>
      <t>.</t>
    </r>
  </si>
  <si>
    <r>
      <t xml:space="preserve">CLOSE </t>
    </r>
    <r>
      <rPr>
        <sz val="14"/>
        <rFont val="Calibri"/>
        <family val="2"/>
        <scheme val="minor"/>
      </rPr>
      <t xml:space="preserve">breaker marked as serving </t>
    </r>
    <r>
      <rPr>
        <b/>
        <u/>
        <sz val="14"/>
        <rFont val="Calibri"/>
        <family val="2"/>
        <scheme val="minor"/>
      </rPr>
      <t>UPS-A1</t>
    </r>
    <r>
      <rPr>
        <b/>
        <sz val="14"/>
        <rFont val="Calibri"/>
        <family val="2"/>
        <scheme val="minor"/>
      </rPr>
      <t>.</t>
    </r>
  </si>
  <si>
    <r>
      <t xml:space="preserve">CLOSE </t>
    </r>
    <r>
      <rPr>
        <sz val="14"/>
        <rFont val="Calibri"/>
        <family val="2"/>
        <scheme val="minor"/>
      </rPr>
      <t xml:space="preserve">breaker marked as serving </t>
    </r>
    <r>
      <rPr>
        <b/>
        <u/>
        <sz val="14"/>
        <rFont val="Calibri"/>
        <family val="2"/>
        <scheme val="minor"/>
      </rPr>
      <t>UPS-A2</t>
    </r>
    <r>
      <rPr>
        <b/>
        <sz val="14"/>
        <rFont val="Calibri"/>
        <family val="2"/>
        <scheme val="minor"/>
      </rPr>
      <t>.</t>
    </r>
  </si>
  <si>
    <r>
      <t>ALLOW</t>
    </r>
    <r>
      <rPr>
        <sz val="14"/>
        <rFont val="Calibri"/>
        <family val="2"/>
        <scheme val="minor"/>
      </rPr>
      <t xml:space="preserve"> 60-90 seconds for UPS firmware to initialize and touchscreens to display graphics. Expect to hear multiple contactor operations during this time.</t>
    </r>
  </si>
  <si>
    <r>
      <t xml:space="preserve">UPS Home Screen will indicate System is in </t>
    </r>
    <r>
      <rPr>
        <b/>
        <sz val="14"/>
        <rFont val="Calibri"/>
        <family val="2"/>
        <scheme val="minor"/>
      </rPr>
      <t>MAINTENANCE BYPASS</t>
    </r>
    <r>
      <rPr>
        <sz val="14"/>
        <rFont val="Calibri"/>
        <family val="2"/>
        <scheme val="minor"/>
      </rPr>
      <t xml:space="preserve"> as indicated by one line graphic.</t>
    </r>
  </si>
  <si>
    <r>
      <t>CLOSE</t>
    </r>
    <r>
      <rPr>
        <sz val="14"/>
        <rFont val="Calibri"/>
        <family val="2"/>
        <scheme val="minor"/>
      </rPr>
      <t xml:space="preserve"> breaker </t>
    </r>
    <r>
      <rPr>
        <b/>
        <u/>
        <sz val="14"/>
        <rFont val="Calibri"/>
        <family val="2"/>
        <scheme val="minor"/>
      </rPr>
      <t>BFB</t>
    </r>
    <r>
      <rPr>
        <sz val="14"/>
        <rFont val="Calibri"/>
        <family val="2"/>
        <scheme val="minor"/>
      </rPr>
      <t>. (Back Feed Breaker, Static Bypass Feed) This is located behind the 1</t>
    </r>
    <r>
      <rPr>
        <vertAlign val="superscript"/>
        <sz val="14"/>
        <rFont val="Calibri"/>
        <family val="2"/>
        <scheme val="minor"/>
      </rPr>
      <t>st</t>
    </r>
    <r>
      <rPr>
        <sz val="14"/>
        <rFont val="Calibri"/>
        <family val="2"/>
        <scheme val="minor"/>
      </rPr>
      <t xml:space="preserve"> door of the UPS.</t>
    </r>
  </si>
  <si>
    <r>
      <t xml:space="preserve">Static Bypass Switch graphic will change from gray to green in color at both </t>
    </r>
    <r>
      <rPr>
        <b/>
        <u/>
        <sz val="14"/>
        <rFont val="Calibri"/>
        <family val="2"/>
        <scheme val="minor"/>
      </rPr>
      <t>UPS-A1</t>
    </r>
    <r>
      <rPr>
        <sz val="14"/>
        <rFont val="Calibri"/>
        <family val="2"/>
        <scheme val="minor"/>
      </rPr>
      <t xml:space="preserve"> and </t>
    </r>
    <r>
      <rPr>
        <b/>
        <u/>
        <sz val="14"/>
        <rFont val="Calibri"/>
        <family val="2"/>
        <scheme val="minor"/>
      </rPr>
      <t>UPS-A2</t>
    </r>
    <r>
      <rPr>
        <sz val="14"/>
        <rFont val="Calibri"/>
        <family val="2"/>
        <scheme val="minor"/>
      </rPr>
      <t>.</t>
    </r>
  </si>
  <si>
    <r>
      <rPr>
        <b/>
        <sz val="14"/>
        <rFont val="Calibri"/>
        <family val="2"/>
        <scheme val="minor"/>
      </rPr>
      <t>VERIFY</t>
    </r>
    <r>
      <rPr>
        <sz val="14"/>
        <rFont val="Calibri"/>
        <family val="2"/>
        <scheme val="minor"/>
      </rPr>
      <t xml:space="preserve"> the </t>
    </r>
    <r>
      <rPr>
        <b/>
        <sz val="14"/>
        <rFont val="Calibri"/>
        <family val="2"/>
        <scheme val="minor"/>
      </rPr>
      <t>BATTERY VOLTAGE</t>
    </r>
    <r>
      <rPr>
        <sz val="14"/>
        <rFont val="Calibri"/>
        <family val="2"/>
        <scheme val="minor"/>
      </rPr>
      <t xml:space="preserve"> is at </t>
    </r>
    <r>
      <rPr>
        <b/>
        <sz val="14"/>
        <rFont val="Calibri"/>
        <family val="2"/>
        <scheme val="minor"/>
      </rPr>
      <t>540V, +/- 4V</t>
    </r>
    <r>
      <rPr>
        <sz val="14"/>
        <rFont val="Calibri"/>
        <family val="2"/>
        <scheme val="minor"/>
      </rPr>
      <t>.</t>
    </r>
  </si>
  <si>
    <r>
      <t xml:space="preserve">CLOSE </t>
    </r>
    <r>
      <rPr>
        <sz val="14"/>
        <rFont val="Calibri"/>
        <family val="2"/>
        <scheme val="minor"/>
      </rPr>
      <t xml:space="preserve">Battery Breaker at </t>
    </r>
    <r>
      <rPr>
        <b/>
        <u/>
        <sz val="14"/>
        <rFont val="Calibri"/>
        <family val="2"/>
        <scheme val="minor"/>
      </rPr>
      <t>Cabinet A1-1</t>
    </r>
    <r>
      <rPr>
        <sz val="14"/>
        <rFont val="Calibri"/>
        <family val="2"/>
        <scheme val="minor"/>
      </rPr>
      <t>.</t>
    </r>
  </si>
  <si>
    <r>
      <t xml:space="preserve">CLOSE </t>
    </r>
    <r>
      <rPr>
        <sz val="14"/>
        <rFont val="Calibri"/>
        <family val="2"/>
        <scheme val="minor"/>
      </rPr>
      <t xml:space="preserve">Battery Breaker at </t>
    </r>
    <r>
      <rPr>
        <b/>
        <u/>
        <sz val="14"/>
        <rFont val="Calibri"/>
        <family val="2"/>
        <scheme val="minor"/>
      </rPr>
      <t>Cabinet A1-2</t>
    </r>
    <r>
      <rPr>
        <sz val="14"/>
        <rFont val="Calibri"/>
        <family val="2"/>
        <scheme val="minor"/>
      </rPr>
      <t>.</t>
    </r>
  </si>
  <si>
    <r>
      <t xml:space="preserve">CLOSE </t>
    </r>
    <r>
      <rPr>
        <sz val="14"/>
        <rFont val="Calibri"/>
        <family val="2"/>
        <scheme val="minor"/>
      </rPr>
      <t xml:space="preserve">Battery Breaker at </t>
    </r>
    <r>
      <rPr>
        <b/>
        <u/>
        <sz val="14"/>
        <rFont val="Calibri"/>
        <family val="2"/>
        <scheme val="minor"/>
      </rPr>
      <t>Cabinet A1-3</t>
    </r>
    <r>
      <rPr>
        <sz val="14"/>
        <rFont val="Calibri"/>
        <family val="2"/>
        <scheme val="minor"/>
      </rPr>
      <t>.</t>
    </r>
  </si>
  <si>
    <t>Module Battery graphic will change from red to green in color.</t>
  </si>
  <si>
    <r>
      <t xml:space="preserve">CLOSE </t>
    </r>
    <r>
      <rPr>
        <sz val="14"/>
        <rFont val="Calibri"/>
        <family val="2"/>
        <scheme val="minor"/>
      </rPr>
      <t xml:space="preserve">Battery Breaker at </t>
    </r>
    <r>
      <rPr>
        <b/>
        <u/>
        <sz val="14"/>
        <rFont val="Calibri"/>
        <family val="2"/>
        <scheme val="minor"/>
      </rPr>
      <t>Cabinet A2-1</t>
    </r>
    <r>
      <rPr>
        <sz val="14"/>
        <rFont val="Calibri"/>
        <family val="2"/>
        <scheme val="minor"/>
      </rPr>
      <t>.</t>
    </r>
  </si>
  <si>
    <r>
      <t xml:space="preserve">CLOSE </t>
    </r>
    <r>
      <rPr>
        <sz val="14"/>
        <rFont val="Calibri"/>
        <family val="2"/>
        <scheme val="minor"/>
      </rPr>
      <t xml:space="preserve">Battery Breaker at </t>
    </r>
    <r>
      <rPr>
        <b/>
        <u/>
        <sz val="14"/>
        <rFont val="Calibri"/>
        <family val="2"/>
        <scheme val="minor"/>
      </rPr>
      <t>Cabinet A2-2</t>
    </r>
    <r>
      <rPr>
        <sz val="14"/>
        <rFont val="Calibri"/>
        <family val="2"/>
        <scheme val="minor"/>
      </rPr>
      <t>.</t>
    </r>
  </si>
  <si>
    <r>
      <t xml:space="preserve">CLOSE </t>
    </r>
    <r>
      <rPr>
        <sz val="14"/>
        <rFont val="Calibri"/>
        <family val="2"/>
        <scheme val="minor"/>
      </rPr>
      <t xml:space="preserve">Battery Breaker at </t>
    </r>
    <r>
      <rPr>
        <b/>
        <u/>
        <sz val="14"/>
        <rFont val="Calibri"/>
        <family val="2"/>
        <scheme val="minor"/>
      </rPr>
      <t>Cabinet A2-3</t>
    </r>
    <r>
      <rPr>
        <sz val="14"/>
        <rFont val="Calibri"/>
        <family val="2"/>
        <scheme val="minor"/>
      </rPr>
      <t>.</t>
    </r>
  </si>
  <si>
    <r>
      <t>CLOSE</t>
    </r>
    <r>
      <rPr>
        <sz val="14"/>
        <rFont val="Calibri"/>
        <family val="2"/>
        <scheme val="minor"/>
      </rPr>
      <t xml:space="preserve"> breaker </t>
    </r>
    <r>
      <rPr>
        <b/>
        <u/>
        <sz val="14"/>
        <rFont val="Calibri"/>
        <family val="2"/>
        <scheme val="minor"/>
      </rPr>
      <t>DP-A1</t>
    </r>
    <r>
      <rPr>
        <sz val="14"/>
        <rFont val="Calibri"/>
        <family val="2"/>
        <scheme val="minor"/>
      </rPr>
      <t>. (MOB, Module Output Breaker)</t>
    </r>
  </si>
  <si>
    <t>Verify the line from the inverter graphic to the load graphic has changed from black to green, indicating UPS is now available to be connected to load.</t>
  </si>
  <si>
    <r>
      <t>CLOSE</t>
    </r>
    <r>
      <rPr>
        <sz val="14"/>
        <rFont val="Calibri"/>
        <family val="2"/>
        <scheme val="minor"/>
      </rPr>
      <t xml:space="preserve"> breaker </t>
    </r>
    <r>
      <rPr>
        <b/>
        <u/>
        <sz val="14"/>
        <rFont val="Calibri"/>
        <family val="2"/>
        <scheme val="minor"/>
      </rPr>
      <t>DP-A2</t>
    </r>
    <r>
      <rPr>
        <sz val="14"/>
        <rFont val="Calibri"/>
        <family val="2"/>
        <scheme val="minor"/>
      </rPr>
      <t>. (MOB, Module Output Breaker)</t>
    </r>
  </si>
  <si>
    <t>UPS SYSTEM A is now online and ready to accept load. Critical Customer Load remains on Maintenance Bypass Source.</t>
  </si>
  <si>
    <r>
      <t xml:space="preserve">VERIFY the </t>
    </r>
    <r>
      <rPr>
        <b/>
        <u/>
        <sz val="14"/>
        <rFont val="Calibri"/>
        <family val="2"/>
        <scheme val="minor"/>
      </rPr>
      <t>UPA SKRU</t>
    </r>
    <r>
      <rPr>
        <sz val="14"/>
        <rFont val="Calibri"/>
        <family val="2"/>
        <scheme val="minor"/>
      </rPr>
      <t xml:space="preserve"> </t>
    </r>
    <r>
      <rPr>
        <b/>
        <u/>
        <sz val="14"/>
        <rFont val="Calibri"/>
        <family val="2"/>
        <scheme val="minor"/>
      </rPr>
      <t>RELEASE BUTTON</t>
    </r>
    <r>
      <rPr>
        <sz val="14"/>
        <rFont val="Calibri"/>
        <family val="2"/>
        <scheme val="minor"/>
      </rPr>
      <t xml:space="preserve"> is </t>
    </r>
    <r>
      <rPr>
        <b/>
        <sz val="14"/>
        <rFont val="Calibri"/>
        <family val="2"/>
        <scheme val="minor"/>
      </rPr>
      <t>ILLUMINATED</t>
    </r>
    <r>
      <rPr>
        <sz val="14"/>
        <rFont val="Calibri"/>
        <family val="2"/>
        <scheme val="minor"/>
      </rPr>
      <t>.</t>
    </r>
  </si>
  <si>
    <r>
      <t>INSERT</t>
    </r>
    <r>
      <rPr>
        <sz val="14"/>
        <rFont val="Calibri"/>
        <family val="2"/>
      </rPr>
      <t xml:space="preserve"> the interlock key into the </t>
    </r>
    <r>
      <rPr>
        <b/>
        <u/>
        <sz val="14"/>
        <rFont val="Calibri"/>
        <family val="2"/>
      </rPr>
      <t>MCBUPA</t>
    </r>
    <r>
      <rPr>
        <sz val="14"/>
        <rFont val="Calibri"/>
        <family val="2"/>
      </rPr>
      <t xml:space="preserve"> breaker lock cylinder.</t>
    </r>
  </si>
  <si>
    <r>
      <t>ROTATE</t>
    </r>
    <r>
      <rPr>
        <sz val="14"/>
        <rFont val="Calibri"/>
        <family val="2"/>
        <scheme val="minor"/>
      </rPr>
      <t xml:space="preserve"> the interlock key 90 degrees to </t>
    </r>
    <r>
      <rPr>
        <b/>
        <sz val="14"/>
        <rFont val="Calibri"/>
        <family val="2"/>
        <scheme val="minor"/>
      </rPr>
      <t>UNLOCK</t>
    </r>
    <r>
      <rPr>
        <sz val="14"/>
        <rFont val="Calibri"/>
        <family val="2"/>
        <scheme val="minor"/>
      </rPr>
      <t xml:space="preserve"> the </t>
    </r>
    <r>
      <rPr>
        <b/>
        <u/>
        <sz val="14"/>
        <rFont val="Calibri"/>
        <family val="2"/>
        <scheme val="minor"/>
      </rPr>
      <t>MCBUPA</t>
    </r>
    <r>
      <rPr>
        <sz val="14"/>
        <rFont val="Calibri"/>
        <family val="2"/>
        <scheme val="minor"/>
      </rPr>
      <t xml:space="preserve"> breaker.</t>
    </r>
  </si>
  <si>
    <r>
      <t xml:space="preserve">CLOSE </t>
    </r>
    <r>
      <rPr>
        <sz val="14"/>
        <rFont val="Calibri"/>
        <family val="2"/>
        <scheme val="minor"/>
      </rPr>
      <t>breaker</t>
    </r>
    <r>
      <rPr>
        <b/>
        <sz val="14"/>
        <rFont val="Calibri"/>
        <family val="2"/>
        <scheme val="minor"/>
      </rPr>
      <t xml:space="preserve"> MCBUPA. </t>
    </r>
  </si>
  <si>
    <r>
      <t>VERIFY</t>
    </r>
    <r>
      <rPr>
        <sz val="14"/>
        <rFont val="Calibri"/>
        <family val="2"/>
        <scheme val="minor"/>
      </rPr>
      <t xml:space="preserve"> </t>
    </r>
    <r>
      <rPr>
        <b/>
        <u/>
        <sz val="14"/>
        <rFont val="Calibri"/>
        <family val="2"/>
        <scheme val="minor"/>
      </rPr>
      <t>MCBUPA</t>
    </r>
    <r>
      <rPr>
        <sz val="14"/>
        <rFont val="Calibri"/>
        <family val="2"/>
        <scheme val="minor"/>
      </rPr>
      <t xml:space="preserve"> breaker flag indicates </t>
    </r>
    <r>
      <rPr>
        <b/>
        <sz val="14"/>
        <rFont val="Calibri"/>
        <family val="2"/>
        <scheme val="minor"/>
      </rPr>
      <t>CLOSED</t>
    </r>
    <r>
      <rPr>
        <sz val="14"/>
        <rFont val="Calibri"/>
        <family val="2"/>
        <scheme val="minor"/>
      </rPr>
      <t>.</t>
    </r>
  </si>
  <si>
    <r>
      <t>OPEN</t>
    </r>
    <r>
      <rPr>
        <sz val="14"/>
        <rFont val="Calibri"/>
        <family val="2"/>
        <scheme val="minor"/>
      </rPr>
      <t xml:space="preserve"> breaker </t>
    </r>
    <r>
      <rPr>
        <b/>
        <u/>
        <sz val="14"/>
        <rFont val="Calibri"/>
        <family val="2"/>
        <scheme val="minor"/>
      </rPr>
      <t>MBUPA</t>
    </r>
    <r>
      <rPr>
        <sz val="14"/>
        <rFont val="Calibri"/>
        <family val="2"/>
        <scheme val="minor"/>
      </rPr>
      <t>.</t>
    </r>
  </si>
  <si>
    <r>
      <t>VERIFY</t>
    </r>
    <r>
      <rPr>
        <sz val="14"/>
        <rFont val="Calibri"/>
        <family val="2"/>
        <scheme val="minor"/>
      </rPr>
      <t xml:space="preserve"> </t>
    </r>
    <r>
      <rPr>
        <b/>
        <u/>
        <sz val="14"/>
        <rFont val="Calibri"/>
        <family val="2"/>
        <scheme val="minor"/>
      </rPr>
      <t>MBUPA</t>
    </r>
    <r>
      <rPr>
        <sz val="14"/>
        <rFont val="Calibri"/>
        <family val="2"/>
        <scheme val="minor"/>
      </rPr>
      <t xml:space="preserve"> breaker flag indicates </t>
    </r>
    <r>
      <rPr>
        <b/>
        <sz val="14"/>
        <rFont val="Calibri"/>
        <family val="2"/>
        <scheme val="minor"/>
      </rPr>
      <t>OPEN</t>
    </r>
    <r>
      <rPr>
        <sz val="14"/>
        <rFont val="Calibri"/>
        <family val="2"/>
        <scheme val="minor"/>
      </rPr>
      <t>.</t>
    </r>
  </si>
  <si>
    <r>
      <t>ROTATE</t>
    </r>
    <r>
      <rPr>
        <sz val="14"/>
        <rFont val="Calibri"/>
        <family val="2"/>
        <scheme val="minor"/>
      </rPr>
      <t xml:space="preserve"> the interlock key 90 degrees to </t>
    </r>
    <r>
      <rPr>
        <b/>
        <sz val="14"/>
        <rFont val="Calibri"/>
        <family val="2"/>
        <scheme val="minor"/>
      </rPr>
      <t>LOCK</t>
    </r>
    <r>
      <rPr>
        <sz val="14"/>
        <rFont val="Calibri"/>
        <family val="2"/>
        <scheme val="minor"/>
      </rPr>
      <t xml:space="preserve"> the </t>
    </r>
    <r>
      <rPr>
        <b/>
        <u/>
        <sz val="14"/>
        <rFont val="Calibri"/>
        <family val="2"/>
        <scheme val="minor"/>
      </rPr>
      <t>MBUPA</t>
    </r>
    <r>
      <rPr>
        <sz val="14"/>
        <rFont val="Calibri"/>
        <family val="2"/>
        <scheme val="minor"/>
      </rPr>
      <t xml:space="preserve"> breaker.</t>
    </r>
  </si>
  <si>
    <r>
      <t>REMOVE</t>
    </r>
    <r>
      <rPr>
        <sz val="14"/>
        <rFont val="Calibri"/>
        <family val="2"/>
        <scheme val="minor"/>
      </rPr>
      <t xml:space="preserve"> the interlock key from the </t>
    </r>
    <r>
      <rPr>
        <b/>
        <u/>
        <sz val="14"/>
        <rFont val="Calibri"/>
        <family val="2"/>
        <scheme val="minor"/>
      </rPr>
      <t>MBUPA</t>
    </r>
    <r>
      <rPr>
        <b/>
        <sz val="14"/>
        <rFont val="Calibri"/>
        <family val="2"/>
        <scheme val="minor"/>
      </rPr>
      <t xml:space="preserve"> </t>
    </r>
    <r>
      <rPr>
        <sz val="14"/>
        <rFont val="Calibri"/>
        <family val="2"/>
        <scheme val="minor"/>
      </rPr>
      <t>breaker lock cylinder.</t>
    </r>
  </si>
  <si>
    <t>Transfer UPS System A to Inverter Service</t>
  </si>
  <si>
    <r>
      <t>TOUCH</t>
    </r>
    <r>
      <rPr>
        <sz val="14"/>
        <rFont val="Calibri"/>
        <family val="2"/>
        <scheme val="minor"/>
      </rPr>
      <t xml:space="preserve"> the </t>
    </r>
    <r>
      <rPr>
        <b/>
        <u/>
        <sz val="14"/>
        <rFont val="Calibri"/>
        <family val="2"/>
        <scheme val="minor"/>
      </rPr>
      <t>START INVERTER</t>
    </r>
    <r>
      <rPr>
        <sz val="14"/>
        <rFont val="Calibri"/>
        <family val="2"/>
        <scheme val="minor"/>
      </rPr>
      <t xml:space="preserve"> graphic button.</t>
    </r>
  </si>
  <si>
    <r>
      <t xml:space="preserve">Unit will ask: </t>
    </r>
    <r>
      <rPr>
        <b/>
        <sz val="14"/>
        <rFont val="Calibri"/>
        <family val="2"/>
        <scheme val="minor"/>
      </rPr>
      <t>CONFIRM</t>
    </r>
    <r>
      <rPr>
        <sz val="14"/>
        <rFont val="Calibri"/>
        <family val="2"/>
        <scheme val="minor"/>
      </rPr>
      <t>?</t>
    </r>
  </si>
  <si>
    <r>
      <t xml:space="preserve">TOUCH </t>
    </r>
    <r>
      <rPr>
        <sz val="14"/>
        <rFont val="Calibri"/>
        <family val="2"/>
        <scheme val="minor"/>
      </rPr>
      <t>the</t>
    </r>
    <r>
      <rPr>
        <b/>
        <sz val="14"/>
        <rFont val="Calibri"/>
        <family val="2"/>
        <scheme val="minor"/>
      </rPr>
      <t xml:space="preserve"> </t>
    </r>
    <r>
      <rPr>
        <b/>
        <u/>
        <sz val="14"/>
        <rFont val="Calibri"/>
        <family val="2"/>
        <scheme val="minor"/>
      </rPr>
      <t>CONFIRM</t>
    </r>
    <r>
      <rPr>
        <b/>
        <sz val="14"/>
        <rFont val="Calibri"/>
        <family val="2"/>
        <scheme val="minor"/>
      </rPr>
      <t xml:space="preserve"> </t>
    </r>
    <r>
      <rPr>
        <sz val="14"/>
        <rFont val="Calibri"/>
        <family val="2"/>
        <scheme val="minor"/>
      </rPr>
      <t>graphic</t>
    </r>
    <r>
      <rPr>
        <b/>
        <sz val="14"/>
        <rFont val="Calibri"/>
        <family val="2"/>
        <scheme val="minor"/>
      </rPr>
      <t>.</t>
    </r>
  </si>
  <si>
    <r>
      <t>UPS-A1</t>
    </r>
    <r>
      <rPr>
        <sz val="14"/>
        <rFont val="Calibri"/>
        <family val="2"/>
        <scheme val="minor"/>
      </rPr>
      <t xml:space="preserve"> and </t>
    </r>
    <r>
      <rPr>
        <b/>
        <u/>
        <sz val="14"/>
        <rFont val="Calibri"/>
        <family val="2"/>
        <scheme val="minor"/>
      </rPr>
      <t>UPS-A2</t>
    </r>
    <r>
      <rPr>
        <sz val="14"/>
        <rFont val="Calibri"/>
        <family val="2"/>
        <scheme val="minor"/>
      </rPr>
      <t xml:space="preserve"> will transfer to Inverter Service.</t>
    </r>
  </si>
  <si>
    <r>
      <t>Module inverter</t>
    </r>
    <r>
      <rPr>
        <b/>
        <sz val="14"/>
        <rFont val="Calibri"/>
        <family val="2"/>
        <scheme val="minor"/>
      </rPr>
      <t xml:space="preserve"> </t>
    </r>
    <r>
      <rPr>
        <sz val="14"/>
        <rFont val="Calibri"/>
        <family val="2"/>
        <scheme val="minor"/>
      </rPr>
      <t xml:space="preserve">graphic will change from gray to green. </t>
    </r>
  </si>
  <si>
    <r>
      <rPr>
        <b/>
        <sz val="14"/>
        <rFont val="Calibri"/>
        <family val="2"/>
        <scheme val="minor"/>
      </rPr>
      <t>VERIFY</t>
    </r>
    <r>
      <rPr>
        <sz val="14"/>
        <rFont val="Calibri"/>
        <family val="2"/>
        <scheme val="minor"/>
      </rPr>
      <t xml:space="preserve"> One line indicates as </t>
    </r>
    <r>
      <rPr>
        <b/>
        <sz val="14"/>
        <rFont val="Calibri"/>
        <family val="2"/>
        <scheme val="minor"/>
      </rPr>
      <t>UPS ONLINE.</t>
    </r>
  </si>
  <si>
    <r>
      <t>NOTATE</t>
    </r>
    <r>
      <rPr>
        <sz val="14"/>
        <rFont val="Calibri"/>
        <family val="2"/>
      </rPr>
      <t xml:space="preserve"> the kW reading at </t>
    </r>
    <r>
      <rPr>
        <b/>
        <u/>
        <sz val="14"/>
        <rFont val="Calibri"/>
        <family val="2"/>
      </rPr>
      <t>UPB</t>
    </r>
    <r>
      <rPr>
        <sz val="14"/>
        <rFont val="Calibri"/>
        <family val="2"/>
      </rPr>
      <t xml:space="preserve"> Critical Bus Panel Meter:_________</t>
    </r>
  </si>
  <si>
    <r>
      <t xml:space="preserve">CLOSE </t>
    </r>
    <r>
      <rPr>
        <sz val="14"/>
        <rFont val="Calibri"/>
        <family val="2"/>
        <scheme val="minor"/>
      </rPr>
      <t>breaker</t>
    </r>
    <r>
      <rPr>
        <b/>
        <sz val="14"/>
        <rFont val="Calibri"/>
        <family val="2"/>
        <scheme val="minor"/>
      </rPr>
      <t xml:space="preserve"> MBUPB. </t>
    </r>
  </si>
  <si>
    <r>
      <t>VERIFY</t>
    </r>
    <r>
      <rPr>
        <sz val="14"/>
        <rFont val="Calibri"/>
        <family val="2"/>
        <scheme val="minor"/>
      </rPr>
      <t xml:space="preserve"> breaker </t>
    </r>
    <r>
      <rPr>
        <b/>
        <u/>
        <sz val="14"/>
        <rFont val="Calibri"/>
        <family val="2"/>
        <scheme val="minor"/>
      </rPr>
      <t>MBUPB</t>
    </r>
    <r>
      <rPr>
        <sz val="14"/>
        <rFont val="Calibri"/>
        <family val="2"/>
        <scheme val="minor"/>
      </rPr>
      <t xml:space="preserve"> is carrying a portion of critical customer load using breaker mounted metering.</t>
    </r>
  </si>
  <si>
    <r>
      <t>VERIFY</t>
    </r>
    <r>
      <rPr>
        <sz val="14"/>
        <rFont val="Calibri"/>
        <family val="2"/>
        <scheme val="minor"/>
      </rPr>
      <t xml:space="preserve"> breaker </t>
    </r>
    <r>
      <rPr>
        <b/>
        <u/>
        <sz val="14"/>
        <rFont val="Calibri"/>
        <family val="2"/>
        <scheme val="minor"/>
      </rPr>
      <t>MCBUPB</t>
    </r>
    <r>
      <rPr>
        <sz val="14"/>
        <rFont val="Calibri"/>
        <family val="2"/>
        <scheme val="minor"/>
      </rPr>
      <t xml:space="preserve"> is carrying a portion of critical customer load using breaker mounted metering.</t>
    </r>
  </si>
  <si>
    <r>
      <t>OPEN</t>
    </r>
    <r>
      <rPr>
        <sz val="14"/>
        <rFont val="Calibri"/>
        <family val="2"/>
        <scheme val="minor"/>
      </rPr>
      <t xml:space="preserve"> breaker </t>
    </r>
    <r>
      <rPr>
        <b/>
        <u/>
        <sz val="14"/>
        <rFont val="Calibri"/>
        <family val="2"/>
        <scheme val="minor"/>
      </rPr>
      <t>MCBUPB</t>
    </r>
    <r>
      <rPr>
        <sz val="14"/>
        <rFont val="Calibri"/>
        <family val="2"/>
        <scheme val="minor"/>
      </rPr>
      <t>.</t>
    </r>
  </si>
  <si>
    <r>
      <t>OPEN</t>
    </r>
    <r>
      <rPr>
        <sz val="14"/>
        <rFont val="Calibri"/>
        <family val="2"/>
        <scheme val="minor"/>
      </rPr>
      <t xml:space="preserve"> breaker </t>
    </r>
    <r>
      <rPr>
        <b/>
        <u/>
        <sz val="14"/>
        <rFont val="Calibri"/>
        <family val="2"/>
        <scheme val="minor"/>
      </rPr>
      <t>DP-B1</t>
    </r>
    <r>
      <rPr>
        <sz val="14"/>
        <rFont val="Calibri"/>
        <family val="2"/>
        <scheme val="minor"/>
      </rPr>
      <t>. (MOB, Module Output Breaker)</t>
    </r>
  </si>
  <si>
    <r>
      <t>OPEN</t>
    </r>
    <r>
      <rPr>
        <sz val="14"/>
        <rFont val="Calibri"/>
        <family val="2"/>
        <scheme val="minor"/>
      </rPr>
      <t xml:space="preserve"> breaker </t>
    </r>
    <r>
      <rPr>
        <b/>
        <u/>
        <sz val="14"/>
        <rFont val="Calibri"/>
        <family val="2"/>
        <scheme val="minor"/>
      </rPr>
      <t>DP-B2</t>
    </r>
    <r>
      <rPr>
        <sz val="14"/>
        <rFont val="Calibri"/>
        <family val="2"/>
        <scheme val="minor"/>
      </rPr>
      <t>. (MOB, Module Output Breaker)</t>
    </r>
  </si>
  <si>
    <t>UPS SYSTEM B is now online and ready to accept load. Critical Customer Load remains on Maintenance Bypass Source.</t>
  </si>
  <si>
    <r>
      <t xml:space="preserve">VERIFY the </t>
    </r>
    <r>
      <rPr>
        <b/>
        <u/>
        <sz val="14"/>
        <rFont val="Calibri"/>
        <family val="2"/>
        <scheme val="minor"/>
      </rPr>
      <t>UPB SKRU</t>
    </r>
    <r>
      <rPr>
        <sz val="14"/>
        <rFont val="Calibri"/>
        <family val="2"/>
        <scheme val="minor"/>
      </rPr>
      <t xml:space="preserve"> </t>
    </r>
    <r>
      <rPr>
        <b/>
        <u/>
        <sz val="14"/>
        <rFont val="Calibri"/>
        <family val="2"/>
        <scheme val="minor"/>
      </rPr>
      <t>RELEASE BUTTON</t>
    </r>
    <r>
      <rPr>
        <sz val="14"/>
        <rFont val="Calibri"/>
        <family val="2"/>
        <scheme val="minor"/>
      </rPr>
      <t xml:space="preserve"> is </t>
    </r>
    <r>
      <rPr>
        <b/>
        <sz val="14"/>
        <rFont val="Calibri"/>
        <family val="2"/>
        <scheme val="minor"/>
      </rPr>
      <t>ILLUMINATED</t>
    </r>
    <r>
      <rPr>
        <sz val="14"/>
        <rFont val="Calibri"/>
        <family val="2"/>
        <scheme val="minor"/>
      </rPr>
      <t>.</t>
    </r>
  </si>
  <si>
    <r>
      <t>INSERT</t>
    </r>
    <r>
      <rPr>
        <sz val="14"/>
        <rFont val="Calibri"/>
        <family val="2"/>
      </rPr>
      <t xml:space="preserve"> the interlock key into the </t>
    </r>
    <r>
      <rPr>
        <b/>
        <u/>
        <sz val="14"/>
        <rFont val="Calibri"/>
        <family val="2"/>
      </rPr>
      <t>MCBUPB</t>
    </r>
    <r>
      <rPr>
        <sz val="14"/>
        <rFont val="Calibri"/>
        <family val="2"/>
      </rPr>
      <t xml:space="preserve"> breaker lock cylinder.</t>
    </r>
  </si>
  <si>
    <r>
      <t>ROTATE</t>
    </r>
    <r>
      <rPr>
        <sz val="14"/>
        <rFont val="Calibri"/>
        <family val="2"/>
        <scheme val="minor"/>
      </rPr>
      <t xml:space="preserve"> the interlock key 90 degrees to </t>
    </r>
    <r>
      <rPr>
        <b/>
        <sz val="14"/>
        <rFont val="Calibri"/>
        <family val="2"/>
        <scheme val="minor"/>
      </rPr>
      <t>UNLOCK</t>
    </r>
    <r>
      <rPr>
        <sz val="14"/>
        <rFont val="Calibri"/>
        <family val="2"/>
        <scheme val="minor"/>
      </rPr>
      <t xml:space="preserve"> the </t>
    </r>
    <r>
      <rPr>
        <b/>
        <u/>
        <sz val="14"/>
        <rFont val="Calibri"/>
        <family val="2"/>
        <scheme val="minor"/>
      </rPr>
      <t>MCBUPB</t>
    </r>
    <r>
      <rPr>
        <sz val="14"/>
        <rFont val="Calibri"/>
        <family val="2"/>
        <scheme val="minor"/>
      </rPr>
      <t xml:space="preserve"> breaker.</t>
    </r>
  </si>
  <si>
    <r>
      <t xml:space="preserve">CLOSE </t>
    </r>
    <r>
      <rPr>
        <sz val="14"/>
        <rFont val="Calibri"/>
        <family val="2"/>
        <scheme val="minor"/>
      </rPr>
      <t>breaker</t>
    </r>
    <r>
      <rPr>
        <b/>
        <sz val="14"/>
        <rFont val="Calibri"/>
        <family val="2"/>
        <scheme val="minor"/>
      </rPr>
      <t xml:space="preserve"> MCBUPB. </t>
    </r>
  </si>
  <si>
    <r>
      <t>VERIFY</t>
    </r>
    <r>
      <rPr>
        <sz val="14"/>
        <rFont val="Calibri"/>
        <family val="2"/>
        <scheme val="minor"/>
      </rPr>
      <t xml:space="preserve"> </t>
    </r>
    <r>
      <rPr>
        <b/>
        <u/>
        <sz val="14"/>
        <rFont val="Calibri"/>
        <family val="2"/>
        <scheme val="minor"/>
      </rPr>
      <t>MCBUPB</t>
    </r>
    <r>
      <rPr>
        <sz val="14"/>
        <rFont val="Calibri"/>
        <family val="2"/>
        <scheme val="minor"/>
      </rPr>
      <t xml:space="preserve"> breaker flag indicates </t>
    </r>
    <r>
      <rPr>
        <b/>
        <sz val="14"/>
        <rFont val="Calibri"/>
        <family val="2"/>
        <scheme val="minor"/>
      </rPr>
      <t>CLOSED</t>
    </r>
    <r>
      <rPr>
        <sz val="14"/>
        <rFont val="Calibri"/>
        <family val="2"/>
        <scheme val="minor"/>
      </rPr>
      <t>.</t>
    </r>
  </si>
  <si>
    <r>
      <t>OPEN</t>
    </r>
    <r>
      <rPr>
        <sz val="14"/>
        <rFont val="Calibri"/>
        <family val="2"/>
        <scheme val="minor"/>
      </rPr>
      <t xml:space="preserve"> breaker </t>
    </r>
    <r>
      <rPr>
        <b/>
        <u/>
        <sz val="14"/>
        <rFont val="Calibri"/>
        <family val="2"/>
        <scheme val="minor"/>
      </rPr>
      <t>MBUPB</t>
    </r>
    <r>
      <rPr>
        <sz val="14"/>
        <rFont val="Calibri"/>
        <family val="2"/>
        <scheme val="minor"/>
      </rPr>
      <t>.</t>
    </r>
  </si>
  <si>
    <r>
      <t>VERIFY</t>
    </r>
    <r>
      <rPr>
        <sz val="14"/>
        <rFont val="Calibri"/>
        <family val="2"/>
        <scheme val="minor"/>
      </rPr>
      <t xml:space="preserve"> </t>
    </r>
    <r>
      <rPr>
        <b/>
        <u/>
        <sz val="14"/>
        <rFont val="Calibri"/>
        <family val="2"/>
        <scheme val="minor"/>
      </rPr>
      <t>MBUPB</t>
    </r>
    <r>
      <rPr>
        <sz val="14"/>
        <rFont val="Calibri"/>
        <family val="2"/>
        <scheme val="minor"/>
      </rPr>
      <t xml:space="preserve"> breaker flag indicates </t>
    </r>
    <r>
      <rPr>
        <b/>
        <sz val="14"/>
        <rFont val="Calibri"/>
        <family val="2"/>
        <scheme val="minor"/>
      </rPr>
      <t>OPEN</t>
    </r>
    <r>
      <rPr>
        <sz val="14"/>
        <rFont val="Calibri"/>
        <family val="2"/>
        <scheme val="minor"/>
      </rPr>
      <t>.</t>
    </r>
  </si>
  <si>
    <r>
      <t>ROTATE</t>
    </r>
    <r>
      <rPr>
        <sz val="14"/>
        <rFont val="Calibri"/>
        <family val="2"/>
        <scheme val="minor"/>
      </rPr>
      <t xml:space="preserve"> the interlock key 90 degrees to </t>
    </r>
    <r>
      <rPr>
        <b/>
        <sz val="14"/>
        <rFont val="Calibri"/>
        <family val="2"/>
        <scheme val="minor"/>
      </rPr>
      <t>LOCK</t>
    </r>
    <r>
      <rPr>
        <sz val="14"/>
        <rFont val="Calibri"/>
        <family val="2"/>
        <scheme val="minor"/>
      </rPr>
      <t xml:space="preserve"> the </t>
    </r>
    <r>
      <rPr>
        <b/>
        <u/>
        <sz val="14"/>
        <rFont val="Calibri"/>
        <family val="2"/>
        <scheme val="minor"/>
      </rPr>
      <t>MBUPB</t>
    </r>
    <r>
      <rPr>
        <sz val="14"/>
        <rFont val="Calibri"/>
        <family val="2"/>
        <scheme val="minor"/>
      </rPr>
      <t xml:space="preserve"> breaker.</t>
    </r>
  </si>
  <si>
    <r>
      <t>REMOVE</t>
    </r>
    <r>
      <rPr>
        <sz val="14"/>
        <rFont val="Calibri"/>
        <family val="2"/>
        <scheme val="minor"/>
      </rPr>
      <t xml:space="preserve"> the interlock key from the </t>
    </r>
    <r>
      <rPr>
        <b/>
        <u/>
        <sz val="14"/>
        <rFont val="Calibri"/>
        <family val="2"/>
        <scheme val="minor"/>
      </rPr>
      <t>MBUPB</t>
    </r>
    <r>
      <rPr>
        <b/>
        <sz val="14"/>
        <rFont val="Calibri"/>
        <family val="2"/>
        <scheme val="minor"/>
      </rPr>
      <t xml:space="preserve"> </t>
    </r>
    <r>
      <rPr>
        <sz val="14"/>
        <rFont val="Calibri"/>
        <family val="2"/>
        <scheme val="minor"/>
      </rPr>
      <t>breaker lock cylinder.</t>
    </r>
  </si>
  <si>
    <r>
      <t>VERIFY</t>
    </r>
    <r>
      <rPr>
        <sz val="14"/>
        <rFont val="Calibri"/>
        <family val="2"/>
        <scheme val="minor"/>
      </rPr>
      <t xml:space="preserve"> UPS systems C and D are on-line with no critical alarms present.</t>
    </r>
  </si>
  <si>
    <t>Prepare UPC for Transfer to Maintenance Bypass</t>
  </si>
  <si>
    <t>Transfer UPS System C to Static Bypass</t>
  </si>
  <si>
    <t>Shut Down UPS System C</t>
  </si>
  <si>
    <t>Restart UPS System C</t>
  </si>
  <si>
    <t>Transfer UPS System C to Inverter Service</t>
  </si>
  <si>
    <t>Prepare UPD for Transfer to Maintenance Bypass</t>
  </si>
  <si>
    <t>Transfer UPS System D to Static Bypass</t>
  </si>
  <si>
    <t>Shut Down UPS System D</t>
  </si>
  <si>
    <t>Restart UPS System D</t>
  </si>
  <si>
    <t>Transfer UPS System D to Inverter Service</t>
  </si>
  <si>
    <r>
      <t>Firmly PRESS the gray inverter off button for 3 seconds.</t>
    </r>
    <r>
      <rPr>
        <sz val="14"/>
        <rFont val="Arial"/>
        <family val="2"/>
      </rPr>
      <t xml:space="preserve"> </t>
    </r>
    <r>
      <rPr>
        <sz val="14"/>
        <rFont val="Calibri"/>
        <family val="2"/>
      </rPr>
      <t xml:space="preserve">The green ‘Load Protected’ led will extinguish and the red ‘Load Not Protected’ status led will illuminate. </t>
    </r>
  </si>
  <si>
    <t>SILENCE local alarm.</t>
  </si>
  <si>
    <t>Firmly PRESS the gray inverter off button for 3 seconds. The green ‘Load Protected’ led will extinguish and the red ‘Load Not Protected’ status led will illuminate. Expect to hear the SCC Internal Bypass Breaker Q2S CLOSE at this step.</t>
  </si>
  <si>
    <t>VERIFY UPS System has transferred to Static Bypass via the SCC GUI.</t>
  </si>
  <si>
    <t>OPEN right hinged panel cover and VERIFY Breaker Q2S has CLOSED.</t>
  </si>
  <si>
    <t>LOCATE and OPEN breaker Q5N. (MOB, Module Output Breaker)</t>
  </si>
  <si>
    <t>LOCATE and OPEN breaker Q1. (IIB, Input Isolation Breaker)</t>
  </si>
  <si>
    <t>OPEN left hinged panel cover.</t>
  </si>
  <si>
    <t>LOCATE and ROTATE Switch SW1 to the Off position.</t>
  </si>
  <si>
    <t>LOCATE and ROTATE Switch SW2 to the Off position.</t>
  </si>
  <si>
    <t>Expect to hear breaker Q2S OPEN.</t>
  </si>
  <si>
    <t>LOCATE and ROTATE Switch SW1 to the On position. Expect to hear breaker Q2S CLOSE and CHARGE.</t>
  </si>
  <si>
    <t>Wait (60) seconds for Static Switch Logic to start.</t>
  </si>
  <si>
    <t xml:space="preserve">LOCATE and ROTATE Switch SW2 to the On position. </t>
  </si>
  <si>
    <t>LOCATE and CLOSE breaker Q1. (IIB, Input Isolation Breaker)</t>
  </si>
  <si>
    <t>LOCATE and CLOSE breaker Q5N. (MOB, Module Output Breaker)</t>
  </si>
  <si>
    <t>Firmly PRESS the green inverter ON button for 3 seconds.</t>
  </si>
  <si>
    <t>VERIFY UPS System has transferred to Static Bypass via the SCC GUI and there are no critical alarms.</t>
  </si>
  <si>
    <r>
      <t>NOTIFY</t>
    </r>
    <r>
      <rPr>
        <sz val="14"/>
        <color theme="1"/>
        <rFont val="Calibri"/>
        <family val="2"/>
        <scheme val="minor"/>
      </rPr>
      <t xml:space="preserve"> the appropriate person(s) and agencies prior to performing maintenance.</t>
    </r>
  </si>
  <si>
    <t>Perform Battery Annual PM</t>
  </si>
  <si>
    <r>
      <t>Review</t>
    </r>
    <r>
      <rPr>
        <sz val="14"/>
        <color rgb="FF000000"/>
        <rFont val="Calibri"/>
        <family val="2"/>
        <scheme val="minor"/>
      </rPr>
      <t xml:space="preserve"> the Annual Scope of Work located behind this procedure in the MOP.</t>
    </r>
  </si>
  <si>
    <t>Battery Room A</t>
  </si>
  <si>
    <t>A1 Battery Cabinets</t>
  </si>
  <si>
    <t>PERFORM visual inspection of ALL A1 battery cabinets.</t>
  </si>
  <si>
    <t>Cabinet A1-1</t>
  </si>
  <si>
    <t>Locate and OPEN battery breaker serving cabinet A1-1.</t>
  </si>
  <si>
    <t>Perform Annual battery maintenance per QUS Annual SOW.</t>
  </si>
  <si>
    <t>Locate and CLOSE battery breaker serving cabinet A1-1.</t>
  </si>
  <si>
    <t>Cabinet A1-2</t>
  </si>
  <si>
    <t>Locate and OPEN battery breaker serving cabinet A1-2.</t>
  </si>
  <si>
    <t>Locate and CLOSE battery breaker serving cabinet A1-2.</t>
  </si>
  <si>
    <t>Cabinet A1-3</t>
  </si>
  <si>
    <t>Locate and OPEN battery breaker serving cabinet A1-3.</t>
  </si>
  <si>
    <t>Locate and CLOSE battery breaker serving cabinet A1-3.</t>
  </si>
  <si>
    <t>Cabinet A1-4</t>
  </si>
  <si>
    <t>Locate and OPEN battery breaker serving cabinet A1-4.</t>
  </si>
  <si>
    <t>Locate and CLOSE battery breaker serving cabinet A1-4.</t>
  </si>
  <si>
    <t>Cabinet A1-5</t>
  </si>
  <si>
    <t>Locate and OPEN battery breaker serving cabinet A1-5.</t>
  </si>
  <si>
    <t>Locate and CLOSE battery breaker serving cabinet A1-5.</t>
  </si>
  <si>
    <t>Cabinet A1-6</t>
  </si>
  <si>
    <t>Locate and OPEN battery breaker serving cabinet A1-6.</t>
  </si>
  <si>
    <t>Locate and CLOSE battery breaker serving cabinet A1-6.</t>
  </si>
  <si>
    <t>A2 Battery Cabinets</t>
  </si>
  <si>
    <t>PERFORM visual inspection of ALL A2 battery cabinets.</t>
  </si>
  <si>
    <t>Cabinet A2-1</t>
  </si>
  <si>
    <t>Locate and OPEN battery breaker serving cabinet A2-1.</t>
  </si>
  <si>
    <t>Locate and CLOSE battery breaker serving cabinet A2-1.</t>
  </si>
  <si>
    <t>Cabinet A2-2</t>
  </si>
  <si>
    <t>Locate and OPEN battery breaker serving cabinet A2-2.</t>
  </si>
  <si>
    <t>Locate and CLOSE battery breaker serving cabinet A2-2.</t>
  </si>
  <si>
    <t>Cabinet A2-3</t>
  </si>
  <si>
    <t>Locate and OPEN battery breaker serving cabinet A2-3.</t>
  </si>
  <si>
    <t>Locate and CLOSE battery breaker serving cabinet A2-3.</t>
  </si>
  <si>
    <t>Cabinet A2-4</t>
  </si>
  <si>
    <t>Locate and OPEN battery breaker serving cabinet A2-4.</t>
  </si>
  <si>
    <t>Locate and CLOSE battery breaker serving cabinet A2-4.</t>
  </si>
  <si>
    <t>Cabinet A2-5</t>
  </si>
  <si>
    <t>Locate and OPEN battery breaker serving cabinet A2-5.</t>
  </si>
  <si>
    <t>Locate and CLOSE battery breaker serving cabinet A2-5.</t>
  </si>
  <si>
    <t>Cabinet A2-6</t>
  </si>
  <si>
    <t>Locate and OPEN battery breaker serving cabinet A2-6.</t>
  </si>
  <si>
    <t>Locate and CLOSE battery breaker serving cabinet A2-6.</t>
  </si>
  <si>
    <t>Battery Room B</t>
  </si>
  <si>
    <t>B1 Battery Cabinets</t>
  </si>
  <si>
    <t>PERFORM visual inspection of ALL B1 battery cabinets.</t>
  </si>
  <si>
    <t>Cabinet B1-1</t>
  </si>
  <si>
    <t>Locate and OPEN battery breaker serving cabinet B1-1.</t>
  </si>
  <si>
    <t>Locate and CLOSE battery breaker serving cabinet B1-1.</t>
  </si>
  <si>
    <t>Cabinet B1-2</t>
  </si>
  <si>
    <t>Locate and OPEN battery breaker serving cabinet B1-2.</t>
  </si>
  <si>
    <t>Locate and CLOSE battery breaker serving cabinet B1-2.</t>
  </si>
  <si>
    <t>Cabinet B1-3</t>
  </si>
  <si>
    <t>Locate and OPEN battery breaker serving cabinet B1-3.</t>
  </si>
  <si>
    <t>Locate and CLOSE battery breaker serving cabinet B1-3.</t>
  </si>
  <si>
    <t>Cabinet B1-4</t>
  </si>
  <si>
    <t>Locate and OPEN battery breaker serving cabinet B1-4.</t>
  </si>
  <si>
    <t>Locate and CLOSE battery breaker serving cabinet B1-4.</t>
  </si>
  <si>
    <t>Cabinet B1-5</t>
  </si>
  <si>
    <t>Locate and OPEN battery breaker serving cabinet B1-5.</t>
  </si>
  <si>
    <t>Locate and CLOSE battery breaker serving cabinet B1-5.</t>
  </si>
  <si>
    <t>Cabinet B1-6</t>
  </si>
  <si>
    <t>Locate and OPEN battery breaker serving cabinet B1-6.</t>
  </si>
  <si>
    <t>Locate and CLOSE battery breaker serving cabinet B1-6.</t>
  </si>
  <si>
    <t>B2 Battery Cabinets</t>
  </si>
  <si>
    <t>PERFORM visual inspection of ALL B2 battery cabinets.</t>
  </si>
  <si>
    <t>Cabinet B2-1</t>
  </si>
  <si>
    <t>Locate and OPEN battery breaker serving cabinet B2-1.</t>
  </si>
  <si>
    <t>Locate and CLOSE battery breaker serving cabinet B2-1.</t>
  </si>
  <si>
    <t>Cabinet B2-2</t>
  </si>
  <si>
    <t>Locate and OPEN battery breaker serving cabinet B2-2.</t>
  </si>
  <si>
    <t>Locate and CLOSE battery breaker serving cabinet B2-2.</t>
  </si>
  <si>
    <t>Cabinet B2-3</t>
  </si>
  <si>
    <t>Locate and OPEN battery breaker serving cabinet B2-3.</t>
  </si>
  <si>
    <t>Locate and CLOSE battery breaker serving cabinet B2-3.</t>
  </si>
  <si>
    <t>Cabinet B2-4</t>
  </si>
  <si>
    <t>Locate and OPEN battery breaker serving cabinet B2-4.</t>
  </si>
  <si>
    <t>Locate and CLOSE battery breaker serving cabinet B2-4.</t>
  </si>
  <si>
    <t>Cabinet B2-5</t>
  </si>
  <si>
    <t>Locate and OPEN battery breaker serving cabinet B2-5.</t>
  </si>
  <si>
    <t>Locate and CLOSE battery breaker serving cabinet B2-5.</t>
  </si>
  <si>
    <t>Cabinet B2-6</t>
  </si>
  <si>
    <t>Locate and OPEN battery breaker serving cabinet B2-6.</t>
  </si>
  <si>
    <t>Locate and CLOSE battery breaker serving cabinet B2-6.</t>
  </si>
  <si>
    <t>Battery Room C</t>
  </si>
  <si>
    <t>C1 Battery Cabinets</t>
  </si>
  <si>
    <t>PERFORM visual inspection of ALL C1 battery cabinets.</t>
  </si>
  <si>
    <t>Cabinet C1-1</t>
  </si>
  <si>
    <t>Locate and OPEN battery breaker serving cabinet C1-1.</t>
  </si>
  <si>
    <t>Locate and CLOSE battery breaker serving cabinet C1-1.</t>
  </si>
  <si>
    <t>Cabinet C1-2</t>
  </si>
  <si>
    <t>Locate and OPEN battery breaker serving cabinet C1-2.</t>
  </si>
  <si>
    <t>Locate and CLOSE battery breaker serving cabinet C1-2.</t>
  </si>
  <si>
    <t>Cabinet C1-3</t>
  </si>
  <si>
    <t>Locate and OPEN battery breaker serving cabinet C1-3.</t>
  </si>
  <si>
    <t>Locate and CLOSE battery breaker serving cabinet C1-3.</t>
  </si>
  <si>
    <t>Cabinet C1-4</t>
  </si>
  <si>
    <t>Locate and OPEN battery breaker serving cabinet C1-4.</t>
  </si>
  <si>
    <t>Locate and CLOSE battery breaker serving cabinet C1-4.</t>
  </si>
  <si>
    <t>Cabinet C1-5</t>
  </si>
  <si>
    <t>Locate and OPEN battery breaker serving cabinet C1-5.</t>
  </si>
  <si>
    <t>Locate and CLOSE battery breaker serving cabinet C1-5.</t>
  </si>
  <si>
    <t>Cabinet C1-6</t>
  </si>
  <si>
    <t>Locate and OPEN battery breaker serving cabinet C1-6.</t>
  </si>
  <si>
    <t>Locate and CLOSE battery breaker serving cabinet C1-6.</t>
  </si>
  <si>
    <t>C2 Battery Cabinets</t>
  </si>
  <si>
    <t>PERFORM visual inspection of ALL C2 battery cabinets.</t>
  </si>
  <si>
    <t>Cabinet C2-1</t>
  </si>
  <si>
    <t>Locate and OPEN battery breaker serving cabinet C2-1.</t>
  </si>
  <si>
    <t>Locate and CLOSE battery breaker serving cabinet C2-1.</t>
  </si>
  <si>
    <t>Cabinet C2-2</t>
  </si>
  <si>
    <t>Locate and OPEN battery breaker serving cabinet C2-2.</t>
  </si>
  <si>
    <t>Locate and CLOSE battery breaker serving cabinet C2-2.</t>
  </si>
  <si>
    <t>Cabinet C2-3</t>
  </si>
  <si>
    <t>Locate and OPEN battery breaker serving cabinet C2-3.</t>
  </si>
  <si>
    <t>Locate and CLOSE battery breaker serving cabinet C2-3.</t>
  </si>
  <si>
    <t>Cabinet C2-4</t>
  </si>
  <si>
    <t>Locate and OPEN battery breaker serving cabinet C2-4.</t>
  </si>
  <si>
    <t>Locate and CLOSE battery breaker serving cabinet C2-4.</t>
  </si>
  <si>
    <t>Cabinet C2-5</t>
  </si>
  <si>
    <t>Locate and OPEN battery breaker serving cabinet C2-5.</t>
  </si>
  <si>
    <t>Locate and CLOSE battery breaker serving cabinet C2-5.</t>
  </si>
  <si>
    <t>Cabinet C2-6</t>
  </si>
  <si>
    <t>Locate and OPEN battery breaker serving cabinet C2-6.</t>
  </si>
  <si>
    <t>Locate and CLOSE battery breaker serving cabinet C2-6.</t>
  </si>
  <si>
    <t>Battery Room D</t>
  </si>
  <si>
    <t>D1 Battery Cabinets</t>
  </si>
  <si>
    <t>PERFORM visual inspection of ALL D1 battery cabinets.</t>
  </si>
  <si>
    <t>Cabinet D1-1</t>
  </si>
  <si>
    <t>Locate and OPEN battery breaker serving cabinet D1-1.</t>
  </si>
  <si>
    <t>Locate and CLOSE battery breaker serving cabinet D1-1.</t>
  </si>
  <si>
    <t>Cabinet D1-2</t>
  </si>
  <si>
    <t>Locate and OPEN battery breaker serving cabinet D1-2.</t>
  </si>
  <si>
    <t>Locate and CLOSE battery breaker serving cabinet D1-2.</t>
  </si>
  <si>
    <t>Cabinet D1-3</t>
  </si>
  <si>
    <t>Locate and OPEN battery breaker serving cabinet D1-3.</t>
  </si>
  <si>
    <t>Locate and CLOSE battery breaker serving cabinet D1-3.</t>
  </si>
  <si>
    <t>Cabinet D1-4</t>
  </si>
  <si>
    <t>Locate and OPEN battery breaker serving cabinet D1-4.</t>
  </si>
  <si>
    <t>Locate and CLOSE battery breaker serving cabinet D1-4.</t>
  </si>
  <si>
    <t>Cabinet D1-5</t>
  </si>
  <si>
    <t>Locate and OPEN battery breaker serving cabinet D1-5.</t>
  </si>
  <si>
    <t>Locate and CLOSE battery breaker serving cabinet D1-5.</t>
  </si>
  <si>
    <t>Cabinet D1-6</t>
  </si>
  <si>
    <t>Locate and OPEN battery breaker serving cabinet D1-6.</t>
  </si>
  <si>
    <t>Locate and CLOSE battery breaker serving cabinet D1-6.</t>
  </si>
  <si>
    <t>D2 Battery Cabinets</t>
  </si>
  <si>
    <t>PERFORM visual inspection of ALL D2 battery cabinets.</t>
  </si>
  <si>
    <t>Cabinet D2-1</t>
  </si>
  <si>
    <t>Locate and OPEN battery breaker serving cabinet D2-1.</t>
  </si>
  <si>
    <t>Locate and CLOSE battery breaker serving cabinet D2-1.</t>
  </si>
  <si>
    <t>Cabinet D2-2</t>
  </si>
  <si>
    <t>Locate and OPEN battery breaker serving cabinet D2-2.</t>
  </si>
  <si>
    <t>Locate and CLOSE battery breaker serving cabinet D2-2.</t>
  </si>
  <si>
    <t>Cabinet D2-3</t>
  </si>
  <si>
    <t>Locate and OPEN battery breaker serving cabinet D2-3.</t>
  </si>
  <si>
    <t>Locate and CLOSE battery breaker serving cabinet D2-3.</t>
  </si>
  <si>
    <t>Cabinet D2-4</t>
  </si>
  <si>
    <t>Locate and OPEN battery breaker serving cabinet D2-4.</t>
  </si>
  <si>
    <t>Locate and CLOSE battery breaker serving cabinet D2-4.</t>
  </si>
  <si>
    <t>Cabinet D2-5</t>
  </si>
  <si>
    <t>Locate and OPEN battery breaker serving cabinet D2-5.</t>
  </si>
  <si>
    <t>Locate and CLOSE battery breaker serving cabinet D2-5.</t>
  </si>
  <si>
    <t>Cabinet D2-6</t>
  </si>
  <si>
    <t>Locate and OPEN battery breaker serving cabinet D2-6.</t>
  </si>
  <si>
    <t>Locate and CLOSE battery breaker serving cabinet D2-6.</t>
  </si>
  <si>
    <t>Battery Room F</t>
  </si>
  <si>
    <t>F1 Battery Cabinets</t>
  </si>
  <si>
    <t>PERFORM visual inspection of ALL F1 battery cabinets.</t>
  </si>
  <si>
    <t>Cabinet F1-1</t>
  </si>
  <si>
    <t>Locate and OPEN battery breaker serving cabinet F1-1.</t>
  </si>
  <si>
    <t>Locate and CLOSE battery breaker serving cabinet F1-1.</t>
  </si>
  <si>
    <t>Cabinet F1-2</t>
  </si>
  <si>
    <t>Locate and OPEN battery breaker serving cabinet F1-2.</t>
  </si>
  <si>
    <t>Locate and CLOSE battery breaker serving cabinet F1-2.</t>
  </si>
  <si>
    <t>Cabinet F1-3</t>
  </si>
  <si>
    <t>Locate and OPEN battery breaker serving cabinet F1-3.</t>
  </si>
  <si>
    <t>Locate and CLOSE battery breaker serving cabinet F1-3.</t>
  </si>
  <si>
    <t>Cabinet F1-4</t>
  </si>
  <si>
    <t>Locate and OPEN battery breaker serving cabinet F1-4.</t>
  </si>
  <si>
    <t>Locate and CLOSE battery breaker serving cabinet F1-4.</t>
  </si>
  <si>
    <t>Cabinet F1-5</t>
  </si>
  <si>
    <t>Locate and OPEN battery breaker serving cabinet F1-5.</t>
  </si>
  <si>
    <t>Locate and CLOSE battery breaker serving cabinet F1-5.</t>
  </si>
  <si>
    <t>Cabinet F1-6</t>
  </si>
  <si>
    <t>Locate and OPEN battery breaker serving cabinet F1-6.</t>
  </si>
  <si>
    <t>Locate and CLOSE battery breaker serving cabinet F1-6.</t>
  </si>
  <si>
    <t>F2 Battery Cabinets</t>
  </si>
  <si>
    <t>PERFORM visual inspection of ALL F2 battery cabinets.</t>
  </si>
  <si>
    <t>Cabinet F2-1</t>
  </si>
  <si>
    <t>Locate and OPEN battery breaker serving cabinet F2-1.</t>
  </si>
  <si>
    <t>Locate and CLOSE battery breaker serving cabinet F2-1.</t>
  </si>
  <si>
    <t>Cabinet F2-2</t>
  </si>
  <si>
    <t>Locate and OPEN battery breaker serving cabinet F2-2.</t>
  </si>
  <si>
    <t>Locate and CLOSE battery breaker serving cabinet F2-2.</t>
  </si>
  <si>
    <t>Cabinet F2-3</t>
  </si>
  <si>
    <t>Locate and OPEN battery breaker serving cabinet F2-3.</t>
  </si>
  <si>
    <t>Locate and CLOSE battery breaker serving cabinet F2-3.</t>
  </si>
  <si>
    <t>Cabinet F2-4</t>
  </si>
  <si>
    <t>Locate and OPEN battery breaker serving cabinet F2-4.</t>
  </si>
  <si>
    <t>Locate and CLOSE battery breaker serving cabinet F2-4.</t>
  </si>
  <si>
    <t>Cabinet F2-5</t>
  </si>
  <si>
    <t>Locate and OPEN battery breaker serving cabinet F2-5.</t>
  </si>
  <si>
    <t>Locate and CLOSE battery breaker serving cabinet F2-5.</t>
  </si>
  <si>
    <t>Cabinet F2-6</t>
  </si>
  <si>
    <t>Locate and OPEN battery breaker serving cabinet F2-6.</t>
  </si>
  <si>
    <t>Locate and CLOSE battery breaker serving cabinet F2-6.</t>
  </si>
  <si>
    <t>Perform Notification of Work Completion</t>
  </si>
  <si>
    <r>
      <t>NOTIFY</t>
    </r>
    <r>
      <rPr>
        <sz val="14"/>
        <color theme="1"/>
        <rFont val="Calibri"/>
        <family val="2"/>
        <scheme val="minor"/>
      </rPr>
      <t xml:space="preserve"> the appropriate person(s) and agencies  upon completion of maintenance.</t>
    </r>
  </si>
  <si>
    <t>Perform Battery Quarterly PM</t>
  </si>
  <si>
    <t>Call the engineer stationed on base to verify no alarms are active on the systems affected by this procedure.</t>
  </si>
  <si>
    <r>
      <t>PERFORM</t>
    </r>
    <r>
      <rPr>
        <sz val="14"/>
        <color theme="1"/>
        <rFont val="Calibri"/>
        <family val="2"/>
        <scheme val="minor"/>
      </rPr>
      <t xml:space="preserve"> visual scan of battery cabinets.</t>
    </r>
  </si>
  <si>
    <t>Perform quarterly battery maintenance per QUS scope of work listed below.</t>
  </si>
  <si>
    <t>Verify system is in normal operating condition, report any anomalies found to DLR engineering and coordinate replacement of any faulty batteries that fall under the QUS contract. End of maintenance.</t>
  </si>
  <si>
    <t>Quarterly Scope of Work</t>
  </si>
  <si>
    <t>MOP</t>
  </si>
  <si>
    <t xml:space="preserve">All items below should be listed in the vendor report for the job. </t>
  </si>
  <si>
    <t>Inspect the environment, general room condition (cleanliness, security, access to equipment).</t>
  </si>
  <si>
    <t>Record ambient battery room temperature.</t>
  </si>
  <si>
    <t>Eye wash or bottled eye neutralizer available.</t>
  </si>
  <si>
    <t>Check the integrity of the battery rack/cabinet.</t>
  </si>
  <si>
    <t>Visually inspect each battery container for cracks, leaks and acceptable physical limits.</t>
  </si>
  <si>
    <t>Visually inspect for evidence of corrosion of the terminals and connectors (clean as required)</t>
  </si>
  <si>
    <t xml:space="preserve">Inspect the general appearance and cleanliness fo the battery system, clean normal accumulation of dust and debris. </t>
  </si>
  <si>
    <t xml:space="preserve">Measure and record total battery string DC float potential and the battery string end plates. </t>
  </si>
  <si>
    <t xml:space="preserve">Verify rectifier charger current and voltage is within acceptable parameters. </t>
  </si>
  <si>
    <t>Determine battery state of charge and adjust float accordingly.</t>
  </si>
  <si>
    <t>Measure and record every individual battery DC voltage potential.</t>
  </si>
  <si>
    <t xml:space="preserve">Measure and record voltage between DC end terminals and Ground to detect possible ground fault conditions. </t>
  </si>
  <si>
    <t>Measure and record individual batteries internal resistance via MilliVolt readings.</t>
  </si>
  <si>
    <t>Compare the recorded impedance with the manufacturers specification to identify any potentially defective batteries.</t>
  </si>
  <si>
    <t>Measure Rectififer/Charger DC ripple voltage, insure it is within the batteries acceptable design parameters.</t>
  </si>
  <si>
    <t>Spot check torque on inter-battery connections.</t>
  </si>
  <si>
    <t>Clean battery terminals and bus bar connections.</t>
  </si>
  <si>
    <t xml:space="preserve">Neutralize accessible cell surfaces. </t>
  </si>
  <si>
    <t>Coat battery terminals, bus bars, and connectors with a thin film of conductive lubricant (when reccomended by manufacturer).</t>
  </si>
  <si>
    <r>
      <t>NOTIFY</t>
    </r>
    <r>
      <rPr>
        <sz val="14"/>
        <color theme="1"/>
        <rFont val="Calibri"/>
        <family val="2"/>
        <scheme val="minor"/>
      </rPr>
      <t xml:space="preserve"> the appropriate person(s) and agencies prior to testing.</t>
    </r>
  </si>
  <si>
    <r>
      <t>NOTIFY</t>
    </r>
    <r>
      <rPr>
        <sz val="14"/>
        <color theme="1"/>
        <rFont val="Calibri"/>
        <family val="2"/>
        <scheme val="minor"/>
      </rPr>
      <t xml:space="preserve"> Emergency 24; call system out for TROUBLES ONLY. Contact number: 1-800-827-3624</t>
    </r>
  </si>
  <si>
    <t>Emergency 24 operator number: _______</t>
  </si>
  <si>
    <t>NOTATE the kW reading at the SW4HS Meter: _________</t>
  </si>
  <si>
    <t>PRESS the "3" button corresponding to the "TEST" command on the LCD keypad.</t>
  </si>
  <si>
    <t>PRESS the XFR LOAD button on the LCD keypad. You will be prompted for a password.</t>
  </si>
  <si>
    <t>PRESS and HOLD the XFR LOAD button until the ATS transfers to Source 2 as indicated by the "Source 2 Connected" indicator light illuminating.</t>
  </si>
  <si>
    <t>Note: HS gen will receive a remote start signal, and will accelerate to rated speed. The ATS will perform an OPEN TRANSITION. The ATS is programmed to MAINTAIN Test Mode until the test is CANCELLED via the CANCEL button.</t>
  </si>
  <si>
    <t>Perform the following once the generator has been running for 30 minutes:</t>
  </si>
  <si>
    <t>PRESS the CANCEL button to re-transfer to SOURCE 1.</t>
  </si>
  <si>
    <t>Note: A time delay cool down for the generator will activate. The generator will cool down for 5 minutes then go into a 90 second low idle. The Source 2 Available light will extinguish.</t>
  </si>
  <si>
    <r>
      <t>RECORD</t>
    </r>
    <r>
      <rPr>
        <sz val="14"/>
        <color theme="1"/>
        <rFont val="Calibri"/>
        <family val="2"/>
        <scheme val="minor"/>
      </rPr>
      <t xml:space="preserve"> the "Generator Post-Conditions".</t>
    </r>
  </si>
  <si>
    <r>
      <t>PERFORM</t>
    </r>
    <r>
      <rPr>
        <sz val="14"/>
        <color theme="1"/>
        <rFont val="Calibri"/>
        <family val="2"/>
        <scheme val="minor"/>
      </rPr>
      <t xml:space="preserve"> Generator Pre-start checklist prior to the test.</t>
    </r>
  </si>
  <si>
    <r>
      <t xml:space="preserve">Place the "Auto/Manual/O" selector switch in the </t>
    </r>
    <r>
      <rPr>
        <b/>
        <sz val="14"/>
        <color theme="1"/>
        <rFont val="Calibri"/>
        <family val="2"/>
        <scheme val="minor"/>
      </rPr>
      <t>"Manual"</t>
    </r>
    <r>
      <rPr>
        <sz val="14"/>
        <color theme="1"/>
        <rFont val="Calibri"/>
        <family val="2"/>
        <scheme val="minor"/>
      </rPr>
      <t xml:space="preserve"> position.</t>
    </r>
  </si>
  <si>
    <r>
      <t xml:space="preserve">Press </t>
    </r>
    <r>
      <rPr>
        <b/>
        <sz val="14"/>
        <color theme="1"/>
        <rFont val="Calibri"/>
        <family val="2"/>
        <scheme val="minor"/>
      </rPr>
      <t>"Manual Run/Stop"</t>
    </r>
    <r>
      <rPr>
        <sz val="14"/>
        <color theme="1"/>
        <rFont val="Calibri"/>
        <family val="2"/>
        <scheme val="minor"/>
      </rPr>
      <t xml:space="preserve"> on the EMCP.</t>
    </r>
  </si>
  <si>
    <t xml:space="preserve">After engine starts, note all indicators and gauges for normal values, noting any starting difficulty or anomaly and reporting immediately for follow-up if any conditions are discovered. </t>
  </si>
  <si>
    <t>Initiate an engine shutdown as follows:</t>
  </si>
  <si>
    <r>
      <t xml:space="preserve">Place the "Auto/Manual/O" selector switch in the </t>
    </r>
    <r>
      <rPr>
        <b/>
        <sz val="14"/>
        <color theme="1"/>
        <rFont val="Calibri"/>
        <family val="2"/>
        <scheme val="minor"/>
      </rPr>
      <t>"Auto"</t>
    </r>
    <r>
      <rPr>
        <sz val="14"/>
        <color theme="1"/>
        <rFont val="Calibri"/>
        <family val="2"/>
        <scheme val="minor"/>
      </rPr>
      <t xml:space="preserve"> position.</t>
    </r>
  </si>
  <si>
    <t>Contact the engineer stationed on base and inform them that maintenance is complete.</t>
  </si>
  <si>
    <t>Verify no alarms are active in relation to this procedure.</t>
  </si>
  <si>
    <t>If the building is not required to be called out for any other active maintenance as verified by the engineer stationed on base, return the system to service with Emergency 24. Contact number: 1-800-827-3624</t>
  </si>
  <si>
    <t>Emergency 24 operator number: ____</t>
  </si>
  <si>
    <t>NOTIFY the appropriate person(s) and agencies prior to testing.</t>
  </si>
  <si>
    <t>NOTIFY Emergency 24; call system out for TROUBLES ONLY. Contact number: 1-800-827-3624</t>
  </si>
  <si>
    <t>Notate the kW reading on the SW4HS meter: _________</t>
  </si>
  <si>
    <t>Turn the MAINTAIN TRANSFER TEST to TEST OVERRIDE.  The Override Test Active light will turn on.  Once the generator comes up to rated frequency and voltage, ATS-HS will transfer, and SW4HS will be on HGEN Generator.</t>
  </si>
  <si>
    <t>Record running values for the generator when it starts and at 15 minute intervals thereafter until the cooldown sequence is complete.</t>
  </si>
  <si>
    <t>30 minutes after the generator started, turn the MAINTAIN TRANSFER TEST to NORMAL. 
Note: The OVERRIDE TEST ACTIVE light will go off.</t>
  </si>
  <si>
    <t>Verify House-ATS transfers back to the Utility.</t>
  </si>
  <si>
    <t>Note: A time-delay cool down for the gen-set will activate. The EMERGENCY SOURCE ACCEPTED light should go off. The generator will cool down for approximately 5 MINUTES then SHUTDOWN.</t>
  </si>
  <si>
    <t>Ensure All Enclosures are secure.</t>
  </si>
  <si>
    <t>Proof Of Start (No Load testing)</t>
  </si>
  <si>
    <t>At house generator EMCP CONTROL PANEL, press the AUTO button to initiate an engine shutdown.</t>
  </si>
  <si>
    <t>Contact Emergency 24; return system to service. Contact number: 1-800-827-3624</t>
  </si>
  <si>
    <r>
      <t>RECORD</t>
    </r>
    <r>
      <rPr>
        <sz val="14"/>
        <color theme="1"/>
        <rFont val="Calibri"/>
        <family val="2"/>
        <scheme val="minor"/>
      </rPr>
      <t xml:space="preserve"> the "Generator Pre-Conditions" prior to the test.</t>
    </r>
  </si>
  <si>
    <r>
      <t>VERIFY</t>
    </r>
    <r>
      <rPr>
        <sz val="14"/>
        <color theme="1"/>
        <rFont val="Calibri"/>
        <family val="2"/>
        <scheme val="minor"/>
      </rPr>
      <t xml:space="preserve"> all UPS systems are on-line with no critical alarms present.</t>
    </r>
  </si>
  <si>
    <r>
      <t>TOUCH</t>
    </r>
    <r>
      <rPr>
        <sz val="14"/>
        <color theme="1"/>
        <rFont val="Calibri"/>
        <family val="2"/>
        <scheme val="minor"/>
      </rPr>
      <t xml:space="preserve"> the </t>
    </r>
    <r>
      <rPr>
        <b/>
        <u/>
        <sz val="14"/>
        <color theme="1"/>
        <rFont val="Calibri"/>
        <family val="2"/>
        <scheme val="minor"/>
      </rPr>
      <t>LOG ON</t>
    </r>
    <r>
      <rPr>
        <sz val="14"/>
        <color theme="1"/>
        <rFont val="Calibri"/>
        <family val="2"/>
        <scheme val="minor"/>
      </rPr>
      <t xml:space="preserve"> button on the ROP.</t>
    </r>
  </si>
  <si>
    <r>
      <rPr>
        <sz val="14"/>
        <color theme="1"/>
        <rFont val="Calibri"/>
        <family val="2"/>
        <scheme val="minor"/>
      </rPr>
      <t xml:space="preserve">You will be prompted for a </t>
    </r>
    <r>
      <rPr>
        <b/>
        <u/>
        <sz val="14"/>
        <color theme="1"/>
        <rFont val="Calibri"/>
        <family val="2"/>
        <scheme val="minor"/>
      </rPr>
      <t>USERNAME</t>
    </r>
    <r>
      <rPr>
        <sz val="14"/>
        <color theme="1"/>
        <rFont val="Calibri"/>
        <family val="2"/>
        <scheme val="minor"/>
      </rPr>
      <t xml:space="preserve"> and </t>
    </r>
    <r>
      <rPr>
        <b/>
        <u/>
        <sz val="14"/>
        <color theme="1"/>
        <rFont val="Calibri"/>
        <family val="2"/>
        <scheme val="minor"/>
      </rPr>
      <t>PASSWORD</t>
    </r>
    <r>
      <rPr>
        <sz val="14"/>
        <color theme="1"/>
        <rFont val="Calibri"/>
        <family val="2"/>
        <scheme val="minor"/>
      </rPr>
      <t xml:space="preserve">.  Under username enter </t>
    </r>
    <r>
      <rPr>
        <b/>
        <sz val="14"/>
        <color theme="1"/>
        <rFont val="Calibri"/>
        <family val="2"/>
        <scheme val="minor"/>
      </rPr>
      <t>"admin"</t>
    </r>
    <r>
      <rPr>
        <sz val="14"/>
        <color theme="1"/>
        <rFont val="Calibri"/>
        <family val="2"/>
        <scheme val="minor"/>
      </rPr>
      <t xml:space="preserve"> and press enter. Under password enter </t>
    </r>
    <r>
      <rPr>
        <b/>
        <sz val="14"/>
        <color theme="1"/>
        <rFont val="Calibri"/>
        <family val="2"/>
        <scheme val="minor"/>
      </rPr>
      <t>"admin"</t>
    </r>
    <r>
      <rPr>
        <sz val="14"/>
        <color theme="1"/>
        <rFont val="Calibri"/>
        <family val="2"/>
        <scheme val="minor"/>
      </rPr>
      <t xml:space="preserve"> and press enter. </t>
    </r>
    <r>
      <rPr>
        <b/>
        <sz val="14"/>
        <color theme="1"/>
        <rFont val="Calibri"/>
        <family val="2"/>
        <scheme val="minor"/>
      </rPr>
      <t>PRESS</t>
    </r>
    <r>
      <rPr>
        <sz val="14"/>
        <color theme="1"/>
        <rFont val="Calibri"/>
        <family val="2"/>
        <scheme val="minor"/>
      </rPr>
      <t xml:space="preserve"> the </t>
    </r>
    <r>
      <rPr>
        <b/>
        <u/>
        <sz val="14"/>
        <color theme="1"/>
        <rFont val="Calibri"/>
        <family val="2"/>
        <scheme val="minor"/>
      </rPr>
      <t>OK</t>
    </r>
    <r>
      <rPr>
        <sz val="14"/>
        <color theme="1"/>
        <rFont val="Calibri"/>
        <family val="2"/>
        <scheme val="minor"/>
      </rPr>
      <t xml:space="preserve"> button.</t>
    </r>
  </si>
  <si>
    <r>
      <t xml:space="preserve">TOUCH </t>
    </r>
    <r>
      <rPr>
        <sz val="14"/>
        <color theme="1"/>
        <rFont val="Calibri"/>
        <family val="2"/>
        <scheme val="minor"/>
      </rPr>
      <t xml:space="preserve">the </t>
    </r>
    <r>
      <rPr>
        <b/>
        <u/>
        <sz val="14"/>
        <color theme="1"/>
        <rFont val="Calibri"/>
        <family val="2"/>
        <scheme val="minor"/>
      </rPr>
      <t>SINGLE LINE</t>
    </r>
    <r>
      <rPr>
        <b/>
        <sz val="14"/>
        <color theme="1"/>
        <rFont val="Calibri"/>
        <family val="2"/>
        <scheme val="minor"/>
      </rPr>
      <t xml:space="preserve"> </t>
    </r>
    <r>
      <rPr>
        <sz val="14"/>
        <color theme="1"/>
        <rFont val="Calibri"/>
        <family val="2"/>
        <scheme val="minor"/>
      </rPr>
      <t>button on the graphic for the generator to be run</t>
    </r>
    <r>
      <rPr>
        <b/>
        <sz val="14"/>
        <color theme="1"/>
        <rFont val="Calibri"/>
        <family val="2"/>
        <scheme val="minor"/>
      </rPr>
      <t>.</t>
    </r>
  </si>
  <si>
    <r>
      <t>ENSURE</t>
    </r>
    <r>
      <rPr>
        <sz val="14"/>
        <color theme="1"/>
        <rFont val="Calibri"/>
        <family val="2"/>
        <scheme val="minor"/>
      </rPr>
      <t xml:space="preserve"> that </t>
    </r>
    <r>
      <rPr>
        <b/>
        <u/>
        <sz val="14"/>
        <color theme="1"/>
        <rFont val="Calibri"/>
        <family val="2"/>
        <scheme val="minor"/>
      </rPr>
      <t>SWITCHBOARD SYSTEM</t>
    </r>
    <r>
      <rPr>
        <sz val="14"/>
        <color theme="1"/>
        <rFont val="Calibri"/>
        <family val="2"/>
        <scheme val="minor"/>
      </rPr>
      <t xml:space="preserve"> is in </t>
    </r>
    <r>
      <rPr>
        <b/>
        <i/>
        <sz val="14"/>
        <color theme="1"/>
        <rFont val="Calibri"/>
        <family val="2"/>
        <scheme val="minor"/>
      </rPr>
      <t>AUTO</t>
    </r>
    <r>
      <rPr>
        <sz val="14"/>
        <color theme="1"/>
        <rFont val="Calibri"/>
        <family val="2"/>
        <scheme val="minor"/>
      </rPr>
      <t xml:space="preserve"> and "ReTransfer Mode" is in </t>
    </r>
    <r>
      <rPr>
        <b/>
        <i/>
        <sz val="14"/>
        <color theme="1"/>
        <rFont val="Calibri"/>
        <family val="2"/>
        <scheme val="minor"/>
      </rPr>
      <t>AUTOMATIC</t>
    </r>
    <r>
      <rPr>
        <b/>
        <sz val="14"/>
        <color theme="1"/>
        <rFont val="Calibri"/>
        <family val="2"/>
        <scheme val="minor"/>
      </rPr>
      <t xml:space="preserve">. </t>
    </r>
    <r>
      <rPr>
        <sz val="14"/>
        <color theme="1"/>
        <rFont val="Calibri"/>
        <family val="2"/>
        <scheme val="minor"/>
      </rPr>
      <t>This information can be found in the upper left hand corner of the ROP screen.</t>
    </r>
  </si>
  <si>
    <r>
      <t xml:space="preserve">TOUCH </t>
    </r>
    <r>
      <rPr>
        <sz val="14"/>
        <color theme="1"/>
        <rFont val="Calibri"/>
        <family val="2"/>
        <scheme val="minor"/>
      </rPr>
      <t xml:space="preserve">the </t>
    </r>
    <r>
      <rPr>
        <b/>
        <u/>
        <sz val="14"/>
        <color theme="1"/>
        <rFont val="Calibri"/>
        <family val="2"/>
        <scheme val="minor"/>
      </rPr>
      <t>SUITE SERVICE SCREENS</t>
    </r>
    <r>
      <rPr>
        <b/>
        <sz val="14"/>
        <color theme="1"/>
        <rFont val="Calibri"/>
        <family val="2"/>
        <scheme val="minor"/>
      </rPr>
      <t xml:space="preserve"> </t>
    </r>
    <r>
      <rPr>
        <sz val="14"/>
        <color theme="1"/>
        <rFont val="Calibri"/>
        <family val="2"/>
        <scheme val="minor"/>
      </rPr>
      <t>button on the graphic</t>
    </r>
    <r>
      <rPr>
        <b/>
        <sz val="14"/>
        <color theme="1"/>
        <rFont val="Calibri"/>
        <family val="2"/>
        <scheme val="minor"/>
      </rPr>
      <t>.</t>
    </r>
  </si>
  <si>
    <r>
      <t>TOUCH</t>
    </r>
    <r>
      <rPr>
        <sz val="14"/>
        <color theme="1"/>
        <rFont val="Calibri"/>
        <family val="2"/>
        <scheme val="minor"/>
      </rPr>
      <t xml:space="preserve"> the </t>
    </r>
    <r>
      <rPr>
        <b/>
        <u/>
        <sz val="14"/>
        <color theme="1"/>
        <rFont val="Calibri"/>
        <family val="2"/>
        <scheme val="minor"/>
      </rPr>
      <t>PLC I/O</t>
    </r>
    <r>
      <rPr>
        <sz val="14"/>
        <color theme="1"/>
        <rFont val="Calibri"/>
        <family val="2"/>
        <scheme val="minor"/>
      </rPr>
      <t xml:space="preserve"> button on the graphic.</t>
    </r>
  </si>
  <si>
    <r>
      <t>VERIFY</t>
    </r>
    <r>
      <rPr>
        <sz val="14"/>
        <color theme="1"/>
        <rFont val="Calibri"/>
        <family val="2"/>
        <scheme val="minor"/>
      </rPr>
      <t xml:space="preserve"> there are no solid red indicators listed on the screen.</t>
    </r>
  </si>
  <si>
    <r>
      <t>VERIFY</t>
    </r>
    <r>
      <rPr>
        <sz val="14"/>
        <color theme="1"/>
        <rFont val="Calibri"/>
        <family val="2"/>
        <scheme val="minor"/>
      </rPr>
      <t xml:space="preserve"> all heartbeat indicators are flashing.</t>
    </r>
  </si>
  <si>
    <r>
      <rPr>
        <b/>
        <u/>
        <sz val="14"/>
        <color theme="1"/>
        <rFont val="Calibri"/>
        <family val="2"/>
        <scheme val="minor"/>
      </rPr>
      <t>TOUCH</t>
    </r>
    <r>
      <rPr>
        <sz val="14"/>
        <color theme="1"/>
        <rFont val="Calibri"/>
        <family val="2"/>
        <scheme val="minor"/>
      </rPr>
      <t xml:space="preserve"> the </t>
    </r>
    <r>
      <rPr>
        <b/>
        <u/>
        <sz val="14"/>
        <color theme="1"/>
        <rFont val="Calibri"/>
        <family val="2"/>
        <scheme val="minor"/>
      </rPr>
      <t>ALARMS</t>
    </r>
    <r>
      <rPr>
        <sz val="14"/>
        <color theme="1"/>
        <rFont val="Calibri"/>
        <family val="2"/>
        <scheme val="minor"/>
      </rPr>
      <t xml:space="preserve"> button.</t>
    </r>
  </si>
  <si>
    <r>
      <t xml:space="preserve">TOUCH </t>
    </r>
    <r>
      <rPr>
        <sz val="14"/>
        <color theme="1"/>
        <rFont val="Calibri"/>
        <family val="2"/>
        <scheme val="minor"/>
      </rPr>
      <t xml:space="preserve">the </t>
    </r>
    <r>
      <rPr>
        <b/>
        <u/>
        <sz val="14"/>
        <color theme="1"/>
        <rFont val="Calibri"/>
        <family val="2"/>
        <scheme val="minor"/>
      </rPr>
      <t>SYSTEM OVERVIEW MAIN</t>
    </r>
    <r>
      <rPr>
        <b/>
        <sz val="14"/>
        <color theme="1"/>
        <rFont val="Calibri"/>
        <family val="2"/>
        <scheme val="minor"/>
      </rPr>
      <t xml:space="preserve"> </t>
    </r>
    <r>
      <rPr>
        <sz val="14"/>
        <color theme="1"/>
        <rFont val="Calibri"/>
        <family val="2"/>
        <scheme val="minor"/>
      </rPr>
      <t>button on the graphic</t>
    </r>
    <r>
      <rPr>
        <b/>
        <sz val="14"/>
        <color theme="1"/>
        <rFont val="Calibri"/>
        <family val="2"/>
        <scheme val="minor"/>
      </rPr>
      <t>.</t>
    </r>
  </si>
  <si>
    <r>
      <rPr>
        <b/>
        <u/>
        <sz val="14"/>
        <color theme="1"/>
        <rFont val="Calibri"/>
        <family val="2"/>
        <scheme val="minor"/>
      </rPr>
      <t>TOUCH</t>
    </r>
    <r>
      <rPr>
        <sz val="14"/>
        <color theme="1"/>
        <rFont val="Calibri"/>
        <family val="2"/>
        <scheme val="minor"/>
      </rPr>
      <t xml:space="preserve"> the </t>
    </r>
    <r>
      <rPr>
        <b/>
        <u/>
        <sz val="14"/>
        <color theme="1"/>
        <rFont val="Calibri"/>
        <family val="2"/>
        <scheme val="minor"/>
      </rPr>
      <t>SOURCE SELECT</t>
    </r>
    <r>
      <rPr>
        <sz val="14"/>
        <color theme="1"/>
        <rFont val="Calibri"/>
        <family val="2"/>
        <scheme val="minor"/>
      </rPr>
      <t xml:space="preserve"> button.</t>
    </r>
  </si>
  <si>
    <r>
      <t>DEPRESS</t>
    </r>
    <r>
      <rPr>
        <sz val="14"/>
        <color theme="1"/>
        <rFont val="Calibri"/>
        <family val="2"/>
        <scheme val="minor"/>
      </rPr>
      <t xml:space="preserve"> the </t>
    </r>
    <r>
      <rPr>
        <b/>
        <u/>
        <sz val="14"/>
        <color theme="1"/>
        <rFont val="Calibri"/>
        <family val="2"/>
        <scheme val="minor"/>
      </rPr>
      <t>PUSH TO INITIATE</t>
    </r>
    <r>
      <rPr>
        <sz val="14"/>
        <color theme="1"/>
        <rFont val="Calibri"/>
        <family val="2"/>
        <scheme val="minor"/>
      </rPr>
      <t xml:space="preserve"> button (blue) to initialize sequence. Hold the “button” until graphic animation indicates button depressed. </t>
    </r>
    <r>
      <rPr>
        <b/>
        <sz val="14"/>
        <color theme="1"/>
        <rFont val="Calibri"/>
        <family val="2"/>
        <scheme val="minor"/>
      </rPr>
      <t>TRANSFER IN PROGRESS</t>
    </r>
    <r>
      <rPr>
        <sz val="14"/>
        <color theme="1"/>
        <rFont val="Calibri"/>
        <family val="2"/>
        <scheme val="minor"/>
      </rPr>
      <t xml:space="preserve"> will be indicated on graphic.</t>
    </r>
  </si>
  <si>
    <r>
      <t>SELECT</t>
    </r>
    <r>
      <rPr>
        <sz val="14"/>
        <color theme="1"/>
        <rFont val="Calibri"/>
        <family val="2"/>
        <scheme val="minor"/>
      </rPr>
      <t xml:space="preserve"> the </t>
    </r>
    <r>
      <rPr>
        <b/>
        <u/>
        <sz val="14"/>
        <color theme="1"/>
        <rFont val="Calibri"/>
        <family val="2"/>
        <scheme val="minor"/>
      </rPr>
      <t>SINGLE LINE</t>
    </r>
    <r>
      <rPr>
        <sz val="14"/>
        <color theme="1"/>
        <rFont val="Calibri"/>
        <family val="2"/>
        <scheme val="minor"/>
      </rPr>
      <t xml:space="preserve"> tab to confirm that the transfer has been made.</t>
    </r>
  </si>
  <si>
    <r>
      <t xml:space="preserve">The </t>
    </r>
    <r>
      <rPr>
        <b/>
        <u/>
        <sz val="14"/>
        <color theme="1"/>
        <rFont val="Calibri"/>
        <family val="2"/>
        <scheme val="minor"/>
      </rPr>
      <t>SWITCHBOARD SYSTEM</t>
    </r>
    <r>
      <rPr>
        <sz val="14"/>
        <color theme="1"/>
        <rFont val="Calibri"/>
        <family val="2"/>
        <scheme val="minor"/>
      </rPr>
      <t xml:space="preserve"> will change the "ReTransfer Mode" from </t>
    </r>
    <r>
      <rPr>
        <b/>
        <i/>
        <sz val="14"/>
        <color theme="1"/>
        <rFont val="Calibri"/>
        <family val="2"/>
        <scheme val="minor"/>
      </rPr>
      <t xml:space="preserve">AUTOMATIC to MANUAL. </t>
    </r>
    <r>
      <rPr>
        <sz val="14"/>
        <color theme="1"/>
        <rFont val="Calibri"/>
        <family val="2"/>
        <scheme val="minor"/>
      </rPr>
      <t>You will be required to change to Automatic Transfer at test completion.</t>
    </r>
  </si>
  <si>
    <r>
      <t>SWITCHBOARD SYSTEM</t>
    </r>
    <r>
      <rPr>
        <sz val="14"/>
        <color theme="1"/>
        <rFont val="Calibri"/>
        <family val="2"/>
        <scheme val="minor"/>
      </rPr>
      <t xml:space="preserve"> will transfer automatically, possibly via active </t>
    </r>
    <r>
      <rPr>
        <b/>
        <i/>
        <sz val="14"/>
        <color theme="1"/>
        <rFont val="Calibri"/>
        <family val="2"/>
        <scheme val="minor"/>
      </rPr>
      <t>CLOSED</t>
    </r>
    <r>
      <rPr>
        <sz val="14"/>
        <color theme="1"/>
        <rFont val="Calibri"/>
        <family val="2"/>
        <scheme val="minor"/>
      </rPr>
      <t xml:space="preserve"> transition. If synchronization of sources is not achieved within timer, system will complete transfer via </t>
    </r>
    <r>
      <rPr>
        <b/>
        <i/>
        <sz val="14"/>
        <color theme="1"/>
        <rFont val="Calibri"/>
        <family val="2"/>
        <scheme val="minor"/>
      </rPr>
      <t>OPEN</t>
    </r>
    <r>
      <rPr>
        <sz val="14"/>
        <color theme="1"/>
        <rFont val="Calibri"/>
        <family val="2"/>
        <scheme val="minor"/>
      </rPr>
      <t xml:space="preserve"> transition.</t>
    </r>
  </si>
  <si>
    <r>
      <t>COMPARE</t>
    </r>
    <r>
      <rPr>
        <sz val="14"/>
        <color theme="1"/>
        <rFont val="Calibri"/>
        <family val="2"/>
        <scheme val="minor"/>
      </rPr>
      <t xml:space="preserve"> pre-and post- transfer readings to verify customer load was not disturbed.</t>
    </r>
  </si>
  <si>
    <t>CRACs</t>
  </si>
  <si>
    <r>
      <t xml:space="preserve">VERIFY </t>
    </r>
    <r>
      <rPr>
        <sz val="14"/>
        <color theme="1"/>
        <rFont val="Calibri"/>
        <family val="2"/>
        <scheme val="minor"/>
      </rPr>
      <t>the mechanical cooling system continues to provide adequate and appropriate cooling to Data Center and Electric Rooms.</t>
    </r>
  </si>
  <si>
    <t>LFACP</t>
  </si>
  <si>
    <r>
      <t>VERIFY</t>
    </r>
    <r>
      <rPr>
        <sz val="14"/>
        <color theme="1"/>
        <rFont val="Calibri"/>
        <family val="2"/>
        <scheme val="minor"/>
      </rPr>
      <t xml:space="preserve"> status of Local Fire Alarm Control Panel (</t>
    </r>
    <r>
      <rPr>
        <b/>
        <u/>
        <sz val="14"/>
        <color theme="1"/>
        <rFont val="Calibri"/>
        <family val="2"/>
        <scheme val="minor"/>
      </rPr>
      <t>LFACP</t>
    </r>
    <r>
      <rPr>
        <sz val="14"/>
        <color theme="1"/>
        <rFont val="Calibri"/>
        <family val="2"/>
        <scheme val="minor"/>
      </rPr>
      <t xml:space="preserve">) for expected supervisory condition: </t>
    </r>
    <r>
      <rPr>
        <b/>
        <sz val="14"/>
        <color theme="1"/>
        <rFont val="Calibri"/>
        <family val="2"/>
        <scheme val="minor"/>
      </rPr>
      <t>"Generator Running".</t>
    </r>
  </si>
  <si>
    <r>
      <rPr>
        <b/>
        <u/>
        <sz val="14"/>
        <color theme="1"/>
        <rFont val="Calibri"/>
        <family val="2"/>
        <scheme val="minor"/>
      </rPr>
      <t>RECORD</t>
    </r>
    <r>
      <rPr>
        <sz val="14"/>
        <color theme="1"/>
        <rFont val="Calibri"/>
        <family val="2"/>
        <scheme val="minor"/>
      </rPr>
      <t xml:space="preserve"> running values during generator operation.</t>
    </r>
  </si>
  <si>
    <t>Run the generator for 30 minutes while supporting customer load, then initiate a transfer back to utility power as follows:</t>
  </si>
  <si>
    <r>
      <t xml:space="preserve">VERIFY </t>
    </r>
    <r>
      <rPr>
        <sz val="14"/>
        <color theme="1"/>
        <rFont val="Calibri"/>
        <family val="2"/>
        <scheme val="minor"/>
      </rPr>
      <t>there are no abnormal alarms present.</t>
    </r>
  </si>
  <si>
    <r>
      <t xml:space="preserve">TOUCH </t>
    </r>
    <r>
      <rPr>
        <sz val="14"/>
        <color theme="1"/>
        <rFont val="Calibri"/>
        <family val="2"/>
        <scheme val="minor"/>
      </rPr>
      <t xml:space="preserve">the </t>
    </r>
    <r>
      <rPr>
        <b/>
        <u/>
        <sz val="14"/>
        <color theme="1"/>
        <rFont val="Calibri"/>
        <family val="2"/>
        <scheme val="minor"/>
      </rPr>
      <t>SINGLE LINE</t>
    </r>
    <r>
      <rPr>
        <b/>
        <sz val="14"/>
        <color theme="1"/>
        <rFont val="Calibri"/>
        <family val="2"/>
        <scheme val="minor"/>
      </rPr>
      <t xml:space="preserve"> </t>
    </r>
    <r>
      <rPr>
        <sz val="14"/>
        <color theme="1"/>
        <rFont val="Calibri"/>
        <family val="2"/>
        <scheme val="minor"/>
      </rPr>
      <t>button on the graphic for the generator that is running</t>
    </r>
    <r>
      <rPr>
        <b/>
        <sz val="14"/>
        <color theme="1"/>
        <rFont val="Calibri"/>
        <family val="2"/>
        <scheme val="minor"/>
      </rPr>
      <t>.</t>
    </r>
  </si>
  <si>
    <r>
      <t>ENSURE</t>
    </r>
    <r>
      <rPr>
        <sz val="14"/>
        <color theme="1"/>
        <rFont val="Calibri"/>
        <family val="2"/>
        <scheme val="minor"/>
      </rPr>
      <t xml:space="preserve"> that </t>
    </r>
    <r>
      <rPr>
        <b/>
        <u/>
        <sz val="14"/>
        <color theme="1"/>
        <rFont val="Calibri"/>
        <family val="2"/>
        <scheme val="minor"/>
      </rPr>
      <t>SWITCHBOARD SYSTEM</t>
    </r>
    <r>
      <rPr>
        <sz val="14"/>
        <color theme="1"/>
        <rFont val="Calibri"/>
        <family val="2"/>
        <scheme val="minor"/>
      </rPr>
      <t xml:space="preserve"> is in </t>
    </r>
    <r>
      <rPr>
        <b/>
        <i/>
        <sz val="14"/>
        <color theme="1"/>
        <rFont val="Calibri"/>
        <family val="2"/>
        <scheme val="minor"/>
      </rPr>
      <t>AUTO</t>
    </r>
    <r>
      <rPr>
        <sz val="14"/>
        <color theme="1"/>
        <rFont val="Calibri"/>
        <family val="2"/>
        <scheme val="minor"/>
      </rPr>
      <t xml:space="preserve"> and "ReTransfer Mode" is in </t>
    </r>
    <r>
      <rPr>
        <b/>
        <i/>
        <sz val="14"/>
        <color theme="1"/>
        <rFont val="Calibri"/>
        <family val="2"/>
        <scheme val="minor"/>
      </rPr>
      <t>MANUAL</t>
    </r>
    <r>
      <rPr>
        <b/>
        <sz val="14"/>
        <color theme="1"/>
        <rFont val="Calibri"/>
        <family val="2"/>
        <scheme val="minor"/>
      </rPr>
      <t>. You will be required to change to Automatic Transfer at test completion.</t>
    </r>
  </si>
  <si>
    <r>
      <t>DEPRESS</t>
    </r>
    <r>
      <rPr>
        <sz val="14"/>
        <color theme="1"/>
        <rFont val="Calibri"/>
        <family val="2"/>
        <scheme val="minor"/>
      </rPr>
      <t xml:space="preserve"> the </t>
    </r>
    <r>
      <rPr>
        <b/>
        <u/>
        <sz val="14"/>
        <color theme="1"/>
        <rFont val="Calibri"/>
        <family val="2"/>
        <scheme val="minor"/>
      </rPr>
      <t>PUSH TO INITIATE</t>
    </r>
    <r>
      <rPr>
        <sz val="14"/>
        <color theme="1"/>
        <rFont val="Calibri"/>
        <family val="2"/>
        <scheme val="minor"/>
      </rPr>
      <t xml:space="preserve"> button (blue) to initiate sequence.</t>
    </r>
  </si>
  <si>
    <r>
      <t>VERIFY</t>
    </r>
    <r>
      <rPr>
        <sz val="14"/>
        <color theme="1"/>
        <rFont val="Calibri"/>
        <family val="2"/>
        <scheme val="minor"/>
      </rPr>
      <t xml:space="preserve"> the following actions take place:</t>
    </r>
  </si>
  <si>
    <r>
      <t xml:space="preserve">SWITCHBOARD SYSTEM </t>
    </r>
    <r>
      <rPr>
        <sz val="14"/>
        <color theme="1"/>
        <rFont val="Calibri"/>
        <family val="2"/>
        <scheme val="minor"/>
      </rPr>
      <t xml:space="preserve">will transfer automatically, possibly via active </t>
    </r>
    <r>
      <rPr>
        <b/>
        <i/>
        <sz val="14"/>
        <color theme="1"/>
        <rFont val="Calibri"/>
        <family val="2"/>
        <scheme val="minor"/>
      </rPr>
      <t>CLOSED</t>
    </r>
    <r>
      <rPr>
        <sz val="14"/>
        <color theme="1"/>
        <rFont val="Calibri"/>
        <family val="2"/>
        <scheme val="minor"/>
      </rPr>
      <t xml:space="preserve"> transition. If synchronization of sources is not achieved within timer, system will complete transfer via </t>
    </r>
    <r>
      <rPr>
        <b/>
        <i/>
        <sz val="14"/>
        <color theme="1"/>
        <rFont val="Calibri"/>
        <family val="2"/>
        <scheme val="minor"/>
      </rPr>
      <t>OPEN</t>
    </r>
    <r>
      <rPr>
        <sz val="14"/>
        <color theme="1"/>
        <rFont val="Calibri"/>
        <family val="2"/>
        <scheme val="minor"/>
      </rPr>
      <t xml:space="preserve"> transition.</t>
    </r>
  </si>
  <si>
    <t>Switchboard will initiate a generator cooldown sequence, after which time the generator will shut down.</t>
  </si>
  <si>
    <r>
      <t xml:space="preserve">TOUCH </t>
    </r>
    <r>
      <rPr>
        <sz val="14"/>
        <color theme="1"/>
        <rFont val="Calibri"/>
        <family val="2"/>
        <scheme val="minor"/>
      </rPr>
      <t>the</t>
    </r>
    <r>
      <rPr>
        <b/>
        <sz val="14"/>
        <color theme="1"/>
        <rFont val="Calibri"/>
        <family val="2"/>
        <scheme val="minor"/>
      </rPr>
      <t xml:space="preserve"> "Auto ReTransfer"</t>
    </r>
    <r>
      <rPr>
        <sz val="14"/>
        <color theme="1"/>
        <rFont val="Calibri"/>
        <family val="2"/>
        <scheme val="minor"/>
      </rPr>
      <t xml:space="preserve"> button to change the </t>
    </r>
    <r>
      <rPr>
        <b/>
        <sz val="14"/>
        <color theme="1"/>
        <rFont val="Calibri"/>
        <family val="2"/>
        <scheme val="minor"/>
      </rPr>
      <t>"ReTransfer Mode"</t>
    </r>
    <r>
      <rPr>
        <sz val="14"/>
        <color theme="1"/>
        <rFont val="Calibri"/>
        <family val="2"/>
        <scheme val="minor"/>
      </rPr>
      <t xml:space="preserve"> to </t>
    </r>
    <r>
      <rPr>
        <b/>
        <i/>
        <sz val="14"/>
        <color theme="1"/>
        <rFont val="Calibri"/>
        <family val="2"/>
        <scheme val="minor"/>
      </rPr>
      <t>AUTOMATIC.</t>
    </r>
  </si>
  <si>
    <r>
      <t>COMPARE</t>
    </r>
    <r>
      <rPr>
        <sz val="14"/>
        <color theme="1"/>
        <rFont val="Calibri"/>
        <family val="2"/>
        <scheme val="minor"/>
      </rPr>
      <t xml:space="preserve"> pre-transfer and post-transfer readings to verify customer load was not disturbed.</t>
    </r>
  </si>
  <si>
    <r>
      <t>VERIFY</t>
    </r>
    <r>
      <rPr>
        <sz val="14"/>
        <color theme="1"/>
        <rFont val="Calibri"/>
        <family val="2"/>
        <scheme val="minor"/>
      </rPr>
      <t xml:space="preserve"> Local Fire Alarm Control Panel (</t>
    </r>
    <r>
      <rPr>
        <b/>
        <u/>
        <sz val="14"/>
        <color theme="1"/>
        <rFont val="Calibri"/>
        <family val="2"/>
        <scheme val="minor"/>
      </rPr>
      <t>LFACP</t>
    </r>
    <r>
      <rPr>
        <sz val="14"/>
        <color theme="1"/>
        <rFont val="Calibri"/>
        <family val="2"/>
        <scheme val="minor"/>
      </rPr>
      <t xml:space="preserve">) reports clear of </t>
    </r>
    <r>
      <rPr>
        <b/>
        <sz val="14"/>
        <color theme="1"/>
        <rFont val="Calibri"/>
        <family val="2"/>
        <scheme val="minor"/>
      </rPr>
      <t>"Generator running"</t>
    </r>
    <r>
      <rPr>
        <sz val="14"/>
        <color theme="1"/>
        <rFont val="Calibri"/>
        <family val="2"/>
        <scheme val="minor"/>
      </rPr>
      <t xml:space="preserve"> supervisory condition.</t>
    </r>
  </si>
  <si>
    <r>
      <t>ENSURE</t>
    </r>
    <r>
      <rPr>
        <sz val="14"/>
        <color theme="1"/>
        <rFont val="Calibri"/>
        <family val="2"/>
        <scheme val="minor"/>
      </rPr>
      <t xml:space="preserve"> that </t>
    </r>
    <r>
      <rPr>
        <b/>
        <u/>
        <sz val="14"/>
        <color theme="1"/>
        <rFont val="Calibri"/>
        <family val="2"/>
        <scheme val="minor"/>
      </rPr>
      <t>SWITCHBOARD SYSTEM</t>
    </r>
    <r>
      <rPr>
        <sz val="14"/>
        <color theme="1"/>
        <rFont val="Calibri"/>
        <family val="2"/>
        <scheme val="minor"/>
      </rPr>
      <t xml:space="preserve"> is in </t>
    </r>
    <r>
      <rPr>
        <b/>
        <i/>
        <sz val="14"/>
        <color theme="1"/>
        <rFont val="Calibri"/>
        <family val="2"/>
        <scheme val="minor"/>
      </rPr>
      <t>AUTO</t>
    </r>
    <r>
      <rPr>
        <sz val="14"/>
        <color theme="1"/>
        <rFont val="Calibri"/>
        <family val="2"/>
        <scheme val="minor"/>
      </rPr>
      <t xml:space="preserve"> and Transfer mode is in </t>
    </r>
    <r>
      <rPr>
        <b/>
        <i/>
        <sz val="14"/>
        <color theme="1"/>
        <rFont val="Calibri"/>
        <family val="2"/>
        <scheme val="minor"/>
      </rPr>
      <t>AUTOMATIC</t>
    </r>
    <r>
      <rPr>
        <b/>
        <sz val="14"/>
        <color theme="1"/>
        <rFont val="Calibri"/>
        <family val="2"/>
        <scheme val="minor"/>
      </rPr>
      <t xml:space="preserve">. </t>
    </r>
    <r>
      <rPr>
        <sz val="14"/>
        <color theme="1"/>
        <rFont val="Calibri"/>
        <family val="2"/>
        <scheme val="minor"/>
      </rPr>
      <t>This information can be found in the upper left hand corner of the ROP screen.</t>
    </r>
  </si>
  <si>
    <r>
      <rPr>
        <b/>
        <u/>
        <sz val="14"/>
        <color theme="1"/>
        <rFont val="Calibri"/>
        <family val="2"/>
        <scheme val="minor"/>
      </rPr>
      <t>TOUCH</t>
    </r>
    <r>
      <rPr>
        <sz val="14"/>
        <color theme="1"/>
        <rFont val="Calibri"/>
        <family val="2"/>
        <scheme val="minor"/>
      </rPr>
      <t xml:space="preserve"> the </t>
    </r>
    <r>
      <rPr>
        <b/>
        <u/>
        <sz val="14"/>
        <color theme="1"/>
        <rFont val="Calibri"/>
        <family val="2"/>
        <scheme val="minor"/>
      </rPr>
      <t>SYSTEM TEST</t>
    </r>
    <r>
      <rPr>
        <sz val="14"/>
        <color theme="1"/>
        <rFont val="Calibri"/>
        <family val="2"/>
        <scheme val="minor"/>
      </rPr>
      <t xml:space="preserve"> button.</t>
    </r>
  </si>
  <si>
    <r>
      <t xml:space="preserve">TOUCH </t>
    </r>
    <r>
      <rPr>
        <sz val="14"/>
        <color theme="1"/>
        <rFont val="Calibri"/>
        <family val="2"/>
        <scheme val="minor"/>
      </rPr>
      <t xml:space="preserve">the </t>
    </r>
    <r>
      <rPr>
        <b/>
        <u/>
        <sz val="14"/>
        <color theme="1"/>
        <rFont val="Calibri"/>
        <family val="2"/>
        <scheme val="minor"/>
      </rPr>
      <t>RUN</t>
    </r>
    <r>
      <rPr>
        <b/>
        <sz val="14"/>
        <color theme="1"/>
        <rFont val="Calibri"/>
        <family val="2"/>
        <scheme val="minor"/>
      </rPr>
      <t xml:space="preserve"> </t>
    </r>
    <r>
      <rPr>
        <sz val="14"/>
        <color theme="1"/>
        <rFont val="Calibri"/>
        <family val="2"/>
        <scheme val="minor"/>
      </rPr>
      <t xml:space="preserve">button in the </t>
    </r>
    <r>
      <rPr>
        <b/>
        <u/>
        <sz val="14"/>
        <color theme="1"/>
        <rFont val="Calibri"/>
        <family val="2"/>
        <scheme val="minor"/>
      </rPr>
      <t>ENGINE CONTROL SWITCH</t>
    </r>
    <r>
      <rPr>
        <sz val="14"/>
        <color theme="1"/>
        <rFont val="Calibri"/>
        <family val="2"/>
        <scheme val="minor"/>
      </rPr>
      <t xml:space="preserve"> section to start the generator.</t>
    </r>
  </si>
  <si>
    <t>Test run at 1800 rpms for 15 minutes, then initiate an engine shutdown as follows:</t>
  </si>
  <si>
    <r>
      <t xml:space="preserve">TOUCH </t>
    </r>
    <r>
      <rPr>
        <sz val="14"/>
        <color theme="1"/>
        <rFont val="Calibri"/>
        <family val="2"/>
        <scheme val="minor"/>
      </rPr>
      <t xml:space="preserve">the </t>
    </r>
    <r>
      <rPr>
        <b/>
        <u/>
        <sz val="14"/>
        <color theme="1"/>
        <rFont val="Calibri"/>
        <family val="2"/>
        <scheme val="minor"/>
      </rPr>
      <t>AUTO</t>
    </r>
    <r>
      <rPr>
        <b/>
        <sz val="14"/>
        <color theme="1"/>
        <rFont val="Calibri"/>
        <family val="2"/>
        <scheme val="minor"/>
      </rPr>
      <t xml:space="preserve"> </t>
    </r>
    <r>
      <rPr>
        <sz val="14"/>
        <color theme="1"/>
        <rFont val="Calibri"/>
        <family val="2"/>
        <scheme val="minor"/>
      </rPr>
      <t xml:space="preserve">button in the </t>
    </r>
    <r>
      <rPr>
        <b/>
        <u/>
        <sz val="14"/>
        <color theme="1"/>
        <rFont val="Calibri"/>
        <family val="2"/>
        <scheme val="minor"/>
      </rPr>
      <t>ENGINE CONTROL SWITCH</t>
    </r>
    <r>
      <rPr>
        <sz val="14"/>
        <color theme="1"/>
        <rFont val="Calibri"/>
        <family val="2"/>
        <scheme val="minor"/>
      </rPr>
      <t xml:space="preserve"> section to initiate the cooldown cycle.</t>
    </r>
  </si>
  <si>
    <t>Notify the appropriate person(s) and agencies prior to testing.</t>
  </si>
  <si>
    <t>Notify Emergency 24; call system out for troubles only. Contact number: 1-800-827-3624</t>
  </si>
  <si>
    <t>Verify the G1 Breaker is open.</t>
  </si>
  <si>
    <t>Verify the U1 Breaker is closed.</t>
  </si>
  <si>
    <t>Verify the A1 Breaker is closed.</t>
  </si>
  <si>
    <t>Verify the B1 Breaker is closed.</t>
  </si>
  <si>
    <t>Verify the T1 Breaker is closed.</t>
  </si>
  <si>
    <t>UPS Systems</t>
  </si>
  <si>
    <t>Verify all UPS systems are on-line with no critical alarms present.</t>
  </si>
  <si>
    <t>Notate the kW reading at UPB Critical Bus Panel Meter: _________</t>
  </si>
  <si>
    <t>Notate the kW reading at the G1 Panel Meter: _________</t>
  </si>
  <si>
    <t>SW1 ROP</t>
  </si>
  <si>
    <t>Ensure the Automatic/Manual Selector Key Switch is in the Automatic position</t>
  </si>
  <si>
    <t>Ensure no faults are present.</t>
  </si>
  <si>
    <t>Touch the Login Button.</t>
  </si>
  <si>
    <t>You will be prompted for a USERNAME and PASSWORD.</t>
  </si>
  <si>
    <t>Touch the "Push to Prefer Generator" graphic button.</t>
  </si>
  <si>
    <t>Switchgear</t>
  </si>
  <si>
    <t>The following actions will take place:</t>
  </si>
  <si>
    <t>Generator will start noted by voltage present at power monitor above G1 breaker.</t>
  </si>
  <si>
    <t>Switchboard System will transfer automatically, possibly via active closed transition. If synchronization of sources is not achieved within timer, system will complete transfer via open transition.</t>
  </si>
  <si>
    <t xml:space="preserve">
</t>
  </si>
  <si>
    <t>Breaker G1 will close.</t>
  </si>
  <si>
    <t>Breaker U1 will open.</t>
  </si>
  <si>
    <t>Notate the kW reading at UPA Critical Bus Panel Meter: _________</t>
  </si>
  <si>
    <t>Verify the G1 Breaker is closed.</t>
  </si>
  <si>
    <t>Verify the U1 Breaker is open.</t>
  </si>
  <si>
    <t>Ensure no Faults are present.</t>
  </si>
  <si>
    <t xml:space="preserve">You will be prompted for a USERNAME and PASSWORD. </t>
  </si>
  <si>
    <t>Press lock/unlock button and then HOME button.</t>
  </si>
  <si>
    <t>Touch the "Push to Prefer Utility" graphic button.</t>
  </si>
  <si>
    <t>The following action will take place:</t>
  </si>
  <si>
    <t>Switchboard will initiate a 5-minute generator cool down sequence after which time the generator will shut down.</t>
  </si>
  <si>
    <t>Open the PLC1 front panel door.</t>
  </si>
  <si>
    <t>Turn the Generator Control Key switch from auto to run.</t>
  </si>
  <si>
    <t>Close the PLC1 front panel door.</t>
  </si>
  <si>
    <t>Confirm the generator has started, which can be verified at the power monitor meter for voltage and frequecy located next to the G1 breaker section and the generator available status will be displayed at the ROP graphic.</t>
  </si>
  <si>
    <t>Verify Breaker U1 is closed.</t>
  </si>
  <si>
    <t>Verify Breaker G1 is open.</t>
  </si>
  <si>
    <t>Open the PLC1 cover.</t>
  </si>
  <si>
    <t>Turn the Generator Control Key switch from run to auto.</t>
  </si>
  <si>
    <t>Confirm the generator has shut down, which can be verified at the power monitor meter for voltage and frequecy located next to the G1 breaker section and the generator available status will be displayed at the ROP graphic.</t>
  </si>
  <si>
    <t>Contact the engineer stationed on base and verify that all systems are operating normally.</t>
  </si>
  <si>
    <t>Enter the username and password.</t>
  </si>
  <si>
    <t>Utility Input Cabinet</t>
  </si>
  <si>
    <t>Disable Fire System and Generator</t>
  </si>
  <si>
    <t>Depress the local E-Stop at EMCP.</t>
  </si>
  <si>
    <t>Perform Generator Jacket Water Heater Hose Replacement</t>
  </si>
  <si>
    <t>Using the proper PPE Perform the following.</t>
  </si>
  <si>
    <t>IAD35 Gen Yard</t>
  </si>
  <si>
    <t>Open breaker labeled Jacket Heater</t>
  </si>
  <si>
    <t>Apply LOTO to breaker labeled Jacket Heater.</t>
  </si>
  <si>
    <t>Locate Generator Jacket Water Heater (left side of engine from generator end).</t>
  </si>
  <si>
    <r>
      <t>VERIFY</t>
    </r>
    <r>
      <rPr>
        <sz val="14"/>
        <color theme="1"/>
        <rFont val="Calibri"/>
        <family val="2"/>
        <scheme val="minor"/>
      </rPr>
      <t xml:space="preserve"> that Heater is off, with no voltage present. </t>
    </r>
  </si>
  <si>
    <t>Locate Jacket Water Heater shut off valves (front left of engine and right rear of engine from generator end)</t>
  </si>
  <si>
    <t xml:space="preserve">Turn both of the valves to the OFF position. </t>
  </si>
  <si>
    <t>At the jacket water heater, identify the lowest hose fitting, place drain container underneath and loosen fitting until coolant starts draining.</t>
  </si>
  <si>
    <t>Once coolant is fully drained from heater lines, loosen fitting at the other end of the hose, remove hose mounting clamps and remove hose.</t>
  </si>
  <si>
    <t>Verify new hose is the same length as removed hose.</t>
  </si>
  <si>
    <t xml:space="preserve">Replace jacket water heater hose with new part, install clamps and secure hose in place. </t>
  </si>
  <si>
    <t xml:space="preserve">At the hose fittings, start by hand until contact is achieved. Tighten fitting. </t>
  </si>
  <si>
    <t xml:space="preserve">Repeat procedure for remaining jacket water heater hose. </t>
  </si>
  <si>
    <t xml:space="preserve">Ensure both hoses are secure and fittings are tight, with all mounting clamps in place. </t>
  </si>
  <si>
    <t xml:space="preserve">Open jacket water heater hose valves. </t>
  </si>
  <si>
    <t xml:space="preserve">Verify no leaks are present at the fittings.  </t>
  </si>
  <si>
    <t xml:space="preserve">Verify generator coolant level on sight glass and ensure its within acceptable range. </t>
  </si>
  <si>
    <t xml:space="preserve">If coolant level needs adjustment, remove radiator cap and top off as necessary. </t>
  </si>
  <si>
    <t xml:space="preserve">Clean any coolant that may have spilled during the repair. </t>
  </si>
  <si>
    <t>Close breaker labeled Jacket Heater.</t>
  </si>
  <si>
    <t>Remove LOTO from breaker labeled Jacket Heater.</t>
  </si>
  <si>
    <t>Verify jacket heater is on and engine block temperature is within the range. (&gt;90F)</t>
  </si>
  <si>
    <t xml:space="preserve">Remove all tools and parts from enclosure. </t>
  </si>
  <si>
    <t>Perform Starting Test</t>
  </si>
  <si>
    <t>Pull out on the E-STOP physical pushbutton to release it from the depressed position.</t>
  </si>
  <si>
    <t>Press "Fault Acknowledge/Reset" on the EMCP.</t>
  </si>
  <si>
    <t>Press the AUTO pushbutton at the generator electronic modular control panel (ECMP).</t>
  </si>
  <si>
    <t>The generator is now available.</t>
  </si>
  <si>
    <t>Record generator pre-conditions in the attached recording table.</t>
  </si>
  <si>
    <t>Press the On pushbutton at the generator electronic modular control panel (ECMP).</t>
  </si>
  <si>
    <t>Check for any leaks or abnormal conditions on generator startup and operation at rated speed.</t>
  </si>
  <si>
    <t>Run the generator at 1800 RPM with no load for 15 minutes.</t>
  </si>
  <si>
    <t>Shut down the generator as follows:</t>
  </si>
  <si>
    <t>Press the OFF pushbutton at the generator electronic modular control panel (ECMP).</t>
  </si>
  <si>
    <t>Verify generator shuts down.</t>
  </si>
  <si>
    <t>Record generator post-conditions in the attached recording table.</t>
  </si>
  <si>
    <t>Verify the outside generator breaker is in the normal position.</t>
  </si>
  <si>
    <t>Perform a walk-around of the generator and verify all equipment is removed, components are all in their normal positions, and the work area is cleaned up.</t>
  </si>
  <si>
    <t>Fill out and send vendor report to necessary contacts. Vendor Report to include a summary of maintenance activity, discrepancies corrected, and remaining discrepancies that need to be corrected or upgraded.</t>
  </si>
  <si>
    <t>Notify Engineering of completion of APM.</t>
  </si>
  <si>
    <t>Contact the engineer stationed on base and inform them that generator repair is complete.</t>
  </si>
  <si>
    <t>Verify with the engineer stationed on base that no alarms are active in relation to this procedure.</t>
  </si>
  <si>
    <r>
      <t xml:space="preserve">Press </t>
    </r>
    <r>
      <rPr>
        <b/>
        <sz val="14"/>
        <color theme="1"/>
        <rFont val="Calibri"/>
        <family val="2"/>
        <scheme val="minor"/>
      </rPr>
      <t>"STOP"</t>
    </r>
    <r>
      <rPr>
        <sz val="14"/>
        <color theme="1"/>
        <rFont val="Calibri"/>
        <family val="2"/>
        <scheme val="minor"/>
      </rPr>
      <t xml:space="preserve"> on the EMCP.</t>
    </r>
  </si>
  <si>
    <r>
      <t xml:space="preserve">Press </t>
    </r>
    <r>
      <rPr>
        <b/>
        <sz val="14"/>
        <color theme="1"/>
        <rFont val="Calibri"/>
        <family val="2"/>
        <scheme val="minor"/>
      </rPr>
      <t>"ACK"</t>
    </r>
    <r>
      <rPr>
        <sz val="14"/>
        <color theme="1"/>
        <rFont val="Calibri"/>
        <family val="2"/>
        <scheme val="minor"/>
      </rPr>
      <t xml:space="preserve"> to acknowledge and silence the alarm.</t>
    </r>
  </si>
  <si>
    <r>
      <t xml:space="preserve">Press the </t>
    </r>
    <r>
      <rPr>
        <b/>
        <sz val="14"/>
        <color theme="1"/>
        <rFont val="Calibri"/>
        <family val="2"/>
        <scheme val="minor"/>
      </rPr>
      <t>E-STOP</t>
    </r>
    <r>
      <rPr>
        <sz val="14"/>
        <color theme="1"/>
        <rFont val="Calibri"/>
        <family val="2"/>
        <scheme val="minor"/>
      </rPr>
      <t xml:space="preserve"> physical pushbutton.</t>
    </r>
  </si>
  <si>
    <r>
      <t xml:space="preserve">While facing the starter motor control box, locate and turn </t>
    </r>
    <r>
      <rPr>
        <b/>
        <sz val="14"/>
        <color theme="1"/>
        <rFont val="Calibri"/>
        <family val="2"/>
        <scheme val="minor"/>
      </rPr>
      <t>OFF</t>
    </r>
    <r>
      <rPr>
        <sz val="14"/>
        <color theme="1"/>
        <rFont val="Calibri"/>
        <family val="2"/>
        <scheme val="minor"/>
      </rPr>
      <t xml:space="preserve"> the switch labeled </t>
    </r>
    <r>
      <rPr>
        <b/>
        <sz val="14"/>
        <color theme="1"/>
        <rFont val="Calibri"/>
        <family val="2"/>
        <scheme val="minor"/>
      </rPr>
      <t>"STARTER"</t>
    </r>
    <r>
      <rPr>
        <sz val="14"/>
        <color theme="1"/>
        <rFont val="Calibri"/>
        <family val="2"/>
        <scheme val="minor"/>
      </rPr>
      <t xml:space="preserve">. If no switch is labeled, turn </t>
    </r>
    <r>
      <rPr>
        <b/>
        <sz val="14"/>
        <color theme="1"/>
        <rFont val="Calibri"/>
        <family val="2"/>
        <scheme val="minor"/>
      </rPr>
      <t>OFF</t>
    </r>
    <r>
      <rPr>
        <sz val="14"/>
        <color theme="1"/>
        <rFont val="Calibri"/>
        <family val="2"/>
        <scheme val="minor"/>
      </rPr>
      <t xml:space="preserve"> the right-most toggle switch.</t>
    </r>
  </si>
  <si>
    <t>Hide for House Gens</t>
  </si>
  <si>
    <r>
      <t xml:space="preserve">Press </t>
    </r>
    <r>
      <rPr>
        <b/>
        <sz val="14"/>
        <color theme="1"/>
        <rFont val="Calibri"/>
        <family val="2"/>
        <scheme val="minor"/>
      </rPr>
      <t>"Stop"</t>
    </r>
    <r>
      <rPr>
        <sz val="14"/>
        <color theme="1"/>
        <rFont val="Calibri"/>
        <family val="2"/>
        <scheme val="minor"/>
      </rPr>
      <t xml:space="preserve"> on the EMCP.</t>
    </r>
  </si>
  <si>
    <t>Cummins PC3</t>
  </si>
  <si>
    <r>
      <t xml:space="preserve">Press </t>
    </r>
    <r>
      <rPr>
        <b/>
        <sz val="14"/>
        <color theme="1"/>
        <rFont val="Calibri"/>
        <family val="2"/>
        <scheme val="minor"/>
      </rPr>
      <t>"Push to Silence Horn"</t>
    </r>
    <r>
      <rPr>
        <sz val="14"/>
        <color theme="1"/>
        <rFont val="Calibri"/>
        <family val="2"/>
        <scheme val="minor"/>
      </rPr>
      <t xml:space="preserve"> on the Alarm Module mounted in the bottom left corner of the control panel.</t>
    </r>
  </si>
  <si>
    <r>
      <t xml:space="preserve">Place the "Auto/Manual/O" selector switch in the </t>
    </r>
    <r>
      <rPr>
        <b/>
        <sz val="14"/>
        <color theme="1"/>
        <rFont val="Calibri"/>
        <family val="2"/>
        <scheme val="minor"/>
      </rPr>
      <t>"O"</t>
    </r>
    <r>
      <rPr>
        <sz val="14"/>
        <color theme="1"/>
        <rFont val="Calibri"/>
        <family val="2"/>
        <scheme val="minor"/>
      </rPr>
      <t xml:space="preserve"> position.</t>
    </r>
  </si>
  <si>
    <t>Cummins PC1</t>
  </si>
  <si>
    <r>
      <t xml:space="preserve">Move the </t>
    </r>
    <r>
      <rPr>
        <b/>
        <sz val="14"/>
        <color theme="1"/>
        <rFont val="Calibri"/>
        <family val="2"/>
        <scheme val="minor"/>
      </rPr>
      <t>"HORN"</t>
    </r>
    <r>
      <rPr>
        <sz val="14"/>
        <color theme="1"/>
        <rFont val="Calibri"/>
        <family val="2"/>
        <scheme val="minor"/>
      </rPr>
      <t xml:space="preserve"> toggle switch to the </t>
    </r>
    <r>
      <rPr>
        <b/>
        <sz val="14"/>
        <color theme="1"/>
        <rFont val="Calibri"/>
        <family val="2"/>
        <scheme val="minor"/>
      </rPr>
      <t xml:space="preserve">"SILENCED" </t>
    </r>
    <r>
      <rPr>
        <sz val="14"/>
        <color theme="1"/>
        <rFont val="Calibri"/>
        <family val="2"/>
        <scheme val="minor"/>
      </rPr>
      <t>position.</t>
    </r>
  </si>
  <si>
    <t>Semi Annual PM Checklist</t>
  </si>
  <si>
    <t>SAPM</t>
  </si>
  <si>
    <t>Annual PM Checklist</t>
  </si>
  <si>
    <t>APM</t>
  </si>
  <si>
    <t>Record generator pre-conditions in the attached table.</t>
  </si>
  <si>
    <t>APM&amp;SAPM</t>
  </si>
  <si>
    <t>Visually Check Control Panel for Alarms</t>
  </si>
  <si>
    <t>Visually Check Remote  annunciator panel, (if applicable), to ensure the panel status reflects current status of engine.</t>
  </si>
  <si>
    <t xml:space="preserve">Visually inspect the cooling system hoses for cracks and for loose clamps. </t>
  </si>
  <si>
    <t>Ensure that all protective guards, shrouds and covers are secured in place on the engine.</t>
  </si>
  <si>
    <t>Visually inspect the radiator, expansion tank and heat exchangers for these items: damaged fins, corrosion, dirt, grease, insects, leaves, oil, discoloration, and other debris.</t>
  </si>
  <si>
    <t>Inspect Starter Connections for visible signs of corrosion.</t>
  </si>
  <si>
    <t>Inspect Enclosure (overall cleanliness)</t>
  </si>
  <si>
    <t>Inspect all lines and hoses for wear or for deterioration, ensure connections are not showing signs of leaking.</t>
  </si>
  <si>
    <t>Visual inspection for dirty filters, leaking seals or piping, corrosion at connection points, etc…</t>
  </si>
  <si>
    <t>Inspect Fuel/Water Separator (Drain Water, if capable)</t>
  </si>
  <si>
    <t>Using the inspection ports, visually inspect drive belts for cracks, breaks, dry rotting and other damage.</t>
  </si>
  <si>
    <t>Verify battery charger current is 0 Amps +/- 1 Amp.</t>
  </si>
  <si>
    <t>Verify the battery float voltage is between 24.5 and 27 VDC.</t>
  </si>
  <si>
    <t>Verify that there are no alarms on the charger or control panel, in regards to charging.</t>
  </si>
  <si>
    <t>Record date on Oil Filters, if accessible:</t>
  </si>
  <si>
    <t>Record date on Fuel Filters, if accessible:</t>
  </si>
  <si>
    <t>Check Fuel level via sight port or guage; checking for signs of leaking, corrosion or discoloration.</t>
  </si>
  <si>
    <t>Inspect &amp; Clean Battery Terminals (apply corrosion inhibitor)</t>
  </si>
  <si>
    <t>Inspect Exhaust Rain Protection &amp; Exhaust Outlet Screening.</t>
  </si>
  <si>
    <t>Inspect Generator Set Vibration Isolators for visual signs of deterioration.</t>
  </si>
  <si>
    <t>Check the operation of crank case pressure breather assembly, clean and correct any deficiencies:</t>
  </si>
  <si>
    <t xml:space="preserve">Check all generator electrical connections for signs of corrosion, tracking, and excessive heat. </t>
  </si>
  <si>
    <t xml:space="preserve">Lubricate fan drive. </t>
  </si>
  <si>
    <t xml:space="preserve">Remove and replace primary and secondary fuel filters/water separators. </t>
  </si>
  <si>
    <t xml:space="preserve">Clean radiator as necessary of dirt and debris. </t>
  </si>
  <si>
    <t xml:space="preserve">Check generator strip heaters for proper operation. </t>
  </si>
  <si>
    <t xml:space="preserve">Change water filter where applicable. </t>
  </si>
  <si>
    <t>Replace oil and oil filters every three (3) years or 250 hours run time or as indicated by oil analysis.</t>
  </si>
  <si>
    <t>Starting oil pump meter reading:</t>
  </si>
  <si>
    <t>Ending oil pump meter reading:</t>
  </si>
  <si>
    <t>Oil used: ________ gal</t>
  </si>
  <si>
    <t xml:space="preserve">Vendor is responsible for the legal disposal of used lubricating oil. </t>
  </si>
  <si>
    <t xml:space="preserve">Lube all lubricating points. </t>
  </si>
  <si>
    <t>Perform battery load test in accordance with the MSA.</t>
  </si>
  <si>
    <t>Clean batteries.</t>
  </si>
  <si>
    <t>Perform a walk-around of the generator and verify all tools are removed, components are all in their normal positions, and the work area is cleaned up.</t>
  </si>
  <si>
    <t>Verify all fuel valves are in the correct position.</t>
  </si>
  <si>
    <r>
      <t xml:space="preserve">While facing the starter motor control box, locate and turn </t>
    </r>
    <r>
      <rPr>
        <b/>
        <sz val="14"/>
        <color theme="1"/>
        <rFont val="Calibri"/>
        <family val="2"/>
        <scheme val="minor"/>
      </rPr>
      <t>ON</t>
    </r>
    <r>
      <rPr>
        <sz val="14"/>
        <color theme="1"/>
        <rFont val="Calibri"/>
        <family val="2"/>
        <scheme val="minor"/>
      </rPr>
      <t xml:space="preserve"> the switch labeled </t>
    </r>
    <r>
      <rPr>
        <b/>
        <sz val="14"/>
        <color theme="1"/>
        <rFont val="Calibri"/>
        <family val="2"/>
        <scheme val="minor"/>
      </rPr>
      <t>"STARTER"</t>
    </r>
    <r>
      <rPr>
        <sz val="14"/>
        <color theme="1"/>
        <rFont val="Calibri"/>
        <family val="2"/>
        <scheme val="minor"/>
      </rPr>
      <t xml:space="preserve">. If no switch is labeled, turn </t>
    </r>
    <r>
      <rPr>
        <b/>
        <sz val="14"/>
        <color theme="1"/>
        <rFont val="Calibri"/>
        <family val="2"/>
        <scheme val="minor"/>
      </rPr>
      <t>ON</t>
    </r>
    <r>
      <rPr>
        <sz val="14"/>
        <color theme="1"/>
        <rFont val="Calibri"/>
        <family val="2"/>
        <scheme val="minor"/>
      </rPr>
      <t xml:space="preserve"> the right-most toggle switch. This action will restore the connection to the starter motor, allowing the unit to start.</t>
    </r>
  </si>
  <si>
    <r>
      <rPr>
        <b/>
        <sz val="14"/>
        <color theme="1"/>
        <rFont val="Calibri"/>
        <family val="2"/>
        <scheme val="minor"/>
      </rPr>
      <t>Rotate</t>
    </r>
    <r>
      <rPr>
        <sz val="14"/>
        <color theme="1"/>
        <rFont val="Calibri"/>
        <family val="2"/>
        <scheme val="minor"/>
      </rPr>
      <t xml:space="preserve"> the </t>
    </r>
    <r>
      <rPr>
        <b/>
        <sz val="14"/>
        <color theme="1"/>
        <rFont val="Calibri"/>
        <family val="2"/>
        <scheme val="minor"/>
      </rPr>
      <t>E-STOP</t>
    </r>
    <r>
      <rPr>
        <sz val="14"/>
        <color theme="1"/>
        <rFont val="Calibri"/>
        <family val="2"/>
        <scheme val="minor"/>
      </rPr>
      <t xml:space="preserve"> physical pushbutton to release it from the depressed position.</t>
    </r>
  </si>
  <si>
    <r>
      <t xml:space="preserve">Press </t>
    </r>
    <r>
      <rPr>
        <b/>
        <sz val="14"/>
        <color theme="1"/>
        <rFont val="Calibri"/>
        <family val="2"/>
        <scheme val="minor"/>
      </rPr>
      <t>"RESET"</t>
    </r>
    <r>
      <rPr>
        <sz val="14"/>
        <color theme="1"/>
        <rFont val="Calibri"/>
        <family val="2"/>
        <scheme val="minor"/>
      </rPr>
      <t xml:space="preserve"> on the EMCP.</t>
    </r>
  </si>
  <si>
    <r>
      <t xml:space="preserve">Press </t>
    </r>
    <r>
      <rPr>
        <b/>
        <sz val="14"/>
        <color theme="1"/>
        <rFont val="Calibri"/>
        <family val="2"/>
        <scheme val="minor"/>
      </rPr>
      <t>"OK"</t>
    </r>
    <r>
      <rPr>
        <sz val="14"/>
        <color theme="1"/>
        <rFont val="Calibri"/>
        <family val="2"/>
        <scheme val="minor"/>
      </rPr>
      <t xml:space="preserve"> on the EMCP to reset the E-STOP event.</t>
    </r>
  </si>
  <si>
    <r>
      <t xml:space="preserve">Press </t>
    </r>
    <r>
      <rPr>
        <b/>
        <sz val="14"/>
        <color theme="1"/>
        <rFont val="Calibri"/>
        <family val="2"/>
        <scheme val="minor"/>
      </rPr>
      <t>"AUTO"</t>
    </r>
    <r>
      <rPr>
        <sz val="14"/>
        <color theme="1"/>
        <rFont val="Calibri"/>
        <family val="2"/>
        <scheme val="minor"/>
      </rPr>
      <t xml:space="preserve"> on the EMCP.</t>
    </r>
  </si>
  <si>
    <r>
      <rPr>
        <b/>
        <sz val="14"/>
        <color theme="1"/>
        <rFont val="Calibri"/>
        <family val="2"/>
        <scheme val="minor"/>
      </rPr>
      <t xml:space="preserve">Pull out </t>
    </r>
    <r>
      <rPr>
        <sz val="14"/>
        <color theme="1"/>
        <rFont val="Calibri"/>
        <family val="2"/>
        <scheme val="minor"/>
      </rPr>
      <t xml:space="preserve">on the </t>
    </r>
    <r>
      <rPr>
        <b/>
        <sz val="14"/>
        <color theme="1"/>
        <rFont val="Calibri"/>
        <family val="2"/>
        <scheme val="minor"/>
      </rPr>
      <t>E-STOP</t>
    </r>
    <r>
      <rPr>
        <sz val="14"/>
        <color theme="1"/>
        <rFont val="Calibri"/>
        <family val="2"/>
        <scheme val="minor"/>
      </rPr>
      <t xml:space="preserve"> physical pushbutton to release it from the depressed position.</t>
    </r>
  </si>
  <si>
    <r>
      <t xml:space="preserve">Press </t>
    </r>
    <r>
      <rPr>
        <b/>
        <sz val="14"/>
        <color theme="1"/>
        <rFont val="Calibri"/>
        <family val="2"/>
        <scheme val="minor"/>
      </rPr>
      <t>"Reset"</t>
    </r>
    <r>
      <rPr>
        <sz val="14"/>
        <color theme="1"/>
        <rFont val="Calibri"/>
        <family val="2"/>
        <scheme val="minor"/>
      </rPr>
      <t xml:space="preserve"> on the EMCP to clear the E-STOP event.</t>
    </r>
  </si>
  <si>
    <r>
      <t xml:space="preserve">Press </t>
    </r>
    <r>
      <rPr>
        <b/>
        <sz val="14"/>
        <color theme="1"/>
        <rFont val="Calibri"/>
        <family val="2"/>
        <scheme val="minor"/>
      </rPr>
      <t>"Auto"</t>
    </r>
    <r>
      <rPr>
        <sz val="14"/>
        <color theme="1"/>
        <rFont val="Calibri"/>
        <family val="2"/>
        <scheme val="minor"/>
      </rPr>
      <t xml:space="preserve"> on the EMCP.</t>
    </r>
  </si>
  <si>
    <r>
      <t xml:space="preserve">Press </t>
    </r>
    <r>
      <rPr>
        <b/>
        <sz val="14"/>
        <color theme="1"/>
        <rFont val="Calibri"/>
        <family val="2"/>
        <scheme val="minor"/>
      </rPr>
      <t>"Fault Acknowledge/Reset"</t>
    </r>
    <r>
      <rPr>
        <sz val="14"/>
        <color theme="1"/>
        <rFont val="Calibri"/>
        <family val="2"/>
        <scheme val="minor"/>
      </rPr>
      <t xml:space="preserve"> on the EMCP.</t>
    </r>
  </si>
  <si>
    <r>
      <t xml:space="preserve">Move the </t>
    </r>
    <r>
      <rPr>
        <b/>
        <sz val="14"/>
        <color theme="1"/>
        <rFont val="Calibri"/>
        <family val="2"/>
        <scheme val="minor"/>
      </rPr>
      <t>"HORN"</t>
    </r>
    <r>
      <rPr>
        <sz val="14"/>
        <color theme="1"/>
        <rFont val="Calibri"/>
        <family val="2"/>
        <scheme val="minor"/>
      </rPr>
      <t xml:space="preserve"> toggle switch to the </t>
    </r>
    <r>
      <rPr>
        <b/>
        <sz val="14"/>
        <color theme="1"/>
        <rFont val="Calibri"/>
        <family val="2"/>
        <scheme val="minor"/>
      </rPr>
      <t xml:space="preserve">"ENABLED" </t>
    </r>
    <r>
      <rPr>
        <sz val="14"/>
        <color theme="1"/>
        <rFont val="Calibri"/>
        <family val="2"/>
        <scheme val="minor"/>
      </rPr>
      <t>position.</t>
    </r>
  </si>
  <si>
    <r>
      <t xml:space="preserve">Press </t>
    </r>
    <r>
      <rPr>
        <b/>
        <sz val="14"/>
        <color theme="1"/>
        <rFont val="Calibri"/>
        <family val="2"/>
        <scheme val="minor"/>
      </rPr>
      <t>"RUN"</t>
    </r>
    <r>
      <rPr>
        <sz val="14"/>
        <color theme="1"/>
        <rFont val="Calibri"/>
        <family val="2"/>
        <scheme val="minor"/>
      </rPr>
      <t xml:space="preserve"> on the EMCP.</t>
    </r>
  </si>
  <si>
    <r>
      <t xml:space="preserve">Press </t>
    </r>
    <r>
      <rPr>
        <b/>
        <sz val="14"/>
        <color theme="1"/>
        <rFont val="Calibri"/>
        <family val="2"/>
        <scheme val="minor"/>
      </rPr>
      <t>"Manual"</t>
    </r>
    <r>
      <rPr>
        <sz val="14"/>
        <color theme="1"/>
        <rFont val="Calibri"/>
        <family val="2"/>
        <scheme val="minor"/>
      </rPr>
      <t xml:space="preserve"> on the EMCP.</t>
    </r>
  </si>
  <si>
    <r>
      <t xml:space="preserve">Press </t>
    </r>
    <r>
      <rPr>
        <b/>
        <sz val="14"/>
        <color theme="1"/>
        <rFont val="Calibri"/>
        <family val="2"/>
        <scheme val="minor"/>
      </rPr>
      <t>"Start"</t>
    </r>
    <r>
      <rPr>
        <sz val="14"/>
        <color theme="1"/>
        <rFont val="Calibri"/>
        <family val="2"/>
        <scheme val="minor"/>
      </rPr>
      <t xml:space="preserve"> on the EMCP.</t>
    </r>
  </si>
  <si>
    <t>Check for excessive smoke during startup.</t>
  </si>
  <si>
    <t>Check for abnormal noise and vibration during generator startup and operation at rated speed.</t>
  </si>
  <si>
    <t>Verify generator enclosure air inlet louvers operate normally.</t>
  </si>
  <si>
    <t>When the generator reaches rated speed, record operating conditions in the attached recording table.</t>
  </si>
  <si>
    <t>Check all safety shut downs/alarm operations (may require multiple starts).</t>
  </si>
  <si>
    <t>Check operation of both starting systems on systems with best battery selector.</t>
  </si>
  <si>
    <r>
      <t>NOTIFY</t>
    </r>
    <r>
      <rPr>
        <sz val="14"/>
        <color theme="1"/>
        <rFont val="Arial"/>
        <family val="2"/>
      </rPr>
      <t xml:space="preserve"> the appropriate person(s) and agencies prior to testing.</t>
    </r>
  </si>
  <si>
    <t>Perform Semi-Annual Preventative Maintenance</t>
  </si>
  <si>
    <r>
      <t xml:space="preserve">VERIFY </t>
    </r>
    <r>
      <rPr>
        <sz val="14"/>
        <color theme="1"/>
        <rFont val="Arial"/>
        <family val="2"/>
      </rPr>
      <t xml:space="preserve">space humidity is normal and redundant unit is operating with no alarms prior to beginning maintenance on affected unit. </t>
    </r>
  </si>
  <si>
    <t>De-energize unit:</t>
  </si>
  <si>
    <r>
      <rPr>
        <b/>
        <sz val="14"/>
        <color rgb="FF000000"/>
        <rFont val="Calibri"/>
        <family val="2"/>
        <scheme val="minor"/>
      </rPr>
      <t>STOP</t>
    </r>
    <r>
      <rPr>
        <sz val="14"/>
        <color rgb="FF000000"/>
        <rFont val="Calibri"/>
        <family val="2"/>
        <scheme val="minor"/>
      </rPr>
      <t xml:space="preserve"> Unit by ON/OFF Button at display.</t>
    </r>
  </si>
  <si>
    <r>
      <t xml:space="preserve">Remove input power from humidifier: Be aware these machines may contain </t>
    </r>
    <r>
      <rPr>
        <b/>
        <sz val="14"/>
        <color rgb="FF000000"/>
        <rFont val="Calibri"/>
        <family val="2"/>
        <scheme val="minor"/>
      </rPr>
      <t>MULTIPLE SOURCES</t>
    </r>
    <r>
      <rPr>
        <sz val="14"/>
        <color rgb="FF000000"/>
        <rFont val="Calibri"/>
        <family val="2"/>
        <scheme val="minor"/>
      </rPr>
      <t xml:space="preserve"> of power.</t>
    </r>
  </si>
  <si>
    <r>
      <t xml:space="preserve">Using proper PPE, methods, and equipment, </t>
    </r>
    <r>
      <rPr>
        <b/>
        <sz val="14"/>
        <color rgb="FF000000"/>
        <rFont val="Calibri"/>
        <family val="2"/>
        <scheme val="minor"/>
      </rPr>
      <t>VERIFY</t>
    </r>
    <r>
      <rPr>
        <sz val="14"/>
        <color rgb="FF000000"/>
        <rFont val="Calibri"/>
        <family val="2"/>
        <scheme val="minor"/>
      </rPr>
      <t xml:space="preserve"> control of hazardous energy. Apply proper Lockout/Tag out procedures.</t>
    </r>
    <r>
      <rPr>
        <b/>
        <sz val="14"/>
        <color rgb="FF000000"/>
        <rFont val="Calibri"/>
        <family val="2"/>
        <scheme val="minor"/>
      </rPr>
      <t xml:space="preserve"> </t>
    </r>
  </si>
  <si>
    <t>Inspect Electrical Section</t>
  </si>
  <si>
    <t>Remove access panels for electrical sections.</t>
  </si>
  <si>
    <t>Check fuses for proper voltage and amperage rating; verify continuity.</t>
  </si>
  <si>
    <t>Check all contactor faces for pitting and excessive wear, replace if necessary.</t>
  </si>
  <si>
    <t xml:space="preserve">Check/Tighten wire connections. </t>
  </si>
  <si>
    <t>Inspect Low Voltage/Control Section</t>
  </si>
  <si>
    <t>Check all low voltage and circuit board connections, tighten if necessary. DO NOT OVERTIGHTEN.</t>
  </si>
  <si>
    <t xml:space="preserve">Inspect communications card and connections. </t>
  </si>
  <si>
    <t>Electrode Canister Steam Humidifiers</t>
  </si>
  <si>
    <t>Perform this section for electrode canister steam humidifers only.</t>
  </si>
  <si>
    <t>Inspect canister/steam chamber for scale buildup. Replace/clean as needed.</t>
  </si>
  <si>
    <t>Inspect and clean drain valve.</t>
  </si>
  <si>
    <t>Inspect and clean fill valve and strainer.</t>
  </si>
  <si>
    <t>Inspect and clean fill cups and hoses.</t>
  </si>
  <si>
    <t>Inspect all steam hoses, drain, and water piping, and ensure all clamps are tight.</t>
  </si>
  <si>
    <t>Wipe cabinet clean.</t>
  </si>
  <si>
    <t>Ensure all electrical and plumbing connections are tight.</t>
  </si>
  <si>
    <t>Evaporative Humidifiers</t>
  </si>
  <si>
    <t>Perform this section for evaporative humidifers only.</t>
  </si>
  <si>
    <t>Remove and clean pre-filter if needed.</t>
  </si>
  <si>
    <t>Inspect water panel, replace annually or as needed.</t>
  </si>
  <si>
    <t>Inspect distribution tube. Remove and clean water deposits from distribution tube.</t>
  </si>
  <si>
    <t>Clean entire interior of humidifier and sump tank.</t>
  </si>
  <si>
    <t>Clean water level switch and ensure arm moves freely.</t>
  </si>
  <si>
    <t>Ensure fan assembly mounts are secure and blade spins freely.</t>
  </si>
  <si>
    <t>Perform Operational Testing</t>
  </si>
  <si>
    <t>Remove all tools and debris.</t>
  </si>
  <si>
    <t>Replace any removed panels.</t>
  </si>
  <si>
    <t>Ensure all personnel are clear of unit, remove any applied LOTO, and restore power.</t>
  </si>
  <si>
    <t>Start Unit by ON/OFF Button at display.</t>
  </si>
  <si>
    <t xml:space="preserve">Adjust humidifier set point so humidifier operates at 100%.  </t>
  </si>
  <si>
    <t>Operate the humidifier and test for proper operation. Record steam canister amps in Recording Table #1. Verify proper operation as per manufacturers recommendations.</t>
  </si>
  <si>
    <t>Perform drain test and ensure proper drainage. Correct if necessary.</t>
  </si>
  <si>
    <t>Repair, replace, or document any discrepancies found during this procedure.</t>
  </si>
  <si>
    <t>After all inspections have been performed, restore set points.</t>
  </si>
  <si>
    <t>At BMS, ensure unit is online and communicating properly.</t>
  </si>
  <si>
    <t>Return unit to Normal, Automatic Operation.</t>
  </si>
  <si>
    <t>Restoration</t>
  </si>
  <si>
    <t>Upon successful functionality testing, leave units in service, in automatic condition.</t>
  </si>
  <si>
    <t>Place controls back to Auto/Normal state for online operational condition as required.</t>
  </si>
  <si>
    <r>
      <t>VERIFY</t>
    </r>
    <r>
      <rPr>
        <sz val="14"/>
        <color theme="1"/>
        <rFont val="Calibri"/>
        <family val="2"/>
      </rPr>
      <t xml:space="preserve"> all panels are replaced and access doors are closed.</t>
    </r>
  </si>
  <si>
    <r>
      <t>VERIFY</t>
    </r>
    <r>
      <rPr>
        <sz val="14"/>
        <color theme="1"/>
        <rFont val="Calibri"/>
        <family val="2"/>
      </rPr>
      <t xml:space="preserve"> all system parameters and set points and ensure unit is operating properly.</t>
    </r>
  </si>
  <si>
    <r>
      <t>NOTIFY</t>
    </r>
    <r>
      <rPr>
        <sz val="14"/>
        <rFont val="Arial"/>
        <family val="2"/>
      </rPr>
      <t xml:space="preserve"> the appropriate person(s) and agencies prior to testing.</t>
    </r>
  </si>
  <si>
    <r>
      <t>NOTIFY</t>
    </r>
    <r>
      <rPr>
        <sz val="14"/>
        <rFont val="Arial"/>
        <family val="2"/>
      </rPr>
      <t xml:space="preserve"> Emergency 24; call system out for TROUBLES ONLY. Contact number: 1-800-827-3624</t>
    </r>
  </si>
  <si>
    <r>
      <t>PRESS</t>
    </r>
    <r>
      <rPr>
        <sz val="14"/>
        <rFont val="Arial"/>
        <family val="2"/>
      </rPr>
      <t xml:space="preserve"> the button marked </t>
    </r>
    <r>
      <rPr>
        <b/>
        <sz val="14"/>
        <rFont val="Arial"/>
        <family val="2"/>
      </rPr>
      <t xml:space="preserve">‘SUITE HVAC’ </t>
    </r>
    <r>
      <rPr>
        <sz val="14"/>
        <rFont val="Arial"/>
        <family val="2"/>
      </rPr>
      <t xml:space="preserve">until the </t>
    </r>
    <r>
      <rPr>
        <b/>
        <i/>
        <sz val="14"/>
        <rFont val="Arial"/>
        <family val="2"/>
      </rPr>
      <t>BYPASS</t>
    </r>
    <r>
      <rPr>
        <sz val="14"/>
        <rFont val="Arial"/>
        <family val="2"/>
      </rPr>
      <t xml:space="preserve"> indicator</t>
    </r>
    <r>
      <rPr>
        <b/>
        <sz val="14"/>
        <rFont val="Arial"/>
        <family val="2"/>
      </rPr>
      <t xml:space="preserve"> ILLUMINATES AMBER.</t>
    </r>
  </si>
  <si>
    <r>
      <t>PRESS</t>
    </r>
    <r>
      <rPr>
        <sz val="14"/>
        <rFont val="Arial"/>
        <family val="2"/>
      </rPr>
      <t xml:space="preserve"> the button marked </t>
    </r>
    <r>
      <rPr>
        <b/>
        <sz val="14"/>
        <rFont val="Arial"/>
        <family val="2"/>
      </rPr>
      <t xml:space="preserve">‘UNDERFLOOR SLC’ </t>
    </r>
    <r>
      <rPr>
        <sz val="14"/>
        <rFont val="Arial"/>
        <family val="2"/>
      </rPr>
      <t xml:space="preserve">until the </t>
    </r>
    <r>
      <rPr>
        <b/>
        <i/>
        <sz val="14"/>
        <rFont val="Arial"/>
        <family val="2"/>
      </rPr>
      <t>BYPASS</t>
    </r>
    <r>
      <rPr>
        <sz val="14"/>
        <rFont val="Arial"/>
        <family val="2"/>
      </rPr>
      <t xml:space="preserve"> indicator</t>
    </r>
    <r>
      <rPr>
        <b/>
        <sz val="14"/>
        <rFont val="Arial"/>
        <family val="2"/>
      </rPr>
      <t xml:space="preserve"> ILLUMINATES AMBER.</t>
    </r>
  </si>
  <si>
    <t>DSE CRAC</t>
  </si>
  <si>
    <t xml:space="preserve">Using the BMS verify there are no abnormal conditions within the CRAC Systems. Record the following below:
Number of CRACs on: ________
Avg. UF Temps: _______ 
Avg. UF RH%: _______
Power Source Configuration (circle one): 1/2 or 2/1 </t>
  </si>
  <si>
    <t>*Caution*: Units are networked. It is possible to shut down all units in the suite while attempting to turn off one unit at the on/off button. Ensure the display reads “Unit” and NOT “System” before pressing the on/off button. Should this happen, simply turn the system back on by pressing the on/off button.</t>
  </si>
  <si>
    <t>STOP Unit by ON/OFF Button at display.</t>
  </si>
  <si>
    <t>De-energize unit: Be aware these machines may contain multiple sources of power.</t>
  </si>
  <si>
    <t>Using proper PPE, methods, and equipment, VERIFY control of hazardous energy. Apply proper Lockout/Tag out procedures.</t>
  </si>
  <si>
    <t>Inspect Electrical High Voltage Section</t>
  </si>
  <si>
    <t>Check/Tighten wire connections.</t>
  </si>
  <si>
    <t>Inspect Low Voltage Section</t>
  </si>
  <si>
    <t>Inspect communications card and connections.</t>
  </si>
  <si>
    <t>Inspect EEV components and connections</t>
  </si>
  <si>
    <t>Inspect Filter Section</t>
  </si>
  <si>
    <t>Inspect filters for cleanliness; replace as necessary.</t>
  </si>
  <si>
    <t>RECORD Filter Sizes in Recording Table #1.</t>
  </si>
  <si>
    <t>Ensure grill area is unrestricted.</t>
  </si>
  <si>
    <t>Wipe section clean.</t>
  </si>
  <si>
    <t>Inspect evaporator coil for cleanliness; remove any debris as necessary.</t>
  </si>
  <si>
    <t>If equipped, replace Pre-Filter Media as needed.</t>
  </si>
  <si>
    <t>Inspect Blower Section</t>
  </si>
  <si>
    <t>Ensure Fan Impeller free of debris.</t>
  </si>
  <si>
    <t>Ensure EC Plug Fan mounts are secure.</t>
  </si>
  <si>
    <t>Inspect wiring, repair any deficiencies.</t>
  </si>
  <si>
    <t>Inspect Compressor Section</t>
  </si>
  <si>
    <t>Check oil levels on compressor site glasses.</t>
  </si>
  <si>
    <t>Check for any sign of oil leaks around refrigeration piping.</t>
  </si>
  <si>
    <t>Inspect compressor mounting springs and bushings for deterioration.</t>
  </si>
  <si>
    <t>Check compressor wiring connections.</t>
  </si>
  <si>
    <t>Inspect refrigeration lines for vibration isolation and proper support. Secure clamps as necessary.</t>
  </si>
  <si>
    <t>Inspect Condensate Pump</t>
  </si>
  <si>
    <t>Remove top of condensate pump.</t>
  </si>
  <si>
    <t>Ensure there is no debris in sump, vacuum as necessary.</t>
  </si>
  <si>
    <t>Check operation of float(s) for free movement.</t>
  </si>
  <si>
    <t>Vacuum condensate Lines. Ensure discharge line is clear and routed properly to drain or outdoors.</t>
  </si>
  <si>
    <t>Re-assemble unit.</t>
  </si>
  <si>
    <t>Ensure all connections, electrical and plumbing, are secure.</t>
  </si>
  <si>
    <t>Inspect Rooftop Condensers</t>
  </si>
  <si>
    <t>CRAC Condenser</t>
  </si>
  <si>
    <t>Inspect condenser coils for cleanliness and debris.</t>
  </si>
  <si>
    <t>Make sure fan blades spin free and without noise.</t>
  </si>
  <si>
    <t>Inspect refrigeration lines for vibration isolation and proper support. Secure clamps as necessary. Inspect roofing boot.</t>
  </si>
  <si>
    <t>Check refrigerant site glass levels on receiver if equipped. Verify proper refrigerant levels per manufacturers recommendations.</t>
  </si>
  <si>
    <t>Inspect electrical control sections. Check all wiring connections and devices.</t>
  </si>
  <si>
    <t>Inspect Econo refrigerant pump section. Check electrical connections and controls.</t>
  </si>
  <si>
    <t>Look for any sign of refrigerant leaks.</t>
  </si>
  <si>
    <t>Ensure condenser panels are replaced and condenser is powered on before leaving roof.</t>
  </si>
  <si>
    <t>Prepare to start indoor unit for functional testing:</t>
  </si>
  <si>
    <t>Operate the system in cooling mode and test for proper operation.</t>
  </si>
  <si>
    <t>Record fan current in Recording Table #1.</t>
  </si>
  <si>
    <t>Record current reading for all compressors in Recording Table #1.</t>
  </si>
  <si>
    <t>Verify proper refrigerant levels per manufacturers recommendations.</t>
  </si>
  <si>
    <t>Record Condenser Refrigerant Pressures in Recording Table #1.</t>
  </si>
  <si>
    <t>Record Evaporator Refrigerant Pressures in Recording Table #1.</t>
  </si>
  <si>
    <t xml:space="preserve">Perform operational test of refrigerant Econo pump package. </t>
  </si>
  <si>
    <t>Record status of test in Recording Table #1.</t>
  </si>
  <si>
    <t>Observe running condenser for proper operation.</t>
  </si>
  <si>
    <t>Dampers</t>
  </si>
  <si>
    <t>In areas with failover dampers, test failover sequence to ensure proper operation.</t>
  </si>
  <si>
    <t>After all inspections have been performed, restore set points and record value in Recording Table #1.</t>
  </si>
  <si>
    <t>BMS</t>
  </si>
  <si>
    <t>Return Unit to Normal, Automatic Operation.</t>
  </si>
  <si>
    <t>Upon successful functionality testing, leave CRACs in service, in automatic condition.</t>
  </si>
  <si>
    <r>
      <t>VERIFY</t>
    </r>
    <r>
      <rPr>
        <sz val="14"/>
        <rFont val="Calibri"/>
        <family val="2"/>
      </rPr>
      <t xml:space="preserve"> all panels are replaced and access doors are closed.</t>
    </r>
  </si>
  <si>
    <r>
      <t>VERIFY</t>
    </r>
    <r>
      <rPr>
        <sz val="14"/>
        <rFont val="Calibri"/>
        <family val="2"/>
      </rPr>
      <t xml:space="preserve"> all system parameters and set points and ensure unit is cooling properly.</t>
    </r>
  </si>
  <si>
    <t>DSE CRACs</t>
  </si>
  <si>
    <r>
      <t>VERIFY</t>
    </r>
    <r>
      <rPr>
        <sz val="14"/>
        <rFont val="Arial"/>
        <family val="2"/>
      </rPr>
      <t xml:space="preserve"> HVAC system is normal.</t>
    </r>
  </si>
  <si>
    <r>
      <t>ENSURE</t>
    </r>
    <r>
      <rPr>
        <sz val="14"/>
        <rFont val="Arial"/>
        <family val="2"/>
      </rPr>
      <t xml:space="preserve"> no alarm condition exists at the </t>
    </r>
    <r>
      <rPr>
        <b/>
        <u/>
        <sz val="14"/>
        <rFont val="Arial"/>
        <family val="2"/>
      </rPr>
      <t>LOCAL FIRE ALARM CONTROL PANEL.</t>
    </r>
  </si>
  <si>
    <r>
      <t>PRESS</t>
    </r>
    <r>
      <rPr>
        <sz val="14"/>
        <rFont val="Arial"/>
        <family val="2"/>
      </rPr>
      <t xml:space="preserve"> the button marked </t>
    </r>
    <r>
      <rPr>
        <b/>
        <sz val="14"/>
        <rFont val="Arial"/>
        <family val="2"/>
      </rPr>
      <t xml:space="preserve">‘SUITE HVAC’ </t>
    </r>
    <r>
      <rPr>
        <sz val="14"/>
        <rFont val="Arial"/>
        <family val="2"/>
      </rPr>
      <t xml:space="preserve">until the </t>
    </r>
    <r>
      <rPr>
        <b/>
        <i/>
        <sz val="14"/>
        <rFont val="Arial"/>
        <family val="2"/>
      </rPr>
      <t>BYPASS</t>
    </r>
    <r>
      <rPr>
        <sz val="14"/>
        <rFont val="Arial"/>
        <family val="2"/>
      </rPr>
      <t xml:space="preserve"> indicator</t>
    </r>
    <r>
      <rPr>
        <b/>
        <sz val="14"/>
        <rFont val="Arial"/>
        <family val="2"/>
      </rPr>
      <t xml:space="preserve"> ILLUMINATES GREEN.</t>
    </r>
  </si>
  <si>
    <r>
      <t xml:space="preserve">Wait 90 seconds </t>
    </r>
    <r>
      <rPr>
        <sz val="14"/>
        <rFont val="Arial"/>
        <family val="2"/>
      </rPr>
      <t xml:space="preserve">before proceeding to ensure no new alarms from UF smokes. </t>
    </r>
  </si>
  <si>
    <r>
      <t>PRESS</t>
    </r>
    <r>
      <rPr>
        <sz val="14"/>
        <rFont val="Arial"/>
        <family val="2"/>
      </rPr>
      <t xml:space="preserve"> the button marked </t>
    </r>
    <r>
      <rPr>
        <b/>
        <sz val="14"/>
        <rFont val="Arial"/>
        <family val="2"/>
      </rPr>
      <t xml:space="preserve">‘UNDERFLOOR SLC’ </t>
    </r>
    <r>
      <rPr>
        <sz val="14"/>
        <rFont val="Arial"/>
        <family val="2"/>
      </rPr>
      <t xml:space="preserve">until the </t>
    </r>
    <r>
      <rPr>
        <b/>
        <i/>
        <sz val="14"/>
        <rFont val="Arial"/>
        <family val="2"/>
      </rPr>
      <t>BYPASS</t>
    </r>
    <r>
      <rPr>
        <sz val="14"/>
        <rFont val="Arial"/>
        <family val="2"/>
      </rPr>
      <t xml:space="preserve"> indicator</t>
    </r>
    <r>
      <rPr>
        <b/>
        <sz val="14"/>
        <rFont val="Arial"/>
        <family val="2"/>
      </rPr>
      <t xml:space="preserve"> ILLUMINATES GREEN.</t>
    </r>
  </si>
  <si>
    <t>Return Building Monitoring Systems to Service</t>
  </si>
  <si>
    <r>
      <t xml:space="preserve">VERIFY </t>
    </r>
    <r>
      <rPr>
        <sz val="14"/>
        <color theme="1"/>
        <rFont val="Arial"/>
        <family val="2"/>
      </rPr>
      <t xml:space="preserve">space temperature is normal and redundant unit is operating with no alarms prior to beginning maintenance on affected unit. </t>
    </r>
  </si>
  <si>
    <r>
      <t xml:space="preserve">Remove input power from A/C unit: Be aware these machines may contain </t>
    </r>
    <r>
      <rPr>
        <b/>
        <sz val="14"/>
        <color rgb="FF000000"/>
        <rFont val="Calibri"/>
        <family val="2"/>
        <scheme val="minor"/>
      </rPr>
      <t>MULTIPLE SOURCES</t>
    </r>
    <r>
      <rPr>
        <sz val="14"/>
        <color rgb="FF000000"/>
        <rFont val="Calibri"/>
        <family val="2"/>
        <scheme val="minor"/>
      </rPr>
      <t xml:space="preserve"> of power.</t>
    </r>
  </si>
  <si>
    <t>Inspect Indoor Filter Section</t>
  </si>
  <si>
    <t>Record filter sizes in Recording Table #1.</t>
  </si>
  <si>
    <t xml:space="preserve">Ensure grill area is unrestricted. </t>
  </si>
  <si>
    <t>If equipped with direct drive fans, perform the following:</t>
  </si>
  <si>
    <t xml:space="preserve"> - Ensure Fan Impeller free of debris.</t>
  </si>
  <si>
    <r>
      <t xml:space="preserve"> - </t>
    </r>
    <r>
      <rPr>
        <sz val="14"/>
        <color rgb="FF000000"/>
        <rFont val="Calibri"/>
        <family val="2"/>
        <scheme val="minor"/>
      </rPr>
      <t>Ensure Fan mounts are secure.</t>
    </r>
  </si>
  <si>
    <r>
      <t xml:space="preserve"> - </t>
    </r>
    <r>
      <rPr>
        <sz val="14"/>
        <color rgb="FF000000"/>
        <rFont val="Calibri"/>
        <family val="2"/>
        <scheme val="minor"/>
      </rPr>
      <t>Inspect wiring, repair any deficiencies.</t>
    </r>
  </si>
  <si>
    <t>If equipped with belt drive fans, perform the following:</t>
  </si>
  <si>
    <t xml:space="preserve"> - Inspect fan belts, tighten and/or replace belt if needed.</t>
  </si>
  <si>
    <t xml:space="preserve"> - Record belt size in Recording Table #1.</t>
  </si>
  <si>
    <r>
      <t xml:space="preserve"> - </t>
    </r>
    <r>
      <rPr>
        <sz val="14"/>
        <color rgb="FF000000"/>
        <rFont val="Calibri"/>
        <family val="2"/>
        <scheme val="minor"/>
      </rPr>
      <t>Lubricate motor and fan bearings if required.</t>
    </r>
  </si>
  <si>
    <r>
      <t xml:space="preserve"> - </t>
    </r>
    <r>
      <rPr>
        <sz val="14"/>
        <color rgb="FF000000"/>
        <rFont val="Calibri"/>
        <family val="2"/>
        <scheme val="minor"/>
      </rPr>
      <t>Ensure blower free of debris.</t>
    </r>
  </si>
  <si>
    <t xml:space="preserve"> - Inspect sheave and pulley. </t>
  </si>
  <si>
    <t>Inspect Condensate Pump (If Equipped)</t>
  </si>
  <si>
    <t xml:space="preserve">Ensure all connections, electrical and plumbing, are secure. </t>
  </si>
  <si>
    <t xml:space="preserve">Inspect condenser coils for cleanliness and debris. </t>
  </si>
  <si>
    <t xml:space="preserve">Look for any sign of refrigerant leaks. </t>
  </si>
  <si>
    <t>Inspect Outdoor Compressor Section (If Equipped)</t>
  </si>
  <si>
    <t>Check oil levels on compressor site glasses if equipped.</t>
  </si>
  <si>
    <t>Inspect compressor mounts and bushings for deterioration.</t>
  </si>
  <si>
    <t>Inspect all piping for refrigerant leaks.</t>
  </si>
  <si>
    <t>Inspect low ambient controls.</t>
  </si>
  <si>
    <t>Ensure all tools and debris have been removed from condenser. Replace all removed panels.</t>
  </si>
  <si>
    <t xml:space="preserve">Restore electrical power to condenser before leaving the roof. </t>
  </si>
  <si>
    <t xml:space="preserve">Operate the system in cooling mode and test for proper operation. Record fan and compressor amps in Recording Table #1. Verify proper refrigerant levels per manufacturers recommendations. </t>
  </si>
  <si>
    <t>Operate the system in heating mode (if equipped) and test for proper operation. Record heating element current in Recording Table #1.</t>
  </si>
  <si>
    <t>Test redundant unit failover sequence, if applicable.</t>
  </si>
  <si>
    <t>Conference Rm</t>
  </si>
  <si>
    <t>Notify the appropriate person(s) and agencies prior to starting work.</t>
  </si>
  <si>
    <t>Discuss SOW, MOP, site specifics, work plan and back-out plan with vendor.</t>
  </si>
  <si>
    <t xml:space="preserve">The order of performed maintenance may vary according to current chiller lineup. Technician should start work on the current LAG 2 chiller to minimize rotations. </t>
  </si>
  <si>
    <t xml:space="preserve">Engineer may rotate lineup via BMS to the requested chiller upon request from the vendor. </t>
  </si>
  <si>
    <r>
      <t>Place chiller in “Run Inhibit” mode on BMS.</t>
    </r>
    <r>
      <rPr>
        <sz val="14"/>
        <color rgb="FF000000"/>
        <rFont val="Arial"/>
        <family val="2"/>
      </rPr>
      <t xml:space="preserve"> </t>
    </r>
  </si>
  <si>
    <t>Perform Chiller SAPM per Cushman and Wakefield Semi-Annual SOW</t>
  </si>
  <si>
    <t>If coil cleaning is performed, ensure chiller components and surrounding areas are cleaned. Coil cleaning performed (Y/N)?:_____</t>
  </si>
  <si>
    <t>Call Base Engineer to place chiller online 1 (703) 964-4776</t>
  </si>
  <si>
    <r>
      <t>Once chiller is online, allow system to stabilize for 15 minutes.</t>
    </r>
    <r>
      <rPr>
        <sz val="14"/>
        <color rgb="FF000000"/>
        <rFont val="Arial"/>
        <family val="2"/>
      </rPr>
      <t xml:space="preserve"> </t>
    </r>
  </si>
  <si>
    <t xml:space="preserve">Inspect the following conditions when the system is stable: </t>
  </si>
  <si>
    <t>Record MP pressure for evaporator:______________psi</t>
  </si>
  <si>
    <t>Record MP pressure for condenser:______________psi</t>
  </si>
  <si>
    <t>Record MP pressure for intermediate oil:______________psi</t>
  </si>
  <si>
    <t>Record system sub-cooling: _____________°F</t>
  </si>
  <si>
    <t>Verify suction and discharge pressure to insure proper refrigerant charge.                                                                                                    Suction pressure:__________psi   Discharge pressure:___________psi</t>
  </si>
  <si>
    <t xml:space="preserve">Verify chiller system is stabilized and water temperature is at set point. </t>
  </si>
  <si>
    <t xml:space="preserve">Verify chiller is in “Auto” upon completion. </t>
  </si>
  <si>
    <t>Note</t>
  </si>
  <si>
    <t>Note any issues:</t>
  </si>
  <si>
    <t>Completion of Work</t>
  </si>
  <si>
    <t>Restore chillers to initial lineup.</t>
  </si>
  <si>
    <t>Inform Base Engineer that maintenance is completed.</t>
  </si>
  <si>
    <t>Vendor to perform the following:</t>
  </si>
  <si>
    <t xml:space="preserve">Open unit disconnect to de-energize unit.  </t>
  </si>
  <si>
    <t>Check the following high voltage components:</t>
  </si>
  <si>
    <t>Check fuses</t>
  </si>
  <si>
    <t>Check contactors for pitting</t>
  </si>
  <si>
    <t>Check wire connections, tighten as needed</t>
  </si>
  <si>
    <t xml:space="preserve">Check overload heaters for wear </t>
  </si>
  <si>
    <t>Check the following low voltage components:</t>
  </si>
  <si>
    <t>Check circuit boards for discoloration</t>
  </si>
  <si>
    <t>Check circuit board connections</t>
  </si>
  <si>
    <t xml:space="preserve">Check wire harness connectors </t>
  </si>
  <si>
    <t xml:space="preserve">Inspect with unit offline: </t>
  </si>
  <si>
    <t>Check refrigerant piping for leaks and damage</t>
  </si>
  <si>
    <t xml:space="preserve">Check condenser fan motors and fan blades for damage </t>
  </si>
  <si>
    <t>Check condenser fan VFD’s for damage.</t>
  </si>
  <si>
    <t xml:space="preserve">Check Condenser Coils for Dirt and Debris. If Dirty, Clean Coils. (Annually) </t>
  </si>
  <si>
    <t xml:space="preserve">After all inspections have been completed, close unit disconnect to re-energize unit. (Use Proper PPE) </t>
  </si>
  <si>
    <t>Observe Liquid Line Sight Glass on EXV: Clear / Bubbles                                                                                  The Sub-cooling should never be less that 4°F under any circumstances.</t>
  </si>
  <si>
    <t xml:space="preserve">Check temperature difference across all inline filters to insure flow.                                  Should never be greater than 2°F across filter </t>
  </si>
  <si>
    <t xml:space="preserve">Verify chiller system is stabilized and water temperature is at Set point. </t>
  </si>
  <si>
    <t>Verify N+1 CRAC Redundancy</t>
  </si>
  <si>
    <t>Verify all CRACs that will not be repaired are operating without alarms.</t>
  </si>
  <si>
    <t>DLR Engineer</t>
  </si>
  <si>
    <t>Record the suite IT load _______ kW</t>
  </si>
  <si>
    <t>Record the number of CRACs available _______</t>
  </si>
  <si>
    <r>
      <t>NOTIFY</t>
    </r>
    <r>
      <rPr>
        <sz val="14"/>
        <rFont val="Calibri"/>
        <family val="2"/>
        <scheme val="minor"/>
      </rPr>
      <t xml:space="preserve"> the appropriate person(s) and agencies prior to testing.</t>
    </r>
  </si>
  <si>
    <r>
      <t>NOTIFY</t>
    </r>
    <r>
      <rPr>
        <sz val="14"/>
        <rFont val="Calibri"/>
        <family val="2"/>
        <scheme val="minor"/>
      </rPr>
      <t xml:space="preserve"> Emergency 24; call system out for ALL CONDITIONS. Contact number: 1-800-827-3624</t>
    </r>
  </si>
  <si>
    <r>
      <t>NOTIFY</t>
    </r>
    <r>
      <rPr>
        <sz val="14"/>
        <rFont val="Calibri"/>
        <family val="2"/>
        <scheme val="minor"/>
      </rPr>
      <t xml:space="preserve"> Loudoun County Fire &amp; Rescue system is offline for testing. Contact number: </t>
    </r>
    <r>
      <rPr>
        <u/>
        <sz val="14"/>
        <rFont val="Calibri"/>
        <family val="2"/>
        <scheme val="minor"/>
      </rPr>
      <t>703-777-0637</t>
    </r>
  </si>
  <si>
    <t>Loudoun County Fire &amp; Rescue operator number: _____</t>
  </si>
  <si>
    <r>
      <t>Confirm a “</t>
    </r>
    <r>
      <rPr>
        <b/>
        <sz val="14"/>
        <rFont val="Calibri"/>
        <family val="2"/>
        <scheme val="minor"/>
      </rPr>
      <t>Red Permit</t>
    </r>
    <r>
      <rPr>
        <sz val="14"/>
        <rFont val="Calibri"/>
        <family val="2"/>
        <scheme val="minor"/>
      </rPr>
      <t xml:space="preserve">” has been submitted and approved by notifying FM Global at 1-888-201-8943 or by submitting an impairment notification at https://redetag.fmglobal.com/Pages/CreateNew.aspx.
</t>
    </r>
    <r>
      <rPr>
        <b/>
        <sz val="14"/>
        <rFont val="Calibri"/>
        <family val="2"/>
        <scheme val="minor"/>
      </rPr>
      <t>Operator number:</t>
    </r>
    <r>
      <rPr>
        <sz val="14"/>
        <rFont val="Calibri"/>
        <family val="2"/>
        <scheme val="minor"/>
      </rPr>
      <t xml:space="preserve"> ____</t>
    </r>
  </si>
  <si>
    <t>Verify the FM Global index number is filled out on the "Red Permit".
Note: The index number for each building can be found at I:\Ashburn Campus Engineering\Documents and Logs</t>
  </si>
  <si>
    <t>FACP</t>
  </si>
  <si>
    <r>
      <t>ESTABLISH</t>
    </r>
    <r>
      <rPr>
        <sz val="14"/>
        <rFont val="Calibri"/>
        <family val="2"/>
        <scheme val="minor"/>
      </rPr>
      <t xml:space="preserve"> a fire panel watch at the</t>
    </r>
    <r>
      <rPr>
        <b/>
        <sz val="14"/>
        <rFont val="Calibri"/>
        <family val="2"/>
        <scheme val="minor"/>
      </rPr>
      <t xml:space="preserve"> </t>
    </r>
    <r>
      <rPr>
        <b/>
        <u/>
        <sz val="14"/>
        <rFont val="Calibri"/>
        <family val="2"/>
        <scheme val="minor"/>
      </rPr>
      <t>Base Building FACP</t>
    </r>
    <r>
      <rPr>
        <sz val="14"/>
        <rFont val="Calibri"/>
        <family val="2"/>
        <scheme val="minor"/>
      </rPr>
      <t xml:space="preserve"> to monitor and notify emergency services as required.</t>
    </r>
  </si>
  <si>
    <r>
      <t xml:space="preserve">A Fire Watch shall be performed by designated personnel and the Fire Watch log shall be filled out.
Fire Watch designated personnel: </t>
    </r>
    <r>
      <rPr>
        <b/>
        <sz val="14"/>
        <rFont val="Calibri"/>
        <family val="2"/>
        <scheme val="minor"/>
      </rPr>
      <t>_______________________________________</t>
    </r>
  </si>
  <si>
    <r>
      <t xml:space="preserve">PRESS the button marked ‘SUITE HVAC’ until the </t>
    </r>
    <r>
      <rPr>
        <i/>
        <sz val="14"/>
        <rFont val="Calibri"/>
        <family val="2"/>
        <scheme val="minor"/>
      </rPr>
      <t>BYPASS</t>
    </r>
    <r>
      <rPr>
        <sz val="14"/>
        <rFont val="Calibri"/>
        <family val="2"/>
        <scheme val="minor"/>
      </rPr>
      <t xml:space="preserve"> indicator ILLUMINATES AMBER.</t>
    </r>
  </si>
  <si>
    <r>
      <t xml:space="preserve">PRESS the button marked ‘SUITE HSO’ until the </t>
    </r>
    <r>
      <rPr>
        <i/>
        <sz val="14"/>
        <rFont val="Calibri"/>
        <family val="2"/>
        <scheme val="minor"/>
      </rPr>
      <t>BYPASS</t>
    </r>
    <r>
      <rPr>
        <sz val="14"/>
        <rFont val="Calibri"/>
        <family val="2"/>
        <scheme val="minor"/>
      </rPr>
      <t xml:space="preserve"> indicator ILLUMINATES AMBER.</t>
    </r>
  </si>
  <si>
    <r>
      <t xml:space="preserve">PRESS the button marked ‘CEILING SLC’ until the </t>
    </r>
    <r>
      <rPr>
        <i/>
        <sz val="14"/>
        <rFont val="Calibri"/>
        <family val="2"/>
        <scheme val="minor"/>
      </rPr>
      <t>BYPASS</t>
    </r>
    <r>
      <rPr>
        <sz val="14"/>
        <rFont val="Calibri"/>
        <family val="2"/>
        <scheme val="minor"/>
      </rPr>
      <t xml:space="preserve"> indicator ILLUMINATES AMBER.</t>
    </r>
  </si>
  <si>
    <r>
      <t xml:space="preserve">PRESS the button marked ‘UNDERFLOOR SLC’ until the </t>
    </r>
    <r>
      <rPr>
        <i/>
        <sz val="14"/>
        <rFont val="Calibri"/>
        <family val="2"/>
        <scheme val="minor"/>
      </rPr>
      <t>BYPASS</t>
    </r>
    <r>
      <rPr>
        <sz val="14"/>
        <rFont val="Calibri"/>
        <family val="2"/>
        <scheme val="minor"/>
      </rPr>
      <t xml:space="preserve"> indicator ILLUMINATES AMBER.</t>
    </r>
  </si>
  <si>
    <t>Disable Suite HSO</t>
  </si>
  <si>
    <t>HSO</t>
  </si>
  <si>
    <t>Turn the HSO switch from "ARM" to "DISARM".</t>
  </si>
  <si>
    <t>De-energize CRAC</t>
  </si>
  <si>
    <t>Record the initial value of all setpoints that will be modified during this repair in the "Equipment Readings" section of the Pre-Work sheet.</t>
  </si>
  <si>
    <r>
      <rPr>
        <b/>
        <sz val="14"/>
        <color theme="1"/>
        <rFont val="Calibri"/>
        <family val="2"/>
        <scheme val="minor"/>
      </rPr>
      <t>STOP</t>
    </r>
    <r>
      <rPr>
        <sz val="14"/>
        <color theme="1"/>
        <rFont val="Calibri"/>
        <family val="2"/>
        <scheme val="minor"/>
      </rPr>
      <t xml:space="preserve"> Unit by ON/OFF Button at display.</t>
    </r>
  </si>
  <si>
    <t>Wait for the fan and compressor to indicate 0%.</t>
  </si>
  <si>
    <r>
      <t xml:space="preserve">Rotate the unit disconnect #1 to the </t>
    </r>
    <r>
      <rPr>
        <b/>
        <sz val="14"/>
        <color theme="1"/>
        <rFont val="Calibri"/>
        <family val="2"/>
        <scheme val="minor"/>
      </rPr>
      <t>OFF</t>
    </r>
    <r>
      <rPr>
        <sz val="14"/>
        <color theme="1"/>
        <rFont val="Calibri"/>
        <family val="2"/>
        <scheme val="minor"/>
      </rPr>
      <t xml:space="preserve"> position.</t>
    </r>
  </si>
  <si>
    <r>
      <t xml:space="preserve">Rotate the unit disconnect #2 to the </t>
    </r>
    <r>
      <rPr>
        <b/>
        <sz val="14"/>
        <color theme="1"/>
        <rFont val="Calibri"/>
        <family val="2"/>
        <scheme val="minor"/>
      </rPr>
      <t>OFF</t>
    </r>
    <r>
      <rPr>
        <sz val="14"/>
        <color theme="1"/>
        <rFont val="Calibri"/>
        <family val="2"/>
        <scheme val="minor"/>
      </rPr>
      <t xml:space="preserve"> position.</t>
    </r>
  </si>
  <si>
    <t>M4XX Panel</t>
  </si>
  <si>
    <t>Open the primary source breaker for the CRAC to be repaired.</t>
  </si>
  <si>
    <t>Apply LOTO to the primary source breaker for the CRAC to be repaired.</t>
  </si>
  <si>
    <t>Open the alternate source breaker for the CRAC to be repaired.</t>
  </si>
  <si>
    <t>Apply LOTO to the alternate source breaker for the CRAC to be repaired.</t>
  </si>
  <si>
    <t>Using proper PPE, methods, and equipment, VERIFY control of hazardous energy.</t>
  </si>
  <si>
    <t>Troubleshoot &amp; Repair CRAC</t>
  </si>
  <si>
    <t>Vendor to troubleshoot failure and replace components as needed to repair unit.</t>
  </si>
  <si>
    <t>Recover refrigerant from the affected circuit, using proper PPE and methods.</t>
  </si>
  <si>
    <t>Locate leak and Braze as applicable. (Torch may be required)</t>
  </si>
  <si>
    <t>Remove and replace compressor assembly as applicable. (Torch may be required)</t>
  </si>
  <si>
    <t>Remove and replace filter drier as applicable. (Torch may be required)</t>
  </si>
  <si>
    <t>Remove and replace broken pressure line.</t>
  </si>
  <si>
    <t>Remove and replace refrigeration circuit components.</t>
  </si>
  <si>
    <t>Leak test with dry nitrogen.</t>
  </si>
  <si>
    <t>Evacuate affected circuit below 250 microns.</t>
  </si>
  <si>
    <t>Charge system per manufacturers recommended procedures</t>
  </si>
  <si>
    <t>Perform any other required repairs</t>
  </si>
  <si>
    <t>Upon completed repair, proceed with restoration steps below.</t>
  </si>
  <si>
    <t>VERIFY unit is free of debris, tools, and is returned to the condition as received from the OEM (uniform brazing quality, organized wire harnesses, all fasteners tightened, insulation is reinstalled).</t>
  </si>
  <si>
    <t>Vendor &amp; DLR OPS</t>
  </si>
  <si>
    <t>Vendor to verify: Was any refrigerant activity performed?                                                                                                                                                                                                                                                                                                                                                                                                                                                            YES _________    NO__________</t>
  </si>
  <si>
    <t>Refrigerant type recovered:____________</t>
  </si>
  <si>
    <t>Refrigerant quantity recovered:____________ lb</t>
  </si>
  <si>
    <t>Refrigerant type added:____________</t>
  </si>
  <si>
    <t>Refrigerant quantity added:____________ lb</t>
  </si>
  <si>
    <t>Old compressor information, if replaced:
Manufacturer________________
Model #________________
Serial #________________</t>
  </si>
  <si>
    <t>New compressor information, if replaced:
Manufacturer________________
Model #________________
Serial #________________</t>
  </si>
  <si>
    <t>Old filter drier information, if replaced:
Manufacturer________________
Model #________________
Serial #________________</t>
  </si>
  <si>
    <t>New filter drier information, if replaced:
Manufacturer________________
Model #________________
Serial #________________</t>
  </si>
  <si>
    <t>Update the refrigerant log.</t>
  </si>
  <si>
    <t>Remove LOTO from the primary source breaker for the CRAC to be repaired.</t>
  </si>
  <si>
    <t>Close the primary source breaker for the CRAC to be repaired.</t>
  </si>
  <si>
    <t>Remove LOTO from the alternate source breaker for the CRAC to be repaired.</t>
  </si>
  <si>
    <t>Close the alternate source breaker for the CRAC to be repaired.</t>
  </si>
  <si>
    <r>
      <t xml:space="preserve">Rotate the unit disconnect #1 to the </t>
    </r>
    <r>
      <rPr>
        <b/>
        <sz val="14"/>
        <color theme="1"/>
        <rFont val="Calibri"/>
        <family val="2"/>
        <scheme val="minor"/>
      </rPr>
      <t>ON</t>
    </r>
    <r>
      <rPr>
        <sz val="14"/>
        <color theme="1"/>
        <rFont val="Calibri"/>
        <family val="2"/>
        <scheme val="minor"/>
      </rPr>
      <t xml:space="preserve"> position.</t>
    </r>
  </si>
  <si>
    <r>
      <t xml:space="preserve">Rotate the unit disconnect #2 to the </t>
    </r>
    <r>
      <rPr>
        <b/>
        <sz val="14"/>
        <color theme="1"/>
        <rFont val="Calibri"/>
        <family val="2"/>
        <scheme val="minor"/>
      </rPr>
      <t>ON</t>
    </r>
    <r>
      <rPr>
        <sz val="14"/>
        <color theme="1"/>
        <rFont val="Calibri"/>
        <family val="2"/>
        <scheme val="minor"/>
      </rPr>
      <t xml:space="preserve"> position.</t>
    </r>
  </si>
  <si>
    <t>Vendor may now perform online diagnostics and test machine for proper operation.</t>
  </si>
  <si>
    <t>After all inspections have been performed, restore setpoints by referencing the initial values that were recorded in the "Equipment Readings" section of the Pre-Work sheet.</t>
  </si>
  <si>
    <t>Upon successful functionality testing, leave the unit in service, in automatic condition</t>
  </si>
  <si>
    <t>Verify all panels are replaced and access doors are closed.</t>
  </si>
  <si>
    <t>ENSURE no alarm condition exists at the LOCAL FIRE ALARM CONTROL PANEL.</t>
  </si>
  <si>
    <t>PRESS the button marked ‘SUITE HVAC’ until the BYPASS indicator ILLUMINATES GREEN.</t>
  </si>
  <si>
    <t>PRESS the button marked ‘SUITE HSO’ until the BYPASS indicator ILLUMINATES GREEN.</t>
  </si>
  <si>
    <t>PRESS the button marked ‘CEILING SLC’ until the BYPASS indicator ILLUMINATES GREEN.</t>
  </si>
  <si>
    <t>PRESS the button marked ‘UNDERFLOOR SLC’ until the BYPASS indicator ILLUMINATES GREEN.</t>
  </si>
  <si>
    <r>
      <t>ENSURE</t>
    </r>
    <r>
      <rPr>
        <sz val="14"/>
        <rFont val="Calibri"/>
        <family val="2"/>
        <scheme val="minor"/>
      </rPr>
      <t xml:space="preserve"> no alarm condition exists at the </t>
    </r>
    <r>
      <rPr>
        <b/>
        <u/>
        <sz val="14"/>
        <rFont val="Calibri"/>
        <family val="2"/>
        <scheme val="minor"/>
      </rPr>
      <t>LOCAL FIRE ALARM CONTROL PANEL.</t>
    </r>
  </si>
  <si>
    <t>HSO Switch</t>
  </si>
  <si>
    <r>
      <t>VERIFY</t>
    </r>
    <r>
      <rPr>
        <sz val="14"/>
        <rFont val="Calibri"/>
        <family val="2"/>
        <scheme val="minor"/>
      </rPr>
      <t xml:space="preserve"> the red indicator light is </t>
    </r>
    <r>
      <rPr>
        <b/>
        <u/>
        <sz val="14"/>
        <rFont val="Calibri"/>
        <family val="2"/>
        <scheme val="minor"/>
      </rPr>
      <t>NOT</t>
    </r>
    <r>
      <rPr>
        <sz val="14"/>
        <rFont val="Calibri"/>
        <family val="2"/>
        <scheme val="minor"/>
      </rPr>
      <t xml:space="preserve"> illuminated on the </t>
    </r>
    <r>
      <rPr>
        <b/>
        <sz val="14"/>
        <rFont val="Calibri"/>
        <family val="2"/>
        <scheme val="minor"/>
      </rPr>
      <t>HSO Arm/Disarm Switch</t>
    </r>
    <r>
      <rPr>
        <sz val="14"/>
        <rFont val="Calibri"/>
        <family val="2"/>
        <scheme val="minor"/>
      </rPr>
      <t xml:space="preserve"> located next to the suite LFACP.</t>
    </r>
  </si>
  <si>
    <r>
      <t xml:space="preserve">Turn the switch from </t>
    </r>
    <r>
      <rPr>
        <b/>
        <sz val="14"/>
        <rFont val="Calibri"/>
        <family val="2"/>
        <scheme val="minor"/>
      </rPr>
      <t xml:space="preserve">DISARM </t>
    </r>
    <r>
      <rPr>
        <sz val="14"/>
        <rFont val="Calibri"/>
        <family val="2"/>
        <scheme val="minor"/>
      </rPr>
      <t xml:space="preserve">to </t>
    </r>
    <r>
      <rPr>
        <b/>
        <sz val="14"/>
        <rFont val="Calibri"/>
        <family val="2"/>
        <scheme val="minor"/>
      </rPr>
      <t>ARM</t>
    </r>
    <r>
      <rPr>
        <sz val="14"/>
        <rFont val="Calibri"/>
        <family val="2"/>
        <scheme val="minor"/>
      </rPr>
      <t>.</t>
    </r>
  </si>
  <si>
    <r>
      <t>ENSURE</t>
    </r>
    <r>
      <rPr>
        <sz val="14"/>
        <rFont val="Calibri"/>
        <family val="2"/>
        <scheme val="minor"/>
      </rPr>
      <t xml:space="preserve"> all Fire and HVAC systems are normal.</t>
    </r>
  </si>
  <si>
    <r>
      <t>NOTIFY</t>
    </r>
    <r>
      <rPr>
        <sz val="14"/>
        <rFont val="Calibri"/>
        <family val="2"/>
        <scheme val="minor"/>
      </rPr>
      <t xml:space="preserve"> Loudoun County Fire &amp; Rescue system has been returned to service. Contact number: </t>
    </r>
    <r>
      <rPr>
        <u/>
        <sz val="14"/>
        <rFont val="Calibri"/>
        <family val="2"/>
        <scheme val="minor"/>
      </rPr>
      <t>703-777-0637</t>
    </r>
  </si>
  <si>
    <t>Obtain the Fire Watch log from designated personnel, confirm accuracy and completeness of the log. Attach to the MOP.</t>
  </si>
  <si>
    <t>PERFORM PRE-TESTING NOTIFICATION &amp; CALLOUT</t>
  </si>
  <si>
    <t>Notify Emergency 24; call system out for ALL CONDITIONS. Contact number: 1-800-827-3624</t>
  </si>
  <si>
    <t>Notify Loudoun County Fire &amp; Rescue system is offline for testing. Contact number: 703-777-0637</t>
  </si>
  <si>
    <t>Confirm a “Red Permit” has been submitted and approved by notifying FM Global at 1-888-201-8943 or by submitting an impairment notification at https://redetag.fmglobal.com/Pages/CreateNew.aspx.
Operator number: ____</t>
  </si>
  <si>
    <t>Establish a fire panel watch at the Base Building FACP to monitor and notify emergency services as required.</t>
  </si>
  <si>
    <t>A Fire Watch shall be performed by designated personnel and the Fire Watch log shall be filled out.
Fire Watch designated personnel: _______________________________________</t>
  </si>
  <si>
    <t>DISABLE PBB AUDIO &amp; STROBES CONTROL</t>
  </si>
  <si>
    <r>
      <t xml:space="preserve">Set the </t>
    </r>
    <r>
      <rPr>
        <u/>
        <sz val="14"/>
        <rFont val="Calibri"/>
        <family val="2"/>
        <scheme val="minor"/>
      </rPr>
      <t>BASE BUILDING FACP</t>
    </r>
    <r>
      <rPr>
        <sz val="14"/>
        <rFont val="Calibri"/>
        <family val="2"/>
        <scheme val="minor"/>
      </rPr>
      <t xml:space="preserve"> signal disable conditions as follows:</t>
    </r>
  </si>
  <si>
    <t>Press the button marked ‘AUDIO EVAC’ until the BYPASS indicator ILLUMINATES AMBER.</t>
  </si>
  <si>
    <t>Press the button marked ‘STROBE EVAC’ until the BYPASS indicator ILLUMINATES AMBER.</t>
  </si>
  <si>
    <t>Fire Alarm System</t>
  </si>
  <si>
    <t>Observe the conditions of the system before testing. Note any existing trouble conditions on the system.</t>
  </si>
  <si>
    <t>Activate the Pre-recorded Test Message on the Base Building FACP located at the Main Entrance Vestibule.</t>
  </si>
  <si>
    <t>After Sounding the audio/visuals in the designated test area or areas A/V may be disabled for the rest of the test time.</t>
  </si>
  <si>
    <t xml:space="preserve">Perform function test on all Fire Alarm Equipment and Peripheral Devices in the designated test area for proper activation and restoral and documenting all devices being tested for the report.  </t>
  </si>
  <si>
    <t>Test supervisory device circuits.</t>
  </si>
  <si>
    <t>Disconnect primary power supply to test secondary power supply.</t>
  </si>
  <si>
    <t>Verify that the control panel operates properly from secondary power within 30 seconds of disconnecting.</t>
  </si>
  <si>
    <t>Verify that trouble indicator comes on upon primary power loss.</t>
  </si>
  <si>
    <t>Measure standby current using manufacturer’s data.</t>
  </si>
  <si>
    <t>Test system under maximum load, including all alarm appliances operating for 5 minutes be sure to reconnect all power supplies at the end of the test.</t>
  </si>
  <si>
    <t>Test lamps and light emitting diodes (LED's)</t>
  </si>
  <si>
    <t>Verify that annunciator accurately reports all alarms and trouble signals.</t>
  </si>
  <si>
    <t>Test all control unit functions.</t>
  </si>
  <si>
    <t>Test each initiating and signaling circuit for trouble signals.</t>
  </si>
  <si>
    <t>Test all initiation devices (100%) using manufacturer approved aerosol spray. (canned smoke)</t>
  </si>
  <si>
    <t>Test each manual pull station.</t>
  </si>
  <si>
    <t>Reset Local Fire Alarm Control Panel.</t>
  </si>
  <si>
    <t>After reset, a trouble condition will return, “One or more conditions disabled.”</t>
  </si>
  <si>
    <t>ENABLE PBB AUDIO &amp; STROBES CONTROL</t>
  </si>
  <si>
    <t>Press the button marked ‘AUDIO EVAC’ until the BYPASS indicator ILLUMINATES GREEN.</t>
  </si>
  <si>
    <t>Press the button marked ‘STROBE EVAC’ until the BYPASS indicator ILLUMINATES GREEN.</t>
  </si>
  <si>
    <t>Notify Loudoun County Fire &amp; Rescue system has been returned to service. Contact number: 703-777-0637</t>
  </si>
  <si>
    <t>DISABLE PBB AUDIO/STROBES CONTROL</t>
  </si>
  <si>
    <r>
      <t xml:space="preserve">Set the </t>
    </r>
    <r>
      <rPr>
        <b/>
        <u/>
        <sz val="14"/>
        <rFont val="Calibri"/>
        <family val="2"/>
        <scheme val="minor"/>
      </rPr>
      <t>BASE BUILDING FACP</t>
    </r>
    <r>
      <rPr>
        <sz val="14"/>
        <rFont val="Calibri"/>
        <family val="2"/>
        <scheme val="minor"/>
      </rPr>
      <t xml:space="preserve"> signal disable conditions as follows:</t>
    </r>
  </si>
  <si>
    <r>
      <t>PRESS</t>
    </r>
    <r>
      <rPr>
        <sz val="14"/>
        <rFont val="Calibri"/>
        <family val="2"/>
        <scheme val="minor"/>
      </rPr>
      <t xml:space="preserve"> the button marked </t>
    </r>
    <r>
      <rPr>
        <b/>
        <sz val="14"/>
        <rFont val="Calibri"/>
        <family val="2"/>
        <scheme val="minor"/>
      </rPr>
      <t>‘GENERAL</t>
    </r>
    <r>
      <rPr>
        <sz val="14"/>
        <rFont val="Calibri"/>
        <family val="2"/>
        <scheme val="minor"/>
      </rPr>
      <t xml:space="preserve"> </t>
    </r>
    <r>
      <rPr>
        <b/>
        <sz val="14"/>
        <rFont val="Calibri"/>
        <family val="2"/>
        <scheme val="minor"/>
      </rPr>
      <t>EVAC’</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</si>
  <si>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PRESS</t>
    </r>
    <r>
      <rPr>
        <sz val="14"/>
        <rFont val="Calibri"/>
        <family val="2"/>
        <scheme val="minor"/>
      </rPr>
      <t xml:space="preserve"> the button marked </t>
    </r>
    <r>
      <rPr>
        <b/>
        <sz val="14"/>
        <rFont val="Calibri"/>
        <family val="2"/>
        <scheme val="minor"/>
      </rPr>
      <t xml:space="preserve">‘HVAC’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</si>
  <si>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PRESS</t>
    </r>
    <r>
      <rPr>
        <sz val="14"/>
        <rFont val="Calibri"/>
        <family val="2"/>
        <scheme val="minor"/>
      </rPr>
      <t xml:space="preserve"> the button marked </t>
    </r>
    <r>
      <rPr>
        <b/>
        <sz val="14"/>
        <rFont val="Calibri"/>
        <family val="2"/>
        <scheme val="minor"/>
      </rPr>
      <t xml:space="preserve">‘ELEVATOR’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</si>
  <si>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Press the button marked ‘</t>
    </r>
    <r>
      <rPr>
        <b/>
        <i/>
        <sz val="14"/>
        <rFont val="Calibri"/>
        <family val="2"/>
        <scheme val="minor"/>
      </rPr>
      <t>DOOR LOCK</t>
    </r>
    <r>
      <rPr>
        <b/>
        <sz val="14"/>
        <rFont val="Calibri"/>
        <family val="2"/>
        <scheme val="minor"/>
      </rPr>
      <t xml:space="preserve">’ </t>
    </r>
    <r>
      <rPr>
        <sz val="14"/>
        <rFont val="Calibri"/>
        <family val="2"/>
        <scheme val="minor"/>
      </rPr>
      <t xml:space="preserve">until the </t>
    </r>
    <r>
      <rPr>
        <b/>
        <i/>
        <sz val="14"/>
        <rFont val="Calibri"/>
        <family val="2"/>
        <scheme val="minor"/>
      </rPr>
      <t>BYPASS</t>
    </r>
    <r>
      <rPr>
        <sz val="14"/>
        <rFont val="Calibri"/>
        <family val="2"/>
        <scheme val="minor"/>
      </rPr>
      <t xml:space="preserve"> indicator </t>
    </r>
    <r>
      <rPr>
        <b/>
        <sz val="14"/>
        <rFont val="Calibri"/>
        <family val="2"/>
        <scheme val="minor"/>
      </rPr>
      <t>ILLUMINATES AMBER.</t>
    </r>
  </si>
  <si>
    <r>
      <t xml:space="preserve">Set the </t>
    </r>
    <r>
      <rPr>
        <b/>
        <u/>
        <sz val="14"/>
        <rFont val="Calibri"/>
        <family val="2"/>
        <scheme val="minor"/>
      </rPr>
      <t>SUITE LFACP</t>
    </r>
    <r>
      <rPr>
        <sz val="14"/>
        <rFont val="Calibri"/>
        <family val="2"/>
        <scheme val="minor"/>
      </rPr>
      <t xml:space="preserve"> signal disable conditions as follows:</t>
    </r>
  </si>
  <si>
    <r>
      <t>PRESS</t>
    </r>
    <r>
      <rPr>
        <sz val="14"/>
        <rFont val="Calibri"/>
        <family val="2"/>
        <scheme val="minor"/>
      </rPr>
      <t xml:space="preserve"> the button marked </t>
    </r>
    <r>
      <rPr>
        <b/>
        <sz val="14"/>
        <rFont val="Calibri"/>
        <family val="2"/>
        <scheme val="minor"/>
      </rPr>
      <t xml:space="preserve">‘SUITE HVAC’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</si>
  <si>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PRESS</t>
    </r>
    <r>
      <rPr>
        <sz val="14"/>
        <rFont val="Calibri"/>
        <family val="2"/>
        <scheme val="minor"/>
      </rPr>
      <t xml:space="preserve"> the button marked </t>
    </r>
    <r>
      <rPr>
        <b/>
        <sz val="14"/>
        <rFont val="Calibri"/>
        <family val="2"/>
        <scheme val="minor"/>
      </rPr>
      <t>‘SUITE HSO’</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</si>
  <si>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PRESS</t>
    </r>
    <r>
      <rPr>
        <sz val="14"/>
        <rFont val="Calibri"/>
        <family val="2"/>
        <scheme val="minor"/>
      </rPr>
      <t xml:space="preserve"> the button(s) marked </t>
    </r>
    <r>
      <rPr>
        <b/>
        <sz val="14"/>
        <rFont val="Calibri"/>
        <family val="2"/>
        <scheme val="minor"/>
      </rPr>
      <t xml:space="preserve">‘PRE-ACTION’ </t>
    </r>
    <r>
      <rPr>
        <sz val="14"/>
        <rFont val="Calibri"/>
        <family val="2"/>
        <scheme val="minor"/>
      </rPr>
      <t xml:space="preserve">until the </t>
    </r>
    <r>
      <rPr>
        <b/>
        <i/>
        <sz val="14"/>
        <rFont val="Calibri"/>
        <family val="2"/>
        <scheme val="minor"/>
      </rPr>
      <t>BYPASS</t>
    </r>
    <r>
      <rPr>
        <sz val="14"/>
        <rFont val="Calibri"/>
        <family val="2"/>
        <scheme val="minor"/>
      </rPr>
      <t xml:space="preserve"> indicator(s)</t>
    </r>
    <r>
      <rPr>
        <b/>
        <sz val="14"/>
        <rFont val="Calibri"/>
        <family val="2"/>
        <scheme val="minor"/>
      </rPr>
      <t xml:space="preserve"> ILLUMINATE(S) AMBER.</t>
    </r>
  </si>
  <si>
    <r>
      <t>PRESS</t>
    </r>
    <r>
      <rPr>
        <sz val="14"/>
        <rFont val="Calibri"/>
        <family val="2"/>
        <scheme val="minor"/>
      </rPr>
      <t xml:space="preserve"> the button marked </t>
    </r>
    <r>
      <rPr>
        <b/>
        <sz val="14"/>
        <rFont val="Calibri"/>
        <family val="2"/>
        <scheme val="minor"/>
      </rPr>
      <t xml:space="preserve">‘CEILING SLC’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</si>
  <si>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PRESS</t>
    </r>
    <r>
      <rPr>
        <sz val="14"/>
        <rFont val="Calibri"/>
        <family val="2"/>
        <scheme val="minor"/>
      </rPr>
      <t xml:space="preserve"> the button marked </t>
    </r>
    <r>
      <rPr>
        <b/>
        <sz val="14"/>
        <rFont val="Calibri"/>
        <family val="2"/>
        <scheme val="minor"/>
      </rPr>
      <t xml:space="preserve">‘UNDERFLOOR SLC’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</si>
  <si>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r>
      <t>At Suite HVAC Systems</t>
    </r>
    <r>
      <rPr>
        <b/>
        <sz val="14"/>
        <rFont val="Calibri"/>
        <family val="2"/>
        <scheme val="minor"/>
      </rPr>
      <t xml:space="preserve"> Arm/Disarm Switch </t>
    </r>
    <r>
      <rPr>
        <sz val="14"/>
        <rFont val="Calibri"/>
        <family val="2"/>
        <scheme val="minor"/>
      </rPr>
      <t>located next to the suite FACP</t>
    </r>
    <r>
      <rPr>
        <b/>
        <sz val="14"/>
        <rFont val="Calibri"/>
        <family val="2"/>
        <scheme val="minor"/>
      </rPr>
      <t>:</t>
    </r>
  </si>
  <si>
    <r>
      <t>TURN</t>
    </r>
    <r>
      <rPr>
        <sz val="14"/>
        <rFont val="Calibri"/>
        <family val="2"/>
        <scheme val="minor"/>
      </rPr>
      <t xml:space="preserve"> the switch from </t>
    </r>
    <r>
      <rPr>
        <b/>
        <sz val="14"/>
        <rFont val="Calibri"/>
        <family val="2"/>
        <scheme val="minor"/>
      </rPr>
      <t>ARM</t>
    </r>
    <r>
      <rPr>
        <sz val="14"/>
        <rFont val="Calibri"/>
        <family val="2"/>
        <scheme val="minor"/>
      </rPr>
      <t xml:space="preserve"> to </t>
    </r>
    <r>
      <rPr>
        <b/>
        <sz val="14"/>
        <rFont val="Calibri"/>
        <family val="2"/>
        <scheme val="minor"/>
      </rPr>
      <t>DISARM</t>
    </r>
    <r>
      <rPr>
        <sz val="14"/>
        <rFont val="Calibri"/>
        <family val="2"/>
        <scheme val="minor"/>
      </rPr>
      <t>.</t>
    </r>
  </si>
  <si>
    <r>
      <t>UNLOCK</t>
    </r>
    <r>
      <rPr>
        <sz val="14"/>
        <color theme="1"/>
        <rFont val="Arial"/>
        <family val="2"/>
      </rPr>
      <t xml:space="preserve"> and </t>
    </r>
    <r>
      <rPr>
        <b/>
        <sz val="14"/>
        <color theme="1"/>
        <rFont val="Arial"/>
        <family val="2"/>
      </rPr>
      <t>OPEN</t>
    </r>
    <r>
      <rPr>
        <sz val="14"/>
        <color theme="1"/>
        <rFont val="Arial"/>
        <family val="2"/>
      </rPr>
      <t xml:space="preserve"> cabinet doors. </t>
    </r>
  </si>
  <si>
    <r>
      <t>LOCATE</t>
    </r>
    <r>
      <rPr>
        <sz val="14"/>
        <color theme="1"/>
        <rFont val="Arial"/>
        <family val="2"/>
      </rPr>
      <t xml:space="preserve"> and </t>
    </r>
    <r>
      <rPr>
        <b/>
        <sz val="14"/>
        <color theme="1"/>
        <rFont val="Arial"/>
        <family val="2"/>
      </rPr>
      <t>CLOSE</t>
    </r>
    <r>
      <rPr>
        <sz val="14"/>
        <color theme="1"/>
        <rFont val="Arial"/>
        <family val="2"/>
      </rPr>
      <t xml:space="preserve"> output valve.</t>
    </r>
  </si>
  <si>
    <r>
      <t>SILENCE</t>
    </r>
    <r>
      <rPr>
        <sz val="14"/>
        <color theme="1"/>
        <rFont val="Arial"/>
        <family val="2"/>
      </rPr>
      <t xml:space="preserve"> local pre-action trouble horn/bell.</t>
    </r>
  </si>
  <si>
    <r>
      <t>LOCATE</t>
    </r>
    <r>
      <rPr>
        <sz val="14"/>
        <color theme="1"/>
        <rFont val="Arial"/>
        <family val="2"/>
      </rPr>
      <t xml:space="preserve"> and </t>
    </r>
    <r>
      <rPr>
        <b/>
        <sz val="14"/>
        <color theme="1"/>
        <rFont val="Arial"/>
        <family val="2"/>
      </rPr>
      <t>CLOSE</t>
    </r>
    <r>
      <rPr>
        <sz val="14"/>
        <color theme="1"/>
        <rFont val="Arial"/>
        <family val="2"/>
      </rPr>
      <t xml:space="preserve"> input valve.</t>
    </r>
  </si>
  <si>
    <r>
      <t>LOCATE</t>
    </r>
    <r>
      <rPr>
        <sz val="14"/>
        <color theme="1"/>
        <rFont val="Arial"/>
        <family val="2"/>
      </rPr>
      <t xml:space="preserve"> deluge valve release solenoids. </t>
    </r>
    <r>
      <rPr>
        <b/>
        <sz val="14"/>
        <color theme="1"/>
        <rFont val="Arial"/>
        <family val="2"/>
      </rPr>
      <t>REMOVE</t>
    </r>
    <r>
      <rPr>
        <sz val="14"/>
        <color theme="1"/>
        <rFont val="Arial"/>
        <family val="2"/>
      </rPr>
      <t xml:space="preserve"> nut and electromagnet from solenoids. </t>
    </r>
    <r>
      <rPr>
        <b/>
        <sz val="14"/>
        <color theme="1"/>
        <rFont val="Arial"/>
        <family val="2"/>
      </rPr>
      <t>REPLACE</t>
    </r>
    <r>
      <rPr>
        <sz val="14"/>
        <color theme="1"/>
        <rFont val="Arial"/>
        <family val="2"/>
      </rPr>
      <t xml:space="preserve"> nut onto solenoid shaft. </t>
    </r>
    <r>
      <rPr>
        <b/>
        <sz val="14"/>
        <color theme="1"/>
        <rFont val="Arial"/>
        <family val="2"/>
      </rPr>
      <t>ARRANGE</t>
    </r>
    <r>
      <rPr>
        <sz val="14"/>
        <color theme="1"/>
        <rFont val="Arial"/>
        <family val="2"/>
      </rPr>
      <t xml:space="preserve"> electromagnet so there is a 6-inch minimum distance between solenoid shaft and electromagnet.</t>
    </r>
  </si>
  <si>
    <r>
      <t>LOCATE</t>
    </r>
    <r>
      <rPr>
        <sz val="14"/>
        <color theme="1"/>
        <rFont val="Arial"/>
        <family val="2"/>
      </rPr>
      <t xml:space="preserve"> deluge valve release solenoids. </t>
    </r>
    <r>
      <rPr>
        <b/>
        <sz val="14"/>
        <color theme="1"/>
        <rFont val="Arial"/>
        <family val="2"/>
      </rPr>
      <t>REMOVE</t>
    </r>
    <r>
      <rPr>
        <sz val="14"/>
        <color theme="1"/>
        <rFont val="Arial"/>
        <family val="2"/>
      </rPr>
      <t xml:space="preserve"> nut and electromagnet from solenoids. </t>
    </r>
    <r>
      <rPr>
        <b/>
        <sz val="14"/>
        <color theme="1"/>
        <rFont val="Arial"/>
        <family val="2"/>
      </rPr>
      <t>REPLACE</t>
    </r>
    <r>
      <rPr>
        <sz val="14"/>
        <color theme="1"/>
        <rFont val="Arial"/>
        <family val="2"/>
      </rPr>
      <t xml:space="preserve"> nut onto solenoid shaft. </t>
    </r>
    <r>
      <rPr>
        <b/>
        <sz val="14"/>
        <color theme="1"/>
        <rFont val="Arial"/>
        <family val="2"/>
      </rPr>
      <t>ARRANGE</t>
    </r>
    <r>
      <rPr>
        <sz val="14"/>
        <color theme="1"/>
        <rFont val="Arial"/>
        <family val="2"/>
      </rPr>
      <t xml:space="preserve"> electromagnet so there is a 6 inch minimum distance between solenoid shaft and electromagnet.</t>
    </r>
  </si>
  <si>
    <t>Underfloor smoke detectors, AHU/HVAC EPO, and Pre-Action systems for Suite are now isolated. Testing may now begin. Details of work to be performed as follows:</t>
  </si>
  <si>
    <t>Fire Alarm Contractor will complete the outlined specific preventive maintenance activities defined in the below steps. The following is the scope of work to be performed, in no particular order:</t>
  </si>
  <si>
    <t>Fire Alarm/Pre-Action System</t>
  </si>
  <si>
    <r>
      <t>ACTIVATE</t>
    </r>
    <r>
      <rPr>
        <sz val="14"/>
        <color rgb="FF000000"/>
        <rFont val="Arial"/>
        <family val="2"/>
      </rPr>
      <t xml:space="preserve"> alarm notification appliances and verify all are operational through entire building.</t>
    </r>
  </si>
  <si>
    <r>
      <t>TEST</t>
    </r>
    <r>
      <rPr>
        <sz val="14"/>
        <color rgb="FF000000"/>
        <rFont val="Arial"/>
        <family val="2"/>
      </rPr>
      <t xml:space="preserve"> supervisory device circuits.</t>
    </r>
  </si>
  <si>
    <r>
      <t>DISCONNECT</t>
    </r>
    <r>
      <rPr>
        <sz val="14"/>
        <color rgb="FF000000"/>
        <rFont val="Arial"/>
        <family val="2"/>
      </rPr>
      <t xml:space="preserve"> primary power supply to test secondary power supply.</t>
    </r>
  </si>
  <si>
    <r>
      <t>VERIFY</t>
    </r>
    <r>
      <rPr>
        <sz val="14"/>
        <color rgb="FF000000"/>
        <rFont val="Arial"/>
        <family val="2"/>
      </rPr>
      <t xml:space="preserve"> that the control panel operates properly from secondary power within 30 seconds of disconnecting.</t>
    </r>
  </si>
  <si>
    <r>
      <t>VERIFY</t>
    </r>
    <r>
      <rPr>
        <sz val="14"/>
        <color rgb="FF000000"/>
        <rFont val="Arial"/>
        <family val="2"/>
      </rPr>
      <t xml:space="preserve"> that trouble indicator comes on upon primary power loss.</t>
    </r>
  </si>
  <si>
    <r>
      <t>MEASURE</t>
    </r>
    <r>
      <rPr>
        <sz val="14"/>
        <color rgb="FF000000"/>
        <rFont val="Arial"/>
        <family val="2"/>
      </rPr>
      <t xml:space="preserve"> standby current using manufacturer’s data.</t>
    </r>
  </si>
  <si>
    <r>
      <t>TEST</t>
    </r>
    <r>
      <rPr>
        <sz val="14"/>
        <color rgb="FF000000"/>
        <rFont val="Arial"/>
        <family val="2"/>
      </rPr>
      <t xml:space="preserve"> system under maximum load, including all alarm appliances operating for 5</t>
    </r>
    <r>
      <rPr>
        <b/>
        <sz val="14"/>
        <color rgb="FF000000"/>
        <rFont val="Arial"/>
        <family val="2"/>
      </rPr>
      <t xml:space="preserve"> </t>
    </r>
    <r>
      <rPr>
        <sz val="14"/>
        <color rgb="FF000000"/>
        <rFont val="Arial"/>
        <family val="2"/>
      </rPr>
      <t>minutes.</t>
    </r>
  </si>
  <si>
    <t>Reconnect all power supplies at the end of the test.</t>
  </si>
  <si>
    <r>
      <t>TEST</t>
    </r>
    <r>
      <rPr>
        <sz val="14"/>
        <color rgb="FF000000"/>
        <rFont val="Arial"/>
        <family val="2"/>
      </rPr>
      <t xml:space="preserve"> lamps and light emitting diodes (LED's)</t>
    </r>
  </si>
  <si>
    <r>
      <t>VERIFY</t>
    </r>
    <r>
      <rPr>
        <sz val="14"/>
        <color rgb="FF000000"/>
        <rFont val="Arial"/>
        <family val="2"/>
      </rPr>
      <t xml:space="preserve"> that annunciator accurately reports all alarms and trouble signals.</t>
    </r>
  </si>
  <si>
    <r>
      <t>TEST</t>
    </r>
    <r>
      <rPr>
        <sz val="14"/>
        <color rgb="FF000000"/>
        <rFont val="Arial"/>
        <family val="2"/>
      </rPr>
      <t xml:space="preserve"> all control unit functions.</t>
    </r>
  </si>
  <si>
    <r>
      <t>TEST</t>
    </r>
    <r>
      <rPr>
        <sz val="14"/>
        <color rgb="FF000000"/>
        <rFont val="Arial"/>
        <family val="2"/>
      </rPr>
      <t xml:space="preserve"> each initiating and signaling circuit for trouble signals.</t>
    </r>
  </si>
  <si>
    <r>
      <t>TEST</t>
    </r>
    <r>
      <rPr>
        <sz val="14"/>
        <color rgb="FF000000"/>
        <rFont val="Arial"/>
        <family val="2"/>
      </rPr>
      <t xml:space="preserve"> all initiation devices (100%) using manufacturer approved aerosol spray. (canned smoke)</t>
    </r>
  </si>
  <si>
    <r>
      <t>TEST</t>
    </r>
    <r>
      <rPr>
        <sz val="14"/>
        <color rgb="FF000000"/>
        <rFont val="Arial"/>
        <family val="2"/>
      </rPr>
      <t xml:space="preserve"> each manual pull station.</t>
    </r>
  </si>
  <si>
    <r>
      <t>RESET</t>
    </r>
    <r>
      <rPr>
        <sz val="14"/>
        <color rgb="FF000000"/>
        <rFont val="Arial"/>
        <family val="2"/>
      </rPr>
      <t xml:space="preserve"> Local Fire Alarm Control Panel.</t>
    </r>
  </si>
  <si>
    <r>
      <t>ENSURE</t>
    </r>
    <r>
      <rPr>
        <sz val="14"/>
        <color theme="1"/>
        <rFont val="Arial"/>
        <family val="2"/>
      </rPr>
      <t xml:space="preserve"> Fire Alarm system is not in an alarm condition. </t>
    </r>
    <r>
      <rPr>
        <b/>
        <sz val="14"/>
        <color theme="1"/>
        <rFont val="Arial"/>
        <family val="2"/>
      </rPr>
      <t>CORRECT</t>
    </r>
    <r>
      <rPr>
        <sz val="14"/>
        <color theme="1"/>
        <rFont val="Arial"/>
        <family val="2"/>
      </rPr>
      <t xml:space="preserve"> condition and </t>
    </r>
    <r>
      <rPr>
        <b/>
        <sz val="14"/>
        <color theme="1"/>
        <rFont val="Arial"/>
        <family val="2"/>
      </rPr>
      <t>RESET</t>
    </r>
    <r>
      <rPr>
        <sz val="14"/>
        <color theme="1"/>
        <rFont val="Arial"/>
        <family val="2"/>
      </rPr>
      <t xml:space="preserve"> if necessary.</t>
    </r>
  </si>
  <si>
    <r>
      <t>LOCATE</t>
    </r>
    <r>
      <rPr>
        <sz val="14"/>
        <color theme="1"/>
        <rFont val="Arial"/>
        <family val="2"/>
      </rPr>
      <t xml:space="preserve"> deluge valve release electro magnet. </t>
    </r>
    <r>
      <rPr>
        <b/>
        <sz val="14"/>
        <color theme="1"/>
        <rFont val="Arial"/>
        <family val="2"/>
      </rPr>
      <t>INSERT</t>
    </r>
    <r>
      <rPr>
        <sz val="14"/>
        <color theme="1"/>
        <rFont val="Arial"/>
        <family val="2"/>
      </rPr>
      <t xml:space="preserve"> ferrous metal object such as screwdriver into opening of electromagnet to confirm electromagnet is not energized, and will not trip solenoid upon replacement. </t>
    </r>
    <r>
      <rPr>
        <b/>
        <sz val="14"/>
        <color theme="1"/>
        <rFont val="Arial"/>
        <family val="2"/>
      </rPr>
      <t>REMOVE</t>
    </r>
    <r>
      <rPr>
        <sz val="14"/>
        <color theme="1"/>
        <rFont val="Arial"/>
        <family val="2"/>
      </rPr>
      <t xml:space="preserve"> nut from solenoid shaft, and </t>
    </r>
    <r>
      <rPr>
        <b/>
        <sz val="14"/>
        <color theme="1"/>
        <rFont val="Arial"/>
        <family val="2"/>
      </rPr>
      <t>REPLACE</t>
    </r>
    <r>
      <rPr>
        <sz val="14"/>
        <color theme="1"/>
        <rFont val="Arial"/>
        <family val="2"/>
      </rPr>
      <t xml:space="preserve"> electromagnet. </t>
    </r>
    <r>
      <rPr>
        <b/>
        <sz val="14"/>
        <color theme="1"/>
        <rFont val="Arial"/>
        <family val="2"/>
      </rPr>
      <t>REPLACE</t>
    </r>
    <r>
      <rPr>
        <sz val="14"/>
        <color theme="1"/>
        <rFont val="Arial"/>
        <family val="2"/>
      </rPr>
      <t xml:space="preserve"> securing nut, and tighten snugly.</t>
    </r>
  </si>
  <si>
    <r>
      <t>LOCATE</t>
    </r>
    <r>
      <rPr>
        <sz val="14"/>
        <color theme="1"/>
        <rFont val="Arial"/>
        <family val="2"/>
      </rPr>
      <t xml:space="preserve"> and </t>
    </r>
    <r>
      <rPr>
        <b/>
        <sz val="14"/>
        <color theme="1"/>
        <rFont val="Arial"/>
        <family val="2"/>
      </rPr>
      <t>OPEN</t>
    </r>
    <r>
      <rPr>
        <sz val="14"/>
        <color theme="1"/>
        <rFont val="Arial"/>
        <family val="2"/>
      </rPr>
      <t xml:space="preserve"> input valve.</t>
    </r>
  </si>
  <si>
    <r>
      <t>LOCATE</t>
    </r>
    <r>
      <rPr>
        <sz val="14"/>
        <color theme="1"/>
        <rFont val="Arial"/>
        <family val="2"/>
      </rPr>
      <t xml:space="preserve"> and </t>
    </r>
    <r>
      <rPr>
        <b/>
        <sz val="14"/>
        <color theme="1"/>
        <rFont val="Arial"/>
        <family val="2"/>
      </rPr>
      <t>OPEN</t>
    </r>
    <r>
      <rPr>
        <sz val="14"/>
        <color theme="1"/>
        <rFont val="Arial"/>
        <family val="2"/>
      </rPr>
      <t xml:space="preserve"> output valve.</t>
    </r>
  </si>
  <si>
    <r>
      <t>CLOSE</t>
    </r>
    <r>
      <rPr>
        <sz val="14"/>
        <color theme="1"/>
        <rFont val="Arial"/>
        <family val="2"/>
      </rPr>
      <t xml:space="preserve"> and </t>
    </r>
    <r>
      <rPr>
        <b/>
        <sz val="14"/>
        <color theme="1"/>
        <rFont val="Arial"/>
        <family val="2"/>
      </rPr>
      <t>LOCK</t>
    </r>
    <r>
      <rPr>
        <sz val="14"/>
        <color theme="1"/>
        <rFont val="Arial"/>
        <family val="2"/>
      </rPr>
      <t xml:space="preserve"> cabinet doors.</t>
    </r>
  </si>
  <si>
    <r>
      <t>VERIFY</t>
    </r>
    <r>
      <rPr>
        <sz val="14"/>
        <rFont val="Calibri"/>
        <family val="2"/>
        <scheme val="minor"/>
      </rPr>
      <t xml:space="preserve"> HVAC system is normal.</t>
    </r>
  </si>
  <si>
    <r>
      <t>PRESS</t>
    </r>
    <r>
      <rPr>
        <sz val="14"/>
        <rFont val="Calibri"/>
        <family val="2"/>
        <scheme val="minor"/>
      </rPr>
      <t xml:space="preserve"> the button marked </t>
    </r>
    <r>
      <rPr>
        <b/>
        <sz val="14"/>
        <rFont val="Calibri"/>
        <family val="2"/>
        <scheme val="minor"/>
      </rPr>
      <t xml:space="preserve">‘SUITE HVAC’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</si>
  <si>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r>
      <t>PRESS</t>
    </r>
    <r>
      <rPr>
        <sz val="14"/>
        <rFont val="Calibri"/>
        <family val="2"/>
        <scheme val="minor"/>
      </rPr>
      <t xml:space="preserve"> the button marked </t>
    </r>
    <r>
      <rPr>
        <b/>
        <sz val="14"/>
        <rFont val="Calibri"/>
        <family val="2"/>
        <scheme val="minor"/>
      </rPr>
      <t>‘SUITE HSO’</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</si>
  <si>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r>
      <t>PRESS</t>
    </r>
    <r>
      <rPr>
        <sz val="14"/>
        <rFont val="Calibri"/>
        <family val="2"/>
        <scheme val="minor"/>
      </rPr>
      <t xml:space="preserve"> the button(s) marked </t>
    </r>
    <r>
      <rPr>
        <b/>
        <sz val="14"/>
        <rFont val="Calibri"/>
        <family val="2"/>
        <scheme val="minor"/>
      </rPr>
      <t xml:space="preserve">‘PRE-ACTION’ </t>
    </r>
    <r>
      <rPr>
        <sz val="14"/>
        <rFont val="Calibri"/>
        <family val="2"/>
        <scheme val="minor"/>
      </rPr>
      <t xml:space="preserve">until the </t>
    </r>
    <r>
      <rPr>
        <b/>
        <i/>
        <sz val="14"/>
        <rFont val="Calibri"/>
        <family val="2"/>
        <scheme val="minor"/>
      </rPr>
      <t>BYPASS</t>
    </r>
    <r>
      <rPr>
        <sz val="14"/>
        <rFont val="Calibri"/>
        <family val="2"/>
        <scheme val="minor"/>
      </rPr>
      <t xml:space="preserve"> indicator(s)</t>
    </r>
    <r>
      <rPr>
        <b/>
        <sz val="14"/>
        <rFont val="Calibri"/>
        <family val="2"/>
        <scheme val="minor"/>
      </rPr>
      <t xml:space="preserve"> ILLUMINATE(S) GREEN.</t>
    </r>
  </si>
  <si>
    <r>
      <t>PRESS</t>
    </r>
    <r>
      <rPr>
        <sz val="14"/>
        <rFont val="Calibri"/>
        <family val="2"/>
        <scheme val="minor"/>
      </rPr>
      <t xml:space="preserve"> the button marked </t>
    </r>
    <r>
      <rPr>
        <b/>
        <sz val="14"/>
        <rFont val="Calibri"/>
        <family val="2"/>
        <scheme val="minor"/>
      </rPr>
      <t xml:space="preserve">‘LOCAL BELL SILENCE’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EXTINGUISHES.</t>
    </r>
  </si>
  <si>
    <t>ENABLE PBB AUDIO/STROBES CONTROL</t>
  </si>
  <si>
    <r>
      <t>PRESS</t>
    </r>
    <r>
      <rPr>
        <sz val="14"/>
        <rFont val="Calibri"/>
        <family val="2"/>
        <scheme val="minor"/>
      </rPr>
      <t xml:space="preserve"> the button marked ‘</t>
    </r>
    <r>
      <rPr>
        <b/>
        <sz val="14"/>
        <rFont val="Calibri"/>
        <family val="2"/>
        <scheme val="minor"/>
      </rPr>
      <t>GENERAL</t>
    </r>
    <r>
      <rPr>
        <sz val="14"/>
        <rFont val="Calibri"/>
        <family val="2"/>
        <scheme val="minor"/>
      </rPr>
      <t xml:space="preserve"> </t>
    </r>
    <r>
      <rPr>
        <b/>
        <sz val="14"/>
        <rFont val="Calibri"/>
        <family val="2"/>
        <scheme val="minor"/>
      </rPr>
      <t>EVAC</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</si>
  <si>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r>
      <t>PRESS</t>
    </r>
    <r>
      <rPr>
        <sz val="14"/>
        <rFont val="Calibri"/>
        <family val="2"/>
        <scheme val="minor"/>
      </rPr>
      <t xml:space="preserve"> the button marked ‘</t>
    </r>
    <r>
      <rPr>
        <b/>
        <i/>
        <sz val="14"/>
        <rFont val="Calibri"/>
        <family val="2"/>
        <scheme val="minor"/>
      </rPr>
      <t>HVAC</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</si>
  <si>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r>
      <t>PRESS</t>
    </r>
    <r>
      <rPr>
        <sz val="14"/>
        <rFont val="Calibri"/>
        <family val="2"/>
        <scheme val="minor"/>
      </rPr>
      <t xml:space="preserve"> the button marked ‘</t>
    </r>
    <r>
      <rPr>
        <b/>
        <sz val="14"/>
        <rFont val="Calibri"/>
        <family val="2"/>
        <scheme val="minor"/>
      </rPr>
      <t>ELEVATOR</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</si>
  <si>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r>
      <t>PRESS</t>
    </r>
    <r>
      <rPr>
        <sz val="14"/>
        <rFont val="Calibri"/>
        <family val="2"/>
        <scheme val="minor"/>
      </rPr>
      <t xml:space="preserve"> the button marked ‘</t>
    </r>
    <r>
      <rPr>
        <b/>
        <sz val="14"/>
        <rFont val="Calibri"/>
        <family val="2"/>
        <scheme val="minor"/>
      </rPr>
      <t>DOOR LOCK</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</si>
  <si>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t>Perform Pre-Testing Notification and Callout</t>
  </si>
  <si>
    <t>Notify Emergency 24; call system out for all conditions. Contact number: 1-800-827-3624</t>
  </si>
  <si>
    <t>Disable PBB Fire System Signals</t>
  </si>
  <si>
    <t>Press the button marked ‘GENERAL EVAC’ until the bypass indicator illuminates amber.</t>
  </si>
  <si>
    <t>Press the button marked ‘HVAC’ until the bypass indicator illuminates amber.</t>
  </si>
  <si>
    <t>Press the button marked ‘ELEVATOR’ until the bypass indicator illuminates amber.</t>
  </si>
  <si>
    <t>Press the button marked ‘DOOR LOCK’ until the bypass indicator illuminates amber.</t>
  </si>
  <si>
    <t>Press the button marked ‘SUITE HVAC’ until the bypass indicator illuminates amber.</t>
  </si>
  <si>
    <t>Press the button marked ‘SUITE HSO’ until the bypass indicator illuminates amber.</t>
  </si>
  <si>
    <t>Press the button marked ‘PRE-ACTION A/B’ until the bypass indicator illuminates amber.</t>
  </si>
  <si>
    <t>Press the button marked ‘PRE-ACTION C/D’ until the bypass indicator illuminates amber.</t>
  </si>
  <si>
    <t>Press the button marked ‘LOCAL BELL SILENCE’ until the bypass indicator illuminates amber.</t>
  </si>
  <si>
    <t>Turn the HVAC Shutoff (HSO) switch from arm to disarm.</t>
  </si>
  <si>
    <t xml:space="preserve">Unlock and open doors. </t>
  </si>
  <si>
    <t xml:space="preserve">Remove nut and electromagnet from deluge valve release solenoid.  </t>
  </si>
  <si>
    <t>Replace nut onto solenoid shaft.</t>
  </si>
  <si>
    <t>Arrange electromagnet so there is a 6 inch minimum distance between solenoid shaft and electromagnet.</t>
  </si>
  <si>
    <t>Close output valve.</t>
  </si>
  <si>
    <t>Silence local Pre-Action trouble horn/bell.</t>
  </si>
  <si>
    <t>Close input valve.</t>
  </si>
  <si>
    <t>Test all water flow alarms.</t>
  </si>
  <si>
    <t>Test valve supervisory devices.</t>
  </si>
  <si>
    <t>Check all gauges to ensure they are in good condition and pressures are correct.</t>
  </si>
  <si>
    <t>Inspect alarm devices to verify they are free from damage.</t>
  </si>
  <si>
    <t>Verify hydraulic nameplate is visible and legible.</t>
  </si>
  <si>
    <t>Inspect Fire Department connections.</t>
  </si>
  <si>
    <t>Test priming water levels in supervised dry systems.</t>
  </si>
  <si>
    <t>Test low nitrogen/air pressure alarm signals.</t>
  </si>
  <si>
    <t>Open input valve.</t>
  </si>
  <si>
    <t>Open the main drain valve.</t>
  </si>
  <si>
    <t>Test the solenoid by activating the releasing circuit and verifying that the valve operated. (No water flow to protected areas.)</t>
  </si>
  <si>
    <t>Close the main drain valve.</t>
  </si>
  <si>
    <t>Restore nitrogen/air pressure to deluge valve to reseat connection.</t>
  </si>
  <si>
    <t>Open output valve.</t>
  </si>
  <si>
    <t>Insert ferrous metal object such as screwdriver into opening of electromagnet to confirm electromagnet is not energized.</t>
  </si>
  <si>
    <t xml:space="preserve">Reinstall nut and electromagnet on deluge valve release solenoid.  </t>
  </si>
  <si>
    <t>Close and lock the Pre-Action cabinet doors.</t>
  </si>
  <si>
    <t>Verify no alarm conditions exist at the Local Fire Alarm Control Panel.</t>
  </si>
  <si>
    <t>Press the button marked ‘SUITE HVAC’ until the bypass indicator illuminates green.</t>
  </si>
  <si>
    <t>Press the button marked ‘SUITE HSO’ until the bypass indicator illuminates green.</t>
  </si>
  <si>
    <t>Press the button marked ‘PRE-ACTION A/B’ until the bypass indicator illuminates green.</t>
  </si>
  <si>
    <t>Press the button marked ‘PRE-ACTION C/D’ until the bypass indicator illuminates green.</t>
  </si>
  <si>
    <t>Press the button marked ‘LOCAL BELL SILENCE’ until the bypass indicator extinguishes.</t>
  </si>
  <si>
    <t>Verify the red indicator light is not illuminated.</t>
  </si>
  <si>
    <t>Turn the HVAC Shutoff (HSO) switch from disarm to arm.</t>
  </si>
  <si>
    <t>Restore PBB Fire System Signals</t>
  </si>
  <si>
    <t>Press the button marked ‘GENERAL EVAC’ until the bypass indicator illuminates green.</t>
  </si>
  <si>
    <t>Press the button marked ‘HVAC’ until the bypass indicator illuminates green.</t>
  </si>
  <si>
    <t>Press the button marked ‘ELEVATOR’ until the bypass indicator illuminates green.</t>
  </si>
  <si>
    <t>Press the button marked ‘DOOR LOCK’ until the bypass indicator illuminates green.</t>
  </si>
  <si>
    <t>Reply to the email from ENGWashingtonCustomerServiceDesk@fmglobal.com with the following message: "Please close this impairment."</t>
  </si>
  <si>
    <t>Secure the Fire Watch.</t>
  </si>
  <si>
    <r>
      <t xml:space="preserve">At </t>
    </r>
    <r>
      <rPr>
        <b/>
        <u/>
        <sz val="14"/>
        <rFont val="Calibri"/>
        <family val="2"/>
        <scheme val="minor"/>
      </rPr>
      <t>Base Building FACP</t>
    </r>
    <r>
      <rPr>
        <sz val="14"/>
        <rFont val="Calibri"/>
        <family val="2"/>
        <scheme val="minor"/>
      </rPr>
      <t>:</t>
    </r>
  </si>
  <si>
    <r>
      <t>PRESS</t>
    </r>
    <r>
      <rPr>
        <sz val="14"/>
        <rFont val="Calibri"/>
        <family val="2"/>
        <scheme val="minor"/>
      </rPr>
      <t xml:space="preserve"> the button marked </t>
    </r>
    <r>
      <rPr>
        <b/>
        <sz val="14"/>
        <rFont val="Calibri"/>
        <family val="2"/>
        <scheme val="minor"/>
      </rPr>
      <t xml:space="preserve">‘STROBES’ </t>
    </r>
    <r>
      <rPr>
        <sz val="14"/>
        <rFont val="Calibri"/>
        <family val="2"/>
        <scheme val="minor"/>
      </rPr>
      <t xml:space="preserve">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AMBER.</t>
    </r>
  </si>
  <si>
    <t>INSPECT &amp; TEST SPRINKLER SYSTEM</t>
  </si>
  <si>
    <t>Sprinkler Room</t>
  </si>
  <si>
    <t>Sprinkler System</t>
  </si>
  <si>
    <t>Open each inspectors test valve and verify receipt of alarm signal within 90 seconds.</t>
  </si>
  <si>
    <t>Perform a main drain test of each riser.</t>
  </si>
  <si>
    <t xml:space="preserve">Test water flow alarms by opening the inspector test connection. </t>
  </si>
  <si>
    <t>Inspect gauges to be sure they are in good condition and that normal water supply pressure is being maintained.</t>
  </si>
  <si>
    <t>Inspect all alarm devices to verify they are free from damage.</t>
  </si>
  <si>
    <t>Visually inspect fire department connections.</t>
  </si>
  <si>
    <t>Once completed with all testing acknowledge and clear all alarms. Verify no active alarms are present.</t>
  </si>
  <si>
    <r>
      <rPr>
        <b/>
        <sz val="14"/>
        <color theme="1"/>
        <rFont val="Calibri"/>
        <family val="2"/>
      </rPr>
      <t>VERIFY</t>
    </r>
    <r>
      <rPr>
        <sz val="14"/>
        <color theme="1"/>
        <rFont val="Calibri"/>
        <family val="2"/>
      </rPr>
      <t xml:space="preserve"> Fire Alarm System control panel indicates as clear, with no alarms or troubles. </t>
    </r>
    <r>
      <rPr>
        <b/>
        <sz val="14"/>
        <color theme="1"/>
        <rFont val="Calibri"/>
        <family val="2"/>
      </rPr>
      <t>RESET</t>
    </r>
    <r>
      <rPr>
        <sz val="14"/>
        <color theme="1"/>
        <rFont val="Calibri"/>
        <family val="2"/>
      </rPr>
      <t xml:space="preserve"> if necessary.</t>
    </r>
  </si>
  <si>
    <r>
      <t>PRESS</t>
    </r>
    <r>
      <rPr>
        <sz val="14"/>
        <rFont val="Calibri"/>
        <family val="2"/>
        <scheme val="minor"/>
      </rPr>
      <t xml:space="preserve"> the button marked </t>
    </r>
    <r>
      <rPr>
        <b/>
        <sz val="14"/>
        <rFont val="Calibri"/>
        <family val="2"/>
        <scheme val="minor"/>
      </rPr>
      <t>‘STROBES’</t>
    </r>
    <r>
      <rPr>
        <sz val="14"/>
        <rFont val="Calibri"/>
        <family val="2"/>
        <scheme val="minor"/>
      </rPr>
      <t xml:space="preserve"> until the </t>
    </r>
    <r>
      <rPr>
        <b/>
        <i/>
        <sz val="14"/>
        <rFont val="Calibri"/>
        <family val="2"/>
        <scheme val="minor"/>
      </rPr>
      <t>BYPASS</t>
    </r>
    <r>
      <rPr>
        <sz val="14"/>
        <rFont val="Calibri"/>
        <family val="2"/>
        <scheme val="minor"/>
      </rPr>
      <t xml:space="preserve"> indicator</t>
    </r>
    <r>
      <rPr>
        <b/>
        <sz val="14"/>
        <rFont val="Calibri"/>
        <family val="2"/>
        <scheme val="minor"/>
      </rPr>
      <t xml:space="preserve"> ILLUMINATES GREEN.</t>
    </r>
  </si>
  <si>
    <t>RETURN ALARM MONITORING SYSTEMS TO SERVICE</t>
  </si>
  <si>
    <r>
      <t>NOTIFY</t>
    </r>
    <r>
      <rPr>
        <sz val="14"/>
        <rFont val="Calibri"/>
        <family val="2"/>
        <scheme val="minor"/>
      </rPr>
      <t xml:space="preserve"> Emergency 24; call system out for TROUBLES ONLY. Contact number: 1-800-827-3624</t>
    </r>
  </si>
  <si>
    <t>RA2 Breaker</t>
  </si>
  <si>
    <t>Unplug point of use UPS for the redundant PLC and use an extension cord to plug it into a wall outlet.</t>
  </si>
  <si>
    <t>Press "OK".</t>
  </si>
  <si>
    <t>Substation</t>
  </si>
  <si>
    <t>Bass Electric</t>
  </si>
  <si>
    <t xml:space="preserve">At the end of the De-Energized inspection the electrical vendor will confirm all tools have been removed from the switchgear and all covers have been re-installed before moving on to the next steps. </t>
  </si>
  <si>
    <t>Vendor Foreman (Print): __________________________________</t>
  </si>
  <si>
    <t>Vendor Foreman Signature: ___________________________________</t>
  </si>
  <si>
    <t>Verify all switchboard covers are closed and secure.</t>
  </si>
  <si>
    <t>Ensure all breakers racked-in and returned to the open position.</t>
  </si>
  <si>
    <t>Remove extension cord from wall socket and plug point of use UPS into original outlet in cabinet.</t>
  </si>
  <si>
    <t>Enter the username and password</t>
  </si>
  <si>
    <r>
      <t>NOTIFY</t>
    </r>
    <r>
      <rPr>
        <sz val="14"/>
        <rFont val="Calibri"/>
        <family val="2"/>
        <scheme val="minor"/>
      </rPr>
      <t xml:space="preserve"> the engineer stationed on base that maintenance is complete.</t>
    </r>
  </si>
  <si>
    <r>
      <t>Confirm a “</t>
    </r>
    <r>
      <rPr>
        <b/>
        <sz val="14"/>
        <rFont val="Calibri"/>
        <family val="2"/>
        <scheme val="minor"/>
      </rPr>
      <t>Red Permit</t>
    </r>
    <r>
      <rPr>
        <sz val="14"/>
        <rFont val="Calibri"/>
        <family val="2"/>
        <scheme val="minor"/>
      </rPr>
      <t xml:space="preserve">” has been submitted and approved. Notify FM Global at 1-888-201-8943.
</t>
    </r>
    <r>
      <rPr>
        <b/>
        <sz val="14"/>
        <rFont val="Calibri"/>
        <family val="2"/>
        <scheme val="minor"/>
      </rPr>
      <t>Operator number:</t>
    </r>
    <r>
      <rPr>
        <sz val="14"/>
        <rFont val="Calibri"/>
        <family val="2"/>
        <scheme val="minor"/>
      </rPr>
      <t xml:space="preserve"> ____</t>
    </r>
  </si>
  <si>
    <t>PREPARE FOR DE-ENERGIZED ELECTRICAL MAINTENANCE</t>
  </si>
  <si>
    <t>Raised Floor</t>
  </si>
  <si>
    <t xml:space="preserve">Install perforated floor tiles adjacent to PDUs B1, B2, B3, B4, and B5 to increase PDU ventilation and prevent overheating. </t>
  </si>
  <si>
    <t>EPO Panel</t>
  </si>
  <si>
    <t>Insert key into switch marked EPO Inhibit (HVAC).</t>
  </si>
  <si>
    <t>Rotate the key 90 degrees until the EPO INHIBIT ON indicator illuminates.</t>
  </si>
  <si>
    <t>Insert key into switch marked EPO Inhibit (PDUs). Rotate 90 degrees until the EPO INHIBIT ON indicator illuminates.</t>
  </si>
  <si>
    <t>Verify all CRAC units are still online.</t>
  </si>
  <si>
    <t>NOTATE the kW reading on UPA Critical Bus Panel Meter: _________</t>
  </si>
  <si>
    <t>NOTATE the kW reading on UPB Critical Bus Panel Meter: _________</t>
  </si>
  <si>
    <t>UPA/UPB</t>
  </si>
  <si>
    <t>Add the UPA and UPB kW readings: ________</t>
  </si>
  <si>
    <t>If the combined UPA and UPB kW value is greater than 1200 kW, stop and inform the MOP facilitator to discuss with the customer.</t>
  </si>
  <si>
    <t>Bodine Switches</t>
  </si>
  <si>
    <t xml:space="preserve">Verify that all Bodine switches located in suite/electrical rooms/pre-action cabinets have all sources available. Notify manager of any discrepancies before proceeding. </t>
  </si>
  <si>
    <t>ATSs</t>
  </si>
  <si>
    <t xml:space="preserve">Verify that all ATSs located in the electrical rooms have all sources available. Notify manager of any discrepancies before proceeding. </t>
  </si>
  <si>
    <t>NOTATE the kW reading on UPS-A1:  ___________</t>
  </si>
  <si>
    <t>NOTATE the kW reading on UPS-A2:  ___________</t>
  </si>
  <si>
    <t>NOTATE the kW reading on UPS-B1:  ___________</t>
  </si>
  <si>
    <t>NOTATE the kW reading on UPS-B2:  ___________</t>
  </si>
  <si>
    <t>TRANSFER 'B' SIDE TO PRIMARY GENERATOR (GB)</t>
  </si>
  <si>
    <t xml:space="preserve">Generator </t>
  </si>
  <si>
    <r>
      <t>RECORD</t>
    </r>
    <r>
      <rPr>
        <sz val="14"/>
        <rFont val="Calibri"/>
        <family val="2"/>
        <scheme val="minor"/>
      </rPr>
      <t xml:space="preserve"> the "Generator Pre-Conditions" prior to the test.</t>
    </r>
  </si>
  <si>
    <t>ROP B</t>
  </si>
  <si>
    <r>
      <t>TOUCH</t>
    </r>
    <r>
      <rPr>
        <sz val="14"/>
        <rFont val="Calibri"/>
        <family val="2"/>
        <scheme val="minor"/>
      </rPr>
      <t xml:space="preserve"> the </t>
    </r>
    <r>
      <rPr>
        <b/>
        <u/>
        <sz val="14"/>
        <rFont val="Calibri"/>
        <family val="2"/>
        <scheme val="minor"/>
      </rPr>
      <t>LOG ON</t>
    </r>
    <r>
      <rPr>
        <sz val="14"/>
        <rFont val="Calibri"/>
        <family val="2"/>
        <scheme val="minor"/>
      </rPr>
      <t xml:space="preserve"> button on the ROP.</t>
    </r>
    <r>
      <rPr>
        <b/>
        <sz val="14"/>
        <rFont val="Calibri"/>
        <family val="2"/>
        <scheme val="minor"/>
      </rPr>
      <t xml:space="preserve"> </t>
    </r>
    <r>
      <rPr>
        <sz val="14"/>
        <rFont val="Calibri"/>
        <family val="2"/>
        <scheme val="minor"/>
      </rPr>
      <t xml:space="preserve">You will be prompted for a </t>
    </r>
    <r>
      <rPr>
        <b/>
        <sz val="14"/>
        <rFont val="Calibri"/>
        <family val="2"/>
        <scheme val="minor"/>
      </rPr>
      <t>USERNAME</t>
    </r>
    <r>
      <rPr>
        <sz val="14"/>
        <rFont val="Calibri"/>
        <family val="2"/>
        <scheme val="minor"/>
      </rPr>
      <t xml:space="preserve"> and</t>
    </r>
    <r>
      <rPr>
        <b/>
        <sz val="14"/>
        <rFont val="Calibri"/>
        <family val="2"/>
        <scheme val="minor"/>
      </rPr>
      <t xml:space="preserve"> PASSWORD.</t>
    </r>
  </si>
  <si>
    <r>
      <t>PRESS</t>
    </r>
    <r>
      <rPr>
        <sz val="14"/>
        <rFont val="Calibri"/>
        <family val="2"/>
        <scheme val="minor"/>
      </rPr>
      <t xml:space="preserve"> the </t>
    </r>
    <r>
      <rPr>
        <b/>
        <u/>
        <sz val="14"/>
        <rFont val="Calibri"/>
        <family val="2"/>
        <scheme val="minor"/>
      </rPr>
      <t>OK</t>
    </r>
    <r>
      <rPr>
        <sz val="14"/>
        <rFont val="Calibri"/>
        <family val="2"/>
        <scheme val="minor"/>
      </rPr>
      <t xml:space="preserve"> button.</t>
    </r>
  </si>
  <si>
    <r>
      <t xml:space="preserve">TOUCH </t>
    </r>
    <r>
      <rPr>
        <sz val="14"/>
        <rFont val="Calibri"/>
        <family val="2"/>
        <scheme val="minor"/>
      </rPr>
      <t xml:space="preserve">the </t>
    </r>
    <r>
      <rPr>
        <b/>
        <u/>
        <sz val="14"/>
        <rFont val="Calibri"/>
        <family val="2"/>
        <scheme val="minor"/>
      </rPr>
      <t>SINGLE LINE</t>
    </r>
    <r>
      <rPr>
        <b/>
        <sz val="14"/>
        <rFont val="Calibri"/>
        <family val="2"/>
        <scheme val="minor"/>
      </rPr>
      <t xml:space="preserve"> </t>
    </r>
    <r>
      <rPr>
        <sz val="14"/>
        <rFont val="Calibri"/>
        <family val="2"/>
        <scheme val="minor"/>
      </rPr>
      <t>button on the graphic</t>
    </r>
    <r>
      <rPr>
        <b/>
        <sz val="14"/>
        <rFont val="Calibri"/>
        <family val="2"/>
        <scheme val="minor"/>
      </rPr>
      <t>.</t>
    </r>
  </si>
  <si>
    <r>
      <t>ENSURE</t>
    </r>
    <r>
      <rPr>
        <sz val="14"/>
        <rFont val="Calibri"/>
        <family val="2"/>
        <scheme val="minor"/>
      </rPr>
      <t xml:space="preserve"> that </t>
    </r>
    <r>
      <rPr>
        <b/>
        <u/>
        <sz val="14"/>
        <rFont val="Calibri"/>
        <family val="2"/>
        <scheme val="minor"/>
      </rPr>
      <t>SWITCHBOARD SYSTEM</t>
    </r>
    <r>
      <rPr>
        <sz val="14"/>
        <rFont val="Calibri"/>
        <family val="2"/>
        <scheme val="minor"/>
      </rPr>
      <t xml:space="preserve"> is in </t>
    </r>
    <r>
      <rPr>
        <b/>
        <i/>
        <sz val="14"/>
        <rFont val="Calibri"/>
        <family val="2"/>
        <scheme val="minor"/>
      </rPr>
      <t>AUTO</t>
    </r>
    <r>
      <rPr>
        <sz val="14"/>
        <rFont val="Calibri"/>
        <family val="2"/>
        <scheme val="minor"/>
      </rPr>
      <t xml:space="preserve"> and "ReTransfer Mode" is in </t>
    </r>
    <r>
      <rPr>
        <b/>
        <i/>
        <sz val="14"/>
        <rFont val="Calibri"/>
        <family val="2"/>
        <scheme val="minor"/>
      </rPr>
      <t>AUTOMATIC</t>
    </r>
    <r>
      <rPr>
        <b/>
        <sz val="14"/>
        <rFont val="Calibri"/>
        <family val="2"/>
        <scheme val="minor"/>
      </rPr>
      <t xml:space="preserve">. </t>
    </r>
    <r>
      <rPr>
        <sz val="14"/>
        <rFont val="Calibri"/>
        <family val="2"/>
        <scheme val="minor"/>
      </rPr>
      <t>This information can be found in the upper left hand corner of the ROP screen.</t>
    </r>
  </si>
  <si>
    <r>
      <t xml:space="preserve">TOUCH </t>
    </r>
    <r>
      <rPr>
        <sz val="14"/>
        <rFont val="Calibri"/>
        <family val="2"/>
        <scheme val="minor"/>
      </rPr>
      <t xml:space="preserve">the </t>
    </r>
    <r>
      <rPr>
        <b/>
        <u/>
        <sz val="14"/>
        <rFont val="Calibri"/>
        <family val="2"/>
        <scheme val="minor"/>
      </rPr>
      <t>SERVICE</t>
    </r>
    <r>
      <rPr>
        <b/>
        <sz val="14"/>
        <rFont val="Calibri"/>
        <family val="2"/>
        <scheme val="minor"/>
      </rPr>
      <t xml:space="preserve"> </t>
    </r>
    <r>
      <rPr>
        <sz val="14"/>
        <rFont val="Calibri"/>
        <family val="2"/>
        <scheme val="minor"/>
      </rPr>
      <t>button on the graphic</t>
    </r>
    <r>
      <rPr>
        <b/>
        <sz val="14"/>
        <rFont val="Calibri"/>
        <family val="2"/>
        <scheme val="minor"/>
      </rPr>
      <t>.</t>
    </r>
  </si>
  <si>
    <r>
      <t>TOUCH</t>
    </r>
    <r>
      <rPr>
        <sz val="14"/>
        <rFont val="Calibri"/>
        <family val="2"/>
        <scheme val="minor"/>
      </rPr>
      <t xml:space="preserve"> the </t>
    </r>
    <r>
      <rPr>
        <b/>
        <u/>
        <sz val="14"/>
        <rFont val="Calibri"/>
        <family val="2"/>
        <scheme val="minor"/>
      </rPr>
      <t>PLC STATUS</t>
    </r>
    <r>
      <rPr>
        <sz val="14"/>
        <rFont val="Calibri"/>
        <family val="2"/>
        <scheme val="minor"/>
      </rPr>
      <t xml:space="preserve"> button on the graphic.</t>
    </r>
  </si>
  <si>
    <r>
      <t>VERIFY</t>
    </r>
    <r>
      <rPr>
        <sz val="14"/>
        <rFont val="Calibri"/>
        <family val="2"/>
        <scheme val="minor"/>
      </rPr>
      <t xml:space="preserve"> there are no solid red indicators listed on the screen.</t>
    </r>
  </si>
  <si>
    <r>
      <t>VERIFY</t>
    </r>
    <r>
      <rPr>
        <sz val="14"/>
        <rFont val="Calibri"/>
        <family val="2"/>
        <scheme val="minor"/>
      </rPr>
      <t xml:space="preserve"> all heartbeat indicators are flashing.</t>
    </r>
  </si>
  <si>
    <r>
      <rPr>
        <b/>
        <u/>
        <sz val="14"/>
        <rFont val="Calibri"/>
        <family val="2"/>
        <scheme val="minor"/>
      </rPr>
      <t>TOUCH</t>
    </r>
    <r>
      <rPr>
        <sz val="14"/>
        <rFont val="Calibri"/>
        <family val="2"/>
        <scheme val="minor"/>
      </rPr>
      <t xml:space="preserve"> the </t>
    </r>
    <r>
      <rPr>
        <b/>
        <u/>
        <sz val="14"/>
        <rFont val="Calibri"/>
        <family val="2"/>
        <scheme val="minor"/>
      </rPr>
      <t>ALARMS</t>
    </r>
    <r>
      <rPr>
        <sz val="14"/>
        <rFont val="Calibri"/>
        <family val="2"/>
        <scheme val="minor"/>
      </rPr>
      <t xml:space="preserve"> button.</t>
    </r>
  </si>
  <si>
    <t>VERIFY there are no alarms present other than the ‘27/81’ alarms on breaker BG.</t>
  </si>
  <si>
    <r>
      <rPr>
        <b/>
        <u/>
        <sz val="14"/>
        <rFont val="Calibri"/>
        <family val="2"/>
        <scheme val="minor"/>
      </rPr>
      <t>TOUCH</t>
    </r>
    <r>
      <rPr>
        <sz val="14"/>
        <rFont val="Calibri"/>
        <family val="2"/>
        <scheme val="minor"/>
      </rPr>
      <t xml:space="preserve"> the </t>
    </r>
    <r>
      <rPr>
        <b/>
        <u/>
        <sz val="14"/>
        <rFont val="Calibri"/>
        <family val="2"/>
        <scheme val="minor"/>
      </rPr>
      <t>SOURCE SELECT</t>
    </r>
    <r>
      <rPr>
        <sz val="14"/>
        <rFont val="Calibri"/>
        <family val="2"/>
        <scheme val="minor"/>
      </rPr>
      <t xml:space="preserve"> button.</t>
    </r>
  </si>
  <si>
    <t>Using the graphic, SELECT MUBG for SWB.</t>
  </si>
  <si>
    <t>DO NOT CHANGE THE POSITION OF SWA. THIS SHOULD STAY ON THE UTILITY SOURCE.</t>
  </si>
  <si>
    <r>
      <t>DEPRESS and HOLD</t>
    </r>
    <r>
      <rPr>
        <sz val="14"/>
        <rFont val="Calibri"/>
        <family val="2"/>
        <scheme val="minor"/>
      </rPr>
      <t xml:space="preserve"> the </t>
    </r>
    <r>
      <rPr>
        <b/>
        <u/>
        <sz val="14"/>
        <rFont val="Calibri"/>
        <family val="2"/>
        <scheme val="minor"/>
      </rPr>
      <t>PUSH TO INITIATE</t>
    </r>
    <r>
      <rPr>
        <sz val="14"/>
        <rFont val="Calibri"/>
        <family val="2"/>
        <scheme val="minor"/>
      </rPr>
      <t xml:space="preserve"> button (blue) until graphic animation indicates button depressed to initialize sequence. </t>
    </r>
    <r>
      <rPr>
        <b/>
        <sz val="14"/>
        <rFont val="Calibri"/>
        <family val="2"/>
        <scheme val="minor"/>
      </rPr>
      <t>TRANSFER IN PROGRESS</t>
    </r>
    <r>
      <rPr>
        <sz val="14"/>
        <rFont val="Calibri"/>
        <family val="2"/>
        <scheme val="minor"/>
      </rPr>
      <t xml:space="preserve"> will be indicated on graphic.</t>
    </r>
  </si>
  <si>
    <r>
      <t>SWITCHBOARD SYSTEM</t>
    </r>
    <r>
      <rPr>
        <sz val="14"/>
        <rFont val="Calibri"/>
        <family val="2"/>
        <scheme val="minor"/>
      </rPr>
      <t xml:space="preserve"> will transfer automatically, possibly via active </t>
    </r>
    <r>
      <rPr>
        <b/>
        <i/>
        <sz val="14"/>
        <rFont val="Calibri"/>
        <family val="2"/>
        <scheme val="minor"/>
      </rPr>
      <t>CLOSED</t>
    </r>
    <r>
      <rPr>
        <sz val="14"/>
        <rFont val="Calibri"/>
        <family val="2"/>
        <scheme val="minor"/>
      </rPr>
      <t xml:space="preserve"> transition. If synchronization of sources is not achieved within timer, system will complete transfer via </t>
    </r>
    <r>
      <rPr>
        <b/>
        <i/>
        <sz val="14"/>
        <rFont val="Calibri"/>
        <family val="2"/>
        <scheme val="minor"/>
      </rPr>
      <t>OPEN</t>
    </r>
    <r>
      <rPr>
        <sz val="14"/>
        <rFont val="Calibri"/>
        <family val="2"/>
        <scheme val="minor"/>
      </rPr>
      <t xml:space="preserve"> transition.</t>
    </r>
  </si>
  <si>
    <r>
      <t>SELECT</t>
    </r>
    <r>
      <rPr>
        <sz val="14"/>
        <rFont val="Calibri"/>
        <family val="2"/>
        <scheme val="minor"/>
      </rPr>
      <t xml:space="preserve"> the </t>
    </r>
    <r>
      <rPr>
        <b/>
        <u/>
        <sz val="14"/>
        <rFont val="Calibri"/>
        <family val="2"/>
        <scheme val="minor"/>
      </rPr>
      <t>SINGLE LINE</t>
    </r>
    <r>
      <rPr>
        <sz val="14"/>
        <rFont val="Calibri"/>
        <family val="2"/>
        <scheme val="minor"/>
      </rPr>
      <t xml:space="preserve"> tab to confirm that the transfer has been made.</t>
    </r>
  </si>
  <si>
    <r>
      <t xml:space="preserve">The </t>
    </r>
    <r>
      <rPr>
        <b/>
        <u/>
        <sz val="14"/>
        <rFont val="Calibri"/>
        <family val="2"/>
        <scheme val="minor"/>
      </rPr>
      <t>SWITCHBOARD SYSTEM</t>
    </r>
    <r>
      <rPr>
        <sz val="14"/>
        <rFont val="Calibri"/>
        <family val="2"/>
        <scheme val="minor"/>
      </rPr>
      <t xml:space="preserve"> will change the "ReTransfer Mode" from </t>
    </r>
    <r>
      <rPr>
        <b/>
        <i/>
        <sz val="14"/>
        <rFont val="Calibri"/>
        <family val="2"/>
        <scheme val="minor"/>
      </rPr>
      <t xml:space="preserve">AUTOMATIC to MANUAL. </t>
    </r>
    <r>
      <rPr>
        <sz val="14"/>
        <rFont val="Calibri"/>
        <family val="2"/>
        <scheme val="minor"/>
      </rPr>
      <t>You will be required to change to Automatic Transfer at test completion.</t>
    </r>
  </si>
  <si>
    <t>VERIFY breaker MUBG on switchboard SWB CLOSES as indicated by color change from GREEN to RED.</t>
  </si>
  <si>
    <t>VERIFY breaker MUBT on switchboard SWB OPENS as indicated by color change from RED to GREEN.</t>
  </si>
  <si>
    <t>VERIFY before and after transfer readings are within 10kW.</t>
  </si>
  <si>
    <t>SWB</t>
  </si>
  <si>
    <t>VERIFY breaker MUBG is CLOSED.</t>
  </si>
  <si>
    <t>VERIFY breaker MUBT is OPEN.</t>
  </si>
  <si>
    <t>Apply LOTO to breaker MUBT.</t>
  </si>
  <si>
    <t>VERIFY breaker UPS-B1 is CLOSED.</t>
  </si>
  <si>
    <t>VERIFY breaker UPS-B2 is CLOSED.</t>
  </si>
  <si>
    <t>VERIFY breaker MCBUPB is CLOSED.</t>
  </si>
  <si>
    <t>VERIFY breaker U1 is CLOSED.</t>
  </si>
  <si>
    <t>SWA</t>
  </si>
  <si>
    <t>VERIFY breaker MRAG is OPEN.</t>
  </si>
  <si>
    <t>VERIFY breaker MUAT is CLOSED.</t>
  </si>
  <si>
    <t>VERIFY breaker UPS-A1 is CLOSED.</t>
  </si>
  <si>
    <t>VERIFY breaker UPS-A2 is CLOSED.</t>
  </si>
  <si>
    <t>VERIFY breaker MCBUPA is CLOSED.</t>
  </si>
  <si>
    <r>
      <t>VERIFY</t>
    </r>
    <r>
      <rPr>
        <sz val="14"/>
        <rFont val="Calibri"/>
        <family val="2"/>
        <scheme val="minor"/>
      </rPr>
      <t xml:space="preserve"> all UPS systems are on-line with no critical alarms present.</t>
    </r>
  </si>
  <si>
    <r>
      <t xml:space="preserve">VERIFY </t>
    </r>
    <r>
      <rPr>
        <sz val="14"/>
        <rFont val="Calibri"/>
        <family val="2"/>
        <scheme val="minor"/>
      </rPr>
      <t>the mechanical cooling system continues to provide adequate and appropriate cooling to Data Center and Electric Rooms.</t>
    </r>
  </si>
  <si>
    <r>
      <t>VERIFY</t>
    </r>
    <r>
      <rPr>
        <sz val="14"/>
        <rFont val="Calibri"/>
        <family val="2"/>
        <scheme val="minor"/>
      </rPr>
      <t xml:space="preserve"> status of Local Fire Alarm Control Panel (</t>
    </r>
    <r>
      <rPr>
        <b/>
        <u/>
        <sz val="14"/>
        <rFont val="Calibri"/>
        <family val="2"/>
        <scheme val="minor"/>
      </rPr>
      <t>LFACP</t>
    </r>
    <r>
      <rPr>
        <sz val="14"/>
        <rFont val="Calibri"/>
        <family val="2"/>
        <scheme val="minor"/>
      </rPr>
      <t xml:space="preserve">) for expected supervisory condition: </t>
    </r>
    <r>
      <rPr>
        <b/>
        <sz val="14"/>
        <rFont val="Calibri"/>
        <family val="2"/>
        <scheme val="minor"/>
      </rPr>
      <t>"Generator Running".</t>
    </r>
  </si>
  <si>
    <r>
      <rPr>
        <b/>
        <u/>
        <sz val="14"/>
        <rFont val="Calibri"/>
        <family val="2"/>
        <scheme val="minor"/>
      </rPr>
      <t>RECORD</t>
    </r>
    <r>
      <rPr>
        <sz val="14"/>
        <rFont val="Calibri"/>
        <family val="2"/>
        <scheme val="minor"/>
      </rPr>
      <t xml:space="preserve"> running values for the generator when it starts and at 15 minute intervals thereafter until the cooldown sequence is complete.</t>
    </r>
  </si>
  <si>
    <t>PREPARE TO SHUTDOWN CUSTOMER 'A' SIDE LOADS SUPPORTED BY UPA</t>
  </si>
  <si>
    <t>NOTATE the kW reading on PDU-A1 as indicated by breaker-mounted metering: _________</t>
  </si>
  <si>
    <t>NOTATE the kW reading on PDU-A2 as indicated by breaker-mounted metering: _________</t>
  </si>
  <si>
    <t>NOTATE the kW reading on PDU-A3 as indicated by breaker-mounted metering: _________</t>
  </si>
  <si>
    <t>NOTATE the kW reading on PDU-A4 as indicated by breaker-mounted metering: _________</t>
  </si>
  <si>
    <t>NOTATE the kW reading on PDU-A5 as indicated by breaker-mounted metering: _________</t>
  </si>
  <si>
    <t>NOTATE the kW reading on PDU-B1 as indicated by breaker-mounted metering: _________</t>
  </si>
  <si>
    <t>NOTATE the kW reading on PDU-B2 as indicated by breaker-mounted metering: _________</t>
  </si>
  <si>
    <t>NOTATE the kW reading on PDU-B3 as indicated by breaker-mounted metering: _________</t>
  </si>
  <si>
    <t>NOTATE the kW reading on PDU-B4 as indicated by breaker-mounted metering: _________</t>
  </si>
  <si>
    <t>NOTATE the kW reading on PDU-B5 as indicated by breaker-mounted metering: _________</t>
  </si>
  <si>
    <t>PDU-A1</t>
  </si>
  <si>
    <t>NOTATE the kW reading on PDU-A1 as indicated on the PDU display: _________</t>
  </si>
  <si>
    <t>PBU-B1</t>
  </si>
  <si>
    <t>NOTATE the kW reading on PDU-B1 as indicated on the PDU display: _________</t>
  </si>
  <si>
    <t>PDU-A1/B1</t>
  </si>
  <si>
    <t>Add readings from previous 2 steps:  __________ kW</t>
  </si>
  <si>
    <t>PDU-A2</t>
  </si>
  <si>
    <t>NOTATE the kW reading on PDU-A2 as indicated on the PDU display: _________</t>
  </si>
  <si>
    <t>PBU-B2</t>
  </si>
  <si>
    <t>NOTATE the kW reading on PDU-B2 as indicated on the PDU display: _________</t>
  </si>
  <si>
    <t>PDU-A2/B2</t>
  </si>
  <si>
    <t>PDU-A3</t>
  </si>
  <si>
    <t>NOTATE the kW reading on PDU-A3 as indicated on the PDU display: _________</t>
  </si>
  <si>
    <t>PBU-B3</t>
  </si>
  <si>
    <t>NOTATE the kW reading on PDU-B3 as indicated on the PDU display: _________</t>
  </si>
  <si>
    <t>PDU-A3/B3</t>
  </si>
  <si>
    <t>PDU-A4</t>
  </si>
  <si>
    <t>NOTATE the kW reading on PDU-A4 as indicated on the PDU display: _________</t>
  </si>
  <si>
    <t>PBU-B4</t>
  </si>
  <si>
    <t>NOTATE the kW reading on PDU-B4 as indicated on the PDU display: _________</t>
  </si>
  <si>
    <t>PDU-A4/B4</t>
  </si>
  <si>
    <t>PDU-A5</t>
  </si>
  <si>
    <t>NOTATE the kW reading on PDU-A5 as indicated on the PDU display: _________</t>
  </si>
  <si>
    <t>PBU-B5</t>
  </si>
  <si>
    <t>NOTATE the kW reading on PDU-B5 as indicated on the PDU display: _________</t>
  </si>
  <si>
    <t>PDU-A5/B5</t>
  </si>
  <si>
    <t>SHUTDOWN CUSTOMER 'A' SIDE LOADS SUPPORTED BY UPA</t>
  </si>
  <si>
    <t>Contact the MOP facilitator to verify that the customer is prepared to have power removed from 'A' side sources.</t>
  </si>
  <si>
    <t>NOTE: If the customer is unavailable to de-energize their loads at the RPPs, contact the MOP facilitator to verify that the customer has granted permission to DLR Engineers to de-energize their loads at the RPPs.</t>
  </si>
  <si>
    <t>Using cones and barriers, establish a limited approach boundary around PDU-A1.</t>
  </si>
  <si>
    <t>OPEN door on right side of PDU-A1.</t>
  </si>
  <si>
    <t>Place current probe around “C” phase of the load side of PDU-A1 subfeed breaker #1.</t>
  </si>
  <si>
    <t xml:space="preserve">Record current for “C” phase of the load side of PDU-A1 subfeed beaker #1: ______ Amps. </t>
  </si>
  <si>
    <t>With current probe still around conductor, DIRECT customer to start de-energizing loads supplied by PDU-A1 subfeed beaker #1.</t>
  </si>
  <si>
    <t xml:space="preserve">Monitor load shed process while customer is de-energizing branch circuits. </t>
  </si>
  <si>
    <t>Once PDU-A1 subfeed beaker #1 loads are completely de-energized and confirmed with customer, VERIFY current for “C” phase of the load side of PDU-A1 subfeed beaker #1 is 0 Amps. NOTIFY MOP FACILITATOR IF THE CURRENT READING IS NOT 0 AMPS.</t>
  </si>
  <si>
    <t>Place current probe around “C” phase of the load side of PDU-A1 subfeed breaker #2.</t>
  </si>
  <si>
    <t xml:space="preserve">Record current for “C” phase of the load side of PDU-A1 subfeed beaker #2: ______ Amps. </t>
  </si>
  <si>
    <t>With current probe still around conductor, DIRECT customer to start de-energizing loads supplied by PDU-A1 subfeed beaker #2.</t>
  </si>
  <si>
    <t>Once PDU-A1 subfeed beaker #2 loads are completely de-energized and confirmed with customer, VERIFY current for “C” phase of the load side of PDU-A1 subfeed beaker #2 is 0 Amps. NOTIFY MOP FACILITATOR IF THE CURRENT READING IS NOT 0 AMPS.</t>
  </si>
  <si>
    <t>Place current probe around “C” phase of the load side of PDU-A1 subfeed breaker #3.</t>
  </si>
  <si>
    <t xml:space="preserve">Record current for “C” phase of the load side of PDU-A1 subfeed beaker #3: ______ Amps. </t>
  </si>
  <si>
    <t>With current probe still around conductor, DIRECT customer to start de-energizing loads supplied by PDU-A1 subfeed beaker #3.</t>
  </si>
  <si>
    <t>Once PDU-A1 subfeed beaker #3 loads are completely de-energized and confirmed with customer, VERIFY current for “C” phase of the load side of PDU-A1 subfeed beaker #3 is 0 Amps. NOTIFY MOP FACILITATOR IF THE CURRENT READING IS NOT 0 AMPS.</t>
  </si>
  <si>
    <t>Place current probe around “C” phase of the load side of PDU-A1 subfeed breaker #4.</t>
  </si>
  <si>
    <t xml:space="preserve">Record current for “C” phase of the load side of PDU-A1 subfeed beaker #4: ______ Amps. </t>
  </si>
  <si>
    <t>With current probe still around conductor, DIRECT customer to start de-energizing loads supplied by PDU-A1 subfeed beaker #4.</t>
  </si>
  <si>
    <t>Once PDU-A1 subfeed beaker #4 loads are completely de-energized and confirmed with customer, VERIFY current for “C” phase of the load side of PDU-A1 subfeed beaker #4 is 0 Amps. NOTIFY MOP FACILITATOR IF THE CURRENT READING IS NOT 0 AMPS.</t>
  </si>
  <si>
    <t>Place current probe around “C” phase of the load side of PDU-A1 subfeed breaker #5.</t>
  </si>
  <si>
    <t xml:space="preserve">Record current for “C” phase of the load side of PDU-A1 subfeed beaker #5: ______ Amps. </t>
  </si>
  <si>
    <t>With current probe still around conductor, DIRECT customer to start de-energizing loads supplied by PDU-A1 subfeed beaker #5.</t>
  </si>
  <si>
    <t>Once PDU-A1 subfeed beaker #5 loads are completely de-energized and confirmed with customer, VERIFY current for “C” phase of the load side of PDU-A1 subfeed beaker #5 is 0 Amps. NOTIFY MOP FACILITATOR IF THE CURRENT READING IS NOT 0 AMPS.</t>
  </si>
  <si>
    <t>Place current probe around “C” phase of the load side of PDU-A1 subfeed breaker #6.</t>
  </si>
  <si>
    <t xml:space="preserve">Record current for “C” phase of the load side of PDU-A1 subfeed beaker #6: ______ Amps. </t>
  </si>
  <si>
    <t>With current probe still around conductor, DIRECT customer to start de-energizing loads supplied by PDU-A1 subfeed beaker #6.</t>
  </si>
  <si>
    <t>Once PDU-A1 subfeed beaker #6 loads are completely de-energized and confirmed with customer, VERIFY current for “C” phase of the load side of PDU-A1 subfeed beaker #6 is 0 Amps. NOTIFY MOP FACILITATOR IF THE CURRENT READING IS NOT 0 AMPS.</t>
  </si>
  <si>
    <t>CLOSE door on right side of PDU-A1.</t>
  </si>
  <si>
    <t>Disestablish the limited approach boundary around PDU-A1.</t>
  </si>
  <si>
    <t>Using cones and barriers, establish a limited approach boundary around PDU-A2.</t>
  </si>
  <si>
    <t>OPEN door on right side of PDU-A2.</t>
  </si>
  <si>
    <t>Place current probe around “C” phase of the load side of PDU-A2 subfeed breaker #1.</t>
  </si>
  <si>
    <t xml:space="preserve">Record current for “C” phase of the load side of PDU-A2 subfeed beaker #1: ______ Amps. </t>
  </si>
  <si>
    <t>With current probe still around conductor, DIRECT customer to start de-energizing loads supplied by PDU-A2 subfeed beaker #1.</t>
  </si>
  <si>
    <t>Once PDU-A2 subfeed beaker #1 loads are completely de-energized and confirmed with customer, VERIFY current for “C” phase of the load side of PDU-A2 subfeed beaker #1 is 0 Amps. NOTIFY MOP FACILITATOR IF THE CURRENT READING IS NOT 0 AMPS.</t>
  </si>
  <si>
    <t>Place current probe around “C” phase of the load side of PDU-A2 subfeed breaker #2.</t>
  </si>
  <si>
    <t xml:space="preserve">Record current for “C” phase of the load side of PDU-A2 subfeed beaker #2: ______ Amps. </t>
  </si>
  <si>
    <t>With current probe still around conductor, DIRECT customer to start de-energizing loads supplied by PDU-A2 subfeed beaker #2.</t>
  </si>
  <si>
    <t>Once PDU-A2 subfeed beaker #2 loads are completely de-energized and confirmed with customer, VERIFY current for “C” phase of the load side of PDU-A2 subfeed beaker #2 is 0 Amps. NOTIFY MOP FACILITATOR IF THE CURRENT READING IS NOT 0 AMPS.</t>
  </si>
  <si>
    <t>Place current probe around “C” phase of the load side of PDU-A2 subfeed breaker #3.</t>
  </si>
  <si>
    <t xml:space="preserve">Record current for “C” phase of the load side of PDU-A2 subfeed beaker #3: ______ Amps. </t>
  </si>
  <si>
    <t>With current probe still around conductor, DIRECT customer to start de-energizing loads supplied by PDU-A2 subfeed beaker #3.</t>
  </si>
  <si>
    <t>Once PDU-A2 subfeed beaker #3 loads are completely de-energized and confirmed with customer, VERIFY current for “C” phase of the load side of PDU-A2 subfeed beaker #3 is 0 Amps. NOTIFY MOP FACILITATOR IF THE CURRENT READING IS NOT 0 AMPS.</t>
  </si>
  <si>
    <t>Place current probe around “C” phase of the load side of PDU-A2 subfeed breaker #4.</t>
  </si>
  <si>
    <t xml:space="preserve">Record current for “C” phase of the load side of PDU-A2 subfeed beaker #4: ______ Amps. </t>
  </si>
  <si>
    <t>With current probe still around conductor, DIRECT customer to start de-energizing loads supplied by PDU-A2 subfeed beaker #4.</t>
  </si>
  <si>
    <t>Once PDU-A2 subfeed beaker #4 loads are completely de-energized and confirmed with customer, VERIFY current for “C” phase of the load side of PDU-A2 subfeed beaker #4 is 0 Amps. NOTIFY MOP FACILITATOR IF THE CURRENT READING IS NOT 0 AMPS.</t>
  </si>
  <si>
    <t>Place current probe around “C” phase of the load side of PDU-A2 subfeed breaker #5.</t>
  </si>
  <si>
    <t xml:space="preserve">Record current for “C” phase of the load side of PDU-A2 subfeed beaker #5: ______ Amps. </t>
  </si>
  <si>
    <t>With current probe still around conductor, DIRECT customer to start de-energizing loads supplied by PDU-A2 subfeed beaker #5.</t>
  </si>
  <si>
    <t>Once PDU-A2 subfeed beaker #5 loads are completely de-energized and confirmed with customer, VERIFY current for “C” phase of the load side of PDU-A2 subfeed beaker #5 is 0 Amps. NOTIFY MOP FACILITATOR IF THE CURRENT READING IS NOT 0 AMPS.</t>
  </si>
  <si>
    <t>Place current probe around “C” phase of the load side of PDU-A2 subfeed breaker #6.</t>
  </si>
  <si>
    <t xml:space="preserve">Record current for “C” phase of the load side of PDU-A2 subfeed beaker #6: ______ Amps. </t>
  </si>
  <si>
    <t>With current probe still around conductor, DIRECT customer to start de-energizing loads supplied by PDU-A2 subfeed beaker #6.</t>
  </si>
  <si>
    <t>Once PDU-A2 subfeed beaker #6 loads are completely de-energized and confirmed with customer, VERIFY current for “C” phase of the load side of PDU-A2 subfeed beaker #6 is 0 Amps. NOTIFY MOP FACILITATOR IF THE CURRENT READING IS NOT 0 AMPS.</t>
  </si>
  <si>
    <t>CLOSE door on right side of PDU-A2.</t>
  </si>
  <si>
    <t>Disestablish the limited approach boundary around PDU-A2.</t>
  </si>
  <si>
    <t>Using cones and barriers, establish a limited approach boundary around PDU-A3.</t>
  </si>
  <si>
    <t>OPEN door on right side of PDU-A3.</t>
  </si>
  <si>
    <t>Place current probe around “C” phase of the load side of PDU-A3 subfeed breaker #1.</t>
  </si>
  <si>
    <t xml:space="preserve">Record current for “C” phase of the load side of PDU-A3 subfeed beaker #1: ______ Amps. </t>
  </si>
  <si>
    <t>With current probe still around conductor, DIRECT customer to start de-energizing loads supplied by PDU-A3 subfeed beaker #1.</t>
  </si>
  <si>
    <t>Once PDU-A3 subfeed beaker #1 loads are completely de-energized and confirmed with customer, VERIFY current for “C” phase of the load side of PDU-A3 subfeed beaker #1 is 0 Amps. NOTIFY MOP FACILITATOR IF THE CURRENT READING IS NOT 0 AMPS.</t>
  </si>
  <si>
    <t>Place current probe around “C” phase of the load side of PDU-A3 subfeed breaker #2.</t>
  </si>
  <si>
    <t xml:space="preserve">Record current for “C” phase of the load side of PDU-A3 subfeed beaker #2: ______ Amps. </t>
  </si>
  <si>
    <t>With current probe still around conductor, DIRECT customer to start de-energizing loads supplied by PDU-A3 subfeed beaker #2.</t>
  </si>
  <si>
    <t>Once PDU-A3 subfeed beaker #2 loads are completely de-energized and confirmed with customer, VERIFY current for “C” phase of the load side of PDU-A3 subfeed beaker #2 is 0 Amps. NOTIFY MOP FACILITATOR IF THE CURRENT READING IS NOT 0 AMPS.</t>
  </si>
  <si>
    <t>Place current probe around “C” phase of the load side of PDU-A3 subfeed breaker #3.</t>
  </si>
  <si>
    <t xml:space="preserve">Record current for “C” phase of the load side of PDU-A3 subfeed beaker #3: ______ Amps. </t>
  </si>
  <si>
    <t>With current probe still around conductor, DIRECT customer to start de-energizing loads supplied by PDU-A3 subfeed beaker #3.</t>
  </si>
  <si>
    <t>Once PDU-A3 subfeed beaker #3 loads are completely de-energized and confirmed with customer, VERIFY current for “C” phase of the load side of PDU-A3 subfeed beaker #3 is 0 Amps. NOTIFY MOP FACILITATOR IF THE CURRENT READING IS NOT 0 AMPS.</t>
  </si>
  <si>
    <t>Place current probe around “C” phase of the load side of PDU-A3 subfeed breaker #4.</t>
  </si>
  <si>
    <t xml:space="preserve">Record current for “C” phase of the load side of PDU-A3 subfeed beaker #4: ______ Amps. </t>
  </si>
  <si>
    <t>With current probe still around conductor, DIRECT customer to start de-energizing loads supplied by PDU-A3 subfeed beaker #4.</t>
  </si>
  <si>
    <t>Once PDU-A3 subfeed beaker #4 loads are completely de-energized and confirmed with customer, VERIFY current for “C” phase of the load side of PDU-A3 subfeed beaker #4 is 0 Amps. NOTIFY MOP FACILITATOR IF THE CURRENT READING IS NOT 0 AMPS.</t>
  </si>
  <si>
    <t>Place current probe around “C” phase of the load side of PDU-A3 subfeed breaker #5.</t>
  </si>
  <si>
    <t xml:space="preserve">Record current for “C” phase of the load side of PDU-A3 subfeed beaker #5: ______ Amps. </t>
  </si>
  <si>
    <t>With current probe still around conductor, DIRECT customer to start de-energizing loads supplied by PDU-A3 subfeed beaker #5.</t>
  </si>
  <si>
    <t>Once PDU-A3 subfeed beaker #5 loads are completely de-energized and confirmed with customer, VERIFY current for “C” phase of the load side of PDU-A3 subfeed beaker #5 is 0 Amps. NOTIFY MOP FACILITATOR IF THE CURRENT READING IS NOT 0 AMPS.</t>
  </si>
  <si>
    <t>Place current probe around “C” phase of the load side of PDU-A3 subfeed breaker #6.</t>
  </si>
  <si>
    <t xml:space="preserve">Record current for “C” phase of the load side of PDU-A3 subfeed beaker #6: ______ Amps. </t>
  </si>
  <si>
    <t>With current probe still around conductor, DIRECT customer to start de-energizing loads supplied by PDU-A3 subfeed beaker #6.</t>
  </si>
  <si>
    <t>Once PDU-A3 subfeed beaker #6 loads are completely de-energized and confirmed with customer, VERIFY current for “C” phase of the load side of PDU-A3 subfeed beaker #6 is 0 Amps. NOTIFY MOP FACILITATOR IF THE CURRENT READING IS NOT 0 AMPS.</t>
  </si>
  <si>
    <t>CLOSE door on right side of PDU-A3.</t>
  </si>
  <si>
    <t>Disestablish the limited approach boundary around PDU-A3.</t>
  </si>
  <si>
    <t>Using cones and barriers, establish a limited approach boundary around PDU-A4.</t>
  </si>
  <si>
    <t>OPEN door on right side of PDU-A4.</t>
  </si>
  <si>
    <t>Place current probe around “C” phase of the load side of PDU-A4 subfeed breaker #1.</t>
  </si>
  <si>
    <t xml:space="preserve">Record current for “C” phase of the load side of PDU-A4 subfeed beaker #1: ______ Amps. </t>
  </si>
  <si>
    <t>With current probe still around conductor, DIRECT customer to start de-energizing loads supplied by PDU-A4 subfeed beaker #1.</t>
  </si>
  <si>
    <t>Once PDU-A4 subfeed beaker #1 loads are completely de-energized and confirmed with customer, VERIFY current for “C” phase of the load side of PDU-A4 subfeed beaker #1 is 0 Amps. NOTIFY MOP FACILITATOR IF THE CURRENT READING IS NOT 0 AMPS.</t>
  </si>
  <si>
    <t>Place current probe around “C” phase of the load side of PDU-A4 subfeed breaker #2.</t>
  </si>
  <si>
    <t xml:space="preserve">Record current for “C” phase of the load side of PDU-A4 subfeed beaker #2: ______ Amps. </t>
  </si>
  <si>
    <t>With current probe still around conductor, DIRECT customer to start de-energizing loads supplied by PDU-A4 subfeed beaker #2.</t>
  </si>
  <si>
    <t>Once PDU-A4 subfeed beaker #2 loads are completely de-energized and confirmed with customer, VERIFY current for “C” phase of the load side of PDU-A4 subfeed beaker #2 is 0 Amps. NOTIFY MOP FACILITATOR IF THE CURRENT READING IS NOT 0 AMPS.</t>
  </si>
  <si>
    <t>Place current probe around “C” phase of the load side of PDU-A4 subfeed breaker #3.</t>
  </si>
  <si>
    <t xml:space="preserve">Record current for “C” phase of the load side of PDU-A4 subfeed beaker #3: ______ Amps. </t>
  </si>
  <si>
    <t>With current probe still around conductor, DIRECT customer to start de-energizing loads supplied by PDU-A4 subfeed beaker #3.</t>
  </si>
  <si>
    <t>Once PDU-A4 subfeed beaker #3 loads are completely de-energized and confirmed with customer, VERIFY current for “C” phase of the load side of PDU-A4 subfeed beaker #3 is 0 Amps. NOTIFY MOP FACILITATOR IF THE CURRENT READING IS NOT 0 AMPS.</t>
  </si>
  <si>
    <t>Place current probe around “C” phase of the load side of PDU-A4 subfeed breaker #4.</t>
  </si>
  <si>
    <t xml:space="preserve">Record current for “C” phase of the load side of PDU-A4 subfeed beaker #4: ______ Amps. </t>
  </si>
  <si>
    <t>With current probe still around conductor, DIRECT customer to start de-energizing loads supplied by PDU-A4 subfeed beaker #4.</t>
  </si>
  <si>
    <t>Once PDU-A4 subfeed beaker #4 loads are completely de-energized and confirmed with customer, VERIFY current for “C” phase of the load side of PDU-A4 subfeed beaker #4 is 0 Amps. NOTIFY MOP FACILITATOR IF THE CURRENT READING IS NOT 0 AMPS.</t>
  </si>
  <si>
    <t>Place current probe around “C” phase of the load side of PDU-A4 subfeed breaker #5.</t>
  </si>
  <si>
    <t xml:space="preserve">Record current for “C” phase of the load side of PDU-A4 subfeed beaker #5: ______ Amps. </t>
  </si>
  <si>
    <t>With current probe still around conductor, DIRECT customer to start de-energizing loads supplied by PDU-A4 subfeed beaker #5.</t>
  </si>
  <si>
    <t>Once PDU-A4 subfeed beaker #5 loads are completely de-energized and confirmed with customer, VERIFY current for “C” phase of the load side of PDU-A4 subfeed beaker #5 is 0 Amps. NOTIFY MOP FACILITATOR IF THE CURRENT READING IS NOT 0 AMPS.</t>
  </si>
  <si>
    <t>Place current probe around “C” phase of the load side of PDU-A4 subfeed breaker #6.</t>
  </si>
  <si>
    <t xml:space="preserve">Record current for “C” phase of the load side of PDU-A4 subfeed beaker #6: ______ Amps. </t>
  </si>
  <si>
    <t>With current probe still around conductor, DIRECT customer to start de-energizing loads supplied by PDU-A4 subfeed beaker #6.</t>
  </si>
  <si>
    <t>Once PDU-A4 subfeed beaker #6 loads are completely de-energized and confirmed with customer, VERIFY current for “C” phase of the load side of PDU-A4 subfeed beaker #6 is 0 Amps. NOTIFY MOP FACILITATOR IF THE CURRENT READING IS NOT 0 AMPS.</t>
  </si>
  <si>
    <t>CLOSE door on right side of PDU-A4.</t>
  </si>
  <si>
    <t>Disestablish the limited approach boundary around PDU-A4.</t>
  </si>
  <si>
    <t>Using cones and barriers, establish a limited approach boundary around PDU-A5.</t>
  </si>
  <si>
    <t>OPEN door on right side of PDU-A5.</t>
  </si>
  <si>
    <t>Place current probe around “C” phase of the load side of PDU-A5 subfeed breaker #1.</t>
  </si>
  <si>
    <t xml:space="preserve">Record current for “C” phase of the load side of PDU-A5 subfeed beaker #1: ______ Amps. </t>
  </si>
  <si>
    <t>With current probe still around conductor, DIRECT customer to start de-energizing loads supplied by PDU-A5 subfeed beaker #1.</t>
  </si>
  <si>
    <t>Once PDU-A5 subfeed beaker #1 loads are completely de-energized and confirmed with customer, VERIFY current for “C” phase of the load side of PDU-A5 subfeed beaker #1 is 0 Amps. NOTIFY MOP FACILITATOR IF THE CURRENT READING IS NOT 0 AMPS.</t>
  </si>
  <si>
    <t>Place current probe around “C” phase of the load side of PDU-A5 subfeed breaker #2.</t>
  </si>
  <si>
    <t xml:space="preserve">Record current for “C” phase of the load side of PDU-A5 subfeed beaker #2: ______ Amps. </t>
  </si>
  <si>
    <t>With current probe still around conductor, DIRECT customer to start de-energizing loads supplied by PDU-A5 subfeed beaker #2.</t>
  </si>
  <si>
    <t>Once PDU-A5 subfeed beaker #2 loads are completely de-energized and confirmed with customer, VERIFY current for “C” phase of the load side of PDU-A5 subfeed beaker #2 is 0 Amps. NOTIFY MOP FACILITATOR IF THE CURRENT READING IS NOT 0 AMPS.</t>
  </si>
  <si>
    <t>Place current probe around “C” phase of the load side of PDU-A5 subfeed breaker #3.</t>
  </si>
  <si>
    <t xml:space="preserve">Record current for “C” phase of the load side of PDU-A5 subfeed beaker #3: ______ Amps. </t>
  </si>
  <si>
    <t>With current probe still around conductor, DIRECT customer to start de-energizing loads supplied by PDU-A5 subfeed beaker #3.</t>
  </si>
  <si>
    <t>Once PDU-A5 subfeed beaker #3 loads are completely de-energized and confirmed with customer, VERIFY current for “C” phase of the load side of PDU-A5 subfeed beaker #3 is 0 Amps. NOTIFY MOP FACILITATOR IF THE CURRENT READING IS NOT 0 AMPS.</t>
  </si>
  <si>
    <t>Place current probe around “C” phase of the load side of PDU-A5 subfeed breaker #4.</t>
  </si>
  <si>
    <t xml:space="preserve">Record current for “C” phase of the load side of PDU-A5 subfeed beaker #4: ______ Amps. </t>
  </si>
  <si>
    <t>With current probe still around conductor, DIRECT customer to start de-energizing loads supplied by PDU-A5 subfeed beaker #4.</t>
  </si>
  <si>
    <t>Once PDU-A5 subfeed beaker #4 loads are completely de-energized and confirmed with customer, VERIFY current for “C” phase of the load side of PDU-A5 subfeed beaker #4 is 0 Amps. NOTIFY MOP FACILITATOR IF THE CURRENT READING IS NOT 0 AMPS.</t>
  </si>
  <si>
    <t>Place current probe around “C” phase of the load side of PDU-A5 subfeed breaker #5.</t>
  </si>
  <si>
    <t xml:space="preserve">Record current for “C” phase of the load side of PDU-A5 subfeed beaker #5: ______ Amps. </t>
  </si>
  <si>
    <t>With current probe still around conductor, DIRECT customer to start de-energizing loads supplied by PDU-A5 subfeed beaker #5.</t>
  </si>
  <si>
    <t>Once PDU-A5 subfeed beaker #5 loads are completely de-energized and confirmed with customer, VERIFY current for “C” phase of the load side of PDU-A5 subfeed beaker #5 is 0 Amps. NOTIFY MOP FACILITATOR IF THE CURRENT READING IS NOT 0 AMPS.</t>
  </si>
  <si>
    <t>Place current probe around “C” phase of the load side of PDU-A5 subfeed breaker #6.</t>
  </si>
  <si>
    <t xml:space="preserve">Record current for “C” phase of the load side of PDU-A5 subfeed beaker #6: ______ Amps. </t>
  </si>
  <si>
    <t>With current probe still around conductor, DIRECT customer to start de-energizing loads supplied by PDU-A5 subfeed beaker #6.</t>
  </si>
  <si>
    <t>Once PDU-A5 subfeed beaker #6 loads are completely de-energized and confirmed with customer, VERIFY current for “C” phase of the load side of PDU-A5 subfeed beaker #6 is 0 Amps. NOTIFY MOP FACILITATOR IF THE CURRENT READING IS NOT 0 AMPS.</t>
  </si>
  <si>
    <t>CLOSE door on right side of PDU-A5.</t>
  </si>
  <si>
    <t>Disestablish the limited approach boundary around PDU-A5.</t>
  </si>
  <si>
    <t>LOAD VERIFICATION FOLLOWING SHUTDOWN OF CUSTOMER 'A' SIDE LOADS</t>
  </si>
  <si>
    <t>UPA Switchboard</t>
  </si>
  <si>
    <t>UPB Switchboard</t>
  </si>
  <si>
    <t>UPA &amp; UPB Switchboards</t>
  </si>
  <si>
    <t>If the sums of UPA and UPB kW loading from before and after shutting down 'A' side loads differs by more than 10 kW stop and inform the MOP facilitator.</t>
  </si>
  <si>
    <t>PDU-B1</t>
  </si>
  <si>
    <t>PDU-B2</t>
  </si>
  <si>
    <t>PDU-B3</t>
  </si>
  <si>
    <t>PDU-B4</t>
  </si>
  <si>
    <t>PDU-B5</t>
  </si>
  <si>
    <t>SHUTDOWN 'A' SIDE PDUs</t>
  </si>
  <si>
    <t>RECORD the position of all PDU-A1 subfeed breakers by circling the initial position below.</t>
  </si>
  <si>
    <t>Position of subfeed breaker #1:               CLOSED               OPEN</t>
  </si>
  <si>
    <t>Position of subfeed breaker #2:               CLOSED               OPEN</t>
  </si>
  <si>
    <t>Position of subfeed breaker #3:               CLOSED               OPEN</t>
  </si>
  <si>
    <t>Position of subfeed breaker #4:               CLOSED               OPEN</t>
  </si>
  <si>
    <t>Position of subfeed breaker #5:               CLOSED               OPEN</t>
  </si>
  <si>
    <t>Position of subfeed breaker #6:               CLOSED               OPEN</t>
  </si>
  <si>
    <t>Open subfeed breaker #1 if it was initially in the closed position.</t>
  </si>
  <si>
    <t>Open subfeed breaker #2 if it was initially in the closed position.</t>
  </si>
  <si>
    <t>Open subfeed breaker #3 if it was initially in the closed position.</t>
  </si>
  <si>
    <t>Open subfeed breaker #4 if it was initially in the closed position.</t>
  </si>
  <si>
    <t>Open subfeed breaker #5 if it was initially in the closed position.</t>
  </si>
  <si>
    <t>Open subfeed breaker #6 if it was initially in the closed position.</t>
  </si>
  <si>
    <t>Open the PDU-A1 input breaker.</t>
  </si>
  <si>
    <t>RECORD the position of all PDU-A2 subfeed breakers by circling the initial position below.</t>
  </si>
  <si>
    <t>Open the PDU-A2 input breaker.</t>
  </si>
  <si>
    <t>RECORD the position of all PDU-A3 subfeed breakers by circling the initial position below.</t>
  </si>
  <si>
    <t>Open the PDU-A3 input breaker.</t>
  </si>
  <si>
    <t>RECORD the position of all PDU-A4 subfeed breakers by circling the initial position below.</t>
  </si>
  <si>
    <t>Open the PDU-A4 input breaker.</t>
  </si>
  <si>
    <t>RECORD the position of all PDU-A5 subfeed breakers by circling the initial position below.</t>
  </si>
  <si>
    <t>Open the PDU-A5 input breaker.</t>
  </si>
  <si>
    <t>DE-ENERGIZE UPA OUTPUTS</t>
  </si>
  <si>
    <t>RECORD the position of all breakers supplying 'A' side PDUs by circling the initial position below.</t>
  </si>
  <si>
    <t>Position of breaker supplying PDU-A1:               CLOSED               OPEN</t>
  </si>
  <si>
    <t>Position of breaker supplying PDU-A2:               CLOSED               OPEN</t>
  </si>
  <si>
    <t>Position of breaker supplying PDU-A3:               CLOSED               OPEN</t>
  </si>
  <si>
    <t>Position of breaker supplying PDU-A4:               CLOSED               OPEN</t>
  </si>
  <si>
    <t>Position of breaker supplying PDU-A5:               CLOSED               OPEN</t>
  </si>
  <si>
    <t>Open the breaker marked as supplying PDU-A1 if it was initially in the closed position.</t>
  </si>
  <si>
    <t>Open the breaker marked as supplying PDU-A2 if it was initially in the closed position.</t>
  </si>
  <si>
    <t>Open the breaker marked as supplying PDU-A3 if it was initially in the closed position.</t>
  </si>
  <si>
    <t>Open the breaker marked as supplying PDU-A4 if it was initially in the closed position.</t>
  </si>
  <si>
    <t>Open the breaker marked as supplying PDU-A5 if it was initially in the closed position.</t>
  </si>
  <si>
    <t>Open the breaker marked as supplying UP2A.</t>
  </si>
  <si>
    <t>Confirm UP2A loads transfer to alternate source and are stable as follows:</t>
  </si>
  <si>
    <t>Verify the EPO (HVAC) panel has power available.</t>
  </si>
  <si>
    <t>Verify the EPO (PDU) panel has power available.</t>
  </si>
  <si>
    <t>VERIFY the kW reading on UPA Critical Bus Panel Meter is 0 kW.</t>
  </si>
  <si>
    <t>TRANSFER UPS SYSTEM 'A' TO STATIC BYPASS IN PREPARATION FOR EQUIPMENT SHUTDOWN</t>
  </si>
  <si>
    <t>UPS-A1</t>
  </si>
  <si>
    <r>
      <t>TOUCH</t>
    </r>
    <r>
      <rPr>
        <sz val="14"/>
        <rFont val="Calibri"/>
        <family val="2"/>
        <scheme val="minor"/>
      </rPr>
      <t xml:space="preserve"> the </t>
    </r>
    <r>
      <rPr>
        <b/>
        <u/>
        <sz val="14"/>
        <rFont val="Calibri"/>
        <family val="2"/>
        <scheme val="minor"/>
      </rPr>
      <t>UPS-A1</t>
    </r>
    <r>
      <rPr>
        <sz val="14"/>
        <rFont val="Calibri"/>
        <family val="2"/>
        <scheme val="minor"/>
      </rPr>
      <t xml:space="preserve"> module graphic on the UPS Summary screen.</t>
    </r>
  </si>
  <si>
    <r>
      <t>TOUCH</t>
    </r>
    <r>
      <rPr>
        <sz val="14"/>
        <rFont val="Calibri"/>
        <family val="2"/>
        <scheme val="minor"/>
      </rPr>
      <t xml:space="preserve"> the </t>
    </r>
    <r>
      <rPr>
        <b/>
        <u/>
        <sz val="14"/>
        <rFont val="Calibri"/>
        <family val="2"/>
        <scheme val="minor"/>
      </rPr>
      <t>OPERATION (WRENCH)</t>
    </r>
    <r>
      <rPr>
        <sz val="14"/>
        <rFont val="Calibri"/>
        <family val="2"/>
        <scheme val="minor"/>
      </rPr>
      <t xml:space="preserve"> graphic on the UPS Summary screen.</t>
    </r>
  </si>
  <si>
    <r>
      <t>TOUCH</t>
    </r>
    <r>
      <rPr>
        <sz val="14"/>
        <rFont val="Calibri"/>
        <family val="2"/>
        <scheme val="minor"/>
      </rPr>
      <t xml:space="preserve"> the </t>
    </r>
    <r>
      <rPr>
        <b/>
        <u/>
        <sz val="14"/>
        <rFont val="Calibri"/>
        <family val="2"/>
        <scheme val="minor"/>
      </rPr>
      <t>ONLINE -&gt; STATIC BYPASS</t>
    </r>
    <r>
      <rPr>
        <sz val="14"/>
        <rFont val="Calibri"/>
        <family val="2"/>
        <scheme val="minor"/>
      </rPr>
      <t xml:space="preserve"> button on graphic.</t>
    </r>
  </si>
  <si>
    <t>You will be prompted for a password.</t>
  </si>
  <si>
    <t>Enter the password.</t>
  </si>
  <si>
    <r>
      <t xml:space="preserve">Push </t>
    </r>
    <r>
      <rPr>
        <b/>
        <sz val="14"/>
        <rFont val="Calibri"/>
        <family val="2"/>
        <scheme val="minor"/>
      </rPr>
      <t>ENTER.</t>
    </r>
  </si>
  <si>
    <r>
      <t>TOUCH</t>
    </r>
    <r>
      <rPr>
        <sz val="14"/>
        <rFont val="Calibri"/>
        <family val="2"/>
        <scheme val="minor"/>
      </rPr>
      <t xml:space="preserve"> the </t>
    </r>
    <r>
      <rPr>
        <b/>
        <u/>
        <sz val="14"/>
        <rFont val="Calibri"/>
        <family val="2"/>
        <scheme val="minor"/>
      </rPr>
      <t>INITIATE TRANSFER</t>
    </r>
    <r>
      <rPr>
        <sz val="14"/>
        <rFont val="Calibri"/>
        <family val="2"/>
        <scheme val="minor"/>
      </rPr>
      <t xml:space="preserve"> button on graphic to initiate transfer to </t>
    </r>
    <r>
      <rPr>
        <b/>
        <sz val="14"/>
        <rFont val="Calibri"/>
        <family val="2"/>
        <scheme val="minor"/>
      </rPr>
      <t>STATIC BYPASS</t>
    </r>
    <r>
      <rPr>
        <sz val="14"/>
        <rFont val="Calibri"/>
        <family val="2"/>
        <scheme val="minor"/>
      </rPr>
      <t>.</t>
    </r>
  </si>
  <si>
    <t>UPS-A1/A2</t>
  </si>
  <si>
    <r>
      <rPr>
        <b/>
        <u/>
        <sz val="14"/>
        <rFont val="Calibri"/>
        <family val="2"/>
        <scheme val="minor"/>
      </rPr>
      <t>UPS-A1</t>
    </r>
    <r>
      <rPr>
        <sz val="14"/>
        <rFont val="Calibri"/>
        <family val="2"/>
        <scheme val="minor"/>
      </rPr>
      <t xml:space="preserve"> and </t>
    </r>
    <r>
      <rPr>
        <b/>
        <u/>
        <sz val="14"/>
        <rFont val="Calibri"/>
        <family val="2"/>
        <scheme val="minor"/>
      </rPr>
      <t>UPS-A2</t>
    </r>
    <r>
      <rPr>
        <sz val="14"/>
        <rFont val="Calibri"/>
        <family val="2"/>
        <scheme val="minor"/>
      </rPr>
      <t xml:space="preserve"> will transfer to Static Bypass.</t>
    </r>
  </si>
  <si>
    <t>VERIFY UPS-A1 indicates as in static bypass by following the one line graphic.</t>
  </si>
  <si>
    <t>UPS-A2</t>
  </si>
  <si>
    <t>VERIFY UPS-A2 indicates as in static bypass by following the one line graphic.</t>
  </si>
  <si>
    <t>VERIFY Q7 and Q8 "OK TO OPERATE" lights are lit.</t>
  </si>
  <si>
    <t>Battery Cabinet A1-1</t>
  </si>
  <si>
    <r>
      <t>OPEN</t>
    </r>
    <r>
      <rPr>
        <sz val="14"/>
        <rFont val="Calibri"/>
        <family val="2"/>
        <scheme val="minor"/>
      </rPr>
      <t xml:space="preserve"> Battery Breaker </t>
    </r>
    <r>
      <rPr>
        <b/>
        <u/>
        <sz val="14"/>
        <rFont val="Calibri"/>
        <family val="2"/>
        <scheme val="minor"/>
      </rPr>
      <t>Q7A</t>
    </r>
    <r>
      <rPr>
        <sz val="14"/>
        <rFont val="Calibri"/>
        <family val="2"/>
        <scheme val="minor"/>
      </rPr>
      <t>.</t>
    </r>
  </si>
  <si>
    <t>Apply LOTO to Battery Breaker Q7A.</t>
  </si>
  <si>
    <t>Battery Cabinet A1-2</t>
  </si>
  <si>
    <r>
      <t>OPEN</t>
    </r>
    <r>
      <rPr>
        <sz val="14"/>
        <rFont val="Calibri"/>
        <family val="2"/>
        <scheme val="minor"/>
      </rPr>
      <t xml:space="preserve"> Battery Breaker </t>
    </r>
    <r>
      <rPr>
        <b/>
        <u/>
        <sz val="14"/>
        <rFont val="Calibri"/>
        <family val="2"/>
        <scheme val="minor"/>
      </rPr>
      <t>Q7B</t>
    </r>
    <r>
      <rPr>
        <sz val="14"/>
        <rFont val="Calibri"/>
        <family val="2"/>
        <scheme val="minor"/>
      </rPr>
      <t>.</t>
    </r>
  </si>
  <si>
    <t>Apply LOTO to Battery Breaker Q7B.</t>
  </si>
  <si>
    <t>Battery Cabinet A1-3</t>
  </si>
  <si>
    <r>
      <t>OPEN</t>
    </r>
    <r>
      <rPr>
        <sz val="14"/>
        <rFont val="Calibri"/>
        <family val="2"/>
        <scheme val="minor"/>
      </rPr>
      <t xml:space="preserve"> Battery Breaker </t>
    </r>
    <r>
      <rPr>
        <b/>
        <u/>
        <sz val="14"/>
        <rFont val="Calibri"/>
        <family val="2"/>
        <scheme val="minor"/>
      </rPr>
      <t>Q8A</t>
    </r>
    <r>
      <rPr>
        <sz val="14"/>
        <rFont val="Calibri"/>
        <family val="2"/>
        <scheme val="minor"/>
      </rPr>
      <t>.</t>
    </r>
  </si>
  <si>
    <t>Apply LOTO to Battery Breaker Q8A.</t>
  </si>
  <si>
    <t>Battery Cabinet A1-4</t>
  </si>
  <si>
    <r>
      <t>OPEN</t>
    </r>
    <r>
      <rPr>
        <sz val="14"/>
        <rFont val="Calibri"/>
        <family val="2"/>
        <scheme val="minor"/>
      </rPr>
      <t xml:space="preserve"> Battery Breaker </t>
    </r>
    <r>
      <rPr>
        <b/>
        <u/>
        <sz val="14"/>
        <rFont val="Calibri"/>
        <family val="2"/>
        <scheme val="minor"/>
      </rPr>
      <t>Q8B</t>
    </r>
    <r>
      <rPr>
        <sz val="14"/>
        <rFont val="Calibri"/>
        <family val="2"/>
        <scheme val="minor"/>
      </rPr>
      <t>.</t>
    </r>
  </si>
  <si>
    <t>Apply LOTO to Battery Breaker Q8B.</t>
  </si>
  <si>
    <t>Battery Cabinet A2-1</t>
  </si>
  <si>
    <t>Battery Cabinet A2-2</t>
  </si>
  <si>
    <t>Battery Cabinet A2-3</t>
  </si>
  <si>
    <t>Battery Cabinet A2-4</t>
  </si>
  <si>
    <r>
      <t>OPEN</t>
    </r>
    <r>
      <rPr>
        <sz val="14"/>
        <rFont val="Calibri"/>
        <family val="2"/>
        <scheme val="minor"/>
      </rPr>
      <t xml:space="preserve"> breaker marked as serving </t>
    </r>
    <r>
      <rPr>
        <b/>
        <u/>
        <sz val="14"/>
        <rFont val="Calibri"/>
        <family val="2"/>
        <scheme val="minor"/>
      </rPr>
      <t>UPS-A1</t>
    </r>
    <r>
      <rPr>
        <sz val="14"/>
        <rFont val="Calibri"/>
        <family val="2"/>
        <scheme val="minor"/>
      </rPr>
      <t>.</t>
    </r>
  </si>
  <si>
    <r>
      <t>OPEN</t>
    </r>
    <r>
      <rPr>
        <sz val="14"/>
        <rFont val="Calibri"/>
        <family val="2"/>
        <scheme val="minor"/>
      </rPr>
      <t xml:space="preserve"> breaker marked as serving </t>
    </r>
    <r>
      <rPr>
        <b/>
        <u/>
        <sz val="14"/>
        <rFont val="Calibri"/>
        <family val="2"/>
        <scheme val="minor"/>
      </rPr>
      <t>UPS-A2</t>
    </r>
    <r>
      <rPr>
        <sz val="14"/>
        <rFont val="Calibri"/>
        <family val="2"/>
        <scheme val="minor"/>
      </rPr>
      <t>.</t>
    </r>
  </si>
  <si>
    <t>FULLY DE-ENERGIZE SWA</t>
  </si>
  <si>
    <t>Verify breaker AG is OPEN.</t>
  </si>
  <si>
    <t>Stage an additional Engineer in the CRAC gallery to verify CRACs and humidifiers remain operational while de-energizing panels M4A1 and M4A2.</t>
  </si>
  <si>
    <t>M4A1</t>
  </si>
  <si>
    <t>OPEN the breaker marked for CRAC-X-1</t>
  </si>
  <si>
    <t>OPEN the breaker marked for CRAC-X-2</t>
  </si>
  <si>
    <t>OPEN the breaker marked for CRAC-X-3</t>
  </si>
  <si>
    <t>OPEN the breaker marked for CRAC-X-4</t>
  </si>
  <si>
    <t>OPEN the breaker marked for CRAC-X-5</t>
  </si>
  <si>
    <t>OPEN the breaker marked for H-X-1 (Humidifier)</t>
  </si>
  <si>
    <t>M4A2</t>
  </si>
  <si>
    <t>OPEN the breaker marked for CRAC-X-6</t>
  </si>
  <si>
    <t>OPEN the breaker marked for CRAC-X-7</t>
  </si>
  <si>
    <t>OPEN the breaker marked for CRAC-X-8</t>
  </si>
  <si>
    <t>OPEN the breaker marked for CRAC-X-9</t>
  </si>
  <si>
    <t>OPEN the breaker marked for RTU-2</t>
  </si>
  <si>
    <t>Open breaker M4A1.</t>
  </si>
  <si>
    <t>Open breaker M4A2.</t>
  </si>
  <si>
    <t>Open breaker P4A.</t>
  </si>
  <si>
    <t>P4A Loads</t>
  </si>
  <si>
    <t>Verify P4A loads respond appropriately as follows:</t>
  </si>
  <si>
    <t>Pre-Action Closet</t>
  </si>
  <si>
    <t>Pre-Action Cabinets A/B</t>
  </si>
  <si>
    <t>Verify both Pre-Action cabinets have power available.</t>
  </si>
  <si>
    <t>Verify the LFACP has power available.</t>
  </si>
  <si>
    <t>LCP-B</t>
  </si>
  <si>
    <t>Verify the Lighting Control Panel-B has power available.</t>
  </si>
  <si>
    <t>Smoke Dampers</t>
  </si>
  <si>
    <t>Verify the smoke dampers return to their original position (Closed).</t>
  </si>
  <si>
    <t>Lights</t>
  </si>
  <si>
    <t>Verify lights return (they may flicker momentarily) in the suite and the electrical rooms.</t>
  </si>
  <si>
    <t>ROP A</t>
  </si>
  <si>
    <t>Press the GREEN “Change to Remote MODE” button.</t>
  </si>
  <si>
    <t>Verify Button turns ORANGE and displays "Change to Automatic MODE".</t>
  </si>
  <si>
    <t>Touch the MUAT breaker to populate breaker controls.</t>
  </si>
  <si>
    <t>Using the breaker control buttons now displayed on screen perform the following steps:</t>
  </si>
  <si>
    <t xml:space="preserve">Press the BLUE OPEN button marked for breaker MUAT. </t>
  </si>
  <si>
    <t>Verify breaker MUAT is OPEN.</t>
  </si>
  <si>
    <t>Press the BLUE OPEN button marked for breaker U1.</t>
  </si>
  <si>
    <t>Verify breaker U1 is OPEN.</t>
  </si>
  <si>
    <t>SWR2 ROP</t>
  </si>
  <si>
    <t>Press the Remote Mode option on the ROP to take screen to local control.</t>
  </si>
  <si>
    <t>Expect to see an “RA1 Fail to Close” alarm. No other alarms should be present.</t>
  </si>
  <si>
    <t xml:space="preserve">Press the Auto Mode option on the ROP to take the screen back to Automatic control. </t>
  </si>
  <si>
    <t>Verify no voltage is present on breaker MRAG as indicated by the switchboard mounted metering.</t>
  </si>
  <si>
    <t>Verify no voltage is present on breaker MUAT as indicated by the switchboard mounted metering.</t>
  </si>
  <si>
    <t>Pad Mounted Switchgear</t>
  </si>
  <si>
    <t>SWA/SW1</t>
  </si>
  <si>
    <t>SWA and SW1 have now been de-energized, and testing may safely commence on SWA and SW1.</t>
  </si>
  <si>
    <t>VENDOR CERTIFICATION OF COMPLETION OF INSPECTION</t>
  </si>
  <si>
    <t xml:space="preserve">At the end of the De-Energized inspection the electrical vendor foreman will confirm all tools have been removed from the switchgear and the switchgear is safe to be re-energized before moving on to the next steps. </t>
  </si>
  <si>
    <t>Electrical Vendor (Bopat Electric)</t>
  </si>
  <si>
    <t>Vendor Foreman (Print): __________________________________________</t>
  </si>
  <si>
    <t>Signature: _____________________________________________________</t>
  </si>
  <si>
    <t>RE-ENERGIZE SWA AND SW1 FOLLOWING INSPECTION/TESTING</t>
  </si>
  <si>
    <t>Reset alarms.</t>
  </si>
  <si>
    <t>Verify the "Failed to Close" alarm has cleared.</t>
  </si>
  <si>
    <t>Verify system is in “Manual Transfer Mode”. If not, then press the GREEN “Auto Retransfer Mode” button.</t>
  </si>
  <si>
    <t xml:space="preserve">Press the GREEN “Select to Change to Remote Mode” button. </t>
  </si>
  <si>
    <t>Touch the U1 breaker button to populate breaker controls.</t>
  </si>
  <si>
    <t>Locate breaker U1 on the graphic. Press the BLUE “CLOSE” button to close the breaker.</t>
  </si>
  <si>
    <t>Locate breaker MUAT on the graphic. Press the BLUE “CLOSE” button to close the breaker.</t>
  </si>
  <si>
    <t>Close breaker P4A.</t>
  </si>
  <si>
    <t>LCP-A</t>
  </si>
  <si>
    <t>Verify the Lighting Control Panel-A has power available.</t>
  </si>
  <si>
    <t>Close breaker M4A1.</t>
  </si>
  <si>
    <t>Close breaker M4A2.</t>
  </si>
  <si>
    <t>Stage an additional Engineer in the CRAC gallery to verify CRACs and humidifiers remain operational while re-energizing panels M4A1 and M4A2.</t>
  </si>
  <si>
    <t>CLOSE the breaker marked for CRAC-X-1</t>
  </si>
  <si>
    <t>CLOSE the breaker marked for CRAC-X-2</t>
  </si>
  <si>
    <t>CLOSE the breaker marked for CRAC-X-3</t>
  </si>
  <si>
    <t>CLOSE the breaker marked for CRAC-X-4</t>
  </si>
  <si>
    <t>CLOSE the breaker marked for CRAC-X-5</t>
  </si>
  <si>
    <t>CLOSE the breaker marked for H-X-1 (Humidifier)</t>
  </si>
  <si>
    <t>CLOSE the breaker marked for CRAC-X-6</t>
  </si>
  <si>
    <t>CLOSE the breaker marked for CRAC-X-7</t>
  </si>
  <si>
    <t>CLOSE the breaker marked for CRAC-X-8</t>
  </si>
  <si>
    <t>CLOSE the breaker marked for CRAC-X-9</t>
  </si>
  <si>
    <t>CLOSE the breaker marked for RTU-2</t>
  </si>
  <si>
    <t>RESTART UPS SYSTEM 'A'</t>
  </si>
  <si>
    <t>Remove LOTO from Battery Breaker Q7A.</t>
  </si>
  <si>
    <t>Remove LOTO from Battery Breaker Q7B.</t>
  </si>
  <si>
    <t>Remove LOTO from Battery Breaker Q8A.</t>
  </si>
  <si>
    <t>Remove LOTO from Battery Breaker Q8B.</t>
  </si>
  <si>
    <r>
      <rPr>
        <sz val="14"/>
        <rFont val="Calibri"/>
        <family val="2"/>
        <scheme val="minor"/>
      </rPr>
      <t xml:space="preserve">CLOSE breaker marked as serving </t>
    </r>
    <r>
      <rPr>
        <b/>
        <u/>
        <sz val="14"/>
        <rFont val="Calibri"/>
        <family val="2"/>
        <scheme val="minor"/>
      </rPr>
      <t>UPS-A1</t>
    </r>
    <r>
      <rPr>
        <sz val="14"/>
        <rFont val="Calibri"/>
        <family val="2"/>
        <scheme val="minor"/>
      </rPr>
      <t>.</t>
    </r>
  </si>
  <si>
    <r>
      <rPr>
        <sz val="14"/>
        <rFont val="Calibri"/>
        <family val="2"/>
        <scheme val="minor"/>
      </rPr>
      <t xml:space="preserve">CLOSE breaker marked as serving </t>
    </r>
    <r>
      <rPr>
        <b/>
        <u/>
        <sz val="14"/>
        <rFont val="Calibri"/>
        <family val="2"/>
        <scheme val="minor"/>
      </rPr>
      <t>UPS-A2</t>
    </r>
    <r>
      <rPr>
        <sz val="14"/>
        <rFont val="Calibri"/>
        <family val="2"/>
        <scheme val="minor"/>
      </rPr>
      <t>.</t>
    </r>
  </si>
  <si>
    <t>ALLOW 60-90 seconds for UPS firmware to initialize and touchscreens to display. Expect to hear multiple contactor operations during this time.</t>
  </si>
  <si>
    <r>
      <t>TOUCH</t>
    </r>
    <r>
      <rPr>
        <sz val="14"/>
        <rFont val="Calibri"/>
        <family val="2"/>
        <scheme val="minor"/>
      </rPr>
      <t xml:space="preserve"> the </t>
    </r>
    <r>
      <rPr>
        <b/>
        <u/>
        <sz val="14"/>
        <rFont val="Calibri"/>
        <family val="2"/>
        <scheme val="minor"/>
      </rPr>
      <t>STARTUP</t>
    </r>
    <r>
      <rPr>
        <sz val="14"/>
        <rFont val="Calibri"/>
        <family val="2"/>
        <scheme val="minor"/>
      </rPr>
      <t xml:space="preserve"> button on graphic.</t>
    </r>
  </si>
  <si>
    <r>
      <t>TOUCH</t>
    </r>
    <r>
      <rPr>
        <sz val="14"/>
        <rFont val="Calibri"/>
        <family val="2"/>
        <scheme val="minor"/>
      </rPr>
      <t xml:space="preserve"> the </t>
    </r>
    <r>
      <rPr>
        <b/>
        <sz val="14"/>
        <rFont val="Calibri"/>
        <family val="2"/>
        <scheme val="minor"/>
      </rPr>
      <t>ENTER</t>
    </r>
    <r>
      <rPr>
        <sz val="14"/>
        <rFont val="Calibri"/>
        <family val="2"/>
        <scheme val="minor"/>
      </rPr>
      <t xml:space="preserve"> button at the next prompt. UPS will accept password, and display operational instructions for additional reference.</t>
    </r>
  </si>
  <si>
    <r>
      <t>NOTE:</t>
    </r>
    <r>
      <rPr>
        <sz val="14"/>
        <rFont val="Calibri"/>
        <family val="2"/>
        <scheme val="minor"/>
      </rPr>
      <t xml:space="preserve"> The next several steps, closing of the battery breakers, must be completed within a narrow timeframe. If the battery breakers are not shut during the time which the Q7 and Q8 indicators are illuminated, a restart of the preceeding steps will be required. Follow the onscreen prompts at the UPS. If at least (1) Q7 breaker, but not at least 1 Q8 breaker are shut while the indicators are illuminated, it may be necessary to open the input breaker of the UPS to bleed the DC caps down, and restart the process from that point. There is sufficient time to shut the breakers without rushing, however, do not delay when the UPS indicates to shut the battery breakers.</t>
    </r>
  </si>
  <si>
    <r>
      <t>TOUCH</t>
    </r>
    <r>
      <rPr>
        <sz val="14"/>
        <rFont val="Calibri"/>
        <family val="2"/>
        <scheme val="minor"/>
      </rPr>
      <t xml:space="preserve"> the </t>
    </r>
    <r>
      <rPr>
        <b/>
        <u/>
        <sz val="14"/>
        <rFont val="Calibri"/>
        <family val="2"/>
        <scheme val="minor"/>
      </rPr>
      <t>INITIATE CHARGE</t>
    </r>
    <r>
      <rPr>
        <sz val="14"/>
        <rFont val="Calibri"/>
        <family val="2"/>
        <scheme val="minor"/>
      </rPr>
      <t xml:space="preserve"> button on graphic; this charging may take several minutes.</t>
    </r>
  </si>
  <si>
    <r>
      <t xml:space="preserve">When the DC capacitors are charged, module will direct you to shut battery breakers </t>
    </r>
    <r>
      <rPr>
        <b/>
        <u/>
        <sz val="14"/>
        <rFont val="Calibri"/>
        <family val="2"/>
        <scheme val="minor"/>
      </rPr>
      <t>Q7</t>
    </r>
    <r>
      <rPr>
        <sz val="14"/>
        <rFont val="Calibri"/>
        <family val="2"/>
        <scheme val="minor"/>
      </rPr>
      <t xml:space="preserve"> and </t>
    </r>
    <r>
      <rPr>
        <b/>
        <u/>
        <sz val="14"/>
        <rFont val="Calibri"/>
        <family val="2"/>
        <scheme val="minor"/>
      </rPr>
      <t>Q8</t>
    </r>
    <r>
      <rPr>
        <sz val="14"/>
        <rFont val="Calibri"/>
        <family val="2"/>
        <scheme val="minor"/>
      </rPr>
      <t>.</t>
    </r>
  </si>
  <si>
    <r>
      <t>VERIFY</t>
    </r>
    <r>
      <rPr>
        <sz val="14"/>
        <rFont val="Calibri"/>
        <family val="2"/>
        <scheme val="minor"/>
      </rPr>
      <t xml:space="preserve"> the </t>
    </r>
    <r>
      <rPr>
        <b/>
        <u/>
        <sz val="14"/>
        <rFont val="Calibri"/>
        <family val="2"/>
        <scheme val="minor"/>
      </rPr>
      <t>Q7</t>
    </r>
    <r>
      <rPr>
        <sz val="14"/>
        <rFont val="Calibri"/>
        <family val="2"/>
        <scheme val="minor"/>
      </rPr>
      <t xml:space="preserve"> and </t>
    </r>
    <r>
      <rPr>
        <b/>
        <u/>
        <sz val="14"/>
        <rFont val="Calibri"/>
        <family val="2"/>
        <scheme val="minor"/>
      </rPr>
      <t>Q8</t>
    </r>
    <r>
      <rPr>
        <sz val="14"/>
        <rFont val="Calibri"/>
        <family val="2"/>
        <scheme val="minor"/>
      </rPr>
      <t xml:space="preserve"> "</t>
    </r>
    <r>
      <rPr>
        <b/>
        <sz val="14"/>
        <rFont val="Calibri"/>
        <family val="2"/>
        <scheme val="minor"/>
      </rPr>
      <t>OK TO OPERATE"</t>
    </r>
    <r>
      <rPr>
        <sz val="14"/>
        <rFont val="Calibri"/>
        <family val="2"/>
        <scheme val="minor"/>
      </rPr>
      <t xml:space="preserve"> indicators are </t>
    </r>
    <r>
      <rPr>
        <b/>
        <sz val="14"/>
        <rFont val="Calibri"/>
        <family val="2"/>
        <scheme val="minor"/>
      </rPr>
      <t>ILLUMINATED</t>
    </r>
    <r>
      <rPr>
        <sz val="14"/>
        <rFont val="Calibri"/>
        <family val="2"/>
        <scheme val="minor"/>
      </rPr>
      <t>.</t>
    </r>
  </si>
  <si>
    <t>Close Battery Breaker Q7A.</t>
  </si>
  <si>
    <t>Close Battery Breaker Q7B.</t>
  </si>
  <si>
    <t>Close Battery Breaker Q8A.</t>
  </si>
  <si>
    <t>Close Battery Breaker Q8B.</t>
  </si>
  <si>
    <r>
      <rPr>
        <sz val="14"/>
        <rFont val="Calibri"/>
        <family val="2"/>
        <scheme val="minor"/>
      </rPr>
      <t xml:space="preserve">Close breaker </t>
    </r>
    <r>
      <rPr>
        <b/>
        <u/>
        <sz val="14"/>
        <rFont val="Calibri"/>
        <family val="2"/>
        <scheme val="minor"/>
      </rPr>
      <t>DP-A1</t>
    </r>
    <r>
      <rPr>
        <sz val="14"/>
        <rFont val="Calibri"/>
        <family val="2"/>
        <scheme val="minor"/>
      </rPr>
      <t>. (MOB, Module Output Breaker)</t>
    </r>
  </si>
  <si>
    <r>
      <t>DEPRESS</t>
    </r>
    <r>
      <rPr>
        <sz val="14"/>
        <rFont val="Calibri"/>
        <family val="2"/>
        <scheme val="minor"/>
      </rPr>
      <t xml:space="preserve"> the physical </t>
    </r>
    <r>
      <rPr>
        <b/>
        <u/>
        <sz val="14"/>
        <rFont val="Calibri"/>
        <family val="2"/>
        <scheme val="minor"/>
      </rPr>
      <t>ON</t>
    </r>
    <r>
      <rPr>
        <sz val="14"/>
        <rFont val="Calibri"/>
        <family val="2"/>
        <scheme val="minor"/>
      </rPr>
      <t xml:space="preserve"> button behind the clear protective cover. Expect to hear contactor operations from UPS module and cooling fans to start.</t>
    </r>
  </si>
  <si>
    <r>
      <rPr>
        <b/>
        <sz val="14"/>
        <rFont val="Calibri"/>
        <family val="2"/>
        <scheme val="minor"/>
      </rPr>
      <t>VERIFY</t>
    </r>
    <r>
      <rPr>
        <sz val="14"/>
        <rFont val="Calibri"/>
        <family val="2"/>
        <scheme val="minor"/>
      </rPr>
      <t xml:space="preserve"> the </t>
    </r>
    <r>
      <rPr>
        <b/>
        <u/>
        <sz val="14"/>
        <rFont val="Calibri"/>
        <family val="2"/>
        <scheme val="minor"/>
      </rPr>
      <t>Q2A</t>
    </r>
    <r>
      <rPr>
        <b/>
        <sz val="14"/>
        <rFont val="Calibri"/>
        <family val="2"/>
        <scheme val="minor"/>
      </rPr>
      <t xml:space="preserve"> </t>
    </r>
    <r>
      <rPr>
        <sz val="14"/>
        <rFont val="Calibri"/>
        <family val="2"/>
        <scheme val="minor"/>
      </rPr>
      <t xml:space="preserve">and </t>
    </r>
    <r>
      <rPr>
        <b/>
        <u/>
        <sz val="14"/>
        <rFont val="Calibri"/>
        <family val="2"/>
        <scheme val="minor"/>
      </rPr>
      <t>Q4</t>
    </r>
    <r>
      <rPr>
        <sz val="14"/>
        <rFont val="Calibri"/>
        <family val="2"/>
        <scheme val="minor"/>
      </rPr>
      <t xml:space="preserve"> "</t>
    </r>
    <r>
      <rPr>
        <b/>
        <sz val="14"/>
        <rFont val="Calibri"/>
        <family val="2"/>
        <scheme val="minor"/>
      </rPr>
      <t>OK TO OPERATE"</t>
    </r>
    <r>
      <rPr>
        <sz val="14"/>
        <rFont val="Calibri"/>
        <family val="2"/>
        <scheme val="minor"/>
      </rPr>
      <t xml:space="preserve"> indicators have </t>
    </r>
    <r>
      <rPr>
        <b/>
        <sz val="14"/>
        <rFont val="Calibri"/>
        <family val="2"/>
        <scheme val="minor"/>
      </rPr>
      <t>EXTINGUISHED.</t>
    </r>
  </si>
  <si>
    <r>
      <t>TOUCH</t>
    </r>
    <r>
      <rPr>
        <sz val="14"/>
        <rFont val="Calibri"/>
        <family val="2"/>
        <scheme val="minor"/>
      </rPr>
      <t xml:space="preserve"> the </t>
    </r>
    <r>
      <rPr>
        <b/>
        <u/>
        <sz val="14"/>
        <rFont val="Calibri"/>
        <family val="2"/>
        <scheme val="minor"/>
      </rPr>
      <t>UPS-A2</t>
    </r>
    <r>
      <rPr>
        <sz val="14"/>
        <rFont val="Calibri"/>
        <family val="2"/>
        <scheme val="minor"/>
      </rPr>
      <t xml:space="preserve"> module graphic on the UPS Summary screen.</t>
    </r>
  </si>
  <si>
    <r>
      <rPr>
        <sz val="14"/>
        <rFont val="Calibri"/>
        <family val="2"/>
        <scheme val="minor"/>
      </rPr>
      <t xml:space="preserve">Close breaker </t>
    </r>
    <r>
      <rPr>
        <b/>
        <u/>
        <sz val="14"/>
        <rFont val="Calibri"/>
        <family val="2"/>
        <scheme val="minor"/>
      </rPr>
      <t>DP-A2</t>
    </r>
    <r>
      <rPr>
        <sz val="14"/>
        <rFont val="Calibri"/>
        <family val="2"/>
        <scheme val="minor"/>
      </rPr>
      <t>. (MOB, Module Output Breaker)</t>
    </r>
  </si>
  <si>
    <r>
      <rPr>
        <b/>
        <sz val="14"/>
        <rFont val="Calibri"/>
        <family val="2"/>
        <scheme val="minor"/>
      </rPr>
      <t>VERIFY</t>
    </r>
    <r>
      <rPr>
        <sz val="14"/>
        <rFont val="Calibri"/>
        <family val="2"/>
        <scheme val="minor"/>
      </rPr>
      <t xml:space="preserve"> the </t>
    </r>
    <r>
      <rPr>
        <b/>
        <u/>
        <sz val="14"/>
        <rFont val="Calibri"/>
        <family val="2"/>
        <scheme val="minor"/>
      </rPr>
      <t>Q2B</t>
    </r>
    <r>
      <rPr>
        <b/>
        <sz val="14"/>
        <rFont val="Calibri"/>
        <family val="2"/>
        <scheme val="minor"/>
      </rPr>
      <t xml:space="preserve"> "OK TO OPERATE"</t>
    </r>
    <r>
      <rPr>
        <sz val="14"/>
        <rFont val="Calibri"/>
        <family val="2"/>
        <scheme val="minor"/>
      </rPr>
      <t xml:space="preserve"> indicator has </t>
    </r>
    <r>
      <rPr>
        <b/>
        <sz val="14"/>
        <rFont val="Calibri"/>
        <family val="2"/>
        <scheme val="minor"/>
      </rPr>
      <t>EXTINGUISHED.</t>
    </r>
  </si>
  <si>
    <r>
      <t>TOUCH</t>
    </r>
    <r>
      <rPr>
        <sz val="14"/>
        <rFont val="Calibri"/>
        <family val="2"/>
        <scheme val="minor"/>
      </rPr>
      <t xml:space="preserve"> the </t>
    </r>
    <r>
      <rPr>
        <b/>
        <u/>
        <sz val="14"/>
        <rFont val="Calibri"/>
        <family val="2"/>
        <scheme val="minor"/>
      </rPr>
      <t>BACK</t>
    </r>
    <r>
      <rPr>
        <sz val="14"/>
        <rFont val="Calibri"/>
        <family val="2"/>
        <scheme val="minor"/>
      </rPr>
      <t xml:space="preserve"> graphic button to navigate to the </t>
    </r>
    <r>
      <rPr>
        <b/>
        <sz val="14"/>
        <rFont val="Calibri"/>
        <family val="2"/>
        <scheme val="minor"/>
      </rPr>
      <t>OPERATIONS</t>
    </r>
    <r>
      <rPr>
        <sz val="14"/>
        <rFont val="Calibri"/>
        <family val="2"/>
        <scheme val="minor"/>
      </rPr>
      <t xml:space="preserve"> screen.</t>
    </r>
  </si>
  <si>
    <r>
      <t>TOUCH</t>
    </r>
    <r>
      <rPr>
        <sz val="14"/>
        <rFont val="Calibri"/>
        <family val="2"/>
        <scheme val="minor"/>
      </rPr>
      <t xml:space="preserve"> the </t>
    </r>
    <r>
      <rPr>
        <b/>
        <u/>
        <sz val="14"/>
        <rFont val="Calibri"/>
        <family val="2"/>
        <scheme val="minor"/>
      </rPr>
      <t>INITIATE TRANSFER</t>
    </r>
    <r>
      <rPr>
        <sz val="14"/>
        <rFont val="Calibri"/>
        <family val="2"/>
        <scheme val="minor"/>
      </rPr>
      <t xml:space="preserve"> graphic button. Expect to hear contactor operations from the module.</t>
    </r>
  </si>
  <si>
    <r>
      <rPr>
        <b/>
        <sz val="14"/>
        <rFont val="Calibri"/>
        <family val="2"/>
        <scheme val="minor"/>
      </rPr>
      <t>VERIFY</t>
    </r>
    <r>
      <rPr>
        <sz val="14"/>
        <rFont val="Calibri"/>
        <family val="2"/>
        <scheme val="minor"/>
      </rPr>
      <t xml:space="preserve"> the </t>
    </r>
    <r>
      <rPr>
        <b/>
        <u/>
        <sz val="14"/>
        <rFont val="Calibri"/>
        <family val="2"/>
        <scheme val="minor"/>
      </rPr>
      <t>Q4</t>
    </r>
    <r>
      <rPr>
        <b/>
        <sz val="14"/>
        <rFont val="Calibri"/>
        <family val="2"/>
        <scheme val="minor"/>
      </rPr>
      <t xml:space="preserve"> "OK TO OPERATE"</t>
    </r>
    <r>
      <rPr>
        <sz val="14"/>
        <rFont val="Calibri"/>
        <family val="2"/>
        <scheme val="minor"/>
      </rPr>
      <t xml:space="preserve"> indicator is </t>
    </r>
    <r>
      <rPr>
        <b/>
        <sz val="14"/>
        <rFont val="Calibri"/>
        <family val="2"/>
        <scheme val="minor"/>
      </rPr>
      <t>ILLUMINATED.</t>
    </r>
  </si>
  <si>
    <t>UPS system 'A' is now in static bypass, but separated from UPA due to MCBUPA being open. Customer loads remain on 'B' side PDUs.</t>
  </si>
  <si>
    <t>ENERGIZE UPA</t>
  </si>
  <si>
    <r>
      <rPr>
        <b/>
        <sz val="14"/>
        <rFont val="Calibri"/>
        <family val="2"/>
        <scheme val="minor"/>
      </rPr>
      <t>PUMP</t>
    </r>
    <r>
      <rPr>
        <sz val="14"/>
        <rFont val="Calibri"/>
        <family val="2"/>
        <scheme val="minor"/>
      </rPr>
      <t xml:space="preserve"> the </t>
    </r>
    <r>
      <rPr>
        <b/>
        <u/>
        <sz val="14"/>
        <rFont val="Calibri"/>
        <family val="2"/>
        <scheme val="minor"/>
      </rPr>
      <t>MCBUPA</t>
    </r>
    <r>
      <rPr>
        <sz val="14"/>
        <rFont val="Calibri"/>
        <family val="2"/>
        <scheme val="minor"/>
      </rPr>
      <t xml:space="preserve"> charging handle repeatedly to compress spring and </t>
    </r>
    <r>
      <rPr>
        <b/>
        <sz val="14"/>
        <rFont val="Calibri"/>
        <family val="2"/>
        <scheme val="minor"/>
      </rPr>
      <t>CHARGE</t>
    </r>
    <r>
      <rPr>
        <sz val="14"/>
        <rFont val="Calibri"/>
        <family val="2"/>
        <scheme val="minor"/>
      </rPr>
      <t xml:space="preserve"> breaker.</t>
    </r>
  </si>
  <si>
    <r>
      <t>VERIFY</t>
    </r>
    <r>
      <rPr>
        <sz val="14"/>
        <rFont val="Calibri"/>
        <family val="2"/>
        <scheme val="minor"/>
      </rPr>
      <t xml:space="preserve"> breaker flag indicates </t>
    </r>
    <r>
      <rPr>
        <b/>
        <sz val="14"/>
        <rFont val="Calibri"/>
        <family val="2"/>
        <scheme val="minor"/>
      </rPr>
      <t>"CLOSED"</t>
    </r>
    <r>
      <rPr>
        <sz val="14"/>
        <rFont val="Calibri"/>
        <family val="2"/>
        <scheme val="minor"/>
      </rPr>
      <t>.</t>
    </r>
  </si>
  <si>
    <r>
      <rPr>
        <b/>
        <sz val="14"/>
        <rFont val="Calibri"/>
        <family val="2"/>
        <scheme val="minor"/>
      </rPr>
      <t>VERIFY</t>
    </r>
    <r>
      <rPr>
        <sz val="14"/>
        <rFont val="Calibri"/>
        <family val="2"/>
        <scheme val="minor"/>
      </rPr>
      <t xml:space="preserve"> the </t>
    </r>
    <r>
      <rPr>
        <b/>
        <u/>
        <sz val="14"/>
        <rFont val="Calibri"/>
        <family val="2"/>
        <scheme val="minor"/>
      </rPr>
      <t>Q3</t>
    </r>
    <r>
      <rPr>
        <b/>
        <sz val="14"/>
        <rFont val="Calibri"/>
        <family val="2"/>
        <scheme val="minor"/>
      </rPr>
      <t xml:space="preserve"> "OK TO OPERATE"</t>
    </r>
    <r>
      <rPr>
        <sz val="14"/>
        <rFont val="Calibri"/>
        <family val="2"/>
        <scheme val="minor"/>
      </rPr>
      <t xml:space="preserve"> indicator is </t>
    </r>
    <r>
      <rPr>
        <b/>
        <sz val="14"/>
        <rFont val="Calibri"/>
        <family val="2"/>
        <scheme val="minor"/>
      </rPr>
      <t>ILLUMINATED.</t>
    </r>
  </si>
  <si>
    <r>
      <rPr>
        <b/>
        <sz val="14"/>
        <rFont val="Calibri"/>
        <family val="2"/>
        <scheme val="minor"/>
      </rPr>
      <t>PUMP</t>
    </r>
    <r>
      <rPr>
        <sz val="14"/>
        <rFont val="Calibri"/>
        <family val="2"/>
        <scheme val="minor"/>
      </rPr>
      <t xml:space="preserve"> the </t>
    </r>
    <r>
      <rPr>
        <b/>
        <u/>
        <sz val="14"/>
        <rFont val="Calibri"/>
        <family val="2"/>
        <scheme val="minor"/>
      </rPr>
      <t>MBUPA</t>
    </r>
    <r>
      <rPr>
        <sz val="14"/>
        <rFont val="Calibri"/>
        <family val="2"/>
        <scheme val="minor"/>
      </rPr>
      <t xml:space="preserve"> charging handle repeatedly to compress spring and </t>
    </r>
    <r>
      <rPr>
        <b/>
        <sz val="14"/>
        <rFont val="Calibri"/>
        <family val="2"/>
        <scheme val="minor"/>
      </rPr>
      <t>CHARGE</t>
    </r>
    <r>
      <rPr>
        <sz val="14"/>
        <rFont val="Calibri"/>
        <family val="2"/>
        <scheme val="minor"/>
      </rPr>
      <t xml:space="preserve"> breaker.</t>
    </r>
  </si>
  <si>
    <r>
      <t>VERIFY</t>
    </r>
    <r>
      <rPr>
        <sz val="14"/>
        <rFont val="Calibri"/>
        <family val="2"/>
        <scheme val="minor"/>
      </rPr>
      <t xml:space="preserve"> the </t>
    </r>
    <r>
      <rPr>
        <b/>
        <sz val="14"/>
        <rFont val="Calibri"/>
        <family val="2"/>
        <scheme val="minor"/>
      </rPr>
      <t xml:space="preserve">SKRU </t>
    </r>
    <r>
      <rPr>
        <b/>
        <u/>
        <sz val="14"/>
        <rFont val="Calibri"/>
        <family val="2"/>
        <scheme val="minor"/>
      </rPr>
      <t>RELEASE BUTTON</t>
    </r>
    <r>
      <rPr>
        <sz val="14"/>
        <rFont val="Calibri"/>
        <family val="2"/>
        <scheme val="minor"/>
      </rPr>
      <t xml:space="preserve"> indicator is </t>
    </r>
    <r>
      <rPr>
        <b/>
        <sz val="14"/>
        <rFont val="Calibri"/>
        <family val="2"/>
        <scheme val="minor"/>
      </rPr>
      <t>ILLUMINATED</t>
    </r>
    <r>
      <rPr>
        <sz val="14"/>
        <rFont val="Calibri"/>
        <family val="2"/>
        <scheme val="minor"/>
      </rPr>
      <t>.</t>
    </r>
  </si>
  <si>
    <r>
      <t xml:space="preserve">DEPRESS SKRU </t>
    </r>
    <r>
      <rPr>
        <b/>
        <u/>
        <sz val="14"/>
        <rFont val="Calibri"/>
        <family val="2"/>
        <scheme val="minor"/>
      </rPr>
      <t>RELEASE BUTTON</t>
    </r>
    <r>
      <rPr>
        <sz val="14"/>
        <rFont val="Calibri"/>
        <family val="2"/>
        <scheme val="minor"/>
      </rPr>
      <t xml:space="preserve"> and </t>
    </r>
    <r>
      <rPr>
        <b/>
        <sz val="14"/>
        <rFont val="Calibri"/>
        <family val="2"/>
        <scheme val="minor"/>
      </rPr>
      <t>ROTATE</t>
    </r>
    <r>
      <rPr>
        <sz val="14"/>
        <rFont val="Calibri"/>
        <family val="2"/>
        <scheme val="minor"/>
      </rPr>
      <t xml:space="preserve"> key 180 degrees to </t>
    </r>
    <r>
      <rPr>
        <b/>
        <sz val="14"/>
        <rFont val="Calibri"/>
        <family val="2"/>
        <scheme val="minor"/>
      </rPr>
      <t>RELEASE</t>
    </r>
    <r>
      <rPr>
        <sz val="14"/>
        <rFont val="Calibri"/>
        <family val="2"/>
        <scheme val="minor"/>
      </rPr>
      <t xml:space="preserve"> key.</t>
    </r>
  </si>
  <si>
    <r>
      <t>REMOVE</t>
    </r>
    <r>
      <rPr>
        <sz val="14"/>
        <rFont val="Calibri"/>
        <family val="2"/>
        <scheme val="minor"/>
      </rPr>
      <t xml:space="preserve"> key. </t>
    </r>
  </si>
  <si>
    <r>
      <t>INSERT</t>
    </r>
    <r>
      <rPr>
        <sz val="14"/>
        <rFont val="Calibri"/>
        <family val="2"/>
        <scheme val="minor"/>
      </rPr>
      <t xml:space="preserve"> key into </t>
    </r>
    <r>
      <rPr>
        <b/>
        <sz val="14"/>
        <rFont val="Calibri"/>
        <family val="2"/>
        <scheme val="minor"/>
      </rPr>
      <t xml:space="preserve">MBUPA </t>
    </r>
    <r>
      <rPr>
        <sz val="14"/>
        <rFont val="Calibri"/>
        <family val="2"/>
        <scheme val="minor"/>
      </rPr>
      <t>lock cylinder.</t>
    </r>
  </si>
  <si>
    <r>
      <t>ROTATE</t>
    </r>
    <r>
      <rPr>
        <sz val="14"/>
        <rFont val="Calibri"/>
        <family val="2"/>
        <scheme val="minor"/>
      </rPr>
      <t xml:space="preserve"> key 90 degrees to </t>
    </r>
    <r>
      <rPr>
        <b/>
        <sz val="14"/>
        <rFont val="Calibri"/>
        <family val="2"/>
        <scheme val="minor"/>
      </rPr>
      <t>UNLOCK</t>
    </r>
    <r>
      <rPr>
        <sz val="14"/>
        <rFont val="Calibri"/>
        <family val="2"/>
        <scheme val="minor"/>
      </rPr>
      <t xml:space="preserve"> breaker.</t>
    </r>
  </si>
  <si>
    <r>
      <t xml:space="preserve">OPEN </t>
    </r>
    <r>
      <rPr>
        <sz val="14"/>
        <rFont val="Calibri"/>
        <family val="2"/>
        <scheme val="minor"/>
      </rPr>
      <t>breaker</t>
    </r>
    <r>
      <rPr>
        <b/>
        <sz val="14"/>
        <rFont val="Calibri"/>
        <family val="2"/>
        <scheme val="minor"/>
      </rPr>
      <t xml:space="preserve"> MCBUPA. </t>
    </r>
  </si>
  <si>
    <r>
      <t>VERIFY</t>
    </r>
    <r>
      <rPr>
        <sz val="14"/>
        <rFont val="Calibri"/>
        <family val="2"/>
        <scheme val="minor"/>
      </rPr>
      <t xml:space="preserve"> breaker flag indicates </t>
    </r>
    <r>
      <rPr>
        <b/>
        <sz val="14"/>
        <rFont val="Calibri"/>
        <family val="2"/>
        <scheme val="minor"/>
      </rPr>
      <t>"OPEN"</t>
    </r>
    <r>
      <rPr>
        <sz val="14"/>
        <rFont val="Calibri"/>
        <family val="2"/>
        <scheme val="minor"/>
      </rPr>
      <t>.</t>
    </r>
  </si>
  <si>
    <r>
      <t>INSERT</t>
    </r>
    <r>
      <rPr>
        <sz val="14"/>
        <rFont val="Calibri"/>
        <family val="2"/>
        <scheme val="minor"/>
      </rPr>
      <t xml:space="preserve"> key into </t>
    </r>
    <r>
      <rPr>
        <b/>
        <sz val="14"/>
        <rFont val="Calibri"/>
        <family val="2"/>
        <scheme val="minor"/>
      </rPr>
      <t xml:space="preserve">SKRU </t>
    </r>
    <r>
      <rPr>
        <sz val="14"/>
        <rFont val="Calibri"/>
        <family val="2"/>
        <scheme val="minor"/>
      </rPr>
      <t>lock cylinder.</t>
    </r>
  </si>
  <si>
    <r>
      <t xml:space="preserve">ROTATE </t>
    </r>
    <r>
      <rPr>
        <sz val="14"/>
        <rFont val="Calibri"/>
        <family val="2"/>
        <scheme val="minor"/>
      </rPr>
      <t>key 180 degrees to capture key.</t>
    </r>
  </si>
  <si>
    <t>UPA is now energized via maintenance bypass to allow PDUs to be energized.</t>
  </si>
  <si>
    <t>ENERGIZE 'A' SIDE PDUs AND UP2A</t>
  </si>
  <si>
    <t>Close the breaker marked as supplying UP2A.</t>
  </si>
  <si>
    <t>Confirm UP2A loads return to normal source and are stable as follows:</t>
  </si>
  <si>
    <t>ENERGIZE 'A' SIDE RPPs</t>
  </si>
  <si>
    <t>Close the PDU-A1 input breaker.</t>
  </si>
  <si>
    <t>Close the PDU-A2 input breaker.</t>
  </si>
  <si>
    <t>Close the PDU-A3 input breaker.</t>
  </si>
  <si>
    <t>Close the PDU-A4 input breaker.</t>
  </si>
  <si>
    <t>Close the PDU-A5 input breaker.</t>
  </si>
  <si>
    <t>TRANSFER UPS SYSTEM 'A' TO STATIC BYPASS</t>
  </si>
  <si>
    <r>
      <t>INSERT</t>
    </r>
    <r>
      <rPr>
        <sz val="14"/>
        <rFont val="Calibri"/>
        <family val="2"/>
        <scheme val="minor"/>
      </rPr>
      <t xml:space="preserve"> key into </t>
    </r>
    <r>
      <rPr>
        <b/>
        <sz val="14"/>
        <rFont val="Calibri"/>
        <family val="2"/>
        <scheme val="minor"/>
      </rPr>
      <t xml:space="preserve">MCBUPA </t>
    </r>
    <r>
      <rPr>
        <sz val="14"/>
        <rFont val="Calibri"/>
        <family val="2"/>
        <scheme val="minor"/>
      </rPr>
      <t>lock cylinder.</t>
    </r>
  </si>
  <si>
    <r>
      <t xml:space="preserve">OPEN </t>
    </r>
    <r>
      <rPr>
        <sz val="14"/>
        <rFont val="Calibri"/>
        <family val="2"/>
        <scheme val="minor"/>
      </rPr>
      <t>breaker</t>
    </r>
    <r>
      <rPr>
        <b/>
        <sz val="14"/>
        <rFont val="Calibri"/>
        <family val="2"/>
        <scheme val="minor"/>
      </rPr>
      <t xml:space="preserve"> MBUPA. </t>
    </r>
  </si>
  <si>
    <t>UPA is now energized via static bypass.</t>
  </si>
  <si>
    <t>TRANSFER UPS SYSTEM 'A' TO INVERTER SERVICE</t>
  </si>
  <si>
    <r>
      <t>TOUCH</t>
    </r>
    <r>
      <rPr>
        <sz val="14"/>
        <rFont val="Calibri"/>
        <family val="2"/>
        <scheme val="minor"/>
      </rPr>
      <t xml:space="preserve"> the </t>
    </r>
    <r>
      <rPr>
        <b/>
        <u/>
        <sz val="14"/>
        <rFont val="Calibri"/>
        <family val="2"/>
        <scheme val="minor"/>
      </rPr>
      <t>STATIC BYPASS &gt; ONLINE</t>
    </r>
    <r>
      <rPr>
        <sz val="14"/>
        <rFont val="Calibri"/>
        <family val="2"/>
        <scheme val="minor"/>
      </rPr>
      <t xml:space="preserve"> graphic button. </t>
    </r>
  </si>
  <si>
    <r>
      <t>TOUCH</t>
    </r>
    <r>
      <rPr>
        <sz val="14"/>
        <rFont val="Calibri"/>
        <family val="2"/>
        <scheme val="minor"/>
      </rPr>
      <t xml:space="preserve"> the I</t>
    </r>
    <r>
      <rPr>
        <b/>
        <u/>
        <sz val="14"/>
        <rFont val="Calibri"/>
        <family val="2"/>
        <scheme val="minor"/>
      </rPr>
      <t>NITIATE TRANSFER</t>
    </r>
    <r>
      <rPr>
        <sz val="14"/>
        <rFont val="Calibri"/>
        <family val="2"/>
        <scheme val="minor"/>
      </rPr>
      <t xml:space="preserve"> graphic button to transfer from Static Bypass to Online.</t>
    </r>
  </si>
  <si>
    <t>UPS-A1 and UPS-A2 will transfer to Inverter Service.</t>
  </si>
  <si>
    <r>
      <t xml:space="preserve">UPS Summary screen will indicate as </t>
    </r>
    <r>
      <rPr>
        <b/>
        <sz val="14"/>
        <rFont val="Calibri"/>
        <family val="2"/>
        <scheme val="minor"/>
      </rPr>
      <t>NORMAL</t>
    </r>
    <r>
      <rPr>
        <sz val="14"/>
        <rFont val="Calibri"/>
        <family val="2"/>
        <scheme val="minor"/>
      </rPr>
      <t>.</t>
    </r>
  </si>
  <si>
    <r>
      <rPr>
        <b/>
        <sz val="14"/>
        <rFont val="Calibri"/>
        <family val="2"/>
        <scheme val="minor"/>
      </rPr>
      <t>VERIFY</t>
    </r>
    <r>
      <rPr>
        <sz val="14"/>
        <rFont val="Calibri"/>
        <family val="2"/>
        <scheme val="minor"/>
      </rPr>
      <t xml:space="preserve"> One line indicates as </t>
    </r>
    <r>
      <rPr>
        <b/>
        <sz val="14"/>
        <rFont val="Calibri"/>
        <family val="2"/>
        <scheme val="minor"/>
      </rPr>
      <t>UPS ONLINE</t>
    </r>
    <r>
      <rPr>
        <sz val="14"/>
        <rFont val="Calibri"/>
        <family val="2"/>
        <scheme val="minor"/>
      </rPr>
      <t xml:space="preserve"> with no critical alarms.</t>
    </r>
  </si>
  <si>
    <t>RESTORE POWER TO 'A' SIDE DEVICE FEEDS</t>
  </si>
  <si>
    <t>NOTE: If the customer is unavailable to re-energize their loads at the RPPs, contact the MOP facilitator to verify that the customer has granted permission to DLR Engineers to re-energize their loads at the RPPs.</t>
  </si>
  <si>
    <t>Verify customer or DLR Engineers have re-energized all loads supplied by PDU-A1 subfeed beaker #1.</t>
  </si>
  <si>
    <t>Verify customer or DLR Engineers have re-energized all loads supplied by PDU-A1 subfeed beaker #2.</t>
  </si>
  <si>
    <t>Verify customer or DLR Engineers have re-energized all loads supplied by PDU-A1 subfeed beaker #3.</t>
  </si>
  <si>
    <t>Verify customer or DLR Engineers have re-energized all loads supplied by PDU-A1 subfeed beaker #4.</t>
  </si>
  <si>
    <t>Verify customer or DLR Engineers have re-energized all loads supplied by PDU-A1 subfeed beaker #5.</t>
  </si>
  <si>
    <t>Verify customer or DLR Engineers have re-energized all loads supplied by PDU-A1 subfeed beaker #6.</t>
  </si>
  <si>
    <t>Verify customer or DLR Engineers have re-energized all loads supplied by PDU-A2 subfeed beaker #1.</t>
  </si>
  <si>
    <t>Verify customer or DLR Engineers have re-energized all loads supplied by PDU-A2 subfeed beaker #2.</t>
  </si>
  <si>
    <t>Verify customer or DLR Engineers have re-energized all loads supplied by PDU-A2 subfeed beaker #3.</t>
  </si>
  <si>
    <t>Verify customer or DLR Engineers have re-energized all loads supplied by PDU-A2 subfeed beaker #4.</t>
  </si>
  <si>
    <t>Verify customer or DLR Engineers have re-energized all loads supplied by PDU-A2 subfeed beaker #5.</t>
  </si>
  <si>
    <t>Verify customer or DLR Engineers have re-energized all loads supplied by PDU-A2 subfeed beaker #6.</t>
  </si>
  <si>
    <t>Verify customer or DLR Engineers have re-energized all loads supplied by PDU-A3 subfeed beaker #1.</t>
  </si>
  <si>
    <t>Verify customer or DLR Engineers have re-energized all loads supplied by PDU-A3 subfeed beaker #2.</t>
  </si>
  <si>
    <t>Verify customer or DLR Engineers have re-energized all loads supplied by PDU-A3 subfeed beaker #3.</t>
  </si>
  <si>
    <t>Verify customer or DLR Engineers have re-energized all loads supplied by PDU-A3 subfeed beaker #4.</t>
  </si>
  <si>
    <t>Verify customer or DLR Engineers have re-energized all loads supplied by PDU-A3 subfeed beaker #5.</t>
  </si>
  <si>
    <t>Verify customer or DLR Engineers have re-energized all loads supplied by PDU-A3 subfeed beaker #6.</t>
  </si>
  <si>
    <t>Verify customer or DLR Engineers have re-energized all loads supplied by PDU-A4 subfeed beaker #1.</t>
  </si>
  <si>
    <t>Verify customer or DLR Engineers have re-energized all loads supplied by PDU-A4 subfeed beaker #2.</t>
  </si>
  <si>
    <t>Verify customer or DLR Engineers have re-energized all loads supplied by PDU-A4 subfeed beaker #3.</t>
  </si>
  <si>
    <t>Verify customer or DLR Engineers have re-energized all loads supplied by PDU-A4 subfeed beaker #4.</t>
  </si>
  <si>
    <t>Verify customer or DLR Engineers have re-energized all loads supplied by PDU-A4 subfeed beaker #5.</t>
  </si>
  <si>
    <t>Verify customer or DLR Engineers have re-energized all loads supplied by PDU-A4 subfeed beaker #6.</t>
  </si>
  <si>
    <t>Verify customer or DLR Engineers have re-energized all loads supplied by PDU-A5 subfeed beaker #1.</t>
  </si>
  <si>
    <t>Verify customer or DLR Engineers have re-energized all loads supplied by PDU-A5 subfeed beaker #2.</t>
  </si>
  <si>
    <t>Verify customer or DLR Engineers have re-energized all loads supplied by PDU-A5 subfeed beaker #3.</t>
  </si>
  <si>
    <t>Verify customer or DLR Engineers have re-energized all loads supplied by PDU-A5 subfeed beaker #4.</t>
  </si>
  <si>
    <t>Verify customer or DLR Engineers have re-energized all loads supplied by PDU-A5 subfeed beaker #5.</t>
  </si>
  <si>
    <t>Verify customer or DLR Engineers have re-energized all loads supplied by PDU-A5 subfeed beaker #6.</t>
  </si>
  <si>
    <t>VERIFY CUSTOMER LOAD WAS NOT DISTURBED</t>
  </si>
  <si>
    <t>RESTORE 'B' SIDE TO UTILITY POWER</t>
  </si>
  <si>
    <t>Remove LOTO from breaker MUBT.</t>
  </si>
  <si>
    <t>Using the graphic, SELECT MUBT for SWB.</t>
  </si>
  <si>
    <t>VERIFY breaker MUBT on switchboard SWB CLOSES as indicated by color change from GREEN to RED.</t>
  </si>
  <si>
    <t>VERIFY breaker MUBG on switchboard SWB OPENS as indicated by color change from RED to GREEN.</t>
  </si>
  <si>
    <t>VERIFY breaker MUBT is CLOSED.</t>
  </si>
  <si>
    <t>VERIFY breaker MUBG is OPEN.</t>
  </si>
  <si>
    <r>
      <t>VERIFY</t>
    </r>
    <r>
      <rPr>
        <sz val="14"/>
        <rFont val="Calibri"/>
        <family val="2"/>
        <scheme val="minor"/>
      </rPr>
      <t xml:space="preserve"> status of Local Fire Alarm Control Panel (</t>
    </r>
    <r>
      <rPr>
        <b/>
        <u/>
        <sz val="14"/>
        <rFont val="Calibri"/>
        <family val="2"/>
        <scheme val="minor"/>
      </rPr>
      <t>LFACP</t>
    </r>
    <r>
      <rPr>
        <sz val="14"/>
        <rFont val="Calibri"/>
        <family val="2"/>
        <scheme val="minor"/>
      </rPr>
      <t xml:space="preserve">) is clear of the supervisory condition: </t>
    </r>
    <r>
      <rPr>
        <b/>
        <sz val="14"/>
        <rFont val="Calibri"/>
        <family val="2"/>
        <scheme val="minor"/>
      </rPr>
      <t>"Generator Running".</t>
    </r>
  </si>
  <si>
    <r>
      <t>RECORD</t>
    </r>
    <r>
      <rPr>
        <sz val="14"/>
        <rFont val="Calibri"/>
        <family val="2"/>
        <scheme val="minor"/>
      </rPr>
      <t xml:space="preserve"> the "Generator Post-Conditions".</t>
    </r>
  </si>
  <si>
    <r>
      <t xml:space="preserve">Notify FM Global at 1-888-201-8943 that monitoring systems are restored to service.
</t>
    </r>
    <r>
      <rPr>
        <b/>
        <sz val="14"/>
        <rFont val="Calibri"/>
        <family val="2"/>
        <scheme val="minor"/>
      </rPr>
      <t>Operator number:</t>
    </r>
    <r>
      <rPr>
        <sz val="14"/>
        <rFont val="Calibri"/>
        <family val="2"/>
        <scheme val="minor"/>
      </rPr>
      <t xml:space="preserve"> ____</t>
    </r>
  </si>
  <si>
    <t>Collect the Fire Watch Log from the fire watch personnel.</t>
  </si>
  <si>
    <t>Continue with De-Energized maintenance on 'B' side loads tomorrow.</t>
  </si>
  <si>
    <t>TRANSFER 'A' SIDE TO REDUNDANT BOARD (SWR2)</t>
  </si>
  <si>
    <r>
      <t xml:space="preserve">TOUCH </t>
    </r>
    <r>
      <rPr>
        <sz val="14"/>
        <rFont val="Calibri"/>
        <family val="2"/>
        <scheme val="minor"/>
      </rPr>
      <t xml:space="preserve">the </t>
    </r>
    <r>
      <rPr>
        <b/>
        <u/>
        <sz val="14"/>
        <rFont val="Calibri"/>
        <family val="2"/>
        <scheme val="minor"/>
      </rPr>
      <t>SWR2</t>
    </r>
    <r>
      <rPr>
        <b/>
        <sz val="14"/>
        <rFont val="Calibri"/>
        <family val="2"/>
        <scheme val="minor"/>
      </rPr>
      <t xml:space="preserve"> </t>
    </r>
    <r>
      <rPr>
        <sz val="14"/>
        <rFont val="Calibri"/>
        <family val="2"/>
        <scheme val="minor"/>
      </rPr>
      <t>button on the graphic</t>
    </r>
    <r>
      <rPr>
        <b/>
        <sz val="14"/>
        <rFont val="Calibri"/>
        <family val="2"/>
        <scheme val="minor"/>
      </rPr>
      <t>.</t>
    </r>
  </si>
  <si>
    <r>
      <t>TOUCH</t>
    </r>
    <r>
      <rPr>
        <sz val="14"/>
        <rFont val="Calibri"/>
        <family val="2"/>
        <scheme val="minor"/>
      </rPr>
      <t xml:space="preserve"> the </t>
    </r>
    <r>
      <rPr>
        <b/>
        <u/>
        <sz val="14"/>
        <rFont val="Calibri"/>
        <family val="2"/>
        <scheme val="minor"/>
      </rPr>
      <t>SINGLE LINE</t>
    </r>
    <r>
      <rPr>
        <sz val="14"/>
        <rFont val="Calibri"/>
        <family val="2"/>
        <scheme val="minor"/>
      </rPr>
      <t xml:space="preserve"> button on the graphic.</t>
    </r>
  </si>
  <si>
    <t xml:space="preserve">Press the GREEN “Change to Remote Mode” button. </t>
  </si>
  <si>
    <t>Verify button changes to ORANGE “Change to Automatic Mode”.</t>
  </si>
  <si>
    <t>Once controls populate on the screen, press the BLUE OPEN button for breaker MUAT.</t>
  </si>
  <si>
    <t>VERIFY breaker MUAT is open as indicated by a color change from RED to GREEN.</t>
  </si>
  <si>
    <r>
      <t>VERIFY</t>
    </r>
    <r>
      <rPr>
        <sz val="14"/>
        <rFont val="Calibri"/>
        <family val="2"/>
        <scheme val="minor"/>
      </rPr>
      <t xml:space="preserve"> MUAT breaker flag indicates </t>
    </r>
    <r>
      <rPr>
        <b/>
        <sz val="14"/>
        <rFont val="Calibri"/>
        <family val="2"/>
        <scheme val="minor"/>
      </rPr>
      <t>"OPEN"</t>
    </r>
    <r>
      <rPr>
        <sz val="14"/>
        <rFont val="Calibri"/>
        <family val="2"/>
        <scheme val="minor"/>
      </rPr>
      <t>.</t>
    </r>
  </si>
  <si>
    <t>Locate breaker controls on screen for breaker MRAG, Press the BLUE CLOSE button.</t>
  </si>
  <si>
    <t>VERIFY breaker MRAG is closed as indicated by a color change from GREEN to RED.</t>
  </si>
  <si>
    <r>
      <t>VERIFY</t>
    </r>
    <r>
      <rPr>
        <sz val="14"/>
        <rFont val="Calibri"/>
        <family val="2"/>
        <scheme val="minor"/>
      </rPr>
      <t xml:space="preserve"> MRAG breaker flag indicates </t>
    </r>
    <r>
      <rPr>
        <b/>
        <sz val="14"/>
        <rFont val="Calibri"/>
        <family val="2"/>
        <scheme val="minor"/>
      </rPr>
      <t>"CLOSED"</t>
    </r>
    <r>
      <rPr>
        <sz val="14"/>
        <rFont val="Calibri"/>
        <family val="2"/>
        <scheme val="minor"/>
      </rPr>
      <t>.</t>
    </r>
  </si>
  <si>
    <t>Apply LOTO to breaker MUAT.</t>
  </si>
  <si>
    <t>VERIFY breaker MRAG is CLOSED.</t>
  </si>
  <si>
    <t>VERIFY breaker MUAT is OPEN.</t>
  </si>
  <si>
    <t>PREPARE TO SHUTDOWN CUSTOMER 'B' SIDE LOADS SUPPORTED BY UPB</t>
  </si>
  <si>
    <t>SHUTDOWN CUSTOMER 'B' SIDE LOADS SUPPORTED BY UPB</t>
  </si>
  <si>
    <t>Contact the MOP facilitator to verify that the customer is prepared to have power removed from 'B' side sources.</t>
  </si>
  <si>
    <t>Using cones and barriers, establish a limited approach boundary around PDU-B1.</t>
  </si>
  <si>
    <t>OPEN door on right side of PDU-B1.</t>
  </si>
  <si>
    <t>Place current probe around “C” phase of the load side of PDU-B1 subfeed breaker #1.</t>
  </si>
  <si>
    <t xml:space="preserve">Record current for “C” phase of the load side of PDU-B1 subfeed beaker #1: ______ Amps. </t>
  </si>
  <si>
    <t>With current probe still around conductor, DIRECT customer to start de-energizing loads supplied by PDU-B1 subfeed beaker #1.</t>
  </si>
  <si>
    <t>Once PDU-B1 subfeed beaker #1 loads are completely de-energized and confirmed with customer, VERIFY current for “C” phase of the load side of PDU-B1 subfeed beaker #1 is 0 Amps. NOTIFY MOP FACILITATOR IF THE CURRENT READING IS NOT 0 AMPS.</t>
  </si>
  <si>
    <t>Place current probe around “C” phase of the load side of PDU-B1 subfeed breaker #2.</t>
  </si>
  <si>
    <t xml:space="preserve">Record current for “C” phase of the load side of PDU-B1 subfeed beaker #2: ______ Amps. </t>
  </si>
  <si>
    <t>With current probe still around conductor, DIRECT customer to start de-energizing loads supplied by PDU-B1 subfeed beaker #2.</t>
  </si>
  <si>
    <t>Once PDU-B1 subfeed beaker #2 loads are completely de-energized and confirmed with customer, VERIFY current for “C” phase of the load side of PDU-B1 subfeed beaker #2 is 0 Amps. NOTIFY MOP FACILITATOR IF THE CURRENT READING IS NOT 0 AMPS.</t>
  </si>
  <si>
    <t>Place current probe around “C” phase of the load side of PDU-B1 subfeed breaker #3.</t>
  </si>
  <si>
    <t xml:space="preserve">Record current for “C” phase of the load side of PDU-B1 subfeed beaker #3: ______ Amps. </t>
  </si>
  <si>
    <t>With current probe still around conductor, DIRECT customer to start de-energizing loads supplied by PDU-B1 subfeed beaker #3.</t>
  </si>
  <si>
    <t>Once PDU-B1 subfeed beaker #3 loads are completely de-energized and confirmed with customer, VERIFY current for “C” phase of the load side of PDU-B1 subfeed beaker #3 is 0 Amps. NOTIFY MOP FACILITATOR IF THE CURRENT READING IS NOT 0 AMPS.</t>
  </si>
  <si>
    <t>Place current probe around “C” phase of the load side of PDU-B1 subfeed breaker #4.</t>
  </si>
  <si>
    <t xml:space="preserve">Record current for “C” phase of the load side of PDU-B1 subfeed beaker #4: ______ Amps. </t>
  </si>
  <si>
    <t>With current probe still around conductor, DIRECT customer to start de-energizing loads supplied by PDU-B1 subfeed beaker #4.</t>
  </si>
  <si>
    <t>Once PDU-B1 subfeed beaker #4 loads are completely de-energized and confirmed with customer, VERIFY current for “C” phase of the load side of PDU-B1 subfeed beaker #4 is 0 Amps. NOTIFY MOP FACILITATOR IF THE CURRENT READING IS NOT 0 AMPS.</t>
  </si>
  <si>
    <t>Place current probe around “C” phase of the load side of PDU-B1 subfeed breaker #5.</t>
  </si>
  <si>
    <t xml:space="preserve">Record current for “C” phase of the load side of PDU-B1 subfeed beaker #5: ______ Amps. </t>
  </si>
  <si>
    <t>With current probe still around conductor, DIRECT customer to start de-energizing loads supplied by PDU-B1 subfeed beaker #5.</t>
  </si>
  <si>
    <t>Once PDU-B1 subfeed beaker #5 loads are completely de-energized and confirmed with customer, VERIFY current for “C” phase of the load side of PDU-B1 subfeed beaker #5 is 0 Amps. NOTIFY MOP FACILITATOR IF THE CURRENT READING IS NOT 0 AMPS.</t>
  </si>
  <si>
    <t>Place current probe around “C” phase of the load side of PDU-B1 subfeed breaker #6.</t>
  </si>
  <si>
    <t xml:space="preserve">Record current for “C” phase of the load side of PDU-B1 subfeed beaker #6: ______ Amps. </t>
  </si>
  <si>
    <t>With current probe still around conductor, DIRECT customer to start de-energizing loads supplied by PDU-B1 subfeed beaker #6.</t>
  </si>
  <si>
    <t>Once PDU-B1 subfeed beaker #6 loads are completely de-energized and confirmed with customer, VERIFY current for “C” phase of the load side of PDU-B1 subfeed beaker #6 is 0 Amps. NOTIFY MOP FACILITATOR IF THE CURRENT READING IS NOT 0 AMPS.</t>
  </si>
  <si>
    <t>CLOSE door on right side of PDU-B1.</t>
  </si>
  <si>
    <t>Disestablish the limited approach boundary around PDU-B1.</t>
  </si>
  <si>
    <t>Using cones and barriers, establish a limited approach boundary around PDU-B2.</t>
  </si>
  <si>
    <t>OPEN door on right side of PDU-B2.</t>
  </si>
  <si>
    <t>Place current probe around “C” phase of the load side of PDU-B2 subfeed breaker #1.</t>
  </si>
  <si>
    <t xml:space="preserve">Record current for “C” phase of the load side of PDU-B2 subfeed beaker #1: ______ Amps. </t>
  </si>
  <si>
    <t>With current probe still around conductor, DIRECT customer to start de-energizing loads supplied by PDU-B2 subfeed beaker #1.</t>
  </si>
  <si>
    <t>Once PDU-B2 subfeed beaker #1 loads are completely de-energized and confirmed with customer, VERIFY current for “C” phase of the load side of PDU-B2 subfeed beaker #1 is 0 Amps. NOTIFY MOP FACILITATOR IF THE CURRENT READING IS NOT 0 AMPS.</t>
  </si>
  <si>
    <t>Place current probe around “C” phase of the load side of PDU-B2 subfeed breaker #2.</t>
  </si>
  <si>
    <t xml:space="preserve">Record current for “C” phase of the load side of PDU-B2 subfeed beaker #2: ______ Amps. </t>
  </si>
  <si>
    <t>With current probe still around conductor, DIRECT customer to start de-energizing loads supplied by PDU-B2 subfeed beaker #2.</t>
  </si>
  <si>
    <t>Once PDU-B2 subfeed beaker #2 loads are completely de-energized and confirmed with customer, VERIFY current for “C” phase of the load side of PDU-B2 subfeed beaker #2 is 0 Amps. NOTIFY MOP FACILITATOR IF THE CURRENT READING IS NOT 0 AMPS.</t>
  </si>
  <si>
    <t>Place current probe around “C” phase of the load side of PDU-B2 subfeed breaker #3.</t>
  </si>
  <si>
    <t xml:space="preserve">Record current for “C” phase of the load side of PDU-B2 subfeed beaker #3: ______ Amps. </t>
  </si>
  <si>
    <t>With current probe still around conductor, DIRECT customer to start de-energizing loads supplied by PDU-B2 subfeed beaker #3.</t>
  </si>
  <si>
    <t>Once PDU-B2 subfeed beaker #3 loads are completely de-energized and confirmed with customer, VERIFY current for “C” phase of the load side of PDU-B2 subfeed beaker #3 is 0 Amps. NOTIFY MOP FACILITATOR IF THE CURRENT READING IS NOT 0 AMPS.</t>
  </si>
  <si>
    <t>Place current probe around “C” phase of the load side of PDU-B2 subfeed breaker #4.</t>
  </si>
  <si>
    <t xml:space="preserve">Record current for “C” phase of the load side of PDU-B2 subfeed beaker #4: ______ Amps. </t>
  </si>
  <si>
    <t>With current probe still around conductor, DIRECT customer to start de-energizing loads supplied by PDU-B2 subfeed beaker #4.</t>
  </si>
  <si>
    <t>Once PDU-B2 subfeed beaker #4 loads are completely de-energized and confirmed with customer, VERIFY current for “C” phase of the load side of PDU-B2 subfeed beaker #4 is 0 Amps. NOTIFY MOP FACILITATOR IF THE CURRENT READING IS NOT 0 AMPS.</t>
  </si>
  <si>
    <t>Place current probe around “C” phase of the load side of PDU-B2 subfeed breaker #5.</t>
  </si>
  <si>
    <t xml:space="preserve">Record current for “C” phase of the load side of PDU-B2 subfeed beaker #5: ______ Amps. </t>
  </si>
  <si>
    <t>With current probe still around conductor, DIRECT customer to start de-energizing loads supplied by PDU-B2 subfeed beaker #5.</t>
  </si>
  <si>
    <t>Once PDU-B2 subfeed beaker #5 loads are completely de-energized and confirmed with customer, VERIFY current for “C” phase of the load side of PDU-B2 subfeed beaker #5 is 0 Amps. NOTIFY MOP FACILITATOR IF THE CURRENT READING IS NOT 0 AMPS.</t>
  </si>
  <si>
    <t>Place current probe around “C” phase of the load side of PDU-B2 subfeed breaker #6.</t>
  </si>
  <si>
    <t xml:space="preserve">Record current for “C” phase of the load side of PDU-B2 subfeed beaker #6: ______ Amps. </t>
  </si>
  <si>
    <t>With current probe still around conductor, DIRECT customer to start de-energizing loads supplied by PDU-B2 subfeed beaker #6.</t>
  </si>
  <si>
    <t>Once PDU-B2 subfeed beaker #6 loads are completely de-energized and confirmed with customer, VERIFY current for “C” phase of the load side of PDU-B2 subfeed beaker #6 is 0 Amps. NOTIFY MOP FACILITATOR IF THE CURRENT READING IS NOT 0 AMPS.</t>
  </si>
  <si>
    <t>CLOSE door on right side of PDU-B2.</t>
  </si>
  <si>
    <t>Disestablish the limited approach boundary around PDU-B2.</t>
  </si>
  <si>
    <t>Using cones and barriers, establish a limited approach boundary around PDU-B3.</t>
  </si>
  <si>
    <t>OPEN door on right side of PDU-B3.</t>
  </si>
  <si>
    <t>Place current probe around “C” phase of the load side of PDU-B3 subfeed breaker #1.</t>
  </si>
  <si>
    <t xml:space="preserve">Record current for “C” phase of the load side of PDU-B3 subfeed beaker #1: ______ Amps. </t>
  </si>
  <si>
    <t>With current probe still around conductor, DIRECT customer to start de-energizing loads supplied by PDU-B3 subfeed beaker #1.</t>
  </si>
  <si>
    <t>Once PDU-B3 subfeed beaker #1 loads are completely de-energized and confirmed with customer, VERIFY current for “C” phase of the load side of PDU-B3 subfeed beaker #1 is 0 Amps. NOTIFY MOP FACILITATOR IF THE CURRENT READING IS NOT 0 AMPS.</t>
  </si>
  <si>
    <t>Place current probe around “C” phase of the load side of PDU-B3 subfeed breaker #2.</t>
  </si>
  <si>
    <t xml:space="preserve">Record current for “C” phase of the load side of PDU-B3 subfeed beaker #2: ______ Amps. </t>
  </si>
  <si>
    <t>With current probe still around conductor, DIRECT customer to start de-energizing loads supplied by PDU-B3 subfeed beaker #2.</t>
  </si>
  <si>
    <t>Once PDU-B3 subfeed beaker #2 loads are completely de-energized and confirmed with customer, VERIFY current for “C” phase of the load side of PDU-B3 subfeed beaker #2 is 0 Amps. NOTIFY MOP FACILITATOR IF THE CURRENT READING IS NOT 0 AMPS.</t>
  </si>
  <si>
    <t>Place current probe around “C” phase of the load side of PDU-B3 subfeed breaker #3.</t>
  </si>
  <si>
    <t xml:space="preserve">Record current for “C” phase of the load side of PDU-B3 subfeed beaker #3: ______ Amps. </t>
  </si>
  <si>
    <t>With current probe still around conductor, DIRECT customer to start de-energizing loads supplied by PDU-B3 subfeed beaker #3.</t>
  </si>
  <si>
    <t>Once PDU-B3 subfeed beaker #3 loads are completely de-energized and confirmed with customer, VERIFY current for “C” phase of the load side of PDU-B3 subfeed beaker #3 is 0 Amps. NOTIFY MOP FACILITATOR IF THE CURRENT READING IS NOT 0 AMPS.</t>
  </si>
  <si>
    <t>Place current probe around “C” phase of the load side of PDU-B3 subfeed breaker #4.</t>
  </si>
  <si>
    <t xml:space="preserve">Record current for “C” phase of the load side of PDU-B3 subfeed beaker #4: ______ Amps. </t>
  </si>
  <si>
    <t>With current probe still around conductor, DIRECT customer to start de-energizing loads supplied by PDU-B3 subfeed beaker #4.</t>
  </si>
  <si>
    <t>Once PDU-B3 subfeed beaker #4 loads are completely de-energized and confirmed with customer, VERIFY current for “C” phase of the load side of PDU-B3 subfeed beaker #4 is 0 Amps. NOTIFY MOP FACILITATOR IF THE CURRENT READING IS NOT 0 AMPS.</t>
  </si>
  <si>
    <t>Place current probe around “C” phase of the load side of PDU-B3 subfeed breaker #5.</t>
  </si>
  <si>
    <t xml:space="preserve">Record current for “C” phase of the load side of PDU-B3 subfeed beaker #5: ______ Amps. </t>
  </si>
  <si>
    <t>With current probe still around conductor, DIRECT customer to start de-energizing loads supplied by PDU-B3 subfeed beaker #5.</t>
  </si>
  <si>
    <t>Once PDU-B3 subfeed beaker #5 loads are completely de-energized and confirmed with customer, VERIFY current for “C” phase of the load side of PDU-B3 subfeed beaker #5 is 0 Amps. NOTIFY MOP FACILITATOR IF THE CURRENT READING IS NOT 0 AMPS.</t>
  </si>
  <si>
    <t>Place current probe around “C” phase of the load side of PDU-B3 subfeed breaker #6.</t>
  </si>
  <si>
    <t xml:space="preserve">Record current for “C” phase of the load side of PDU-B3 subfeed beaker #6: ______ Amps. </t>
  </si>
  <si>
    <t>With current probe still around conductor, DIRECT customer to start de-energizing loads supplied by PDU-B3 subfeed beaker #6.</t>
  </si>
  <si>
    <t>Once PDU-B3 subfeed beaker #6 loads are completely de-energized and confirmed with customer, VERIFY current for “C” phase of the load side of PDU-B3 subfeed beaker #6 is 0 Amps. NOTIFY MOP FACILITATOR IF THE CURRENT READING IS NOT 0 AMPS.</t>
  </si>
  <si>
    <t>CLOSE door on right side of PDU-B3.</t>
  </si>
  <si>
    <t>Disestablish the limited approach boundary around PDU-B3.</t>
  </si>
  <si>
    <t>Using cones and barriers, establish a limited approach boundary around PDU-B4.</t>
  </si>
  <si>
    <t>OPEN door on right side of PDU-B4.</t>
  </si>
  <si>
    <t>Place current probe around “C” phase of the load side of PDU-B4 subfeed breaker #1.</t>
  </si>
  <si>
    <t xml:space="preserve">Record current for “C” phase of the load side of PDU-B4 subfeed beaker #1: ______ Amps. </t>
  </si>
  <si>
    <t>With current probe still around conductor, DIRECT customer to start de-energizing loads supplied by PDU-B4 subfeed beaker #1.</t>
  </si>
  <si>
    <t>Once PDU-B4 subfeed beaker #1 loads are completely de-energized and confirmed with customer, VERIFY current for “C” phase of the load side of PDU-B4 subfeed beaker #1 is 0 Amps. NOTIFY MOP FACILITATOR IF THE CURRENT READING IS NOT 0 AMPS.</t>
  </si>
  <si>
    <t>Place current probe around “C” phase of the load side of PDU-B4 subfeed breaker #2.</t>
  </si>
  <si>
    <t xml:space="preserve">Record current for “C” phase of the load side of PDU-B4 subfeed beaker #2: ______ Amps. </t>
  </si>
  <si>
    <t>With current probe still around conductor, DIRECT customer to start de-energizing loads supplied by PDU-B4 subfeed beaker #2.</t>
  </si>
  <si>
    <t>Once PDU-B4 subfeed beaker #2 loads are completely de-energized and confirmed with customer, VERIFY current for “C” phase of the load side of PDU-B4 subfeed beaker #2 is 0 Amps. NOTIFY MOP FACILITATOR IF THE CURRENT READING IS NOT 0 AMPS.</t>
  </si>
  <si>
    <t>Place current probe around “C” phase of the load side of PDU-B4 subfeed breaker #3.</t>
  </si>
  <si>
    <t xml:space="preserve">Record current for “C” phase of the load side of PDU-B4 subfeed beaker #3: ______ Amps. </t>
  </si>
  <si>
    <t>With current probe still around conductor, DIRECT customer to start de-energizing loads supplied by PDU-B4 subfeed beaker #3.</t>
  </si>
  <si>
    <t>Once PDU-B4 subfeed beaker #3 loads are completely de-energized and confirmed with customer, VERIFY current for “C” phase of the load side of PDU-B4 subfeed beaker #3 is 0 Amps. NOTIFY MOP FACILITATOR IF THE CURRENT READING IS NOT 0 AMPS.</t>
  </si>
  <si>
    <t>Place current probe around “C” phase of the load side of PDU-B4 subfeed breaker #4.</t>
  </si>
  <si>
    <t xml:space="preserve">Record current for “C” phase of the load side of PDU-B4 subfeed beaker #4: ______ Amps. </t>
  </si>
  <si>
    <t>With current probe still around conductor, DIRECT customer to start de-energizing loads supplied by PDU-B4 subfeed beaker #4.</t>
  </si>
  <si>
    <t>Once PDU-B4 subfeed beaker #4 loads are completely de-energized and confirmed with customer, VERIFY current for “C” phase of the load side of PDU-B4 subfeed beaker #4 is 0 Amps. NOTIFY MOP FACILITATOR IF THE CURRENT READING IS NOT 0 AMPS.</t>
  </si>
  <si>
    <t>Place current probe around “C” phase of the load side of PDU-B4 subfeed breaker #5.</t>
  </si>
  <si>
    <t xml:space="preserve">Record current for “C” phase of the load side of PDU-B4 subfeed beaker #5: ______ Amps. </t>
  </si>
  <si>
    <t>With current probe still around conductor, DIRECT customer to start de-energizing loads supplied by PDU-B4 subfeed beaker #5.</t>
  </si>
  <si>
    <t>Once PDU-B4 subfeed beaker #5 loads are completely de-energized and confirmed with customer, VERIFY current for “C” phase of the load side of PDU-B4 subfeed beaker #5 is 0 Amps. NOTIFY MOP FACILITATOR IF THE CURRENT READING IS NOT 0 AMPS.</t>
  </si>
  <si>
    <t>Place current probe around “C” phase of the load side of PDU-B4 subfeed breaker #6.</t>
  </si>
  <si>
    <t xml:space="preserve">Record current for “C” phase of the load side of PDU-B4 subfeed beaker #6: ______ Amps. </t>
  </si>
  <si>
    <t>With current probe still around conductor, DIRECT customer to start de-energizing loads supplied by PDU-B4 subfeed beaker #6.</t>
  </si>
  <si>
    <t>Once PDU-B4 subfeed beaker #6 loads are completely de-energized and confirmed with customer, VERIFY current for “C” phase of the load side of PDU-B4 subfeed beaker #6 is 0 Amps. NOTIFY MOP FACILITATOR IF THE CURRENT READING IS NOT 0 AMPS.</t>
  </si>
  <si>
    <t>CLOSE door on right side of PDU-B4.</t>
  </si>
  <si>
    <t>Disestablish the limited approach boundary around PDU-B4.</t>
  </si>
  <si>
    <t>Using cones and barriers, establish a limited approach boundary around PDU-B5.</t>
  </si>
  <si>
    <t>OPEN door on right side of PDU-B5.</t>
  </si>
  <si>
    <t>Place current probe around “C” phase of the load side of PDU-B5 subfeed breaker #1.</t>
  </si>
  <si>
    <t xml:space="preserve">Record current for “C” phase of the load side of PDU-B5 subfeed beaker #1: ______ Amps. </t>
  </si>
  <si>
    <t>With current probe still around conductor, DIRECT customer to start de-energizing loads supplied by PDU-B5 subfeed beaker #1.</t>
  </si>
  <si>
    <t>Once PDU-B5 subfeed beaker #1 loads are completely de-energized and confirmed with customer, VERIFY current for “C” phase of the load side of PDU-B5 subfeed beaker #1 is 0 Amps. NOTIFY MOP FACILITATOR IF THE CURRENT READING IS NOT 0 AMPS.</t>
  </si>
  <si>
    <t>Place current probe around “C” phase of the load side of PDU-B5 subfeed breaker #2.</t>
  </si>
  <si>
    <t xml:space="preserve">Record current for “C” phase of the load side of PDU-B5 subfeed beaker #2: ______ Amps. </t>
  </si>
  <si>
    <t>With current probe still around conductor, DIRECT customer to start de-energizing loads supplied by PDU-B5 subfeed beaker #2.</t>
  </si>
  <si>
    <t>Once PDU-B5 subfeed beaker #2 loads are completely de-energized and confirmed with customer, VERIFY current for “C” phase of the load side of PDU-B5 subfeed beaker #2 is 0 Amps. NOTIFY MOP FACILITATOR IF THE CURRENT READING IS NOT 0 AMPS.</t>
  </si>
  <si>
    <t>Place current probe around “C” phase of the load side of PDU-B5 subfeed breaker #3.</t>
  </si>
  <si>
    <t xml:space="preserve">Record current for “C” phase of the load side of PDU-B5 subfeed beaker #3: ______ Amps. </t>
  </si>
  <si>
    <t>With current probe still around conductor, DIRECT customer to start de-energizing loads supplied by PDU-B5 subfeed beaker #3.</t>
  </si>
  <si>
    <t>Once PDU-B5 subfeed beaker #3 loads are completely de-energized and confirmed with customer, VERIFY current for “C” phase of the load side of PDU-B5 subfeed beaker #3 is 0 Amps. NOTIFY MOP FACILITATOR IF THE CURRENT READING IS NOT 0 AMPS.</t>
  </si>
  <si>
    <t>Place current probe around “C” phase of the load side of PDU-B5 subfeed breaker #4.</t>
  </si>
  <si>
    <t xml:space="preserve">Record current for “C” phase of the load side of PDU-B5 subfeed beaker #4: ______ Amps. </t>
  </si>
  <si>
    <t>With current probe still around conductor, DIRECT customer to start de-energizing loads supplied by PDU-B5 subfeed beaker #4.</t>
  </si>
  <si>
    <t>Once PDU-B5 subfeed beaker #4 loads are completely de-energized and confirmed with customer, VERIFY current for “C” phase of the load side of PDU-B5 subfeed beaker #4 is 0 Amps. NOTIFY MOP FACILITATOR IF THE CURRENT READING IS NOT 0 AMPS.</t>
  </si>
  <si>
    <t>Place current probe around “C” phase of the load side of PDU-B5 subfeed breaker #5.</t>
  </si>
  <si>
    <t xml:space="preserve">Record current for “C” phase of the load side of PDU-B5 subfeed beaker #5: ______ Amps. </t>
  </si>
  <si>
    <t>With current probe still around conductor, DIRECT customer to start de-energizing loads supplied by PDU-B5 subfeed beaker #5.</t>
  </si>
  <si>
    <t>Once PDU-B5 subfeed beaker #5 loads are completely de-energized and confirmed with customer, VERIFY current for “C” phase of the load side of PDU-B5 subfeed beaker #5 is 0 Amps. NOTIFY MOP FACILITATOR IF THE CURRENT READING IS NOT 0 AMPS.</t>
  </si>
  <si>
    <t>Place current probe around “C” phase of the load side of PDU-B5 subfeed breaker #6.</t>
  </si>
  <si>
    <t xml:space="preserve">Record current for “C” phase of the load side of PDU-B5 subfeed beaker #6: ______ Amps. </t>
  </si>
  <si>
    <t>With current probe still around conductor, DIRECT customer to start de-energizing loads supplied by PDU-B5 subfeed beaker #6.</t>
  </si>
  <si>
    <t>Once PDU-B5 subfeed beaker #6 loads are completely de-energized and confirmed with customer, VERIFY current for “C” phase of the load side of PDU-B5 subfeed beaker #6 is 0 Amps. NOTIFY MOP FACILITATOR IF THE CURRENT READING IS NOT 0 AMPS.</t>
  </si>
  <si>
    <t>CLOSE door on right side of PDU-B5.</t>
  </si>
  <si>
    <t>Disestablish the limited approach boundary around PDU-B5.</t>
  </si>
  <si>
    <t>LOAD VERIFICATION FOLLOWING SHUTDOWN OF CUSTOMER 'B' SIDE LOADS</t>
  </si>
  <si>
    <t>RECORD the position of all PDU-B1 subfeed breakers by circling the initial position below.</t>
  </si>
  <si>
    <t>Open the PDU-B1 input breaker.</t>
  </si>
  <si>
    <t>RECORD the position of all PDU-B2 subfeed breakers by circling the initial position below.</t>
  </si>
  <si>
    <t>Open the PDU-B2 input breaker.</t>
  </si>
  <si>
    <t>RECORD the position of all PDU-B3 subfeed breakers by circling the initial position below.</t>
  </si>
  <si>
    <t>Open the PDU-B3 input breaker.</t>
  </si>
  <si>
    <t>RECORD the position of all PDU-B4 subfeed breakers by circling the initial position below.</t>
  </si>
  <si>
    <t>Open the PDU-B4 input breaker.</t>
  </si>
  <si>
    <t>RECORD the position of all PDU-B5 subfeed breakers by circling the initial position below.</t>
  </si>
  <si>
    <t>Open the PDU-B5 input breaker.</t>
  </si>
  <si>
    <t>DE-ENERGIZE UPB OUTPUTS</t>
  </si>
  <si>
    <t>RECORD the position of all breakers supplying 'B' side PDUs by circling the initial position below.</t>
  </si>
  <si>
    <t>Position of breaker supplying PDU-B1:               CLOSED               OPEN</t>
  </si>
  <si>
    <t>Position of breaker supplying PDU-B2:               CLOSED               OPEN</t>
  </si>
  <si>
    <t>Position of breaker supplying PDU-B3:               CLOSED               OPEN</t>
  </si>
  <si>
    <t>Position of breaker supplying PDU-B4:               CLOSED               OPEN</t>
  </si>
  <si>
    <t>Position of breaker supplying PDU-B5:               CLOSED               OPEN</t>
  </si>
  <si>
    <t>Open the breaker marked as supplying PDU-B1 if it was initially in the closed position.</t>
  </si>
  <si>
    <t>Open the breaker marked as supplying PDU-B2 if it was initially in the closed position.</t>
  </si>
  <si>
    <t>Open the breaker marked as supplying PDU-B3 if it was initially in the closed position.</t>
  </si>
  <si>
    <t>Open the breaker marked as supplying PDU-B4 if it was initially in the closed position.</t>
  </si>
  <si>
    <t>Open the breaker marked as supplying PDU-B5 if it was initially in the closed position.</t>
  </si>
  <si>
    <t>Open the breaker marked as supplying UP2B.</t>
  </si>
  <si>
    <t>Confirm UP2B loads transfer to alternate source and are stable as follows:</t>
  </si>
  <si>
    <t>TRANSFER UPS SYSTEM 'B' TO STATIC BYPASS IN PREPARATION FOR EQUIPMENT SHUTDOWN</t>
  </si>
  <si>
    <t>UPS-B1</t>
  </si>
  <si>
    <r>
      <t>TOUCH</t>
    </r>
    <r>
      <rPr>
        <sz val="14"/>
        <rFont val="Calibri"/>
        <family val="2"/>
        <scheme val="minor"/>
      </rPr>
      <t xml:space="preserve"> the </t>
    </r>
    <r>
      <rPr>
        <b/>
        <u/>
        <sz val="14"/>
        <rFont val="Calibri"/>
        <family val="2"/>
        <scheme val="minor"/>
      </rPr>
      <t>UPS-B1</t>
    </r>
    <r>
      <rPr>
        <sz val="14"/>
        <rFont val="Calibri"/>
        <family val="2"/>
        <scheme val="minor"/>
      </rPr>
      <t xml:space="preserve"> module graphic on the UPS Summary screen.</t>
    </r>
  </si>
  <si>
    <t>UPS-B1/B2</t>
  </si>
  <si>
    <r>
      <rPr>
        <b/>
        <u/>
        <sz val="14"/>
        <rFont val="Calibri"/>
        <family val="2"/>
        <scheme val="minor"/>
      </rPr>
      <t>UPS-B1</t>
    </r>
    <r>
      <rPr>
        <sz val="14"/>
        <rFont val="Calibri"/>
        <family val="2"/>
        <scheme val="minor"/>
      </rPr>
      <t xml:space="preserve"> and </t>
    </r>
    <r>
      <rPr>
        <b/>
        <u/>
        <sz val="14"/>
        <rFont val="Calibri"/>
        <family val="2"/>
        <scheme val="minor"/>
      </rPr>
      <t>UPS-B2</t>
    </r>
    <r>
      <rPr>
        <sz val="14"/>
        <rFont val="Calibri"/>
        <family val="2"/>
        <scheme val="minor"/>
      </rPr>
      <t xml:space="preserve"> will transfer to Static Bypass.</t>
    </r>
  </si>
  <si>
    <t>VERIFY UPS-B1 indicates as in static bypass by following the one line graphic.</t>
  </si>
  <si>
    <t>UPS-B2</t>
  </si>
  <si>
    <t>VERIFY UPS-B2 indicates as in static bypass by following the one line graphic.</t>
  </si>
  <si>
    <t>Battery Cabinet B1-1</t>
  </si>
  <si>
    <t>Battery Cabinet B1-2</t>
  </si>
  <si>
    <t>Battery Cabinet B1-3</t>
  </si>
  <si>
    <t>Battery Cabinet B1-4</t>
  </si>
  <si>
    <t>Battery Cabinet B2-1</t>
  </si>
  <si>
    <t>Battery Cabinet B2-2</t>
  </si>
  <si>
    <t>Battery Cabinet B2-3</t>
  </si>
  <si>
    <t>Battery Cabinet B2-4</t>
  </si>
  <si>
    <r>
      <t>OPEN</t>
    </r>
    <r>
      <rPr>
        <sz val="14"/>
        <rFont val="Calibri"/>
        <family val="2"/>
        <scheme val="minor"/>
      </rPr>
      <t xml:space="preserve"> breaker marked as serving </t>
    </r>
    <r>
      <rPr>
        <b/>
        <u/>
        <sz val="14"/>
        <rFont val="Calibri"/>
        <family val="2"/>
        <scheme val="minor"/>
      </rPr>
      <t>UPS-B1</t>
    </r>
    <r>
      <rPr>
        <sz val="14"/>
        <rFont val="Calibri"/>
        <family val="2"/>
        <scheme val="minor"/>
      </rPr>
      <t>.</t>
    </r>
  </si>
  <si>
    <r>
      <t>OPEN</t>
    </r>
    <r>
      <rPr>
        <sz val="14"/>
        <rFont val="Calibri"/>
        <family val="2"/>
        <scheme val="minor"/>
      </rPr>
      <t xml:space="preserve"> breaker marked as serving </t>
    </r>
    <r>
      <rPr>
        <b/>
        <u/>
        <sz val="14"/>
        <rFont val="Calibri"/>
        <family val="2"/>
        <scheme val="minor"/>
      </rPr>
      <t>UPS-B2</t>
    </r>
    <r>
      <rPr>
        <sz val="14"/>
        <rFont val="Calibri"/>
        <family val="2"/>
        <scheme val="minor"/>
      </rPr>
      <t>.</t>
    </r>
  </si>
  <si>
    <t>FULLY DE-ENERGIZE SWB</t>
  </si>
  <si>
    <t>Stage an additional Engineer in the CRAC gallery to verify CRACs and humidifiers remain operational while de-energizing panels M4B1 and M4B2.</t>
  </si>
  <si>
    <t>M4B1</t>
  </si>
  <si>
    <t>M4B2</t>
  </si>
  <si>
    <t>Open breaker M4B1.</t>
  </si>
  <si>
    <t>Open breaker M4B2.</t>
  </si>
  <si>
    <t>Open breaker P4B.</t>
  </si>
  <si>
    <t>Touch the MUBT breaker to populate breaker controls.</t>
  </si>
  <si>
    <t xml:space="preserve">Press the BLUE OPEN button marked for breaker MUBT. </t>
  </si>
  <si>
    <t>Verify breaker MUBT is OPEN.</t>
  </si>
  <si>
    <t>Apply LOTO to breaker U1.</t>
  </si>
  <si>
    <t>Verify no voltage is present on breaker MUBG as indicated by the switchboard mounted metering.</t>
  </si>
  <si>
    <t>Verify no voltage is present on breaker MUBT as indicated by the switchboard mounted metering.</t>
  </si>
  <si>
    <t>SWB is now been de-energized, and testing may safely commence on SWB.</t>
  </si>
  <si>
    <t>RE-ENERGIZE SWB FOLLOWING INSPECTION/TESTING</t>
  </si>
  <si>
    <t>Remove LOTO from breaker U1.</t>
  </si>
  <si>
    <t>Remove LOTO from breaker MUAT.</t>
  </si>
  <si>
    <t>Locate breaker MUBT on the graphic. Press the BLUE “CLOSE” button to close the breaker.</t>
  </si>
  <si>
    <t>Close breaker P4B.</t>
  </si>
  <si>
    <t>P4B Loads</t>
  </si>
  <si>
    <t>Verify P4B loads respond appropriately as follows:</t>
  </si>
  <si>
    <t>Close breaker M4B1.</t>
  </si>
  <si>
    <t>Close breaker M4B2.</t>
  </si>
  <si>
    <t>RESTART UPS SYSTEM 'B'</t>
  </si>
  <si>
    <r>
      <rPr>
        <sz val="14"/>
        <rFont val="Calibri"/>
        <family val="2"/>
        <scheme val="minor"/>
      </rPr>
      <t xml:space="preserve">CLOSE breaker marked as serving </t>
    </r>
    <r>
      <rPr>
        <b/>
        <u/>
        <sz val="14"/>
        <rFont val="Calibri"/>
        <family val="2"/>
        <scheme val="minor"/>
      </rPr>
      <t>UPS-B1</t>
    </r>
    <r>
      <rPr>
        <sz val="14"/>
        <rFont val="Calibri"/>
        <family val="2"/>
        <scheme val="minor"/>
      </rPr>
      <t>.</t>
    </r>
  </si>
  <si>
    <r>
      <rPr>
        <sz val="14"/>
        <rFont val="Calibri"/>
        <family val="2"/>
        <scheme val="minor"/>
      </rPr>
      <t xml:space="preserve">CLOSE breaker marked as serving </t>
    </r>
    <r>
      <rPr>
        <b/>
        <u/>
        <sz val="14"/>
        <rFont val="Calibri"/>
        <family val="2"/>
        <scheme val="minor"/>
      </rPr>
      <t>UPS-B2</t>
    </r>
    <r>
      <rPr>
        <sz val="14"/>
        <rFont val="Calibri"/>
        <family val="2"/>
        <scheme val="minor"/>
      </rPr>
      <t>.</t>
    </r>
  </si>
  <si>
    <r>
      <rPr>
        <sz val="14"/>
        <rFont val="Calibri"/>
        <family val="2"/>
        <scheme val="minor"/>
      </rPr>
      <t xml:space="preserve">Close breaker </t>
    </r>
    <r>
      <rPr>
        <b/>
        <u/>
        <sz val="14"/>
        <rFont val="Calibri"/>
        <family val="2"/>
        <scheme val="minor"/>
      </rPr>
      <t>DP-B1</t>
    </r>
    <r>
      <rPr>
        <sz val="14"/>
        <rFont val="Calibri"/>
        <family val="2"/>
        <scheme val="minor"/>
      </rPr>
      <t>. (MOB, Module Output Breaker)</t>
    </r>
  </si>
  <si>
    <r>
      <t>TOUCH</t>
    </r>
    <r>
      <rPr>
        <sz val="14"/>
        <rFont val="Calibri"/>
        <family val="2"/>
        <scheme val="minor"/>
      </rPr>
      <t xml:space="preserve"> the </t>
    </r>
    <r>
      <rPr>
        <b/>
        <u/>
        <sz val="14"/>
        <rFont val="Calibri"/>
        <family val="2"/>
        <scheme val="minor"/>
      </rPr>
      <t>UPS-B2</t>
    </r>
    <r>
      <rPr>
        <sz val="14"/>
        <rFont val="Calibri"/>
        <family val="2"/>
        <scheme val="minor"/>
      </rPr>
      <t xml:space="preserve"> module graphic on the UPS Summary screen.</t>
    </r>
  </si>
  <si>
    <r>
      <rPr>
        <sz val="14"/>
        <rFont val="Calibri"/>
        <family val="2"/>
        <scheme val="minor"/>
      </rPr>
      <t xml:space="preserve">Close breaker </t>
    </r>
    <r>
      <rPr>
        <b/>
        <u/>
        <sz val="14"/>
        <rFont val="Calibri"/>
        <family val="2"/>
        <scheme val="minor"/>
      </rPr>
      <t>DP-B2</t>
    </r>
    <r>
      <rPr>
        <sz val="14"/>
        <rFont val="Calibri"/>
        <family val="2"/>
        <scheme val="minor"/>
      </rPr>
      <t>. (MOB, Module Output Breaker)</t>
    </r>
  </si>
  <si>
    <t>UPS system 'B' is now in static bypass, but separated from UPB due to MCBUPB being open. Customer loads remain on 'A' side PDUs.</t>
  </si>
  <si>
    <t>ENERGIZE UPB</t>
  </si>
  <si>
    <r>
      <rPr>
        <b/>
        <sz val="14"/>
        <rFont val="Calibri"/>
        <family val="2"/>
        <scheme val="minor"/>
      </rPr>
      <t>PUMP</t>
    </r>
    <r>
      <rPr>
        <sz val="14"/>
        <rFont val="Calibri"/>
        <family val="2"/>
        <scheme val="minor"/>
      </rPr>
      <t xml:space="preserve"> the </t>
    </r>
    <r>
      <rPr>
        <b/>
        <u/>
        <sz val="14"/>
        <rFont val="Calibri"/>
        <family val="2"/>
        <scheme val="minor"/>
      </rPr>
      <t>MCBUPB</t>
    </r>
    <r>
      <rPr>
        <sz val="14"/>
        <rFont val="Calibri"/>
        <family val="2"/>
        <scheme val="minor"/>
      </rPr>
      <t xml:space="preserve"> charging handle repeatedly to compress spring and </t>
    </r>
    <r>
      <rPr>
        <b/>
        <sz val="14"/>
        <rFont val="Calibri"/>
        <family val="2"/>
        <scheme val="minor"/>
      </rPr>
      <t>CHARGE</t>
    </r>
    <r>
      <rPr>
        <sz val="14"/>
        <rFont val="Calibri"/>
        <family val="2"/>
        <scheme val="minor"/>
      </rPr>
      <t xml:space="preserve"> breaker.</t>
    </r>
  </si>
  <si>
    <r>
      <rPr>
        <b/>
        <sz val="14"/>
        <rFont val="Calibri"/>
        <family val="2"/>
        <scheme val="minor"/>
      </rPr>
      <t>PUMP</t>
    </r>
    <r>
      <rPr>
        <sz val="14"/>
        <rFont val="Calibri"/>
        <family val="2"/>
        <scheme val="minor"/>
      </rPr>
      <t xml:space="preserve"> the </t>
    </r>
    <r>
      <rPr>
        <b/>
        <u/>
        <sz val="14"/>
        <rFont val="Calibri"/>
        <family val="2"/>
        <scheme val="minor"/>
      </rPr>
      <t>MBUPB</t>
    </r>
    <r>
      <rPr>
        <sz val="14"/>
        <rFont val="Calibri"/>
        <family val="2"/>
        <scheme val="minor"/>
      </rPr>
      <t xml:space="preserve"> charging handle repeatedly to compress spring and </t>
    </r>
    <r>
      <rPr>
        <b/>
        <sz val="14"/>
        <rFont val="Calibri"/>
        <family val="2"/>
        <scheme val="minor"/>
      </rPr>
      <t>CHARGE</t>
    </r>
    <r>
      <rPr>
        <sz val="14"/>
        <rFont val="Calibri"/>
        <family val="2"/>
        <scheme val="minor"/>
      </rPr>
      <t xml:space="preserve"> breaker.</t>
    </r>
  </si>
  <si>
    <r>
      <t>INSERT</t>
    </r>
    <r>
      <rPr>
        <sz val="14"/>
        <rFont val="Calibri"/>
        <family val="2"/>
        <scheme val="minor"/>
      </rPr>
      <t xml:space="preserve"> key into </t>
    </r>
    <r>
      <rPr>
        <b/>
        <sz val="14"/>
        <rFont val="Calibri"/>
        <family val="2"/>
        <scheme val="minor"/>
      </rPr>
      <t xml:space="preserve">MBUPB </t>
    </r>
    <r>
      <rPr>
        <sz val="14"/>
        <rFont val="Calibri"/>
        <family val="2"/>
        <scheme val="minor"/>
      </rPr>
      <t>lock cylinder.</t>
    </r>
  </si>
  <si>
    <r>
      <t xml:space="preserve">OPEN </t>
    </r>
    <r>
      <rPr>
        <sz val="14"/>
        <rFont val="Calibri"/>
        <family val="2"/>
        <scheme val="minor"/>
      </rPr>
      <t>breaker</t>
    </r>
    <r>
      <rPr>
        <b/>
        <sz val="14"/>
        <rFont val="Calibri"/>
        <family val="2"/>
        <scheme val="minor"/>
      </rPr>
      <t xml:space="preserve"> MCBUPB. </t>
    </r>
  </si>
  <si>
    <t>UPB is now energized via maintenance bypass to allow PDUs to be energized.</t>
  </si>
  <si>
    <t>ENERGIZE 'B' SIDE PDUs AND UP2B</t>
  </si>
  <si>
    <t>Close the breaker marked as supplying UP2B.</t>
  </si>
  <si>
    <t>ENERGIZE 'B' SIDE RPPs</t>
  </si>
  <si>
    <t>Close the PDU-B1 input breaker.</t>
  </si>
  <si>
    <t>Close the PDU-B2 input breaker.</t>
  </si>
  <si>
    <t>Close the PDU-B3 input breaker.</t>
  </si>
  <si>
    <t>Close the PDU-B4 input breaker.</t>
  </si>
  <si>
    <t>Close the PDU-B5 input breaker.</t>
  </si>
  <si>
    <t>TRANSFER UPS SYSTEM 'B' TO STATIC BYPASS</t>
  </si>
  <si>
    <r>
      <t>INSERT</t>
    </r>
    <r>
      <rPr>
        <sz val="14"/>
        <rFont val="Calibri"/>
        <family val="2"/>
        <scheme val="minor"/>
      </rPr>
      <t xml:space="preserve"> key into </t>
    </r>
    <r>
      <rPr>
        <b/>
        <sz val="14"/>
        <rFont val="Calibri"/>
        <family val="2"/>
        <scheme val="minor"/>
      </rPr>
      <t xml:space="preserve">MCBUPB </t>
    </r>
    <r>
      <rPr>
        <sz val="14"/>
        <rFont val="Calibri"/>
        <family val="2"/>
        <scheme val="minor"/>
      </rPr>
      <t>lock cylinder.</t>
    </r>
  </si>
  <si>
    <r>
      <t xml:space="preserve">OPEN </t>
    </r>
    <r>
      <rPr>
        <sz val="14"/>
        <rFont val="Calibri"/>
        <family val="2"/>
        <scheme val="minor"/>
      </rPr>
      <t>breaker</t>
    </r>
    <r>
      <rPr>
        <b/>
        <sz val="14"/>
        <rFont val="Calibri"/>
        <family val="2"/>
        <scheme val="minor"/>
      </rPr>
      <t xml:space="preserve"> MBUPB. </t>
    </r>
  </si>
  <si>
    <t>UPB is now energized via static bypass.</t>
  </si>
  <si>
    <t>TRANSFER UPS SYSTEM 'B' TO INVERTER SERVICE</t>
  </si>
  <si>
    <t>UPS-B1 and UPS-B2 will transfer to Inverter Service.</t>
  </si>
  <si>
    <t>RESTORE POWER TO 'B' SIDE DEVICE FEEDS</t>
  </si>
  <si>
    <t>Verify customer or DLR Engineers have re-energized all loads supplied by PDU-B1 subfeed beaker #1.</t>
  </si>
  <si>
    <t>Verify customer or DLR Engineers have re-energized all loads supplied by PDU-B1 subfeed beaker #2.</t>
  </si>
  <si>
    <t>Verify customer or DLR Engineers have re-energized all loads supplied by PDU-B1 subfeed beaker #3.</t>
  </si>
  <si>
    <t>Verify customer or DLR Engineers have re-energized all loads supplied by PDU-B1 subfeed beaker #4.</t>
  </si>
  <si>
    <t>Verify customer or DLR Engineers have re-energized all loads supplied by PDU-B1 subfeed beaker #5.</t>
  </si>
  <si>
    <t>Verify customer or DLR Engineers have re-energized all loads supplied by PDU-B1 subfeed beaker #6.</t>
  </si>
  <si>
    <t>Verify customer or DLR Engineers have re-energized all loads supplied by PDU-B2 subfeed beaker #1.</t>
  </si>
  <si>
    <t>Verify customer or DLR Engineers have re-energized all loads supplied by PDU-B2 subfeed beaker #2.</t>
  </si>
  <si>
    <t>Verify customer or DLR Engineers have re-energized all loads supplied by PDU-B2 subfeed beaker #3.</t>
  </si>
  <si>
    <t>Verify customer or DLR Engineers have re-energized all loads supplied by PDU-B2 subfeed beaker #4.</t>
  </si>
  <si>
    <t>Verify customer or DLR Engineers have re-energized all loads supplied by PDU-B2 subfeed beaker #5.</t>
  </si>
  <si>
    <t>Verify customer or DLR Engineers have re-energized all loads supplied by PDU-B2 subfeed beaker #6.</t>
  </si>
  <si>
    <t>Verify customer or DLR Engineers have re-energized all loads supplied by PDU-B3 subfeed beaker #1.</t>
  </si>
  <si>
    <t>Verify customer or DLR Engineers have re-energized all loads supplied by PDU-B3 subfeed beaker #2.</t>
  </si>
  <si>
    <t>Verify customer or DLR Engineers have re-energized all loads supplied by PDU-B3 subfeed beaker #3.</t>
  </si>
  <si>
    <t>Verify customer or DLR Engineers have re-energized all loads supplied by PDU-B3 subfeed beaker #4.</t>
  </si>
  <si>
    <t>Verify customer or DLR Engineers have re-energized all loads supplied by PDU-B3 subfeed beaker #5.</t>
  </si>
  <si>
    <t>Verify customer or DLR Engineers have re-energized all loads supplied by PDU-B3 subfeed beaker #6.</t>
  </si>
  <si>
    <t>Verify customer or DLR Engineers have re-energized all loads supplied by PDU-B4 subfeed beaker #1.</t>
  </si>
  <si>
    <t>Verify customer or DLR Engineers have re-energized all loads supplied by PDU-B4 subfeed beaker #2.</t>
  </si>
  <si>
    <t>Verify customer or DLR Engineers have re-energized all loads supplied by PDU-B4 subfeed beaker #3.</t>
  </si>
  <si>
    <t>Verify customer or DLR Engineers have re-energized all loads supplied by PDU-B4 subfeed beaker #4.</t>
  </si>
  <si>
    <t>Verify customer or DLR Engineers have re-energized all loads supplied by PDU-B4 subfeed beaker #5.</t>
  </si>
  <si>
    <t>Verify customer or DLR Engineers have re-energized all loads supplied by PDU-B4 subfeed beaker #6.</t>
  </si>
  <si>
    <t>Verify customer or DLR Engineers have re-energized all loads supplied by PDU-B5 subfeed beaker #1.</t>
  </si>
  <si>
    <t>Verify customer or DLR Engineers have re-energized all loads supplied by PDU-B5 subfeed beaker #2.</t>
  </si>
  <si>
    <t>Verify customer or DLR Engineers have re-energized all loads supplied by PDU-B5 subfeed beaker #3.</t>
  </si>
  <si>
    <t>Verify customer or DLR Engineers have re-energized all loads supplied by PDU-B5 subfeed beaker #4.</t>
  </si>
  <si>
    <t>Verify customer or DLR Engineers have re-energized all loads supplied by PDU-B5 subfeed beaker #5.</t>
  </si>
  <si>
    <t>Verify customer or DLR Engineers have re-energized all loads supplied by PDU-B5 subfeed beaker #6.</t>
  </si>
  <si>
    <t>RESTORE 'A' SIDE TO NORMAL UTILITY POWER</t>
  </si>
  <si>
    <t>Touch the MRAG breaker button to populate breaker controls.</t>
  </si>
  <si>
    <t>Press the BLUE OPEN button marked for breaker MRAG.</t>
  </si>
  <si>
    <t>VERIFY breaker MRAG on switchboard SWA OPENS as indicated by color change from RED to GREEN.</t>
  </si>
  <si>
    <t>Press the BLUE CLOSE button marked for breaker MUAT.</t>
  </si>
  <si>
    <t>VERIFY breaker MUAT on switchboard SWA CLOSES as indicated by color change from GREEN to RED.</t>
  </si>
  <si>
    <t>Conduct a team meeting with all parties to review the scope of work and verify all personnel are ready to perform the MOP as written.</t>
  </si>
  <si>
    <t>Record any abnormal conditions observed on the switchgear 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_</t>
  </si>
  <si>
    <t>DLR Ops/Bass Electric</t>
  </si>
  <si>
    <t>Update the LOTO log. LOTO key #:__________</t>
  </si>
  <si>
    <t>Verify point of use UPS output voltage is 120 +/- 5 volts.</t>
  </si>
  <si>
    <t>Record the point of use UPS battery replacement date as indicated on the LCD display:_________________</t>
  </si>
  <si>
    <t>Enter the username and password, which can be found by contacting the engineer stationed on base.</t>
  </si>
  <si>
    <t>Dominion Power</t>
  </si>
  <si>
    <t>DLR Engineering team to perform visual inspection of switchgear, ensure all tasks associated with SOW are completed, all connctions torqued, and UL torque seal applied.</t>
  </si>
  <si>
    <t>Verify panel covers are installed.</t>
  </si>
  <si>
    <t>Reference Table #1</t>
  </si>
  <si>
    <t>The following chart lists the APC Symmetra designations, as compared to local and industry designations.</t>
  </si>
  <si>
    <t>Site</t>
  </si>
  <si>
    <t>Industry</t>
  </si>
  <si>
    <t>Industry Definition</t>
  </si>
  <si>
    <t>Q2A</t>
  </si>
  <si>
    <t>DP-A1</t>
  </si>
  <si>
    <t>MOB</t>
  </si>
  <si>
    <t>Module Output Breaker</t>
  </si>
  <si>
    <t>Q2B</t>
  </si>
  <si>
    <t>DP-A2</t>
  </si>
  <si>
    <t>Q3</t>
  </si>
  <si>
    <t>MBUPA</t>
  </si>
  <si>
    <t>MBB</t>
  </si>
  <si>
    <t>Maintenance Bypass Breaker</t>
  </si>
  <si>
    <t>Q4</t>
  </si>
  <si>
    <t>MCBUPA</t>
  </si>
  <si>
    <t>MIB</t>
  </si>
  <si>
    <t>Maintenance Isolation Breaker</t>
  </si>
  <si>
    <t>Q7A</t>
  </si>
  <si>
    <t>Individual Cabinet Disconnect</t>
  </si>
  <si>
    <t>BCB</t>
  </si>
  <si>
    <t>Battery Cabinet Breaker</t>
  </si>
  <si>
    <t>Q7B</t>
  </si>
  <si>
    <t>Q8A</t>
  </si>
  <si>
    <t>Q8B</t>
  </si>
  <si>
    <t>The following chart lists the Emerson NX breaker designations, as compared to site and industry designations.</t>
  </si>
  <si>
    <t>Liebert</t>
  </si>
  <si>
    <t>Definition</t>
  </si>
  <si>
    <t>IIB</t>
  </si>
  <si>
    <t>UPS-A1, UPS-A2 (at SWA)</t>
  </si>
  <si>
    <t>Input Isolation Breaker</t>
  </si>
  <si>
    <t>DP-A1, DP-A2</t>
  </si>
  <si>
    <t>MBUPA (At UPA)</t>
  </si>
  <si>
    <t>MCBUPA (At UPA)</t>
  </si>
  <si>
    <t>BFB</t>
  </si>
  <si>
    <t>Backfeed Breaker (At UPS)</t>
  </si>
  <si>
    <t>Static Bypass Feeder</t>
  </si>
  <si>
    <t>The following chart lists the MGE EPS 8000 breaker designations, as compared to site and industry designations, for reference.</t>
  </si>
  <si>
    <t>Q1</t>
  </si>
  <si>
    <t>Q5N (Module)</t>
  </si>
  <si>
    <t>Q5N</t>
  </si>
  <si>
    <t>Q2S</t>
  </si>
  <si>
    <t>SCC Internal Static Bypass Breaker</t>
  </si>
  <si>
    <t>Q3BP</t>
  </si>
  <si>
    <t>MBUPx (At UPx)</t>
  </si>
  <si>
    <t>Q5N (system)</t>
  </si>
  <si>
    <t>MCBUPx (At UPx)</t>
  </si>
  <si>
    <t>Q4S</t>
  </si>
  <si>
    <t>SCC-x (At SWx)</t>
  </si>
  <si>
    <t>Static Switch Bypass Feeder</t>
  </si>
  <si>
    <t>MBx (At SWx)</t>
  </si>
  <si>
    <t>Maintenance Bypass Feeder</t>
  </si>
  <si>
    <t>QF1</t>
  </si>
  <si>
    <t>Recording Table #1</t>
  </si>
  <si>
    <t>CRAC ID</t>
  </si>
  <si>
    <t>Set Point</t>
  </si>
  <si>
    <t>EC Fan Current</t>
  </si>
  <si>
    <t>Compressor 1A Current</t>
  </si>
  <si>
    <t>Compressor 1B Current</t>
  </si>
  <si>
    <t>Compressor 2A Current</t>
  </si>
  <si>
    <t>Compressor 2B Current</t>
  </si>
  <si>
    <t>Condenser Pressure #1</t>
  </si>
  <si>
    <t>Condenser Pressure #2</t>
  </si>
  <si>
    <t>Evaporator Pressure #1</t>
  </si>
  <si>
    <t>Evaporator Pressure #2</t>
  </si>
  <si>
    <t>Econophase Package Test Pass/Fail</t>
  </si>
  <si>
    <t>Filter Change
Y/N</t>
  </si>
  <si>
    <t>Filter Size</t>
  </si>
  <si>
    <t>Humidifier ID</t>
  </si>
  <si>
    <t>Electrode Current</t>
  </si>
  <si>
    <t>Canister Change
Y/N</t>
  </si>
  <si>
    <t>Water Panel Change Y/N</t>
  </si>
  <si>
    <t>Model Number</t>
  </si>
  <si>
    <t>Unit ID</t>
  </si>
  <si>
    <t>Filter Replaced (Y/N)</t>
  </si>
  <si>
    <t>Belt Size</t>
  </si>
  <si>
    <t>Belt Replaced (Y/N)</t>
  </si>
  <si>
    <t>Fan Current</t>
  </si>
  <si>
    <t>Compressor Current</t>
  </si>
  <si>
    <t>Heating Element Current</t>
  </si>
  <si>
    <t>Annual Scope of Work</t>
  </si>
  <si>
    <t>All items below shall be listed in the vendor report for the job</t>
  </si>
  <si>
    <t>Verify eye wash or bottled eye neutralizer is available.</t>
  </si>
  <si>
    <t>Visually and electrically inspect the battery cabinet / rack ground status</t>
  </si>
  <si>
    <t xml:space="preserve">Inspect the general appearance and cleanliness of the battery system. Clean normal accumulation of dust and debris. </t>
  </si>
  <si>
    <t>Measure and record individual batteries internal resistance via millivolt readings.</t>
  </si>
  <si>
    <t>Measure rectifier/charger DC ripple voltage, ensure it is within acceptable design parameters.</t>
  </si>
  <si>
    <t>Coat battery terminals, bus bars, and connectors with a thin film of conductive lubricant (when recommended by manufacturer).</t>
  </si>
  <si>
    <t>Re-torque inter battery connections in accordance with IEEE and / or manufacturer's specifications</t>
  </si>
  <si>
    <t>Test the rectifier / charger DC ground alarm functions (if applicable)</t>
  </si>
  <si>
    <t>Thermal scan battery posts</t>
  </si>
  <si>
    <t>Generator Pre-Conditions</t>
  </si>
  <si>
    <t>Oil Level Good: ☐</t>
  </si>
  <si>
    <t>Coolant Level Good: ☐ (1/4 - 3/4)</t>
  </si>
  <si>
    <t>Battery Voltage: ______ VDC (24.5-27 VDC)</t>
  </si>
  <si>
    <t>No Leaks: ☐</t>
  </si>
  <si>
    <t>Unit In Auto: ☐</t>
  </si>
  <si>
    <t>Coolant Temp: _______ F (&gt;90 F)</t>
  </si>
  <si>
    <t>No Alarms: ☐</t>
  </si>
  <si>
    <t>Starts: ________</t>
  </si>
  <si>
    <t>Run Hours: _______ Hours</t>
  </si>
  <si>
    <t>Dampers Operable: ☐</t>
  </si>
  <si>
    <t>Fuel Consumed: ________ Gal.</t>
  </si>
  <si>
    <t>Fuel Level: ________ Gal.</t>
  </si>
  <si>
    <t>Generator Post-Conditions</t>
  </si>
  <si>
    <t>Aboveground Storage Tank Inspection Form</t>
  </si>
  <si>
    <t>Steel ASTs in accordance with 40 CFR 112</t>
  </si>
  <si>
    <t>Contents: Off Road Diesel Fuel</t>
  </si>
  <si>
    <t>Engineer:</t>
  </si>
  <si>
    <t>Date:</t>
  </si>
  <si>
    <t>Tank</t>
  </si>
  <si>
    <t>YES</t>
  </si>
  <si>
    <t>NO</t>
  </si>
  <si>
    <t>Exterior evidence of leakage</t>
  </si>
  <si>
    <t>Evidence of damage or wear</t>
  </si>
  <si>
    <t>Cracked welds or seams</t>
  </si>
  <si>
    <t>Corroded bolts or valves</t>
  </si>
  <si>
    <t>Walls — corroded pitted or deteriorated</t>
  </si>
  <si>
    <t>Tank mounts broken or not secure</t>
  </si>
  <si>
    <t xml:space="preserve">Fill cap missing  </t>
  </si>
  <si>
    <t>Product level device inoperative</t>
  </si>
  <si>
    <t>Labeling faded</t>
  </si>
  <si>
    <t>General</t>
  </si>
  <si>
    <t>Staining on ground near tank</t>
  </si>
  <si>
    <t>Spill kit not adequately stocked</t>
  </si>
  <si>
    <t>Any locks not locked or missing</t>
  </si>
  <si>
    <t>Security (gate, etc.), open or missing</t>
  </si>
  <si>
    <t>Instructions:  Complete this form during monthly inspections of AST systems.  Place an X in the appropriate box and any comments on the line provided. If additional comments are needed, attach additional pages as required.</t>
  </si>
  <si>
    <t>Generator Running Conditions</t>
  </si>
  <si>
    <t>Address:</t>
  </si>
  <si>
    <t>Generator Model:</t>
  </si>
  <si>
    <t>Reason for Run:</t>
  </si>
  <si>
    <t>Engine</t>
  </si>
  <si>
    <t>Start</t>
  </si>
  <si>
    <t>15 Minutes</t>
  </si>
  <si>
    <t>30 Minutes</t>
  </si>
  <si>
    <t>45 Minutes</t>
  </si>
  <si>
    <t>60 Minutes</t>
  </si>
  <si>
    <t>Oil Pressure</t>
  </si>
  <si>
    <t>Coolant Temperature</t>
  </si>
  <si>
    <t>Battery Voltage</t>
  </si>
  <si>
    <t>Engine Speed</t>
  </si>
  <si>
    <t>Engine Hours</t>
  </si>
  <si>
    <t>Oil Temperature</t>
  </si>
  <si>
    <t>Fuel Pressure</t>
  </si>
  <si>
    <t>Boost Pressure</t>
  </si>
  <si>
    <t>Fuel Rate</t>
  </si>
  <si>
    <t>Voltage - L1</t>
  </si>
  <si>
    <t>Voltage - L2</t>
  </si>
  <si>
    <t>Voltage - L3</t>
  </si>
  <si>
    <t>Current - L1</t>
  </si>
  <si>
    <t>Current - L2</t>
  </si>
  <si>
    <t>Current - L3</t>
  </si>
  <si>
    <t>Frequency</t>
  </si>
  <si>
    <t>kW - L1</t>
  </si>
  <si>
    <t>kW - L2</t>
  </si>
  <si>
    <t>kW - L3</t>
  </si>
  <si>
    <t>Total kW</t>
  </si>
  <si>
    <t>Notify the appropriate person(s) and agencies prior to performing RTU/MAU QPM.</t>
  </si>
  <si>
    <t>DLR OPS</t>
  </si>
  <si>
    <t>Verify space temperature are normal and redundant unit is operating with no alarms prior to beginning maintenance on affected unit.</t>
  </si>
  <si>
    <t>Stop Unit by ON/OFF Button at display.</t>
  </si>
  <si>
    <t xml:space="preserve">Using proper PPE and methods, vendor shall verify control of hazardous energy prior to beginning work. </t>
  </si>
  <si>
    <t>Using proper PPE, open unit disconnect to de-Energize Unit.</t>
  </si>
  <si>
    <t xml:space="preserve">Perform LOTO as required.                                                                                                                                                                                                                                                                                                  </t>
  </si>
  <si>
    <t xml:space="preserve">Apply LOTO. LOTO # _______ applied. </t>
  </si>
  <si>
    <t>Update LOTO log.</t>
  </si>
  <si>
    <t xml:space="preserve">Verify no voltage is present:
AB___BC___CA___AN___BN___CN___
</t>
  </si>
  <si>
    <t>Vendor/DLR OPS</t>
  </si>
  <si>
    <t xml:space="preserve">Bowers technician will confirm no voltage is present, and affected circuits are de energized.                                                                                                                                                                                                                                                                                                                                                                                                                                                           Bowers technician (Print): __________________   Signature:________________
</t>
  </si>
  <si>
    <t xml:space="preserve">Inspect Electrical High Voltage section </t>
  </si>
  <si>
    <t>Check fuses for proper voltage and amperage rating.</t>
  </si>
  <si>
    <t>Check for continuity.</t>
  </si>
  <si>
    <t>Check wire connections for proper torque. Apply torque adjustment if needed.                                                                                                                                                                                                               Torque Value:__________________________________________</t>
  </si>
  <si>
    <t>Check all low voltage and circuit board connections, tighten if necessary and apply torque, if recommended by the manufacturer. DO NOT OVERTIGHTEN.                                                                                                                   Torque Value__________________________________________</t>
  </si>
  <si>
    <t>Record filter sizes in Recording Table.</t>
  </si>
  <si>
    <t xml:space="preserve"> Ensure Fan Impeller free of debris.</t>
  </si>
  <si>
    <t>Ensure Fan mounts are secure.</t>
  </si>
  <si>
    <t>Inspect fan belts, tighten and/or replace belt if needed.
Belt Condition:_____________________________________</t>
  </si>
  <si>
    <t>Record belt size in Recording Table.</t>
  </si>
  <si>
    <t>Lubricate motor and fan bearings if required.</t>
  </si>
  <si>
    <t>Ensure blower free of debris.</t>
  </si>
  <si>
    <t>Inspect wiring, repair/record any deficiencies.                                                                                                                                                                                                                                                                   Deficiencies:</t>
  </si>
  <si>
    <t xml:space="preserve">Inspect sheave and pulley.                                                                                                                                                                                                                                                                                                                         Issues Noted:
</t>
  </si>
  <si>
    <t>Ensure all tools and debris have been removed from condenser.</t>
  </si>
  <si>
    <t>Replace all removed panels.</t>
  </si>
  <si>
    <t>Perform Operational Test</t>
  </si>
  <si>
    <t>Ensure all personnel are clear of unit.</t>
  </si>
  <si>
    <t>Using proper Lockout/Tag out procedures, remove LOTO from unit disconnect.                                                                                                                                                                                                                                                                                                                                                                                                                                                                                         LOTO #________removed</t>
  </si>
  <si>
    <t>Turn the RTU disconnect ON</t>
  </si>
  <si>
    <t>Record fan and compressor amps in Recording Table.</t>
  </si>
  <si>
    <t xml:space="preserve">Verify proper refrigerant levels per manufacturers recommendations. </t>
  </si>
  <si>
    <t>Operate the system in heating mode (if equipped) and test for proper operation.</t>
  </si>
  <si>
    <t>Record heating element current in Recording Table.</t>
  </si>
  <si>
    <t>Repair, replace, or document any discrepancies found during this procedure.                                                                                                                                                                                                     Discrepancies:</t>
  </si>
  <si>
    <t>Document Setpoints on Post-Check list</t>
  </si>
  <si>
    <t>Verify RTU's are configured for automatic operation.</t>
  </si>
  <si>
    <t>Verify all system parameters and set points and ensure unit is operating properly.</t>
  </si>
  <si>
    <t>Post-Work Closeout</t>
  </si>
  <si>
    <t>Walk the entire area to ensure there are no safety issues.</t>
  </si>
  <si>
    <t>Check BMS to ensure no faults / alarms.</t>
  </si>
  <si>
    <t>Verify all systems are in normal operating configuration.</t>
  </si>
  <si>
    <t>RTU ID</t>
  </si>
  <si>
    <t>Exhaust Fan Current</t>
  </si>
  <si>
    <t>Supply Fan Current</t>
  </si>
  <si>
    <t>Compressor 1 Current</t>
  </si>
  <si>
    <t>Compressor 2 Current</t>
  </si>
  <si>
    <t>RTU-01</t>
  </si>
  <si>
    <t>RTU-02</t>
  </si>
  <si>
    <t>RTU-03</t>
  </si>
  <si>
    <t>RTU-04</t>
  </si>
  <si>
    <t>RTU-05</t>
  </si>
  <si>
    <t>RTU-06</t>
  </si>
  <si>
    <t>MAU-01</t>
  </si>
  <si>
    <t>MAU-02</t>
  </si>
  <si>
    <t>POST WORK VERIFICATION</t>
  </si>
  <si>
    <t>Ensure all Tools and Debris are removed from site</t>
  </si>
  <si>
    <t>Notify Tech Ops, that maintenance is complete for the day.</t>
  </si>
  <si>
    <t>Report to Tech Ops of any faults or issues found.</t>
  </si>
  <si>
    <t>Acknowledge MOP Completion, hand back Job Pack to Tech Ops</t>
  </si>
  <si>
    <t>NOTIFY the appropriate person(s) and agencies prior to performing Chill Water Pump SAPM.</t>
  </si>
  <si>
    <t>Record The Following:</t>
  </si>
  <si>
    <t>Unit DLR Number: _______________________</t>
  </si>
  <si>
    <t>Unit Temperature: _________F</t>
  </si>
  <si>
    <t>Ambient Temperature: ________F</t>
  </si>
  <si>
    <t>If Pump is running, proceed to BMS and rotate ="Primary Pump " &amp; Chiller1 Sequence to where Pump is in Lag-2.</t>
  </si>
  <si>
    <t>When Pump rotation is complete, open Pump Disconnect. (Use Proper LOTO)</t>
  </si>
  <si>
    <t>Inspect Coupling:</t>
  </si>
  <si>
    <t>Remove Coupling Shroud.</t>
  </si>
  <si>
    <t>Check rubber insert or flex coupler for Damage. If Damaged, Replace.</t>
  </si>
  <si>
    <t>Check for excessive movement.</t>
  </si>
  <si>
    <t>Check Set Screws for tightness.</t>
  </si>
  <si>
    <t>When Complete, Install Coupling Shroud.</t>
  </si>
  <si>
    <t>Inspect Motor</t>
  </si>
  <si>
    <t>Regrease Front and Rear Bearings of Motor with Polyrex-EM Grease.</t>
  </si>
  <si>
    <t>Remove bottom grease plug on each bearing and run motor for approx. 5-10min to expel any old grease. Stop motor and reinstall plug. Clean area.</t>
  </si>
  <si>
    <t>Inspect Pump</t>
  </si>
  <si>
    <t>Regrease Pump Bearing with NLGI Grade 2 Grease.</t>
  </si>
  <si>
    <t>Regrease the pump while the pump is running.</t>
  </si>
  <si>
    <t>Do Not Over Grease.</t>
  </si>
  <si>
    <t>Check Pump for Leaks.</t>
  </si>
  <si>
    <t>Inspect Motor Starter Disconnect</t>
  </si>
  <si>
    <t>With Disconnect LOTO, open door and check for discoloration or burnt wires.</t>
  </si>
  <si>
    <t>Check Contactor for pitting or discoloration.</t>
  </si>
  <si>
    <t>Test Fuses; Record Fuse Size __________________.</t>
  </si>
  <si>
    <t>Tighten Electrical Connections.</t>
  </si>
  <si>
    <t>Record Motor Amp Readings: (Use Proper PPE)</t>
  </si>
  <si>
    <t>Close Disconnect.</t>
  </si>
  <si>
    <t>Place Pump from Auto to Hand. Verify On/Off Lights on Disconnect are working.</t>
  </si>
  <si>
    <t>Take Amp Readings:</t>
  </si>
  <si>
    <t>L1___________ L2____________ L3___________</t>
  </si>
  <si>
    <t>Motor Nameplate FLA___________________</t>
  </si>
  <si>
    <t>Once Readings are taken, place Disconnect back in Auto.</t>
  </si>
  <si>
    <t>NOTES:</t>
  </si>
  <si>
    <t>If Pump is running, proceed to BMS and rotate ="Primary Pump " &amp; Chiller2 Sequence to where Pump is in Lag-2.</t>
  </si>
  <si>
    <t>If Pump is running, proceed to BMS and rotate ="Primary Pump " &amp; Chiller3 Sequence to where Pump is in Lag-2.</t>
  </si>
  <si>
    <t>Perform Semi Annual PM On Secondary Pump 1</t>
  </si>
  <si>
    <t>Secondary Pump 1</t>
  </si>
  <si>
    <t>VFD Operating Hz: ___________Hz</t>
  </si>
  <si>
    <t>If Pump is running, proceed to BMS and rotate Primary Pump Sequence to where Pump is in Lag-2.</t>
  </si>
  <si>
    <t>Inspect VFD</t>
  </si>
  <si>
    <t>Open Pump VFD Disconnect. Watch opposite Pump VFD Hz and verify it continues to operate.</t>
  </si>
  <si>
    <t>With Pump VFD Disconnect Locked and tagged open, open door and check for discoloration or burnt wires.</t>
  </si>
  <si>
    <t>Check Contactor for pitting or discoloration</t>
  </si>
  <si>
    <t>Test Fuses: Record Fuse Size __________________</t>
  </si>
  <si>
    <t>Tighten Electrical Connections</t>
  </si>
  <si>
    <t>Place Pump VFD from Auto to Hand. Allow Pump to Drive no higher than 45 Hz.</t>
  </si>
  <si>
    <t>Verify opposite Pump continues to operate.</t>
  </si>
  <si>
    <t>Once Readings have been captured, place VFD back in Auto.</t>
  </si>
  <si>
    <t>Perform Semi Annual PM On Secondary Pump 2</t>
  </si>
  <si>
    <t>Secondary Pump 2</t>
  </si>
  <si>
    <t>Perform Glycol Make-Up Unit Semi Annual PM</t>
  </si>
  <si>
    <t>Glycol Make up Unit</t>
  </si>
  <si>
    <t xml:space="preserve">DLR unit Number:     </t>
  </si>
  <si>
    <t>Current Glycol level in tank: __      ­­­­­­­­­­­­­gal.</t>
  </si>
  <si>
    <t>Glycol system pressure:   psi.</t>
  </si>
  <si>
    <t>Begin Maintenance procedures on system</t>
  </si>
  <si>
    <t>If no debris is present in glycol tank skip to step 172.</t>
  </si>
  <si>
    <t>Open power disconnect for unit (switch next to unit).</t>
  </si>
  <si>
    <t>Isolate Make-Up unit from chilled water system by closing ball valve in piping leading from base of unit.</t>
  </si>
  <si>
    <t>Isolate tank by closing valve on side of tank.</t>
  </si>
  <si>
    <t>Warning! The procedures that follow require proper PPE to be worn by all personnel performing maintenance. Glycol is a hazardous chemical and proper PPE is a requirement! Please familiarize yourself with the MSDS for glycol prior to continuing.</t>
  </si>
  <si>
    <t>Remove all glycol. Using transfer pump, pump glycol into secondary container.</t>
  </si>
  <si>
    <t>Once tank empty, clean all debris from tank.</t>
  </si>
  <si>
    <t>Inspect all components of make-up system for obvious leaks, corrosion, or faulty parts.</t>
  </si>
  <si>
    <t>Refill tank. If glycol removed is clean with normal odor, OK to re-use. If not, use all new glycol of same type in system, either Propylene or Ethylene. Make sure to use the correct glycol, DO NOT mix the two!</t>
  </si>
  <si>
    <t>Pump glycol back into tank using transfer pump.</t>
  </si>
  <si>
    <t>Pump any waste glycol into container marked for glycol waste.</t>
  </si>
  <si>
    <t>If level in tank is less than 25 gals, top off tank using new glycol of same type.</t>
  </si>
  <si>
    <t>Return system to normal operation</t>
  </si>
  <si>
    <t>Open valve on side of tank.</t>
  </si>
  <si>
    <t>Open ball valve on system piping.</t>
  </si>
  <si>
    <t>Close power disconnect (switch) to re-energize.</t>
  </si>
  <si>
    <t>Clean up area and rinse transfer pump and all equipment used.</t>
  </si>
  <si>
    <t>Call Operations Base and confirm that all systems are normal for suite.</t>
  </si>
  <si>
    <t>Notify operations desk that RTU/MAU Quarterly is complete. BMS alarms should be clear.</t>
  </si>
  <si>
    <r>
      <t>Lessons Learned</t>
    </r>
    <r>
      <rPr>
        <b/>
        <sz val="14"/>
        <color rgb="FF000000"/>
        <rFont val="Arial"/>
        <family val="2"/>
      </rPr>
      <t xml:space="preserve"> Summary</t>
    </r>
  </si>
  <si>
    <t>MOP Information</t>
  </si>
  <si>
    <t>Change Management Number</t>
  </si>
  <si>
    <t>Date</t>
  </si>
  <si>
    <t>Document the Lesson Learned in the appropriate section below</t>
  </si>
  <si>
    <t>Cover Page</t>
  </si>
  <si>
    <t>References</t>
  </si>
  <si>
    <t>Pre-Work</t>
  </si>
  <si>
    <t>I&amp;E Diagram</t>
  </si>
  <si>
    <t>Detailed Script</t>
  </si>
  <si>
    <t>Post-Work</t>
  </si>
  <si>
    <r>
      <t>Lessons Learned</t>
    </r>
    <r>
      <rPr>
        <b/>
        <sz val="14"/>
        <color rgb="FF000000"/>
        <rFont val="Arial"/>
        <family val="2"/>
      </rPr>
      <t xml:space="preserve"> Approval</t>
    </r>
  </si>
  <si>
    <t>Regional Manager</t>
  </si>
  <si>
    <t>Regional Director</t>
  </si>
  <si>
    <t>Fire Watch Log</t>
  </si>
  <si>
    <t>ASSIGNED AREA: _________________________________</t>
  </si>
  <si>
    <t>DATE: ___________</t>
  </si>
  <si>
    <t>FIRE-WATCHER: _____________________________</t>
  </si>
  <si>
    <t>INITIALS: ________</t>
  </si>
  <si>
    <t>Time Started: _______          Time Ended: _______</t>
  </si>
  <si>
    <r>
      <t xml:space="preserve">Fire watch personnel must perform continuous tours such that each room in their assigned area is checked at not less than 60-minute intervals. The first entry in this log must be made within 30 minutes of the start of the fire watch and every 60 minutes thereafter. Times must be recorded using the 24-hour clock and initialed. </t>
    </r>
    <r>
      <rPr>
        <sz val="10"/>
        <color theme="1"/>
        <rFont val="Arial"/>
        <family val="2"/>
      </rPr>
      <t xml:space="preserve">Any problems found during the fire watch must be documented (along with the time found and initialed) and reported to the DLR management team for immediate correction.  </t>
    </r>
  </si>
  <si>
    <t>I certify (by my initials below) that I completed a tour of my entire assigned area at the following times:</t>
  </si>
  <si>
    <t>Tour start time</t>
  </si>
  <si>
    <t>Tour end time</t>
  </si>
  <si>
    <t>Findings / Actions</t>
  </si>
  <si>
    <t xml:space="preserve">     </t>
  </si>
  <si>
    <t>Site Code</t>
  </si>
  <si>
    <t>Address</t>
  </si>
  <si>
    <t>Region</t>
  </si>
  <si>
    <t>4. Director</t>
  </si>
  <si>
    <t>5. Director Email</t>
  </si>
  <si>
    <t>6. Dir. Phone</t>
  </si>
  <si>
    <t>7. Regional Manager</t>
  </si>
  <si>
    <t>8. RM Email</t>
  </si>
  <si>
    <t>9. RM Phone</t>
  </si>
  <si>
    <t>10. Data Center Manager</t>
  </si>
  <si>
    <t>11. DCM Email</t>
  </si>
  <si>
    <t>12. DCM Phone</t>
  </si>
  <si>
    <t>13. Manager - Facility Engineering</t>
  </si>
  <si>
    <t>14. MFE Email</t>
  </si>
  <si>
    <t>15. MFE Phone</t>
  </si>
  <si>
    <t>BOS01</t>
  </si>
  <si>
    <t>451 D. Street, Suite #912, Boston, MA</t>
  </si>
  <si>
    <t>East</t>
  </si>
  <si>
    <t>Ryan Young</t>
  </si>
  <si>
    <t>ryoung@digitalrealty.com</t>
  </si>
  <si>
    <t>703-964-4704</t>
  </si>
  <si>
    <t>Vance Dorgan</t>
  </si>
  <si>
    <t>vdorgan@digitalrealty.com</t>
  </si>
  <si>
    <t>203-953-3471</t>
  </si>
  <si>
    <t>BOS10</t>
  </si>
  <si>
    <t>115 Second Ave, Waltham, MA 02451</t>
  </si>
  <si>
    <t>BOS11</t>
  </si>
  <si>
    <t>600 Winter St., Waltham, MA</t>
  </si>
  <si>
    <t>BOS13</t>
  </si>
  <si>
    <t>55 Middlesex Turnpike, Bedford, MA</t>
  </si>
  <si>
    <t>William Frick</t>
  </si>
  <si>
    <t>wfrick@digitalrealty.com</t>
  </si>
  <si>
    <t>Greg Rush</t>
  </si>
  <si>
    <t>BOS14</t>
  </si>
  <si>
    <t>128 First Avenue, Needham, MA</t>
  </si>
  <si>
    <t>Neil Crowley</t>
  </si>
  <si>
    <t>ncrowley@digitalrealty.com</t>
  </si>
  <si>
    <t>Michael Knox</t>
  </si>
  <si>
    <t>mknox@digitalrealty.com</t>
  </si>
  <si>
    <t>857-366-9945</t>
  </si>
  <si>
    <t>BOS16</t>
  </si>
  <si>
    <t>105 Cabot St., Needham, MA 02494</t>
  </si>
  <si>
    <t>EWR10</t>
  </si>
  <si>
    <t>300 Blvd East, Weehawken, NJ</t>
  </si>
  <si>
    <t>Paul Bamrick</t>
  </si>
  <si>
    <t>pbamrick@digitalrealty.com</t>
  </si>
  <si>
    <t>732-465-0128</t>
  </si>
  <si>
    <t>Tim Griffin</t>
  </si>
  <si>
    <t>tgriffin@digitalrealty.com</t>
  </si>
  <si>
    <t>EWR11</t>
  </si>
  <si>
    <t>3 Corporate Place, Piscataway, NJ</t>
  </si>
  <si>
    <t>Joe Ambrozy</t>
  </si>
  <si>
    <t>jambrozy@digitalrealty.com</t>
  </si>
  <si>
    <t>EWR12</t>
  </si>
  <si>
    <t>365 S Randolphville Rd, Piscataway, NJ</t>
  </si>
  <si>
    <t>EWR13</t>
  </si>
  <si>
    <t>650 Randolph Road, Franklin Township, NJ</t>
  </si>
  <si>
    <t>EWR14</t>
  </si>
  <si>
    <t xml:space="preserve">410 Commerce Blvd., Carlstadt, NJ  </t>
  </si>
  <si>
    <t>EWR15</t>
  </si>
  <si>
    <t>701 Union Blvd, Totowa, NJ</t>
  </si>
  <si>
    <t>EWR16</t>
  </si>
  <si>
    <t>Reserved for New address in conjunction with 701 Union</t>
  </si>
  <si>
    <t>EWR17</t>
  </si>
  <si>
    <t>Reserved for Substation</t>
  </si>
  <si>
    <t>EWR18</t>
  </si>
  <si>
    <t>636 Pierce Street, Somerset, NJ</t>
  </si>
  <si>
    <t>EWR19</t>
  </si>
  <si>
    <t>1115 Centennial, Piscataway, NJ</t>
  </si>
  <si>
    <t xml:space="preserve">East </t>
  </si>
  <si>
    <t>John Kulesza</t>
  </si>
  <si>
    <t>EWR20</t>
  </si>
  <si>
    <t>100 Delawanna Ave., Clifton, NJ 07014</t>
  </si>
  <si>
    <t>Peter Natoli</t>
  </si>
  <si>
    <t>EWR21</t>
  </si>
  <si>
    <t>2 Peekay Drive, Clifton, NJ 07014</t>
  </si>
  <si>
    <t>HVN10</t>
  </si>
  <si>
    <t>80 Merritt Blvd, Trumbull, CT</t>
  </si>
  <si>
    <t>Bill Eaton</t>
  </si>
  <si>
    <t>beaton@digitalrealty.com</t>
  </si>
  <si>
    <t>Ben Escobar</t>
  </si>
  <si>
    <t>43881 Devin Shafron Dr (Bldg B), Ashburn, VA</t>
  </si>
  <si>
    <t>Cristinel Ion</t>
  </si>
  <si>
    <t>cion@digitalrealty.com</t>
  </si>
  <si>
    <t>703-885-3670</t>
  </si>
  <si>
    <t>Kirk Forsythe</t>
  </si>
  <si>
    <t>kforsythe@digitalrealty.com</t>
  </si>
  <si>
    <t>703-964-4772</t>
  </si>
  <si>
    <t>Samir Irimia</t>
  </si>
  <si>
    <t>sirimia@digitalrealty.com</t>
  </si>
  <si>
    <t>415-652-5135</t>
  </si>
  <si>
    <t>IAD13</t>
  </si>
  <si>
    <t>43831 Devin Shafron Dr  (Bldg C), Ashburn, VA</t>
  </si>
  <si>
    <t>43791 Devin Shafron Dr (Bldg D), Ashburn, VA</t>
  </si>
  <si>
    <t>Doug Goodavage</t>
  </si>
  <si>
    <t>dgoodavage@digitalrealty.com</t>
  </si>
  <si>
    <t>703-964-4759</t>
  </si>
  <si>
    <t>43915 Devin Shafron Dr (Bldg A), Ashburn, VA</t>
  </si>
  <si>
    <t>IAD16</t>
  </si>
  <si>
    <t>21110 Ridgetop Cr., Sterling, VA</t>
  </si>
  <si>
    <t>Justin Reitz</t>
  </si>
  <si>
    <t>jreitz@digitalrealty.com</t>
  </si>
  <si>
    <t>703-964-4798</t>
  </si>
  <si>
    <t>IAD17</t>
  </si>
  <si>
    <t>251 Exchange Pl., Herndon, VA</t>
  </si>
  <si>
    <t>IAD18</t>
  </si>
  <si>
    <t>44470 Chillum Pl., Ashburn, VA</t>
  </si>
  <si>
    <t>IAD19</t>
  </si>
  <si>
    <t>7505 Mason King Ct., Manassas, VA</t>
  </si>
  <si>
    <t>IAD20</t>
  </si>
  <si>
    <t>45901 Nokes Blvd., Sterline, VA</t>
  </si>
  <si>
    <t>IAD21</t>
  </si>
  <si>
    <t>21551 Beaumeade, Circle, Ashburn, VA</t>
  </si>
  <si>
    <t>IAD22</t>
  </si>
  <si>
    <t>21561 Beaumeade Circle, Ashburn, VA</t>
  </si>
  <si>
    <t>IAD23</t>
  </si>
  <si>
    <t>43790 Devin Shafron Dr (Bldg E), Ashburn, VA</t>
  </si>
  <si>
    <t>43830 Devin Shafron Dr (Bldg F), Ashburn, VA</t>
  </si>
  <si>
    <t>IAD25</t>
  </si>
  <si>
    <t>45845 Nokes Blvd., Sterline, VA</t>
  </si>
  <si>
    <t>IAD26</t>
  </si>
  <si>
    <t>21571 Beaumeade Circle, Ashburn, VA</t>
  </si>
  <si>
    <t>IAD30</t>
  </si>
  <si>
    <t>4030 Lafayette Center Drive (Bldg A), Chantilly, VA</t>
  </si>
  <si>
    <t>Derek Chaney</t>
  </si>
  <si>
    <t>Joshua Dodson</t>
  </si>
  <si>
    <t>jdodson@digitalrealty.com</t>
  </si>
  <si>
    <t>703-885-3734</t>
  </si>
  <si>
    <t>Kenneth Lim</t>
  </si>
  <si>
    <t>klim@digitalrealty.com</t>
  </si>
  <si>
    <t>703-885-3698</t>
  </si>
  <si>
    <t>IAD31</t>
  </si>
  <si>
    <t>4050 Lafayette Center Drive, Chantilly, VA</t>
  </si>
  <si>
    <t>IAD32</t>
  </si>
  <si>
    <t>4040 Lafayette Center Drive (Bldg B), Chantilly, VA</t>
  </si>
  <si>
    <t>IAD33</t>
  </si>
  <si>
    <t>1506 Moran Road, Ashburn VA</t>
  </si>
  <si>
    <t>IAD34</t>
  </si>
  <si>
    <t>1510 Moran Road, Ashburn VA</t>
  </si>
  <si>
    <t>43940 Digital Loudoun Plaza (Bldg G), Ashburn, VA</t>
  </si>
  <si>
    <t>rgiovannini@digitalrealty.com</t>
  </si>
  <si>
    <t>704-981-9710</t>
  </si>
  <si>
    <t>gpanait@digitalrealty.com</t>
  </si>
  <si>
    <t>703-885-3707</t>
  </si>
  <si>
    <t>43780 Digital Loudoun Plaza (Bldg H), Ashburn, VA</t>
  </si>
  <si>
    <t>dvanderplas@digitalrealty.com</t>
  </si>
  <si>
    <t>571-417-8167</t>
  </si>
  <si>
    <t>44060 Digital Loudoun Plaza (Bldg K), Ashburn, VA</t>
  </si>
  <si>
    <t>Steven Pierre</t>
  </si>
  <si>
    <t>sgpierre@digitalrealty.com</t>
  </si>
  <si>
    <t>571-325-4410</t>
  </si>
  <si>
    <t>44100 Digital Loudoun Plaza (Bldg J), Ashburn, VA</t>
  </si>
  <si>
    <t>Daniel Greceanu</t>
  </si>
  <si>
    <t>dgreceanu@digitalrealty.com</t>
  </si>
  <si>
    <t>571-919-8000</t>
  </si>
  <si>
    <t>IAD39</t>
  </si>
  <si>
    <t>44274 Round Table Plaza (Bldg L), Ashburn, VA</t>
  </si>
  <si>
    <t>John Limbacher</t>
  </si>
  <si>
    <t>jlimbacher@digitalrealty.com</t>
  </si>
  <si>
    <t>703-885-3694</t>
  </si>
  <si>
    <t>Dave Penny</t>
  </si>
  <si>
    <t>dpenny@digitalrealty.com</t>
  </si>
  <si>
    <t>703-964-4735</t>
  </si>
  <si>
    <t>IAD40</t>
  </si>
  <si>
    <t>44372 Round Table Plaza (Bldg M), Ashburn, VA</t>
  </si>
  <si>
    <t>Don Atkinson</t>
  </si>
  <si>
    <t>datkinson@digitalrealty.com</t>
  </si>
  <si>
    <t>703-964-4729</t>
  </si>
  <si>
    <t>Joseph Reinboldt</t>
  </si>
  <si>
    <t>jreinboldt@digitalrealty.com</t>
  </si>
  <si>
    <t>571-439-5218</t>
  </si>
  <si>
    <t>IAD41</t>
  </si>
  <si>
    <t>44751 Round Table Plaza (Bldg P), Ashburn, VA</t>
  </si>
  <si>
    <t>JFK10</t>
  </si>
  <si>
    <t>111 8th Ave, ( 2nd, 3rd, 6th &amp; 7th Floor), New York, NY</t>
  </si>
  <si>
    <t>Eric Falk</t>
  </si>
  <si>
    <t>Steve Robbins</t>
  </si>
  <si>
    <t>JFK12</t>
  </si>
  <si>
    <t>60 Hudson St., New York, NY</t>
  </si>
  <si>
    <t>Manuel Pego</t>
  </si>
  <si>
    <t>JFK13</t>
  </si>
  <si>
    <t>32 Avenue of the Americas, New York, NY</t>
  </si>
  <si>
    <t>TOR1</t>
  </si>
  <si>
    <t>1 Century Place, Vaughan, ON</t>
  </si>
  <si>
    <t>Byron Shore</t>
  </si>
  <si>
    <t>bshore@digitalrealty.com</t>
  </si>
  <si>
    <t>Jim Bennett / Raymond Jushka</t>
  </si>
  <si>
    <t>YYZ10</t>
  </si>
  <si>
    <t>371 Gough Road, Markham, ON</t>
  </si>
  <si>
    <t>Jimry Galut</t>
  </si>
  <si>
    <t>jgalut@digitalrealty.com</t>
  </si>
  <si>
    <t>Anthony Brown</t>
  </si>
  <si>
    <t>Activity Category (Select One)</t>
  </si>
  <si>
    <t>Activity Type</t>
  </si>
  <si>
    <t>Activity Subtype</t>
  </si>
  <si>
    <t>Customer Notification Required</t>
  </si>
  <si>
    <t>Timing of Customer Notification</t>
  </si>
  <si>
    <t>Escort to Premise Required</t>
  </si>
  <si>
    <t>MOP Required</t>
  </si>
  <si>
    <t>Regional Manager Approval</t>
  </si>
  <si>
    <t>Supervision  of work required</t>
  </si>
  <si>
    <t>Switching Required by Digital Realty Personnel</t>
  </si>
  <si>
    <t>Work Performed By</t>
  </si>
  <si>
    <t>Backout Plan</t>
  </si>
  <si>
    <t>On Master MOP</t>
  </si>
  <si>
    <t>3rd Party Software Troubleshooting</t>
  </si>
  <si>
    <t>BMS System</t>
  </si>
  <si>
    <t>Standards/Reports</t>
  </si>
  <si>
    <t>None</t>
  </si>
  <si>
    <t>Low</t>
  </si>
  <si>
    <t>Self</t>
  </si>
  <si>
    <t>3rd-Party Equipment Diagnosis &amp; Troubleshooting Support</t>
  </si>
  <si>
    <t>Hardware/Workstation</t>
  </si>
  <si>
    <t>Facilities</t>
  </si>
  <si>
    <t>2 Weeks</t>
  </si>
  <si>
    <t>Full</t>
  </si>
  <si>
    <t>Perform Above Raised Floor Cleaning and Leveling</t>
  </si>
  <si>
    <t>No immediate risk to customer loads.</t>
  </si>
  <si>
    <t>Walkway may be obstructed or slippery during maintenance activities</t>
  </si>
  <si>
    <t>Access Modify</t>
  </si>
  <si>
    <t>Security</t>
  </si>
  <si>
    <t>Access Control</t>
  </si>
  <si>
    <t>Access Request</t>
  </si>
  <si>
    <t>Access Review Compliance</t>
  </si>
  <si>
    <t>Report</t>
  </si>
  <si>
    <t>Access Termination</t>
  </si>
  <si>
    <t>Account Request MAC</t>
  </si>
  <si>
    <t>STAT</t>
  </si>
  <si>
    <t>Ad hoc Report</t>
  </si>
  <si>
    <t>Administrative Support Services</t>
  </si>
  <si>
    <t>Air Handler Maintenance</t>
  </si>
  <si>
    <t>Mechanical</t>
  </si>
  <si>
    <t>Air Handlers</t>
  </si>
  <si>
    <t>Partial</t>
  </si>
  <si>
    <t xml:space="preserve">Perform maintenance on the Air Handler Unit. To be performed per manufacturers reccomendations. </t>
  </si>
  <si>
    <t xml:space="preserve">No immediate risk to customer loads. </t>
  </si>
  <si>
    <t xml:space="preserve">No impact to customer load. </t>
  </si>
  <si>
    <t>Air Handler Repairs</t>
  </si>
  <si>
    <t xml:space="preserve">Perform troubleshooting and repair on the Air Handler Unit per manufacturers reccomendation. </t>
  </si>
  <si>
    <t xml:space="preserve">No immedisate risk to customer loads. </t>
  </si>
  <si>
    <t>Alarm database failure</t>
  </si>
  <si>
    <t>Commissioning/Alarms/Access</t>
  </si>
  <si>
    <t>Alarm delivery troubleshooting w/ monitoring network &amp; ISP failures</t>
  </si>
  <si>
    <t>Alarm filtering issues</t>
  </si>
  <si>
    <t>All Graphic Changes</t>
  </si>
  <si>
    <t>Software/Workstation</t>
  </si>
  <si>
    <t>Annual</t>
  </si>
  <si>
    <t>Inspection</t>
  </si>
  <si>
    <t>Engineering</t>
  </si>
  <si>
    <t>Plumbing</t>
  </si>
  <si>
    <t xml:space="preserve">Perform testing and certification of back flow preventer in the plumbing system. </t>
  </si>
  <si>
    <t xml:space="preserve">No immediate risk to customer load. </t>
  </si>
  <si>
    <t>Fire Systems</t>
  </si>
  <si>
    <t>Fire Extinguishers</t>
  </si>
  <si>
    <t>High</t>
  </si>
  <si>
    <t>Perform Annual Fire Extinguisher Checks. No MOP necessary for annual Fire Extinguisher Checks.</t>
  </si>
  <si>
    <t>No immediate impact to customer loads.</t>
  </si>
  <si>
    <t>Annual Fire Pump PM</t>
  </si>
  <si>
    <t>Fire Pumps</t>
  </si>
  <si>
    <t>Not reflective of current site configuration.  If you are seeing this message, please consult your Manager.</t>
  </si>
  <si>
    <t>Annual High Pressure Mist System Maintenance</t>
  </si>
  <si>
    <t>High Pressure Mist System</t>
  </si>
  <si>
    <t>Annual PM on Foam or Gas  Suppression System</t>
  </si>
  <si>
    <t>Foam &amp; Gas Suppression Systems</t>
  </si>
  <si>
    <t>Annual Pre-Action PM</t>
  </si>
  <si>
    <t>Pre-Action Systems</t>
  </si>
  <si>
    <t>Vendor to perform Annual Inspection &amp; Testing of Pre-Action Systems for suite and associated mechanical and electrical Rooms. Testing to include but not be limited to checking air pressure switches, air compressors, supervisory switches and alarm switches during this inspection.</t>
  </si>
  <si>
    <t xml:space="preserve">Life safety equipment to be off-line during repair/maintenance work. A fire watch will be assigned to the affected area. </t>
  </si>
  <si>
    <t>Annual Sprinkler PM and Testing</t>
  </si>
  <si>
    <t>Wet Sprinkler Systems</t>
  </si>
  <si>
    <t>Vendor to perform Annual Inspection &amp; Testing of Pre-Action Sprinkler Systems for Offices, POP Rooms, and Electric Rooms. Will be checking air pressure switches, air compressors, supervisory switches and alarm switches during this inspection. There will be no water flow during these PMs.</t>
  </si>
  <si>
    <t xml:space="preserve">Pre-Action system to be offline during maintenance. A fire watch will be assigned to the affected area.  </t>
  </si>
  <si>
    <t>Annual VESDA System Maintenance</t>
  </si>
  <si>
    <t>VESDA System</t>
  </si>
  <si>
    <t>Vendor to perform annual inspection and testing of the VESDA as part of the annual Pre-Action system testing, taking into account the extra maintenance required by the specific system.</t>
  </si>
  <si>
    <t xml:space="preserve">Pre-Action system to be offline during maintenance. A fire watch will be assigned to the affected area. EPO will be disarmed. </t>
  </si>
  <si>
    <t>Any connection to existing systems or shared infrastructure</t>
  </si>
  <si>
    <t>Construction Activities</t>
  </si>
  <si>
    <t>Installation, Testing &amp; Commissioning</t>
  </si>
  <si>
    <t>48 Hours</t>
  </si>
  <si>
    <t>Critical</t>
  </si>
  <si>
    <t xml:space="preserve">Vendor to tie into shared infrastructure equipment. Disable or bypass all necessary systems to allow installation without interruption of daily activities. </t>
  </si>
  <si>
    <t>ATS PM with Critical Load Transfers or Both Critical and Essential</t>
  </si>
  <si>
    <t>Electrical</t>
  </si>
  <si>
    <t>Automatic Transfer Switch &amp; Switchgear</t>
  </si>
  <si>
    <t xml:space="preserve">Vendor to perform de-energized PM of ATS. All breakers feeding transfer switch will be opened and locked out/tagged out. If possible, equipment powered by the ATS will be placed last in its rotation, otherwise, load will be lost. </t>
  </si>
  <si>
    <t xml:space="preserve">Possible loss of redundancy if the equipment being de-energized is supporting the suite. If ATS is supporting a critical load, load will be lost if no other power supply exist. </t>
  </si>
  <si>
    <t xml:space="preserve">If ATS is supporting a critical load, it will be lost upon de-energization if no other power supply exists. </t>
  </si>
  <si>
    <t>ATS PM with Essential Load Transfers</t>
  </si>
  <si>
    <t xml:space="preserve">Possible loss of redundancy if the equipment being energized by the ATS is supporting the suite. </t>
  </si>
  <si>
    <t xml:space="preserve">No immediate impact to critical load. </t>
  </si>
  <si>
    <t>ATS Troubleshooting</t>
  </si>
  <si>
    <t>ATS Troubleshooting, Repairs, or Setting Changes</t>
  </si>
  <si>
    <t xml:space="preserve">Vendor to perform troubleshooting,repair, or setting changes of the Automatic Transfer Switch. Depending on the type of work to be performed unit may have to be de-energized. </t>
  </si>
  <si>
    <t>If required by the repair, unit may have to be de-energized, potentially lowering redundancy of the suite.</t>
  </si>
  <si>
    <t xml:space="preserve">No immediate impact to critical customer load. Potential loss of redundancy. </t>
  </si>
  <si>
    <t>Ballast replacement</t>
  </si>
  <si>
    <t>Lighting</t>
  </si>
  <si>
    <t>24 Hours</t>
  </si>
  <si>
    <t xml:space="preserve">Engineering team to replace light ballast. </t>
  </si>
  <si>
    <t>No immediate risk to customer loads. Care should be taken to place ballast in proper recycling container.</t>
  </si>
  <si>
    <t>BMS Functionality Checks (regularly scheduled checks and/or calibration)</t>
  </si>
  <si>
    <t>BMS Systems</t>
  </si>
  <si>
    <t xml:space="preserve">Perform BMS alarming setpoint and functionality checks to ensure proper system operation. </t>
  </si>
  <si>
    <t xml:space="preserve">No immediate risk to customer loads. Suite being worked on will be monitored to ensure a stable situation is maintained until the BMS system is restored. </t>
  </si>
  <si>
    <t xml:space="preserve">No immediate impact to customer loads. </t>
  </si>
  <si>
    <t>BMS Points</t>
  </si>
  <si>
    <t>BMS Points Additions</t>
  </si>
  <si>
    <t xml:space="preserve">Vendor to add monitoring points and alarms to the BMS system. All new points will be tested to ensure functionality. </t>
  </si>
  <si>
    <t>BMS Software Upgrades or programming changes</t>
  </si>
  <si>
    <t xml:space="preserve">Perform software upgrades or programming changes to the BMS supporting the automatic functionality of the equipment to improve operational equipment or correct an issue with the system. </t>
  </si>
  <si>
    <t>BMS Time Sync Issues</t>
  </si>
  <si>
    <t>CCTV</t>
  </si>
  <si>
    <t>Repair Security Device - Critical Space</t>
  </si>
  <si>
    <t>Repair Security Device - Non Critical Space</t>
  </si>
  <si>
    <t>DC Plant</t>
  </si>
  <si>
    <t>Perform quarterly preventive maintenance on the cellwatch battery monitoring system.</t>
  </si>
  <si>
    <t>Chiller</t>
  </si>
  <si>
    <t>Perform Semi - Annual preventive maintenance on Glycol pumps. Only one pump will be turned off at a time. All maintenance shall be perfomed per manfacturers recommendations.</t>
  </si>
  <si>
    <t>Risk classification high due to possible reduction in available redundancy and exposure to hazardous energy. Risk will be managed by requiring vendor to keep all operational pumps available whenever possible. The vendor shall be required to wear appropriate PPE, follow LOTO policy, and verify control of hazardous energy prior to accessing energized equipment. All work to be performed in accordance with manufacturers recommendations.</t>
  </si>
  <si>
    <t>Only one pump will be turned off at a time. Available redundancy will be at "N" for the duration of the individual pump maintenace. Suite temperatures shall be monitored by engineering for the duration of the maintenance. Engineers shall ensure the affected equipment is returned to service daily. prior to vendor departure from site.</t>
  </si>
  <si>
    <t>Perform Semi- Annual preventive maintenance on Air Cooled Chillers. Only one chiller will be turned off at a time. All maintenance shall be performed per manfacturers recommendations and in accordance with EPA regulations.</t>
  </si>
  <si>
    <t>Risk classification high due to possible reduction in available redundancy and exposure to hazardous energy. All work to be performed in accordance with the EPA and manufacturers recommendations.</t>
  </si>
  <si>
    <t xml:space="preserve">Only one chiller will be turned off at a time. Available redundancy will be at "N" for the duration of the individual chiller maintenance. Suite temperatures shall be monitored by engineering for the duration of the maintenance. Engineers shall ensure the affected equipment is returned to service daily, prior to vendor departure from site. </t>
  </si>
  <si>
    <t>Chiller Maintenance - On line</t>
  </si>
  <si>
    <t>DO NOT PERFORM. Consult Management.</t>
  </si>
  <si>
    <t>Chiller Repairs</t>
  </si>
  <si>
    <t>Troubleshoot and Repair Chiller.  This activity may require the Chiller to be removed from service. In the event that it is to be removed from service, verify appropriate suite mechanical loading.</t>
  </si>
  <si>
    <t>Risk classification high due to possible reduction in available redundancy and exposure to hazardous energy. Risk will be managed by requiring vendor to keep all operational chiller circuits available whenever possible. The vendor shall be required to wear appropriate PPE, follow LOTO policy, and verify control of hazardous energy prior to accessing energized equipment. All work to be performed in accordance with the EPA and manufacturers recommendations.</t>
  </si>
  <si>
    <t>One or more chillers may be offline at any time due to required repairs.  At no time, will the redundancy be taken below N.</t>
  </si>
  <si>
    <t>Ciena Software Upgrades</t>
  </si>
  <si>
    <t>Connectivity / POP Room Activities</t>
  </si>
  <si>
    <t>Connectivity work</t>
  </si>
  <si>
    <t>COLO_Above Floor Cleaning</t>
  </si>
  <si>
    <t>COLO_Annual Fire Pump PM</t>
  </si>
  <si>
    <t>COLO_Annual High Pressure Mist System Maintenance</t>
  </si>
  <si>
    <t>COLO_Annual PM on Foam or Gas Suppression System</t>
  </si>
  <si>
    <t>COLO_Annual Sprinkler PM and Testing</t>
  </si>
  <si>
    <t>COLO_Annual VESDA System Maintenance</t>
  </si>
  <si>
    <t>COLO_Ballast replacement</t>
  </si>
  <si>
    <t>COLO_BMS Software Upgrades or programming changes</t>
  </si>
  <si>
    <t>COLO_Fire Protection System Panel Maintenance</t>
  </si>
  <si>
    <t>Fire System Panel</t>
  </si>
  <si>
    <t>COLO_Fire Pump Repairs</t>
  </si>
  <si>
    <t>COLO_Foam or Gas Suppression System - Quarterly or Monthly PM</t>
  </si>
  <si>
    <t>COLO_Foam or Gas Suppression System Repairs</t>
  </si>
  <si>
    <t>COLO_High Pressure Mist System - Quarterly or Monthly PM</t>
  </si>
  <si>
    <t>COLO_High Pressure Mist System Repairs</t>
  </si>
  <si>
    <t>COLO_Installation of cages, cable tray, containment, etc. in live suite</t>
  </si>
  <si>
    <t>COLO_Leak Detection PM</t>
  </si>
  <si>
    <t>Subfloor Leak Detection</t>
  </si>
  <si>
    <t>COLO_Leak Detection Repairs</t>
  </si>
  <si>
    <t>COLO_MIC Inspections or Testing</t>
  </si>
  <si>
    <t>MIC Inspections or Testing</t>
  </si>
  <si>
    <t>COLO_Plumbing Repairs Critical Space</t>
  </si>
  <si>
    <t>COLO_Pre-Action Quarterly or Monthly PM</t>
  </si>
  <si>
    <t>COLO_Raised Floor Repairs</t>
  </si>
  <si>
    <t>COLO_Raised Floor Tile Removals or Reconfigurations</t>
  </si>
  <si>
    <t>COLO_Repairs, troubleshooting, changes to lighting controls</t>
  </si>
  <si>
    <t>COLO_Security Cabinet or Stand Alone UPS Battery Replacements</t>
  </si>
  <si>
    <t>Fire &amp; Security Systems</t>
  </si>
  <si>
    <t>Security System Maintenance</t>
  </si>
  <si>
    <t>COLO_Security Software Upgrades</t>
  </si>
  <si>
    <t>COLO_Sprinkler Quarterly or Monthly PM</t>
  </si>
  <si>
    <t>COLO_VESDA System Quarterly or Monthly PM</t>
  </si>
  <si>
    <t>COLO_VESDA System Repairs</t>
  </si>
  <si>
    <t>COLO_Wet Sprinkler System Repairs</t>
  </si>
  <si>
    <t>Commanded state issue resolution if MOP is not required</t>
  </si>
  <si>
    <t>Commissioning Services</t>
  </si>
  <si>
    <t>Construction activity that creates dust/dirt inside existing suite</t>
  </si>
  <si>
    <t xml:space="preserve">Perform construction activities in a live data center environment. Vendor to use drop cloths and all necessary dust control methods to control the spread to the adjacent environment. HVAC EPO and Underfloor/Overhead smoke detectors to be disabled. </t>
  </si>
  <si>
    <t xml:space="preserve">Potential damage to customer equipment from excessive dust and debris. Possibility to set off active smoke detectors with dust.  Vendor to use all necessary dust control methods to keep polution local to the work area. Smoke detectors and HVAC EPO to be disabled. </t>
  </si>
  <si>
    <t xml:space="preserve">No immediate impact to customer load. Loss of HVAC EPO. </t>
  </si>
  <si>
    <t>Construction activity that creates dust/dirt outside of existing suite</t>
  </si>
  <si>
    <t>Controller Issues/Repairs Outside Warranty</t>
  </si>
  <si>
    <t>Controller reboots</t>
  </si>
  <si>
    <t>Cooling Tower Maintenance - Off line</t>
  </si>
  <si>
    <t>Dry Cooler, Condenser, or Cooling Tower</t>
  </si>
  <si>
    <t>Cooling Tower Maintenance - On line</t>
  </si>
  <si>
    <t>Cooling Tower Repairs</t>
  </si>
  <si>
    <t>Coolstring or ATES Maintenance Off Line</t>
  </si>
  <si>
    <t>Coolstring ATES</t>
  </si>
  <si>
    <t>Coolstring or ATES Maintenance On Line</t>
  </si>
  <si>
    <t>Coolstring or ATES Trouble Shooting</t>
  </si>
  <si>
    <t>Coupon testing and inspections</t>
  </si>
  <si>
    <t>Water Treatment</t>
  </si>
  <si>
    <t>CPU Utilization and Memory Usage</t>
  </si>
  <si>
    <t>CRAC/CRAH</t>
  </si>
  <si>
    <t>Semi-annual preventative maintenance on DSE CRAC units serving Data Center areas and electrical rooms. PMs will be completed per the DLR standards and as recommended by the manufacturer. Steps in this MOP are to be used as a general guideline and may not be performed during every PM.</t>
  </si>
  <si>
    <t>Only one CRAC may be shutdown at any time while performing PMs. Redundant CRAC(s) will remain online and provide necessary cooling. DLR Engineers will monitor space temperatures to ensure temps stay within design specifications. The vendor shall be required to wear appropriate PPE, follow LOTO policy, and verify control of hazardous energy prior to accessing energized equipment. All work to be performed in accordance with the EPA and manufacturers recommendations.</t>
  </si>
  <si>
    <t xml:space="preserve">No impact to customer loads. </t>
  </si>
  <si>
    <t>CRAH SAPM</t>
  </si>
  <si>
    <t>Semi-annual preventative maintenance on CRAH units serving Data Center areas and electrical rooms. PMs will be completed per the DLR standards and as recommended by the manufacturer. Steps in this MOP are to be used as a general guideline and may not be performed during every PM.</t>
  </si>
  <si>
    <t>Only one CRAH may be shutdown at any time while performing PMs. Redundant CRAH(s) will remain online and provide necessary cooling. DLR Engineers will monitor space temperatures to ensure temps stay within design specifications. The vendor shall be required to wear appropriate PPE, follow LOTO policy, and verify control of hazardous energy prior to accessing energized equipment. All work to be performed in accordance with the EPA and manufacturers recommendations.</t>
  </si>
  <si>
    <t>Troubleshoot and Repair CRAC Unit</t>
  </si>
  <si>
    <t>Risk classification low due to minimal impact to critical systems and reduced exposure to hazardous energy. Risk will be managed by requiring vendor to keep all redundant units available whenever possible. The affected equipment will be shutoff at the service disconnect and tested for control of hazardous energy prior to servicing.The vendor shall be required to wear appropriate PPE, follow LOTO policy, and verify control of hazardous energy prior to accessing energized equipment. All work to be performed in accordance with manufacturers recommendations.</t>
  </si>
  <si>
    <t xml:space="preserve">CRAC may be shutdown to perform repairs. Data Hall redundant CRACs will remain online and provide necessary cooling maintaining a minimum of N+1. UPS room's will be cooled via emergency dampers by adjacent CRAC units and will maintain an N configuration. DLR Engineers will monitor space temperatures to ensure conditions stay within design specifications. </t>
  </si>
  <si>
    <t>High risk due to Refrigeration system repairs and/or HOT work required. A HOT work permit shall be issued. The fire panel shall be disabled per established procedure for duration of repair. The vendor shall be required to wear appropriate PPE, follow LOTO policy, and verify control of hazardous energy prior to accessing energized equipment. All work to be performed in accordance with the EPA and manufacturers recommendations. Personal Hazards may include exposure to; high voltage, high temperature, high pressure, rotating parts, slips trips and falls.</t>
  </si>
  <si>
    <t>Critical Parts Management</t>
  </si>
  <si>
    <t>Customer Carrier provided Cross Connects</t>
  </si>
  <si>
    <t xml:space="preserve">Carrier to provide cross connects for customer. </t>
  </si>
  <si>
    <t xml:space="preserve">No risk to customer loads. </t>
  </si>
  <si>
    <t>Daily</t>
  </si>
  <si>
    <t>Rounds</t>
  </si>
  <si>
    <t>Dark Fiber Maintenance</t>
  </si>
  <si>
    <t>DC Plant Battery PM with individual string disconnects</t>
  </si>
  <si>
    <t>DC Plant Battery PM with only one disconnect for entire string</t>
  </si>
  <si>
    <t>DC Plant Battery Replacements single, multiple, or a string</t>
  </si>
  <si>
    <t>DC Plant Rectifier PM</t>
  </si>
  <si>
    <t>DC Plant Rectifier repairs</t>
  </si>
  <si>
    <t>DC Plant Rectifier Replacement</t>
  </si>
  <si>
    <t>Energized/De-Energized  Electrical Maintenance</t>
  </si>
  <si>
    <t xml:space="preserve">De-energized Maintenance of the electrical infrastructure for the Data Center electrical/mechanical switchgear and panel boards. </t>
  </si>
  <si>
    <t>De-Energized Maintenance involving PDU's</t>
  </si>
  <si>
    <t>De-Energized Maintenance involving PDUs, UPSs, critical switchgear, etc.</t>
  </si>
  <si>
    <t xml:space="preserve">Redundancy will be reduced to a single source for not DR suites. A failure of that source could result in a loss of load. </t>
  </si>
  <si>
    <t xml:space="preserve">Only a single critical source of power will be maintained during these procedures and a failure of that single source could result in a loss of load. Customer should plan accordingly.  </t>
  </si>
  <si>
    <t>Digital Realty DCIM</t>
  </si>
  <si>
    <t>DCIM/Power Vu</t>
  </si>
  <si>
    <t>Digital Realty Provided Cross Connects</t>
  </si>
  <si>
    <t>Remote Hands</t>
  </si>
  <si>
    <t>DMZ Account New/Password/Terminate</t>
  </si>
  <si>
    <t>Security System Account Maintenance</t>
  </si>
  <si>
    <t>Dry Cooler or Condenser Maintenance - Off line</t>
  </si>
  <si>
    <t>Perform Semi- Annual preventive maintenance on CRAC's and Condensers. Only one unit will be turned off at a time. All maintenance shall be performed per manfacturers recommendations and in accordance with EPA regulations.</t>
  </si>
  <si>
    <t>One or more systems may be offline at any time due to required repairs.  At no time will the redundancy be taken below N.</t>
  </si>
  <si>
    <t>Dry Cooler or Condenser Maintenance - On line</t>
  </si>
  <si>
    <t>Dry Cooler or Condenser Repairs</t>
  </si>
  <si>
    <t>Troubleshoot and Repair Condenser.  This activity may require the Condenser to be removed from service. In the event that it is to be removed from service, verify appropriate suite mechanical loading.</t>
  </si>
  <si>
    <t>One or more systems may be offline at any time due to required repairs.  At no time, will the redundancy be taken below N.</t>
  </si>
  <si>
    <t>Electrical Switchgear Breaker Repairs or Replacements</t>
  </si>
  <si>
    <t xml:space="preserve">Vendor to perform repair or replacement of a breaker in the electrical/mechanical switchgear. Depending on the repair, switchboard may need to be de-energized and isolated from the sytem, or transferred to generator.  Switchgear will be placed in manual mode to prevent any unwanted or unexpected operation. </t>
  </si>
  <si>
    <t>Potential loss of redundancy. Depending on the repair being performed, critical loads will be transferred to and from generator in both open and closed transfers during this maintenance. During open transfers, critical loads will be protected by UPS power. Cooling will be closely monitored by DLR Engineers and manual intervention will occur should it be required to maintain suite temps.</t>
  </si>
  <si>
    <t xml:space="preserve">No immediate impact to customer load. If de-energization of a switchboard is necessary and load transfer must occur, all single corded equipment tied to the switchboard being de-energized will be lost. Customer should plan accordingly. </t>
  </si>
  <si>
    <t>Elevator Inspection</t>
  </si>
  <si>
    <t>Elevators</t>
  </si>
  <si>
    <t>Elevator Repairs</t>
  </si>
  <si>
    <t>Emergency lighting - routine checks</t>
  </si>
  <si>
    <t>Enabling/Disenabling Alarms</t>
  </si>
  <si>
    <t>Energization of any new equipment</t>
  </si>
  <si>
    <t xml:space="preserve">Energize new electrical equipment per manufacturers reccomendations and procedure. DLR to perform any switching related to new equipment energization. </t>
  </si>
  <si>
    <t xml:space="preserve">No immediate risk to customer load. A failure of the equipment being energized could cause inadvertent breaker tripping. </t>
  </si>
  <si>
    <t xml:space="preserve">No impact to customer load. If equipment failure causes a breaker to trip, single corded equipment could be lost. </t>
  </si>
  <si>
    <t>Energized Maintenance involving essential panels or equipment</t>
  </si>
  <si>
    <t xml:space="preserve">Vendor will perform energized electrical maintenance, to include Infrared thermography imaging, Ultrasound testing (passive), and capture of voltage and current variables.  </t>
  </si>
  <si>
    <t xml:space="preserve">Risk of arc flash associated with removal of equipment covers and load transfers. </t>
  </si>
  <si>
    <t xml:space="preserve">No immediate impact to critical systems. In case of an arc flash incident, ensure work area is safe and personnel are clear. Proceed to verify that all breakers associated with the suite are in their normal state. </t>
  </si>
  <si>
    <t>Energized Maintenance involving PDUs, UPSs, critical switchgear</t>
  </si>
  <si>
    <t>EPO 9V Battery Replacements for activiation cover</t>
  </si>
  <si>
    <t>EPO</t>
  </si>
  <si>
    <t>Engineering team to replace the 9V battery for the EPO. Switch will be placed in the disarm position to ensure from any inadvertant issues.</t>
  </si>
  <si>
    <t xml:space="preserve">No risk to critical systems. EPO will be disarmed during evolution.  Care must be taken that EPO is not activated before arming. </t>
  </si>
  <si>
    <t xml:space="preserve">No impact to critical loads. </t>
  </si>
  <si>
    <t>EPO bypass activation</t>
  </si>
  <si>
    <t xml:space="preserve">Activate the EPO bypass to allow safe practice or testing, repair, or maintenance. </t>
  </si>
  <si>
    <t xml:space="preserve">Loss of emergency power off. </t>
  </si>
  <si>
    <t xml:space="preserve">No impact to critical systems. Upon reactivation, care should be taken to ensure EPO did not actived while on bypass, which could lead to a system shutdown once reactivated. </t>
  </si>
  <si>
    <t>EPO PM / Repairs</t>
  </si>
  <si>
    <t xml:space="preserve">Vendor to perform maintenance or repair of EPO system. EPO will be disarmed for the duration of the maintenance. </t>
  </si>
  <si>
    <t>Equipment communication loss</t>
  </si>
  <si>
    <t>Equipment metering and data monitoring issues</t>
  </si>
  <si>
    <t>Exhaust Fan Maintenance</t>
  </si>
  <si>
    <t>Exhaust Fans</t>
  </si>
  <si>
    <t>Perform Annual preventive maintenance on Exhaust Fans. Only one fan will be turned off at a time. All maintenance shall be performed per manfacturers recommendations.</t>
  </si>
  <si>
    <t>Risk classification low due to minimal impact to critical systems  and reduced exposure to hazardous energy. Risk will be managed by requiring vendor to keep all redundant fans available whenever possible. The affected fan will be shutoff at the service disconnect and tested for control of hazardous energy prior to servicing.The vendor shall be required to wear appropriate PPE, follow LOTO policy, and verify control of hazardous energy prior to accessing energized equipment. All work to be performed in accordance with manufacturers recommendations.</t>
  </si>
  <si>
    <t xml:space="preserve">Only one fan will be turned off at a time.  Engineers shall ensure the affected equipment is returned to service daily, prior to vendor departure from site. </t>
  </si>
  <si>
    <t>Exhaust Fan Repairs</t>
  </si>
  <si>
    <t xml:space="preserve">Troubleshoot and Repair Exhaust Fan.  Activities may include, but are not limited to: Repair or replace minor components. Repair or replace motor. Repair or replace wiring or electrical. Replace fuses. Reset circuit breakers. Replace belts, sheaves, or pulleys.  </t>
  </si>
  <si>
    <t>Fire Extinguisher Replacements</t>
  </si>
  <si>
    <t xml:space="preserve">Vendor to perform maintenance of Fire Protection Panel. System to be disabled and called out. A fire watch will be used in the affected area for the duration of the test. </t>
  </si>
  <si>
    <t xml:space="preserve">Life safety equipment to be off-line during repair/maintenance work. A fire watch will be assigned to the affected area. EPO will be disabled. </t>
  </si>
  <si>
    <t xml:space="preserve">No impact to critical systems. Upon reactivation, care should be taken to ensure EPO did not active while on bypass, which could lead to a system shutdown once reactivated. </t>
  </si>
  <si>
    <t>Fire Protection System Panel Repairs</t>
  </si>
  <si>
    <t xml:space="preserve">Vendor to perform troubleshooting and repair of the fire alarm control panel. </t>
  </si>
  <si>
    <t xml:space="preserve">No immediate impact to customer loads.  </t>
  </si>
  <si>
    <t>Fire Pump Repairs</t>
  </si>
  <si>
    <t>Foam or Gas Suppression System Repairs</t>
  </si>
  <si>
    <t>Foam or Gas Supression System - Quarterly or Monthly PM</t>
  </si>
  <si>
    <t>Generator Fuel Treatment or Polishing</t>
  </si>
  <si>
    <t xml:space="preserve">Perform generator fuel treatment/polishing per vendors reccomendation, based on fuel quality testing performed. </t>
  </si>
  <si>
    <t xml:space="preserve">No risk to critical sytem, generator to remain online while maintenance is being performed. </t>
  </si>
  <si>
    <t>Generator Load Bank - Permanent</t>
  </si>
  <si>
    <t>Generator Load Bank with generator back up - Roll-up/temp load bank</t>
  </si>
  <si>
    <t xml:space="preserve">Perform generator testing with external load bank. During testing, generator will power the load bank via the outdoor switchboard breakers, and the system will be set to manual retransfer. Readings will be recorded, any anomalies reported directly to DLR Management. </t>
  </si>
  <si>
    <t xml:space="preserve">Loss of automatic redundant generator generator during load bank testing. System will be placed on manual mode to stabilize any adverse actions that may result from this maintenance. </t>
  </si>
  <si>
    <t xml:space="preserve">Loss of redundancy. The system will be placed in manual operation for the duration of the test. Any loss of utility will require manual intervention to restore. </t>
  </si>
  <si>
    <t>Generator Load Bank without back up - Roll-up/temp load bank</t>
  </si>
  <si>
    <t>Generator PM - Major without back up</t>
  </si>
  <si>
    <t>Global Standards Management/Updates</t>
  </si>
  <si>
    <t>Glycol or Water testing, treatment, inspections</t>
  </si>
  <si>
    <t>Glycol, Condenser, or Chill Water Pump Maintenance - Off line</t>
  </si>
  <si>
    <t>Glycol, Condenser, or Chill Water Pumps</t>
  </si>
  <si>
    <t>Perform Semi- Annual preventive maintenance on Glycol pumps. Only one pump will be turned off at a time. All maintenance shall be performed per manfacturers recommendations.</t>
  </si>
  <si>
    <t xml:space="preserve">Only one pump will be turned off at a time. Available redundancy will be at "N" for the duration of the individual pump maintenance. Suite temperatures shall be monitored by engineering for the duration of the maintenance. Engineers shall ensure the affected equipment is returned to service daily, prior to vendor departure from site. </t>
  </si>
  <si>
    <t>Glycol, Condenser, or Chill Water Pump Maintenance - On line</t>
  </si>
  <si>
    <t>Hardware Failures or Repairs</t>
  </si>
  <si>
    <t>Heat Exchanger Maintenance</t>
  </si>
  <si>
    <t>Heat Exchanger</t>
  </si>
  <si>
    <t>Heat Exchanger Repairs</t>
  </si>
  <si>
    <t>High Pressure Mist System - Quarterly or Monthly PM</t>
  </si>
  <si>
    <t>High Pressure Mist System Repairs</t>
  </si>
  <si>
    <t>Humidifers</t>
  </si>
  <si>
    <t>Perform Semi- Annual preventive maintenance on Humidifier. All maintenance shall be performed per manfacturers recommendations.</t>
  </si>
  <si>
    <t>Risk classification low due to minimal impact to SLA and reduced exposure to hazardous energy. Risk will be managed by requiring vendor to keep the redundant humidifier (where applicable) available whenever possible. The affected system will be shutoff at the service disconnect and tested for control of hazardous energy prior to servicing.The vendor shall be required to wear appropriate PPE, follow LOTO policy, and verify control of hazardous energy prior to accessing energized equipment. All work to be performed in accordance with manufacturers recommendations.</t>
  </si>
  <si>
    <t xml:space="preserve">Where applicable, only one humidifier will be turned off at a time. Available redundancy will be at "N" or "0" for the duration of the individual system maintenance. Suite humidity shall be monitored by engineering for the duration of the maintenance. Engineers shall ensure the affected equipment is returned to service daily, prior to vendor departure from site. </t>
  </si>
  <si>
    <t>Incident Reponse w/ Trending/Alarm Reports</t>
  </si>
  <si>
    <t>Install</t>
  </si>
  <si>
    <t>High Resistance Ground</t>
  </si>
  <si>
    <t>Installation of cages, cable tray, containment, etc. in live suite</t>
  </si>
  <si>
    <t xml:space="preserve">Vendor to perform construction activities in suite related to IT infrastructure (racks, cages, cable trays). Smoke detectors to be bypassed, as well as the HVAC EPO. </t>
  </si>
  <si>
    <t xml:space="preserve">Customer equipment adjacent to the work being performed is at risk of damage from construction activities. </t>
  </si>
  <si>
    <t xml:space="preserve">No immediate impact to customer load. </t>
  </si>
  <si>
    <t>Installation of Hardware into the Ciena</t>
  </si>
  <si>
    <t>IT Upgrade Support/Patching</t>
  </si>
  <si>
    <t>Key/Locks</t>
  </si>
  <si>
    <t>Lamp replacements</t>
  </si>
  <si>
    <t>Lamp replacements over live customer equipment</t>
  </si>
  <si>
    <t>Leak Detection System SAPM</t>
  </si>
  <si>
    <t>Perform Annual preventive maintenance on Leak Detection System. All maintenance shall be performed per manfacturers recommendations.</t>
  </si>
  <si>
    <t>Risk classification low due to minimal impact to SLA and reduced exposure to hazardous energy. The affected system will be shutoff at the service disconnect and tested for control of hazardous energy prior to servicing. The vendor shall be required to wear appropriate PPE, follow LOTO policy, and verify control of hazardous energy prior to accessing energized equipment. All work to be performed in accordance with manufacturers recommendations.</t>
  </si>
  <si>
    <t xml:space="preserve"> Available redundancy will be at "N" or "0" for the duration of the system maintenance. Suite shall be monitored by engineering for the duration of the maintenance. Engineers shall ensure the affected equipment is returned to service daily, prior to vendor departure from site. </t>
  </si>
  <si>
    <t>Leak Detection Repairs</t>
  </si>
  <si>
    <t>Troubleshoot and Repair Leak Detection Panel or cables.  Activities may include, but are not limited to, repair, reset, or replacement of: Minor components, controls, cables, fuses, and circuit breakers.</t>
  </si>
  <si>
    <t>Local Service Dispatching/Escalation Services</t>
  </si>
  <si>
    <t>Boiler, Heating, and Comfort Cooling Systems</t>
  </si>
  <si>
    <t>Maintence with component at N</t>
  </si>
  <si>
    <t>Central Cooling Plant</t>
  </si>
  <si>
    <t>Maintence with no component les than N+1</t>
  </si>
  <si>
    <t>2 weeks</t>
  </si>
  <si>
    <t>yes</t>
  </si>
  <si>
    <t xml:space="preserve">Vendor to test fire system piping for Microbiologically Induced Corrosion (MIC). </t>
  </si>
  <si>
    <t>No risk to critical systems.</t>
  </si>
  <si>
    <t>No impact to critical systems.</t>
  </si>
  <si>
    <t>MIC Pipe Removal Inspection</t>
  </si>
  <si>
    <t xml:space="preserve">Vendor to perform pipe removal during testing for Microbiologically Induced Corrosion (MIC). Pre-action system will be disabled and EPO disarmed. </t>
  </si>
  <si>
    <t xml:space="preserve">Life safety equipment to be off-line during repair/maintenance work. A fire watch will be assigned to the affected area. EPO will be disarmed. </t>
  </si>
  <si>
    <t>Minimal point logging changes</t>
  </si>
  <si>
    <t>Modify Existing Account</t>
  </si>
  <si>
    <t>Monthly</t>
  </si>
  <si>
    <t>Monthly Fire Pump routine test</t>
  </si>
  <si>
    <t>MOP Development</t>
  </si>
  <si>
    <t>Network Management / Router Connectivity</t>
  </si>
  <si>
    <t>Network Traffic Investigation</t>
  </si>
  <si>
    <t>New CCTV</t>
  </si>
  <si>
    <t>New Security Device - Critical Space</t>
  </si>
  <si>
    <t>New Security Device - Non Critical Space</t>
  </si>
  <si>
    <t>New Other</t>
  </si>
  <si>
    <t>New Property Setup/Service Support Program Integration</t>
  </si>
  <si>
    <t>New Reader</t>
  </si>
  <si>
    <t>New User Account</t>
  </si>
  <si>
    <t>Non-critical space temp issues</t>
  </si>
  <si>
    <t>Non-Schneider Electric installed system support</t>
  </si>
  <si>
    <t>Other</t>
  </si>
  <si>
    <t>Paralleling Switchgear PM</t>
  </si>
  <si>
    <t xml:space="preserve">Vendor to perform maintenance of switchgear. Maintenance could be in the form of Energized Electrical Maintenance, or De-Energized Electrical Maintenance, depending on the frequency of the maintenance being performed. </t>
  </si>
  <si>
    <t xml:space="preserve">If maintenance is to be Energized, there is no immediate risk to the customer load. If maintenance is de-energized, there will be a loss of redundancy to the suite. Single corded equipment will be lost. </t>
  </si>
  <si>
    <t xml:space="preserve">If de-energized, customer load will be transferred to redundant PDU for the duration of the maintenance. Single corded equipment will be lost, customer must plan accordingly.  If energized, there is no impact to the customer load. </t>
  </si>
  <si>
    <t>Paralleling Switchgear Repairs</t>
  </si>
  <si>
    <t xml:space="preserve">Vendor to perform repair of switchgear. Depending on the repair, switchgear may be have de-energized. If work is to be done with gear online, it will be placed in MANUAL operation to avoid any inadvertant tripping of breakers. If de-energized, load will be transferred to the redundant side at the PDU level. Work may include a transfer to generator. </t>
  </si>
  <si>
    <t xml:space="preserve">If repair is to be performed energized, switchgear will be placed in the MANUAL mode to prevent unwanted movement of breakers. On de-energized repairs, load will be shed to the redundant side. Single corded equipment will be lost. </t>
  </si>
  <si>
    <t>Password Reset</t>
  </si>
  <si>
    <t>PDU circuit installs or removals with unit OFFLINE</t>
  </si>
  <si>
    <t>PDU, STS, and RPP</t>
  </si>
  <si>
    <t xml:space="preserve">Vendor to install power cables at PDU. PDU will be de-energized at the switchboard breaker and locked out/tagged out. System will be put into maintenance bypass for re-energization of PDU. </t>
  </si>
  <si>
    <t xml:space="preserve">PDU will be de-energized causing a loss of redundancy. Single corded equipment will be lost. </t>
  </si>
  <si>
    <t xml:space="preserve">No impact to dual corded customer load. Any single corded equipment will be lost during de-energization. Customer to plan accordingly. </t>
  </si>
  <si>
    <t>PDU circuit installs or removals with unit ONLINE</t>
  </si>
  <si>
    <t>PDU Startup (Requires UPS or SCC transferred to Bypass)</t>
  </si>
  <si>
    <t xml:space="preserve">Perform steps to take UPS system onto maintenance bypass to allow energization of PDU. </t>
  </si>
  <si>
    <t xml:space="preserve">Customer load will be place on the wrap around UPS bypass. If, while system was in bypass, there was a loss of Utility service, the load will be transferred to its back up source. If single corded, the load will be lost. </t>
  </si>
  <si>
    <t xml:space="preserve">Loss of redundancy, no immediate impact to customer load under normal conditions. In case of a utility failure while on bypass, load will be lost if single corded. </t>
  </si>
  <si>
    <t>PDU/STS/RPP Troubleshooting or Repair with unit OFFLINE</t>
  </si>
  <si>
    <t xml:space="preserve">Vendor to perform troubleshooting and repair of PDU/RPP unit. For PDU repair, unit will be de-energized at the switchboard and locked out/tagged out. For RPP, unit will de-energized at the PDU level and locked out/ tagged out. </t>
  </si>
  <si>
    <t xml:space="preserve">Loss of redundancy, either at the PDU or RPP level. Equipment powered solely by the PDU or RPP being de-energized will be lost during the maintenance. </t>
  </si>
  <si>
    <t xml:space="preserve">Loss of redundancy. Any single corded equipment will be lost. Customer to plan accordingly. </t>
  </si>
  <si>
    <t>PDU/STS/RPP Troubleshooting or Repair with unit ONLINE</t>
  </si>
  <si>
    <t xml:space="preserve">Vendor to perform troubleshooting and repair of PDU/RPP unit with the unit online. </t>
  </si>
  <si>
    <t xml:space="preserve">Inadvertant issues with the PDU/RPP being repaired could include a shut down of the unit or breaker(s) tripping, causing a loss of redundancy and a loss of single corded equipment. </t>
  </si>
  <si>
    <t xml:space="preserve">No immediate impact. If issues arise that cause a unit to be shut down or a breaker to trip, all single corded equipment will be lost and there will be a loss of redundant PDU/RPP. </t>
  </si>
  <si>
    <t>Permanent Badge</t>
  </si>
  <si>
    <t>Permanent Employee</t>
  </si>
  <si>
    <t>PLC Programming</t>
  </si>
  <si>
    <t>PLC</t>
  </si>
  <si>
    <t xml:space="preserve">Perform programming changes to PLC supporting the automatic functionality of the equipment. </t>
  </si>
  <si>
    <t>Inadvertant tripping of a breaker is possible due to the PLC system being in an unknown configuration.  The system will be placed in manual to minimize any potential for unwanted breaker operation.</t>
  </si>
  <si>
    <t xml:space="preserve">The system will be placed in manual operation intermittently or for the duration of the evolution.  Any loss of utility will require a manual intervention to restore the system. </t>
  </si>
  <si>
    <t>PLC Replacement or parts replacement</t>
  </si>
  <si>
    <t>Perform replacement of all or part of the PLC supporting the automatic functionality of the equipment to improve operational effciency.</t>
  </si>
  <si>
    <t>PLC troubleshooting</t>
  </si>
  <si>
    <t>Perform troubleshooting of PLC to included functional tests, data gathering, and restoration, if possible.</t>
  </si>
  <si>
    <t>Plumbing Repairs Critical Space</t>
  </si>
  <si>
    <t>Troubleshoot and Repair plumbing system.  Activities may include, but are not limited to, repair or replacement of: Minor components, blockages, leaks, toilets, and sinks.</t>
  </si>
  <si>
    <t>Risk classification low due to no impact to critical systems.</t>
  </si>
  <si>
    <t>Restrooms may be posted or closed for repairs for duration of maintenance. Humidifier operation may be affected. All systems shall be returned to normal operation as soon as possible.</t>
  </si>
  <si>
    <t>Plumbing Repairs Non-Critical Space</t>
  </si>
  <si>
    <t>Pneumatic Air System Maintenance Offline</t>
  </si>
  <si>
    <t>Pneumatic Air System</t>
  </si>
  <si>
    <t>Pneumatic Air System Maintenance Online</t>
  </si>
  <si>
    <t xml:space="preserve">Pre-Action system to be offline during maintenance. A fire watch will be assigned to the affected area.  EPO to be disabled during maintenance. </t>
  </si>
  <si>
    <t xml:space="preserve">Temporary loss of automatic Pre-Action system. No impact to customer loads. </t>
  </si>
  <si>
    <t>Pre-Action System Repairs</t>
  </si>
  <si>
    <t xml:space="preserve">Vendor to troubleshoot and repair alarms/issues with the Pre-Action system. </t>
  </si>
  <si>
    <t xml:space="preserve">Pre-Action system will be offline during the repair. A fire watch will be assigned to the affected areas. </t>
  </si>
  <si>
    <t xml:space="preserve">Loss of automatic pre-action system. No impact to customer loads. </t>
  </si>
  <si>
    <t>Process DLR Activation/Terminations</t>
  </si>
  <si>
    <t>Product Level Issue Research / Diagnosis</t>
  </si>
  <si>
    <t xml:space="preserve">Perform a utility failure test. System will simulate a loss of utility power, system will transfer to emergency generator. </t>
  </si>
  <si>
    <t xml:space="preserve">In the event that the system does not transfer to generator, redundant generator (where applicable) will start and the switchboard will be powered by the redundant generator for the duration of the test. UPS batteries will sustain a load for 7 minutes in the event of a generator or utility failure. </t>
  </si>
  <si>
    <t xml:space="preserve">Loss of utility will cause the suite to depend solely on the generator and redundant generator (where applicable) for power. Redundancy will be reduced to N during the test. </t>
  </si>
  <si>
    <t>Pump Repairs</t>
  </si>
  <si>
    <t>Troubleshoot and Repair Pump.  Activities may include, but are not limited to, repair, reset, or replacement of: Minor components, controls, fuses, circuit breakers, bearings and couplers.</t>
  </si>
  <si>
    <t>Quarterly</t>
  </si>
  <si>
    <t>Raised Floor Repairs</t>
  </si>
  <si>
    <t>Perform Raised Floor Repairs</t>
  </si>
  <si>
    <t>Raised Floor Tile Removals or Reconfigurations</t>
  </si>
  <si>
    <t>Perform Raised Floor Tile Removal and Reconfiguration</t>
  </si>
  <si>
    <t>Recommissioning Alarms</t>
  </si>
  <si>
    <t>Repair</t>
  </si>
  <si>
    <t>Repair with component at N</t>
  </si>
  <si>
    <t>Repair with no component less than N+1</t>
  </si>
  <si>
    <t>Repairs</t>
  </si>
  <si>
    <t>Troubleshoot and Repair Humidifier.  Activities may include, but are not limited to, repair, reset, or replacement of: Minor components, controls, canisters, media, fuses, circuit breakers and plumbing.</t>
  </si>
  <si>
    <t>Repairs or Troubleshooting which can be performed ONLINE</t>
  </si>
  <si>
    <t xml:space="preserve">Perform troubleshooting and repair of emergency generator system with the unit online. </t>
  </si>
  <si>
    <t xml:space="preserve">The emergency generator system will remain online, therefore, there will be no loss of redundancy or a risk to customer load. </t>
  </si>
  <si>
    <t>Repairs or Troubleshooting which requires a generator to be OFFLINE</t>
  </si>
  <si>
    <t>Perform troubleshooting and repair of emergency generator system with the unit offline</t>
  </si>
  <si>
    <t xml:space="preserve">Emergency generator will be offline, resulting in a loss of redundancy. During this procedure, redundancy will be at a minimum of N. </t>
  </si>
  <si>
    <t xml:space="preserve">No immediate impact to customer loads. In the event of a utility failure, redundant generator will power the switchboard, if available. If no redundant is available or present, all double corded equipment will switch to their redundant source. </t>
  </si>
  <si>
    <t>Repairs, troubleshooting, changes to lighting controls</t>
  </si>
  <si>
    <t xml:space="preserve">Perform programming changes or troubleshooting and repair to the lighting control panel. </t>
  </si>
  <si>
    <t>Report Compliance</t>
  </si>
  <si>
    <t>Report Enterprise</t>
  </si>
  <si>
    <t>Reporting</t>
  </si>
  <si>
    <t>Rigging of equipment into live space or near any live equipment</t>
  </si>
  <si>
    <t>Rigging</t>
  </si>
  <si>
    <t xml:space="preserve">Perform rigging operations to move equipment into the date center. </t>
  </si>
  <si>
    <t>Rigging of equipment into new space; not near any live equipment</t>
  </si>
  <si>
    <t>Rigging of equipment onto roof of existing building</t>
  </si>
  <si>
    <t>Perform rigging operations to move equipment onto the roof of the data center.</t>
  </si>
  <si>
    <t>No immediate risks to customer loads.</t>
  </si>
  <si>
    <t>Roof Top Unit Maintenance - Off line - N redundancy</t>
  </si>
  <si>
    <t>Roof Top Units</t>
  </si>
  <si>
    <t>Roof Top Unit Maintenance - Off line - N+1 or greater redundancy</t>
  </si>
  <si>
    <t>Roof Top Unit Maintenance - On line</t>
  </si>
  <si>
    <t>Roof Top Unit repairs - N redundancy</t>
  </si>
  <si>
    <t>Roof Top Unit repairs - N+1 or greater redundancy</t>
  </si>
  <si>
    <t>Rotary UPS Maintenance (requires transfer to Bypass or Offline)</t>
  </si>
  <si>
    <t>UPS</t>
  </si>
  <si>
    <t>Rotary UPS Troubleshooting or Repairs</t>
  </si>
  <si>
    <t>Routine Fire Extinguisher checks</t>
  </si>
  <si>
    <t>In the event that the system does not transfer to generator or the generator fails during/after transfer the UPS batteries will sustain customer load for up to 5 minutes while the switchgear transfers back to utility power.</t>
  </si>
  <si>
    <t>RPP circuit installs or removals with unit OFFLINE</t>
  </si>
  <si>
    <t xml:space="preserve">Install and terminate power cables to RPP. RPP will be de-energized at its respective PDU breaker and locked out/tagged out to prevent any accidental energization. </t>
  </si>
  <si>
    <t>RPP will be de-energized, there will be a loss of redundancy at the RPP level, single corded equipment will be lost.</t>
  </si>
  <si>
    <t xml:space="preserve">No impact to dual corded customer load. Any single corded equipment will be lost during de-energization. </t>
  </si>
  <si>
    <t>RPP circuit installs or removals with unit ONLINE</t>
  </si>
  <si>
    <t>Install and terminate power cables to RPP. RPP's are of "finger safe" design, and energized parts are sufficiently guarded such that circuits and breakers may be added without de-energizing panel. The appropriate arc flash PPE must be worn.</t>
  </si>
  <si>
    <t xml:space="preserve">No De-Energization of the RPP will be necessary. Customer load will not be affected. </t>
  </si>
  <si>
    <t>Schneider Electric Hardware Failures or Repairs</t>
  </si>
  <si>
    <t>Security Cabinet or Stand Alone UPS Battery Replacements</t>
  </si>
  <si>
    <t xml:space="preserve">Replace UPS batteries in stand alone system for the security cabinet. </t>
  </si>
  <si>
    <t>No immediate risk to customer loads</t>
  </si>
  <si>
    <t>Security Software Upgrades</t>
  </si>
  <si>
    <t xml:space="preserve">Vendor to perform software updates to the security system. </t>
  </si>
  <si>
    <t>Security System Upgrades</t>
  </si>
  <si>
    <t>System Programming</t>
  </si>
  <si>
    <t>Semi-annual minor Static UPS Maintenance</t>
  </si>
  <si>
    <t>Vendor to perform semi-annual maintenance of the UPS system which consists of the System Control Cabinet / Static transfer switch and UPS modules. The procedure will be implemented by performing the maintenance with the system online.</t>
  </si>
  <si>
    <t xml:space="preserve">Procedure will be performed with the system online. No loss of redundancy. </t>
  </si>
  <si>
    <t xml:space="preserve">No impact on customer loads. </t>
  </si>
  <si>
    <t>Semi-Annual Rotary UPS Maintenance (may require transfer to Bypass)</t>
  </si>
  <si>
    <t>Sensor programming issues – Remote offset change only</t>
  </si>
  <si>
    <t>Sequel Administration</t>
  </si>
  <si>
    <t>Sequence of Operations (SOO) Review and Validation</t>
  </si>
  <si>
    <t>Single Battery Replacements with individual cabinet disconnects</t>
  </si>
  <si>
    <t>Batteries</t>
  </si>
  <si>
    <t>Perform a battery replacement on UPS batteries within isolated cabinets with individual disconnect open.</t>
  </si>
  <si>
    <t>Low risk associated with the intended scope of work.  Arc Flash event is possible, however, necessary PPE will be utilized to mitigate any such possibilities.</t>
  </si>
  <si>
    <t xml:space="preserve">A single battery string will be offline resulting in a proportional reduction in battery runtime. </t>
  </si>
  <si>
    <t>Single Battery Replacements with only one disconnect for the whole string</t>
  </si>
  <si>
    <t>Software Programming (SER)</t>
  </si>
  <si>
    <t>Split System A/C Units</t>
  </si>
  <si>
    <t>Perform Semi- Annual preventive maintenance on split system A/C unit. All maintenance shall be performed per manfacturers recommendations.</t>
  </si>
  <si>
    <t>Risk classification low due to reduced exposure to hazardous energy. Risk will be managed by requiring vendor to keep the redundant unit (where applicable) available whenever possible. The affected system will be shutoff at the service disconnect and tested for control of hazardous energy prior to servicing.The vendor shall be required to wear appropriate PPE, follow LOTO policy, and verify control of hazardous energy prior to accessing energized equipment. All work to be performed in accordance with manufacturers recommendations.</t>
  </si>
  <si>
    <t xml:space="preserve">Where applicable, only one unit will be turned off at a time. Available redundancy will be at "N" or "0" for the duration of the individual system maintenance. Engineers shall ensure the affected equipment is returned to service daily, prior to vendor departure from site. </t>
  </si>
  <si>
    <t>Vendor to perform quarterly Inspection &amp; testing of sprinkler systems for offices, POP rooms, loading dock, and house electrical rooms. Air pressure switches, air compressors, supervisory switches and alarm switches will be checked during this inspection. There will be no water flow during these PMs.</t>
  </si>
  <si>
    <t xml:space="preserve">Sprinklers will be unavailable during maintenance. A fire watch will be assigned to the affected areas. </t>
  </si>
  <si>
    <t>Stand alone UPS Battery Replacements for BMS &amp; PLC</t>
  </si>
  <si>
    <t xml:space="preserve">Vendor to replace the back up batteries in the BMS/PLC cabinet. There will be no interruption of normal activities since the BMS/PLC is still being powered by utility. Switchgear will be put in manual mode to prevent any inadvertent switching due to a lack of PLC comm. </t>
  </si>
  <si>
    <t xml:space="preserve">No immediate risk to customer load. Inadverted switching will be prevented by putting the switch gear in manual mode while the battery replacement is being completed. </t>
  </si>
  <si>
    <t>Standard Exception Request (SER)</t>
  </si>
  <si>
    <t>Static Switch (STS) or PDU Maintenance</t>
  </si>
  <si>
    <t xml:space="preserve">Vendor to perform maintenance of PDU's. Maintenance could be in the form of Energized Electrical Maintenance, or De-Energized Electrical Maintenance, depending on the frequency of the maintenance being performed. </t>
  </si>
  <si>
    <t>If maintenance is of the Energized kind, there is no immediate risk to the customer load. If maintenance is to be De-Energized, unit will be powered off at the breaker at the switchboard and Locked Out/Tagged Out, redundancy will be reduced, single corded equipment will be lost.</t>
  </si>
  <si>
    <t>Static UPS AC or DC Capacitor Replacements</t>
  </si>
  <si>
    <t xml:space="preserve">Vendor to perform AC/DC capacitor replacement for the UPS system. The procedure will be implemented by performing capacitor replacement one UPS module at a time. Upon completion, all systems will be returned to normal configuration "ONLINE". </t>
  </si>
  <si>
    <t xml:space="preserve">Procedure will require the system to be put on Maintenance Bypass. While on bypass, the load will be "unprotected" for that particular UPS system. If there is a utility power failure, all loads supported on bypass will be "LOST". </t>
  </si>
  <si>
    <t xml:space="preserve">Load will be placed on maintenance bypass during the repair of that particular UPS system. At no time will the redundancy be below N for dual corded equipment. </t>
  </si>
  <si>
    <t>One UPS module may be offline at any time due to required repairs.  The system may be placed in maintenance bypass to facilitate maintenance activities. At no time, will the redundancy be taken below N.</t>
  </si>
  <si>
    <t>Troubleshoot and Repair UPS.  This activity will require the UPS to be removed from service.  In the event that it is to be removed from service, system loading will be verified before and after shutdown.</t>
  </si>
  <si>
    <t>Strategic Partner</t>
  </si>
  <si>
    <t>Perform Sub Floor Cleaning and Leveling</t>
  </si>
  <si>
    <t>No immediate risk to customer loads, however, due to under floor activity this maintenance item is considered high risk due to proximity of cleaning gear to customer equipment</t>
  </si>
  <si>
    <t>Switchgear Battery PM</t>
  </si>
  <si>
    <t xml:space="preserve">Perform testing of switchgear back up battery. </t>
  </si>
  <si>
    <t xml:space="preserve">No risk to customer load. </t>
  </si>
  <si>
    <t>System Administration</t>
  </si>
  <si>
    <t>System programming issue resolution</t>
  </si>
  <si>
    <t>System Training</t>
  </si>
  <si>
    <t>Terminate Account</t>
  </si>
  <si>
    <t>Testing of equipment dedicated to new suite (suite is not live)</t>
  </si>
  <si>
    <t>Testing of equipment or any work in a live suite</t>
  </si>
  <si>
    <t xml:space="preserve">Perform testing or installation of equipment in a live data center environment. </t>
  </si>
  <si>
    <t xml:space="preserve">Possible damage to customer equipment in suite from vendor personnel installing the equipment, malfunction of equipment being tested, and inadvertent breaker tripping from improper installation of testing equipment. </t>
  </si>
  <si>
    <t xml:space="preserve">No immediate impact to customer load. Care will be taken to tape off any areas that vendor does not  need access to or equipment that should not be approached. </t>
  </si>
  <si>
    <t>Testing of equipment that is part of shared infrastructure</t>
  </si>
  <si>
    <t xml:space="preserve">Perform testing of shared infrastructure equipment. Disable or bypass all necessary systems to allow completion of testing without interruption of daily activities. </t>
  </si>
  <si>
    <t>Perform an online preventative maintenance on UPS batteries within isolated cabinets with individual disconnect closed.</t>
  </si>
  <si>
    <t xml:space="preserve">An online battery preventative maintenance will be performed with minimal impact to equipment. </t>
  </si>
  <si>
    <t>UPS Battery PM with only one disconnect for entire string</t>
  </si>
  <si>
    <t xml:space="preserve">Vendor to perform UPS battery PM with all battery strings disconnected. </t>
  </si>
  <si>
    <t xml:space="preserve">Lack of redundancy due to no battery back up on the particular UPS being worked on. Paired UPS will be online and ready to accept load. </t>
  </si>
  <si>
    <t>UPS System Battery Replacements for entire string</t>
  </si>
  <si>
    <t>Perform a full string battery replacement within isolated cabinets with individual disconnect open.</t>
  </si>
  <si>
    <t xml:space="preserve">A replacement of an entire battery string may require the UPS to be placed in maintenance bypass and isolated to safely de-energize the DC bus.  </t>
  </si>
  <si>
    <t>A single battery string will be offline resulting in a proportional reduction in battery runtime.  The UPS may be placed in maintenance bypass during this event to isolate the necessary UPS and associated high voltage DC bus.</t>
  </si>
  <si>
    <t>VESDA System Quarterly or Monthly PM</t>
  </si>
  <si>
    <t xml:space="preserve">Vendor to perform quarter inspection and testing of the VESDA as part of the quarterly pre-action PM, taking into account the specific steps required for the system. </t>
  </si>
  <si>
    <t>Pre-action system will be offline during maintenance.  A fire watch will be assigned to the affected areas.  EPO will be disarmed during maintenance.</t>
  </si>
  <si>
    <t>VESDA System Repairs</t>
  </si>
  <si>
    <t xml:space="preserve">Vendor to perform troubleshooting and repair on the VESDA. </t>
  </si>
  <si>
    <t xml:space="preserve">Pre-action system will be offline during repair. A fire watch will be assigned to the affected areas. EPO will be disarmed during repair. </t>
  </si>
  <si>
    <t>Visitor (Escorted)</t>
  </si>
  <si>
    <t>Visitor (Unescorted)</t>
  </si>
  <si>
    <t>Engineering to perform APM of the building water heater.</t>
  </si>
  <si>
    <t>Web client support / web client access</t>
  </si>
  <si>
    <t>Weekly</t>
  </si>
  <si>
    <t>Wet Sprinkler System Repairs</t>
  </si>
  <si>
    <t xml:space="preserve">Vendor to perform troubleshooting and repair of Pre-Action Sprinkler Systems for Offices, POP Rooms, and Electric Rooms. </t>
  </si>
  <si>
    <t xml:space="preserve">Pre-Action system will be disabled for the duration of the repair. A fire watch will be assigned to the affected area. </t>
  </si>
  <si>
    <t>Workstation Issues Related to Schneider Software</t>
  </si>
  <si>
    <t>Building H address: 43780 Digital Loudoun Plaza</t>
  </si>
  <si>
    <t>Disable FACP Controls and Underfloor Detectors</t>
  </si>
  <si>
    <t>OPEN Door.</t>
  </si>
  <si>
    <r>
      <t>PRESS</t>
    </r>
    <r>
      <rPr>
        <sz val="14"/>
        <color rgb="FF000000"/>
        <rFont val="Calibri"/>
        <family val="2"/>
        <scheme val="minor"/>
      </rPr>
      <t xml:space="preserve"> the button marked </t>
    </r>
    <r>
      <rPr>
        <b/>
        <sz val="14"/>
        <color rgb="FF000000"/>
        <rFont val="Calibri"/>
        <family val="2"/>
        <scheme val="minor"/>
      </rPr>
      <t xml:space="preserve">‘POD HVAC’ </t>
    </r>
    <r>
      <rPr>
        <sz val="14"/>
        <color rgb="FF000000"/>
        <rFont val="Calibri"/>
        <family val="2"/>
        <scheme val="minor"/>
      </rPr>
      <t xml:space="preserve">until the </t>
    </r>
    <r>
      <rPr>
        <b/>
        <i/>
        <sz val="14"/>
        <color rgb="FF000000"/>
        <rFont val="Calibri"/>
        <family val="2"/>
        <scheme val="minor"/>
      </rPr>
      <t>BYPASS</t>
    </r>
    <r>
      <rPr>
        <sz val="14"/>
        <color rgb="FF000000"/>
        <rFont val="Calibri"/>
        <family val="2"/>
        <scheme val="minor"/>
      </rPr>
      <t xml:space="preserve"> indicator</t>
    </r>
    <r>
      <rPr>
        <b/>
        <sz val="14"/>
        <color rgb="FF000000"/>
        <rFont val="Calibri"/>
        <family val="2"/>
        <scheme val="minor"/>
      </rPr>
      <t xml:space="preserve"> </t>
    </r>
    <r>
      <rPr>
        <b/>
        <sz val="14"/>
        <rFont val="Calibri"/>
        <family val="2"/>
        <scheme val="minor"/>
      </rPr>
      <t>ILLUMINATES Amber</t>
    </r>
  </si>
  <si>
    <r>
      <t>PRESS</t>
    </r>
    <r>
      <rPr>
        <sz val="14"/>
        <color rgb="FF000000"/>
        <rFont val="Calibri"/>
        <family val="2"/>
        <scheme val="minor"/>
      </rPr>
      <t xml:space="preserve"> the button marked </t>
    </r>
    <r>
      <rPr>
        <b/>
        <sz val="14"/>
        <color rgb="FF000000"/>
        <rFont val="Calibri"/>
        <family val="2"/>
        <scheme val="minor"/>
      </rPr>
      <t>‘POD EPO’</t>
    </r>
    <r>
      <rPr>
        <sz val="14"/>
        <color rgb="FF000000"/>
        <rFont val="Calibri"/>
        <family val="2"/>
        <scheme val="minor"/>
      </rPr>
      <t xml:space="preserve"> until the </t>
    </r>
    <r>
      <rPr>
        <b/>
        <i/>
        <sz val="14"/>
        <color rgb="FF000000"/>
        <rFont val="Calibri"/>
        <family val="2"/>
        <scheme val="minor"/>
      </rPr>
      <t>BYPASS</t>
    </r>
    <r>
      <rPr>
        <sz val="14"/>
        <color rgb="FF000000"/>
        <rFont val="Calibri"/>
        <family val="2"/>
        <scheme val="minor"/>
      </rPr>
      <t xml:space="preserve"> indicator</t>
    </r>
    <r>
      <rPr>
        <b/>
        <sz val="14"/>
        <color rgb="FF000000"/>
        <rFont val="Calibri"/>
        <family val="2"/>
        <scheme val="minor"/>
      </rPr>
      <t xml:space="preserve"> </t>
    </r>
    <r>
      <rPr>
        <b/>
        <sz val="14"/>
        <rFont val="Calibri"/>
        <family val="2"/>
        <scheme val="minor"/>
      </rPr>
      <t>ILLUMINATES Amber</t>
    </r>
  </si>
  <si>
    <r>
      <t>PRESS</t>
    </r>
    <r>
      <rPr>
        <sz val="14"/>
        <color rgb="FF000000"/>
        <rFont val="Calibri"/>
        <family val="2"/>
        <scheme val="minor"/>
      </rPr>
      <t xml:space="preserve"> the button marked </t>
    </r>
    <r>
      <rPr>
        <b/>
        <sz val="14"/>
        <color rgb="FF000000"/>
        <rFont val="Calibri"/>
        <family val="2"/>
        <scheme val="minor"/>
      </rPr>
      <t xml:space="preserve">‘SLC 2’ </t>
    </r>
    <r>
      <rPr>
        <sz val="14"/>
        <color rgb="FF000000"/>
        <rFont val="Calibri"/>
        <family val="2"/>
        <scheme val="minor"/>
      </rPr>
      <t xml:space="preserve">until the </t>
    </r>
    <r>
      <rPr>
        <b/>
        <i/>
        <sz val="14"/>
        <color rgb="FF000000"/>
        <rFont val="Calibri"/>
        <family val="2"/>
        <scheme val="minor"/>
      </rPr>
      <t>BYPASS</t>
    </r>
    <r>
      <rPr>
        <sz val="14"/>
        <color rgb="FF000000"/>
        <rFont val="Calibri"/>
        <family val="2"/>
        <scheme val="minor"/>
      </rPr>
      <t xml:space="preserve"> indicator</t>
    </r>
    <r>
      <rPr>
        <b/>
        <sz val="14"/>
        <color rgb="FF000000"/>
        <rFont val="Calibri"/>
        <family val="2"/>
        <scheme val="minor"/>
      </rPr>
      <t xml:space="preserve"> </t>
    </r>
    <r>
      <rPr>
        <b/>
        <sz val="14"/>
        <rFont val="Calibri"/>
        <family val="2"/>
        <scheme val="minor"/>
      </rPr>
      <t>ILLUMINATES Amber</t>
    </r>
  </si>
  <si>
    <t>CLOSE Door.</t>
  </si>
  <si>
    <t>EPO HVAC Panel</t>
  </si>
  <si>
    <r>
      <t xml:space="preserve">Insert key into switch marked </t>
    </r>
    <r>
      <rPr>
        <b/>
        <sz val="14"/>
        <color rgb="FF000000"/>
        <rFont val="Calibri"/>
        <family val="2"/>
        <scheme val="minor"/>
      </rPr>
      <t>EPO</t>
    </r>
    <r>
      <rPr>
        <sz val="14"/>
        <color rgb="FF000000"/>
        <rFont val="Calibri"/>
        <family val="2"/>
        <scheme val="minor"/>
      </rPr>
      <t xml:space="preserve"> Inhibit. Rotate 90 degrees until the </t>
    </r>
    <r>
      <rPr>
        <b/>
        <sz val="14"/>
        <color rgb="FF000000"/>
        <rFont val="Calibri"/>
        <family val="2"/>
        <scheme val="minor"/>
      </rPr>
      <t>EPO INHIBIT ON</t>
    </r>
    <r>
      <rPr>
        <sz val="14"/>
        <color rgb="FF000000"/>
        <rFont val="Calibri"/>
        <family val="2"/>
        <scheme val="minor"/>
      </rPr>
      <t xml:space="preserve"> red indicator illuminates </t>
    </r>
  </si>
  <si>
    <t>EPO POWER PANEL</t>
  </si>
  <si>
    <t>Start Sub Floor Cleaning</t>
  </si>
  <si>
    <t>Datacenter Sub Floor</t>
  </si>
  <si>
    <t>Remove Floor tiles. ( Max of only 3 at a time)</t>
  </si>
  <si>
    <t>Vacuum under floor removing all dust and debris from the surface using an approved HEPA vacuum with proper attachments.</t>
  </si>
  <si>
    <t>Start Above Floor Cleaning</t>
  </si>
  <si>
    <t>Datacenter Above Floor</t>
  </si>
  <si>
    <t>Meet with all parties of the Data Clean personnel and stress to them the how extra care will be taken when working around critical equipment within the Data Center and non-interference normal data center operations.</t>
  </si>
  <si>
    <t>Escort Data Clean Team to the Data Suite to perform the cleaning per the contract agreed terms and conditions.</t>
  </si>
  <si>
    <t>All chemical solutions are to be mixed and disposed of in the shipping and receiving or janitors closet areas only. No liquids or open containers will be taken into the Data Center.</t>
  </si>
  <si>
    <t>When buffing machine is used, one Tech will operate the machine while another Tech will guide the cord to ensure does not come in contact or entangled with data center equipment.</t>
  </si>
  <si>
    <t>Remove and dispose of the top containment mats and replace with new mats if tear offs have expired.</t>
  </si>
  <si>
    <t>Vacuum Floor - Remove all dust and debris from floor surface using an approved HEPA vacuum with proper attachments.</t>
  </si>
  <si>
    <t>Rejuvenate Floor -Scrub floor tile surface to remove film and restore, as much as possible, the original color. Remove spots, scuffs, adhesives, etc. from floor surface. Use damp mop for floor with neutral/anti static cleaner to remove residue.</t>
  </si>
  <si>
    <t>Brush Vacuum -Remove dust from surfaces of cabinets, equipment, etc., using an approved HEPA vacuum and treated disposable wipes (for non‐equipment surfaces)</t>
  </si>
  <si>
    <t>Spot Clean Equipment -Spot clean equipment, fixtures, etc., to remove unsightly fingerprints, smudges, and soil.</t>
  </si>
  <si>
    <t>Crevice Vacuum.-Vacuum dust and debris from underneath and around all equipment, cabinets, etc. using an approved HEPA vacuum.</t>
  </si>
  <si>
    <t>Wet Mop- Damp mop floor using an anti‐static cleaner specifically designed to eliminate static electrical charges in critical environments applying with a low lint mop.</t>
  </si>
  <si>
    <t>Start Above Floor Leveling &amp; Repair</t>
  </si>
  <si>
    <t xml:space="preserve">Inspect entire floor for level. Re-level floor wherever possible, portions of floor with equipment cannot be re-leveled unless equipment is moved. </t>
  </si>
  <si>
    <t xml:space="preserve">Re-align panels wherever possible. </t>
  </si>
  <si>
    <t xml:space="preserve">Inspect pedestals for adhesive and re-apply if needed. </t>
  </si>
  <si>
    <t xml:space="preserve">Replace and or repair missing or broken understructure. </t>
  </si>
  <si>
    <t xml:space="preserve">Inspect panels and repair if needed. </t>
  </si>
  <si>
    <t>Work Completion</t>
  </si>
  <si>
    <t>Data Clean (SML) supervisor to notify site engineer they are complete.</t>
  </si>
  <si>
    <t>Contractor will have all equipment removed from facility and all debris disposed of.</t>
  </si>
  <si>
    <t xml:space="preserve">Site engineer will walk entire Data Floor and confirm job is satisfactorily complete per DLR standards prior to signing contractor off site, no dirt, dust or liquids on floor, no marks, good tile appearance and all tiles seated properly. </t>
  </si>
  <si>
    <t>Site engineer will escort contractor to security to turn in all badges and ensure that they leave the property.</t>
  </si>
  <si>
    <t>Obtain Field Service ticket from contractor, verify and ensure all work is accurately and legible listed; confirm signatures present.</t>
  </si>
  <si>
    <t xml:space="preserve">Re-Enable FACP Controls and Underfloor Smoke Detectors </t>
  </si>
  <si>
    <r>
      <t>PRESS</t>
    </r>
    <r>
      <rPr>
        <sz val="14"/>
        <color rgb="FF000000"/>
        <rFont val="Calibri"/>
        <family val="2"/>
        <scheme val="minor"/>
      </rPr>
      <t xml:space="preserve"> the button marked </t>
    </r>
    <r>
      <rPr>
        <b/>
        <sz val="14"/>
        <color rgb="FF000000"/>
        <rFont val="Calibri"/>
        <family val="2"/>
        <scheme val="minor"/>
      </rPr>
      <t xml:space="preserve">‘POD HVAC’ </t>
    </r>
    <r>
      <rPr>
        <sz val="14"/>
        <color rgb="FF000000"/>
        <rFont val="Calibri"/>
        <family val="2"/>
        <scheme val="minor"/>
      </rPr>
      <t xml:space="preserve">until the </t>
    </r>
    <r>
      <rPr>
        <b/>
        <i/>
        <sz val="14"/>
        <color rgb="FF000000"/>
        <rFont val="Calibri"/>
        <family val="2"/>
        <scheme val="minor"/>
      </rPr>
      <t>BYPASS</t>
    </r>
    <r>
      <rPr>
        <sz val="14"/>
        <color rgb="FF000000"/>
        <rFont val="Calibri"/>
        <family val="2"/>
        <scheme val="minor"/>
      </rPr>
      <t xml:space="preserve"> indicator</t>
    </r>
    <r>
      <rPr>
        <b/>
        <sz val="14"/>
        <color rgb="FF000000"/>
        <rFont val="Calibri"/>
        <family val="2"/>
        <scheme val="minor"/>
      </rPr>
      <t xml:space="preserve"> </t>
    </r>
    <r>
      <rPr>
        <b/>
        <sz val="14"/>
        <rFont val="Calibri"/>
        <family val="2"/>
        <scheme val="minor"/>
      </rPr>
      <t>ILLUMINATES Green</t>
    </r>
  </si>
  <si>
    <r>
      <t>PRESS</t>
    </r>
    <r>
      <rPr>
        <sz val="14"/>
        <color rgb="FF000000"/>
        <rFont val="Calibri"/>
        <family val="2"/>
        <scheme val="minor"/>
      </rPr>
      <t xml:space="preserve"> the button marked </t>
    </r>
    <r>
      <rPr>
        <b/>
        <sz val="14"/>
        <color rgb="FF000000"/>
        <rFont val="Calibri"/>
        <family val="2"/>
        <scheme val="minor"/>
      </rPr>
      <t>‘POD EPO’</t>
    </r>
    <r>
      <rPr>
        <sz val="14"/>
        <color rgb="FF000000"/>
        <rFont val="Calibri"/>
        <family val="2"/>
        <scheme val="minor"/>
      </rPr>
      <t xml:space="preserve"> until the </t>
    </r>
    <r>
      <rPr>
        <b/>
        <i/>
        <sz val="14"/>
        <color rgb="FF000000"/>
        <rFont val="Calibri"/>
        <family val="2"/>
        <scheme val="minor"/>
      </rPr>
      <t>BYPASS</t>
    </r>
    <r>
      <rPr>
        <sz val="14"/>
        <color rgb="FF000000"/>
        <rFont val="Calibri"/>
        <family val="2"/>
        <scheme val="minor"/>
      </rPr>
      <t xml:space="preserve"> indicator</t>
    </r>
    <r>
      <rPr>
        <b/>
        <sz val="14"/>
        <color rgb="FF000000"/>
        <rFont val="Calibri"/>
        <family val="2"/>
        <scheme val="minor"/>
      </rPr>
      <t xml:space="preserve"> </t>
    </r>
    <r>
      <rPr>
        <b/>
        <sz val="14"/>
        <rFont val="Calibri"/>
        <family val="2"/>
        <scheme val="minor"/>
      </rPr>
      <t>ILLUMINATES Green</t>
    </r>
  </si>
  <si>
    <r>
      <t>PRESS</t>
    </r>
    <r>
      <rPr>
        <sz val="14"/>
        <color rgb="FF000000"/>
        <rFont val="Calibri"/>
        <family val="2"/>
        <scheme val="minor"/>
      </rPr>
      <t xml:space="preserve"> the button marked </t>
    </r>
    <r>
      <rPr>
        <b/>
        <sz val="14"/>
        <color rgb="FF000000"/>
        <rFont val="Calibri"/>
        <family val="2"/>
        <scheme val="minor"/>
      </rPr>
      <t xml:space="preserve">‘SLC 2’ </t>
    </r>
    <r>
      <rPr>
        <sz val="14"/>
        <color rgb="FF000000"/>
        <rFont val="Calibri"/>
        <family val="2"/>
        <scheme val="minor"/>
      </rPr>
      <t xml:space="preserve">until the </t>
    </r>
    <r>
      <rPr>
        <b/>
        <i/>
        <sz val="14"/>
        <color rgb="FF000000"/>
        <rFont val="Calibri"/>
        <family val="2"/>
        <scheme val="minor"/>
      </rPr>
      <t>BYPASS</t>
    </r>
    <r>
      <rPr>
        <sz val="14"/>
        <color rgb="FF000000"/>
        <rFont val="Calibri"/>
        <family val="2"/>
        <scheme val="minor"/>
      </rPr>
      <t xml:space="preserve"> indicator</t>
    </r>
    <r>
      <rPr>
        <b/>
        <sz val="14"/>
        <color rgb="FF000000"/>
        <rFont val="Calibri"/>
        <family val="2"/>
        <scheme val="minor"/>
      </rPr>
      <t xml:space="preserve"> </t>
    </r>
    <r>
      <rPr>
        <b/>
        <sz val="14"/>
        <rFont val="Calibri"/>
        <family val="2"/>
        <scheme val="minor"/>
      </rPr>
      <t>ILLUMINATES Green</t>
    </r>
  </si>
  <si>
    <r>
      <t>ENSURE</t>
    </r>
    <r>
      <rPr>
        <sz val="14"/>
        <color rgb="FF000000"/>
        <rFont val="Calibri"/>
        <family val="2"/>
        <scheme val="minor"/>
      </rPr>
      <t xml:space="preserve"> all fire systems are normal and</t>
    </r>
    <r>
      <rPr>
        <b/>
        <sz val="14"/>
        <color rgb="FF000000"/>
        <rFont val="Calibri"/>
        <family val="2"/>
        <scheme val="minor"/>
      </rPr>
      <t xml:space="preserve"> </t>
    </r>
    <r>
      <rPr>
        <sz val="14"/>
        <color rgb="FF000000"/>
        <rFont val="Calibri"/>
        <family val="2"/>
        <scheme val="minor"/>
      </rPr>
      <t>no alarm conditions are present</t>
    </r>
  </si>
  <si>
    <r>
      <t>ENSURE</t>
    </r>
    <r>
      <rPr>
        <sz val="14"/>
        <color rgb="FF000000"/>
        <rFont val="Calibri"/>
        <family val="2"/>
        <scheme val="minor"/>
      </rPr>
      <t xml:space="preserve"> all HVAC systems are normal.</t>
    </r>
  </si>
  <si>
    <r>
      <t xml:space="preserve">VERIFY </t>
    </r>
    <r>
      <rPr>
        <sz val="14"/>
        <color rgb="FF000000"/>
        <rFont val="Calibri"/>
        <family val="2"/>
        <scheme val="minor"/>
      </rPr>
      <t xml:space="preserve">red </t>
    </r>
    <r>
      <rPr>
        <b/>
        <sz val="14"/>
        <color rgb="FF000000"/>
        <rFont val="Calibri"/>
        <family val="2"/>
        <scheme val="minor"/>
      </rPr>
      <t>EPO ON</t>
    </r>
    <r>
      <rPr>
        <sz val="14"/>
        <color rgb="FF000000"/>
        <rFont val="Calibri"/>
        <family val="2"/>
        <scheme val="minor"/>
      </rPr>
      <t xml:space="preserve"> indicator light is </t>
    </r>
    <r>
      <rPr>
        <b/>
        <u/>
        <sz val="14"/>
        <color rgb="FF000000"/>
        <rFont val="Calibri"/>
        <family val="2"/>
        <scheme val="minor"/>
      </rPr>
      <t>NOT</t>
    </r>
    <r>
      <rPr>
        <sz val="14"/>
        <color rgb="FF000000"/>
        <rFont val="Calibri"/>
        <family val="2"/>
        <scheme val="minor"/>
      </rPr>
      <t xml:space="preserve"> illuminated.</t>
    </r>
  </si>
  <si>
    <r>
      <t xml:space="preserve">Insert key into switch marked </t>
    </r>
    <r>
      <rPr>
        <b/>
        <sz val="14"/>
        <color rgb="FF000000"/>
        <rFont val="Calibri"/>
        <family val="2"/>
        <scheme val="minor"/>
      </rPr>
      <t>EPO</t>
    </r>
    <r>
      <rPr>
        <sz val="14"/>
        <color rgb="FF000000"/>
        <rFont val="Calibri"/>
        <family val="2"/>
        <scheme val="minor"/>
      </rPr>
      <t xml:space="preserve"> Inhibit. Rotate 90 degrees until the </t>
    </r>
    <r>
      <rPr>
        <b/>
        <sz val="14"/>
        <color rgb="FF000000"/>
        <rFont val="Calibri"/>
        <family val="2"/>
        <scheme val="minor"/>
      </rPr>
      <t>EPO INHIBIT ON</t>
    </r>
    <r>
      <rPr>
        <sz val="14"/>
        <color rgb="FF000000"/>
        <rFont val="Calibri"/>
        <family val="2"/>
        <scheme val="minor"/>
      </rPr>
      <t xml:space="preserve"> red indicator extinguishes. </t>
    </r>
  </si>
  <si>
    <r>
      <t>NOTIFY</t>
    </r>
    <r>
      <rPr>
        <sz val="14"/>
        <rFont val="Calibri"/>
        <family val="2"/>
        <scheme val="minor"/>
      </rPr>
      <t xml:space="preserve"> Emergency 24; call system out for troubles only. Contact number: 1-800-827-3624</t>
    </r>
  </si>
  <si>
    <t>Vendor may now perform the following, in no particular order.</t>
  </si>
  <si>
    <t>When the message "Close Backfeed Breaker" appears on the display, close the Backfeed Breaker. 
Note: The message "Press OK to turn inverter on" will appear.</t>
  </si>
  <si>
    <t>NumberOfRTUs</t>
  </si>
  <si>
    <t>NumberOfMAUs</t>
  </si>
  <si>
    <t>UPSModel</t>
  </si>
  <si>
    <t>UPSCVisible</t>
  </si>
  <si>
    <t>UPSDVisible</t>
  </si>
  <si>
    <t>UPSFVisible</t>
  </si>
  <si>
    <t>UPSAVisible</t>
  </si>
  <si>
    <t>UPSBVisible</t>
  </si>
  <si>
    <t>NumberofCRACs</t>
  </si>
  <si>
    <t>UPS kW</t>
  </si>
  <si>
    <t>UPSkw</t>
  </si>
  <si>
    <t>zzUnderFloorCleanBEPM</t>
  </si>
  <si>
    <t>Note: kW limits for UPS modules are as follows:
n+1 suites: 5 to make 4 = 80%, 4 to make 3 = 75%, 3 to make 2 = 66%
2n suites: 50%</t>
  </si>
  <si>
    <t>At house generator EMCP CONTROL PANEL, press the RUN button to initiate a generator start.</t>
  </si>
  <si>
    <t>RECORD the "Generator Post-Conditions".</t>
  </si>
  <si>
    <r>
      <t xml:space="preserve">SWITCHBOARD SYSTEM </t>
    </r>
    <r>
      <rPr>
        <sz val="14"/>
        <color theme="1"/>
        <rFont val="Calibri"/>
        <family val="2"/>
        <scheme val="minor"/>
      </rPr>
      <t xml:space="preserve">will transfer automatically, possibly via active </t>
    </r>
    <r>
      <rPr>
        <i/>
        <sz val="14"/>
        <color theme="1"/>
        <rFont val="Calibri"/>
        <family val="2"/>
        <scheme val="minor"/>
      </rPr>
      <t>CLOSED</t>
    </r>
    <r>
      <rPr>
        <sz val="14"/>
        <color theme="1"/>
        <rFont val="Calibri"/>
        <family val="2"/>
        <scheme val="minor"/>
      </rPr>
      <t xml:space="preserve"> transition. If synchronization of sources is not achieved within timer, system will complete transfer via </t>
    </r>
    <r>
      <rPr>
        <i/>
        <sz val="14"/>
        <color theme="1"/>
        <rFont val="Calibri"/>
        <family val="2"/>
        <scheme val="minor"/>
      </rPr>
      <t>OPEN</t>
    </r>
    <r>
      <rPr>
        <sz val="14"/>
        <color theme="1"/>
        <rFont val="Calibri"/>
        <family val="2"/>
        <scheme val="minor"/>
      </rPr>
      <t xml:space="preserve"> transition.</t>
    </r>
  </si>
  <si>
    <r>
      <t xml:space="preserve">SELECT the </t>
    </r>
    <r>
      <rPr>
        <u/>
        <sz val="14"/>
        <color theme="1"/>
        <rFont val="Calibri"/>
        <family val="2"/>
        <scheme val="minor"/>
      </rPr>
      <t>SINGLE LINE</t>
    </r>
    <r>
      <rPr>
        <sz val="14"/>
        <color theme="1"/>
        <rFont val="Calibri"/>
        <family val="2"/>
        <scheme val="minor"/>
      </rPr>
      <t xml:space="preserve"> tab to confirm that the transfer has been made.</t>
    </r>
  </si>
  <si>
    <t>Verify there are no solid red indicators listed on the screen.</t>
  </si>
  <si>
    <t>Verify all heartbeat indicators are flashing.</t>
  </si>
  <si>
    <t>Verify the mechanical cooling system continues to provide adequate and appropriate cooling to Data Center and Electric Rooms.</t>
  </si>
  <si>
    <t>Verify status of Local Fire Alarm Control Panel (LFACP) for expected supervisory condition: "Generator Running".</t>
  </si>
  <si>
    <t>Verify Local Fire Alarm Control Panel (LFACP) reports clear of "Generator running" supervisory condition.</t>
  </si>
  <si>
    <t>Touch the LOG ON button on the ROP. You will be prompted for a USERNAME and PASSWORD.</t>
  </si>
  <si>
    <t>Touch the SINGLE LINE button on the graphic.</t>
  </si>
  <si>
    <t>Touch the SERVICE button on the graphic.</t>
  </si>
  <si>
    <t>Touch the PLC STATUS button on the graphic.</t>
  </si>
  <si>
    <t>Touch the ALARMS button.</t>
  </si>
  <si>
    <t>Touch the SOURCE SELECT button.</t>
  </si>
  <si>
    <t>Touch the "Auto ReTransfer" button to change the "ReTransfer Mode" to AUTOMATIC.</t>
  </si>
  <si>
    <t>Touch the SYSTEM TEST button.</t>
  </si>
  <si>
    <t>Touch the ON button in the MANUAL GENERATOR START section to start the generator.</t>
  </si>
  <si>
    <t>Touch the OFF button in the MANUAL GENERATOR START section to initiate the cooldown sequence.</t>
  </si>
  <si>
    <t>DEPress and HOLD the PUSH TO INITIATE button (blue) until graphic animation indicates button depressed to initialize sequence. TRANSFER IN PROGRESS will be indicated on graphic.</t>
  </si>
  <si>
    <t>Press the OK button.</t>
  </si>
  <si>
    <t>Ensure that SWITCHBOARD SYSTEM is in AUTO and "ReTransfer Mode" is in AUTOMATIC. This information can be found in the upper left hand corner of the ROP screen.</t>
  </si>
  <si>
    <t>Ensure that SWITCHBOARD SYSTEM is in AUTO and "ReTransfer Mode" is in MANUAL. You will be required to change to Automatic Transfer at test completion.</t>
  </si>
  <si>
    <t>Ensure that SWITCHBOARD SYSTEM is in AUTO and Transfer mode is in AUTOMATIC. This information can be found in the upper left hand corner of the ROP screen.</t>
  </si>
  <si>
    <r>
      <t>SWITCHBOARD SYSTEM</t>
    </r>
    <r>
      <rPr>
        <sz val="14"/>
        <color theme="1"/>
        <rFont val="Calibri"/>
        <family val="2"/>
        <scheme val="minor"/>
      </rPr>
      <t xml:space="preserve"> will transfer automatically, possibly via active </t>
    </r>
    <r>
      <rPr>
        <i/>
        <sz val="14"/>
        <color theme="1"/>
        <rFont val="Calibri"/>
        <family val="2"/>
        <scheme val="minor"/>
      </rPr>
      <t>CLOSED</t>
    </r>
    <r>
      <rPr>
        <sz val="14"/>
        <color theme="1"/>
        <rFont val="Calibri"/>
        <family val="2"/>
        <scheme val="minor"/>
      </rPr>
      <t xml:space="preserve"> transition. If synchronization of sources is not achieved within timer, system will complete transfer via </t>
    </r>
    <r>
      <rPr>
        <i/>
        <sz val="14"/>
        <color theme="1"/>
        <rFont val="Calibri"/>
        <family val="2"/>
        <scheme val="minor"/>
      </rPr>
      <t>OPEN</t>
    </r>
    <r>
      <rPr>
        <sz val="14"/>
        <color theme="1"/>
        <rFont val="Calibri"/>
        <family val="2"/>
        <scheme val="minor"/>
      </rPr>
      <t xml:space="preserve"> transition.</t>
    </r>
  </si>
  <si>
    <r>
      <t xml:space="preserve">The </t>
    </r>
    <r>
      <rPr>
        <u/>
        <sz val="14"/>
        <color theme="1"/>
        <rFont val="Calibri"/>
        <family val="2"/>
        <scheme val="minor"/>
      </rPr>
      <t>SWITCHBOARD SYSTEM</t>
    </r>
    <r>
      <rPr>
        <sz val="14"/>
        <color theme="1"/>
        <rFont val="Calibri"/>
        <family val="2"/>
        <scheme val="minor"/>
      </rPr>
      <t xml:space="preserve"> will change the "ReTransfer Mode" from </t>
    </r>
    <r>
      <rPr>
        <i/>
        <sz val="14"/>
        <color theme="1"/>
        <rFont val="Calibri"/>
        <family val="2"/>
        <scheme val="minor"/>
      </rPr>
      <t xml:space="preserve">AUTOMATIC to MANUAL. </t>
    </r>
    <r>
      <rPr>
        <sz val="14"/>
        <color theme="1"/>
        <rFont val="Calibri"/>
        <family val="2"/>
        <scheme val="minor"/>
      </rPr>
      <t>You will be required to change to Automatic Transfer at test completion.</t>
    </r>
  </si>
  <si>
    <r>
      <rPr>
        <u/>
        <sz val="14"/>
        <color theme="1"/>
        <rFont val="Calibri"/>
        <family val="2"/>
        <scheme val="minor"/>
      </rPr>
      <t>RECORD</t>
    </r>
    <r>
      <rPr>
        <sz val="14"/>
        <color theme="1"/>
        <rFont val="Calibri"/>
        <family val="2"/>
        <scheme val="minor"/>
      </rPr>
      <t xml:space="preserve"> running values for the generator when it starts and at 15 minute intervals thereafter until the cooldown sequence is complete.</t>
    </r>
  </si>
  <si>
    <t>Notify Emergency 24; call system out for TROUBLES ONLY. Contact number: 1-800-827-3624</t>
  </si>
  <si>
    <t>PERFORM Generator Pre-start checklist prior to the test.</t>
  </si>
  <si>
    <t>Place the "Auto/Manual/O" selector switch in the "Manual" position.</t>
  </si>
  <si>
    <t>Press "Manual Run/Stop" on the EMCP.</t>
  </si>
  <si>
    <t>Press "Manual Run/Stop" on the EMCP to initiate an engine shutdown.</t>
  </si>
  <si>
    <t>Record the "Generator Pre-Conditions" prior to the test.</t>
  </si>
  <si>
    <t>Ensure all enclosures are secure.</t>
  </si>
  <si>
    <t>Record the "Generator Post-Conditions".</t>
  </si>
  <si>
    <t>Run the generator at 1800 RPM with no load for 15 minutes before proceeding.</t>
  </si>
  <si>
    <t>Touch the LOG ON button on the ROP.</t>
  </si>
  <si>
    <t>Touch the SINGLE LINE button on the graphic for the generator to be run.</t>
  </si>
  <si>
    <t>Touch the SUITE SERVICE SCREENS button on the graphic.</t>
  </si>
  <si>
    <t>Touch the PLC I/O button on the graphic.</t>
  </si>
  <si>
    <t>Touch the SYSTEM OVERVIEW MAIN button on the graphic.</t>
  </si>
  <si>
    <t>Touch the SINGLE LINE button on the graphic for the generator that is running.</t>
  </si>
  <si>
    <t>Touch the RUN button in the ENGINE CONTROL SWITCH section to start the generator.</t>
  </si>
  <si>
    <t>Touch the AUTO button in the ENGINE CONTROL SWITCH section to initiate the cooldown cycle.</t>
  </si>
  <si>
    <t>Verify there are no abnormal alarms present.</t>
  </si>
  <si>
    <t>Verify the following actions take place:</t>
  </si>
  <si>
    <t>Touch the SOURCE Select button.</t>
  </si>
  <si>
    <t>Select the SINGLE LINE tab to confirm that the transfer has been made.</t>
  </si>
  <si>
    <r>
      <t xml:space="preserve">You will be prompted for a </t>
    </r>
    <r>
      <rPr>
        <u/>
        <sz val="14"/>
        <color theme="1"/>
        <rFont val="Calibri"/>
        <family val="2"/>
        <scheme val="minor"/>
      </rPr>
      <t>USERNAME</t>
    </r>
    <r>
      <rPr>
        <sz val="14"/>
        <color theme="1"/>
        <rFont val="Calibri"/>
        <family val="2"/>
        <scheme val="minor"/>
      </rPr>
      <t xml:space="preserve"> and </t>
    </r>
    <r>
      <rPr>
        <u/>
        <sz val="14"/>
        <color theme="1"/>
        <rFont val="Calibri"/>
        <family val="2"/>
        <scheme val="minor"/>
      </rPr>
      <t>PASSWORD</t>
    </r>
    <r>
      <rPr>
        <sz val="14"/>
        <color theme="1"/>
        <rFont val="Calibri"/>
        <family val="2"/>
        <scheme val="minor"/>
      </rPr>
      <t xml:space="preserve">.  Enter the username and password. PRESS the </t>
    </r>
    <r>
      <rPr>
        <u/>
        <sz val="14"/>
        <color theme="1"/>
        <rFont val="Calibri"/>
        <family val="2"/>
        <scheme val="minor"/>
      </rPr>
      <t>OK</t>
    </r>
    <r>
      <rPr>
        <sz val="14"/>
        <color theme="1"/>
        <rFont val="Calibri"/>
        <family val="2"/>
        <scheme val="minor"/>
      </rPr>
      <t xml:space="preserve"> button.</t>
    </r>
  </si>
  <si>
    <r>
      <t xml:space="preserve">Depress the </t>
    </r>
    <r>
      <rPr>
        <u/>
        <sz val="14"/>
        <color theme="1"/>
        <rFont val="Calibri"/>
        <family val="2"/>
        <scheme val="minor"/>
      </rPr>
      <t>PUSH TO INITIATE</t>
    </r>
    <r>
      <rPr>
        <sz val="14"/>
        <color theme="1"/>
        <rFont val="Calibri"/>
        <family val="2"/>
        <scheme val="minor"/>
      </rPr>
      <t xml:space="preserve"> button (blue) to initialize sequence. Hold the “button” until graphic animation indicates button depressed. TRANSFER IN PROGRESS will be indicated on graphic.</t>
    </r>
  </si>
  <si>
    <r>
      <t xml:space="preserve">Depress the </t>
    </r>
    <r>
      <rPr>
        <u/>
        <sz val="14"/>
        <color theme="1"/>
        <rFont val="Calibri"/>
        <family val="2"/>
        <scheme val="minor"/>
      </rPr>
      <t>PUSH TO INITIATE</t>
    </r>
    <r>
      <rPr>
        <sz val="14"/>
        <color theme="1"/>
        <rFont val="Calibri"/>
        <family val="2"/>
        <scheme val="minor"/>
      </rPr>
      <t xml:space="preserve"> button (blue) to initiate sequence.</t>
    </r>
  </si>
  <si>
    <t>Perform Generator Pre-start checklist prior to the test.</t>
  </si>
  <si>
    <t>Perform generator testing for 30 minutes with customer load. Readings will be recorded, any anomalies reported directly to DLR Manager - Facility Engineering.</t>
  </si>
  <si>
    <t>Perform generator testing for 15 minutes with no load. Readings will be recorded, any anomalies reported directly to DLR Manager - Facility Engineering.</t>
  </si>
  <si>
    <t>Ref General</t>
  </si>
  <si>
    <t>Ref Specific</t>
  </si>
  <si>
    <t>URL</t>
  </si>
  <si>
    <t>Generator Scope of Work</t>
  </si>
  <si>
    <t>Orr Fire Suppression Scope of Work</t>
  </si>
  <si>
    <t>Orr Fire Alarm Scope of Work</t>
  </si>
  <si>
    <t>Orr Fire Extinguisher Scope of Work</t>
  </si>
  <si>
    <t>https://digitalrealty.sharepoint.com/sites/Southeast/VA5/MSAs%20&amp;%20SOWs/SOW%20-%20Bass%20Electric%20-%20De-Energized%20Maintenance%20(LV).pdf?</t>
  </si>
  <si>
    <t>https://digitalrealty.sharepoint.com/sites/Southeast/VA5/MSAs%20&amp;%20SOWs/SOW%20-%20Orr%20-%20Fire%20Suppression%20Systems.pdf?</t>
  </si>
  <si>
    <t>https://digitalrealty.sharepoint.com/sites/Southeast/VA5/MSAs%20&amp;%20SOWs/SOW%20-%20CushmanWakefield.pdf?</t>
  </si>
  <si>
    <t>https://digitalrealty.sharepoint.com/sites/Southeast/VA5/MSAs%20&amp;%20SOWs/SOW%20-%20Generator.pdf?</t>
  </si>
  <si>
    <t>https://digitalrealty.sharepoint.com/sites/Southeast/VA5/MSAs%20&amp;%20SOWs/SOW%20-%20QUS%20-%20Batteries.pdf?</t>
  </si>
  <si>
    <t>https://digitalrealty.sharepoint.com/sites/Southeast/VA5/MSAs%20&amp;%20SOWs/SOW%20-%20QUS%20-%20UPS.pdf?</t>
  </si>
  <si>
    <t>https://digitalrealty.sharepoint.com/sites/Southeast/VA5/MSAs%20&amp;%20SOWs/SOW%20-%20Orr%20-%20Fire%20Alarm%20Systems.pdf?</t>
  </si>
  <si>
    <t>https://digitalrealty.sharepoint.com/sites/Southeast/VA5/MSAs%20&amp;%20SOWs/SOW%20-%20Orr%20-%20Fire%20Extinguishers.pdf?</t>
  </si>
  <si>
    <t>110-01 (A)</t>
  </si>
  <si>
    <t>120-01 (A)</t>
  </si>
  <si>
    <t>130-01 (A)</t>
  </si>
  <si>
    <t>140-01 (A)</t>
  </si>
  <si>
    <t>150-01 (A)</t>
  </si>
  <si>
    <t>110-02 (B)</t>
  </si>
  <si>
    <t>120-02 (B)</t>
  </si>
  <si>
    <t>130-02 (B)</t>
  </si>
  <si>
    <t>140-02 (B)</t>
  </si>
  <si>
    <t>150-02 (B)</t>
  </si>
  <si>
    <t>120-1</t>
  </si>
  <si>
    <t>130-01</t>
  </si>
  <si>
    <t>120-4</t>
  </si>
  <si>
    <t>130-02</t>
  </si>
  <si>
    <t>120-5</t>
  </si>
  <si>
    <t>130-05</t>
  </si>
  <si>
    <t>Electrical Room C/D</t>
  </si>
  <si>
    <t>Electrical Room A/B</t>
  </si>
  <si>
    <t>Data Center</t>
  </si>
  <si>
    <t>11 units</t>
  </si>
  <si>
    <t>?</t>
  </si>
  <si>
    <t>CONFIRM with all participants the emergency response procedures if an injury occurs during the performance of this Method of Procedure.  If any personnel are injured during the performance of this Method of Procedure, 911 will be called immediately and all work suspended. Any individual certified in CPR may assist injured personnel as necessary?</t>
  </si>
  <si>
    <t>High, as (1) entire UPS system will be placed onto external maintenance bypass on utility service.</t>
  </si>
  <si>
    <t>High, as (1) entire UPS system will be placed onto external maintenance bypass on utility service. If there is a storm warning in effect or electrical utility work is in progress, strongly consider postponing or rescheduling the maintenance.</t>
  </si>
  <si>
    <t>UPS System Maintenance. Only (1) system will undergo maintenance at a time, and will be placed onto maintenance bypass on utility service.</t>
  </si>
  <si>
    <t>NOTATE the kW reading at UPB Critical Bus Panel Meter: _________</t>
  </si>
  <si>
    <t>OPEN breaker DP-B1. (MOB, Module Output Breaker)</t>
  </si>
  <si>
    <t>Apply LOTO to breaker DP-B1.</t>
  </si>
  <si>
    <t>OPEN Battery Breaker at Cabinet B1-1.</t>
  </si>
  <si>
    <t>Apply LOTO to cabinet B1-1 battery breaker.</t>
  </si>
  <si>
    <t>OPEN Battery Breaker at Cabinet B1-2.</t>
  </si>
  <si>
    <t>Apply LOTO to cabinet B1-2 battery breaker.</t>
  </si>
  <si>
    <t>OPEN Battery Breaker at Cabinet B1-3.</t>
  </si>
  <si>
    <t>Apply LOTO to cabinet B1-3 battery breaker.</t>
  </si>
  <si>
    <t>OPEN breaker marked as serving UPS-B1. APPLY LOTO.</t>
  </si>
  <si>
    <t>Apply LOTO to breaker UPS-B1.</t>
  </si>
  <si>
    <t>Remove LOTO from breaker DP-B1.</t>
  </si>
  <si>
    <t>Remove LOTO from cabinet B1-1 battery breaker.</t>
  </si>
  <si>
    <t>Remove LOTO from cabinet B1-2 battery breaker.</t>
  </si>
  <si>
    <t>Remove LOTO from cabinet B1-3 battery breaker.</t>
  </si>
  <si>
    <t>Remove LOTO from breaker UPS-B1.</t>
  </si>
  <si>
    <t>CLOSE breaker marked as serving UPS-B1.</t>
  </si>
  <si>
    <t>CLOSE Battery Breaker at Cabinet B1-1.</t>
  </si>
  <si>
    <t>CLOSE Battery Breaker at Cabinet B1-2.</t>
  </si>
  <si>
    <t>CLOSE Battery Breaker at Cabinet B1-3.</t>
  </si>
  <si>
    <t>CLOSE breaker DP-B1. (MOB, Module Output Breaker)</t>
  </si>
  <si>
    <t>UPS-B1 and UPS-B2 will transfer to Static Bypass.</t>
  </si>
  <si>
    <t>OPEN breaker DP-B2. (MOB, Module Output Breaker)</t>
  </si>
  <si>
    <t>Apply LOTO to breaker DP-B2.</t>
  </si>
  <si>
    <t>OPEN Battery Breaker at Cabinet B2-1.</t>
  </si>
  <si>
    <t>Apply LOTO to cabinet B2-1 battery breaker.</t>
  </si>
  <si>
    <t>OPEN Battery Breaker at Cabinet B2-2.</t>
  </si>
  <si>
    <t>Apply LOTO to cabinet B2-2 battery breaker.</t>
  </si>
  <si>
    <t>OPEN Battery Breaker at Cabinet B2-3.</t>
  </si>
  <si>
    <t>Apply LOTO to cabinet B2-3 battery breaker.</t>
  </si>
  <si>
    <t>OPEN breaker marked as serving UPS-B2. APPLY LOTO.</t>
  </si>
  <si>
    <t>Apply LOTO to breaker UPS-B2.</t>
  </si>
  <si>
    <t>Remove LOTO from breaker DP-B2.</t>
  </si>
  <si>
    <t>Remove LOTO from cabinet B2-1 battery breaker.</t>
  </si>
  <si>
    <t>Remove LOTO from cabinet B2-2 battery breaker.</t>
  </si>
  <si>
    <t>Remove LOTO from cabinet B2-3 battery breaker.</t>
  </si>
  <si>
    <t>Remove LOTO from breaker UPS-B2.</t>
  </si>
  <si>
    <t>CLOSE breaker marked as serving UPS-B2.</t>
  </si>
  <si>
    <t>Static Bypass Switch graphic will change from gray to green in color at both UPS-B1 and UPS-B2.</t>
  </si>
  <si>
    <t>CLOSE Battery Breaker at Cabinet B2-1.</t>
  </si>
  <si>
    <t>CLOSE Battery Breaker at Cabinet B2-2.</t>
  </si>
  <si>
    <t>CLOSE Battery Breaker at Cabinet B2-3.</t>
  </si>
  <si>
    <t>CLOSE breaker DP-B2. (MOB, Module Output Breaker)</t>
  </si>
  <si>
    <t>Prepare UPB for Transfer to Maintenance Bypass</t>
  </si>
  <si>
    <t>PUMP the MBUPB breaker charging handle repeatedly to compress spring and CHARGE breaker.</t>
  </si>
  <si>
    <t>NOTATE the kW reading at UPB Critical Bus Panel Meter:_________</t>
  </si>
  <si>
    <t>INSERT the interlock key into the MBUPB breaker lock cylinder.</t>
  </si>
  <si>
    <t>ROTATE the interlock key 90 degrees to UNLOCK the MBUPB breaker.</t>
  </si>
  <si>
    <t xml:space="preserve">CLOSE breaker MBUPB. </t>
  </si>
  <si>
    <t>VERIFY MBUPB breaker flag indicates CLOSED.</t>
  </si>
  <si>
    <t>VERIFY breaker MBUPB is carrying a portion of critical customer load using breaker mounted metering.</t>
  </si>
  <si>
    <t>VERIFY breaker MCBUPB is carrying a portion of critical customer load using breaker mounted metering.</t>
  </si>
  <si>
    <t>VERIFY load on UPB Critical Bus Panel Meter is the same as noted previously.</t>
  </si>
  <si>
    <t>PUMP the MCBUPB breaker charging handle repeatedly to compress spring and CHARGE breaker.</t>
  </si>
  <si>
    <t>Note: If breaker MCBUPB fails to charge, do not proceed with the procedure as this will prevent system restoration and stabilization following completion of maintenance.</t>
  </si>
  <si>
    <t>OPEN breaker MCBUPB.</t>
  </si>
  <si>
    <t>VERIFY MCBUPB breaker flag indicates OPEN.</t>
  </si>
  <si>
    <t>ROTATE the interlock key 90 degrees to LOCK the MCBUPB breaker.</t>
  </si>
  <si>
    <t>REMOVE the interlock key from the MCBUPB breaker lock cylinder.</t>
  </si>
  <si>
    <t>Transfer UPS System B to Static Bypass</t>
  </si>
  <si>
    <t>Shut Down UPS System B</t>
  </si>
  <si>
    <t>UPS System B is now completely offline. Critical Customer Load remains on Maintenance Bypass Source.</t>
  </si>
  <si>
    <t>Restart UPS System B</t>
  </si>
  <si>
    <t>Transfer UPS System B to Inverter Service</t>
  </si>
  <si>
    <t>UPS System C is now completely offline. Critical Customer Load remains on Maintenance Bypass Source.</t>
  </si>
  <si>
    <t>UPS System C is now online and ready to accept load. Critical Customer Load remains on Maintenance Bypass Source.</t>
  </si>
  <si>
    <t>PUMP the MBUPC breaker charging handle repeatedly to compress spring and CHARGE breaker.</t>
  </si>
  <si>
    <t>NOTATE the kW reading at UPC Critical Bus Panel Meter:_________</t>
  </si>
  <si>
    <t>INSERT the interlock key into the MBUPC breaker lock cylinder.</t>
  </si>
  <si>
    <t>ROTATE the interlock key 90 degrees to UNLOCK the MBUPC breaker.</t>
  </si>
  <si>
    <t xml:space="preserve">CLOSE breaker MBUPC. </t>
  </si>
  <si>
    <t>VERIFY MBUPC breaker flag indicates CLOSED.</t>
  </si>
  <si>
    <t>VERIFY breaker MBUPC is carrying a portion of critical customer load using breaker mounted metering.</t>
  </si>
  <si>
    <t>VERIFY breaker MCBUPC is carrying a portion of critical customer load using breaker mounted metering.</t>
  </si>
  <si>
    <t>VERIFY load on UPC Critical Bus Panel Meter is the same as noted previously.</t>
  </si>
  <si>
    <t>PUMP the MCBUPC breaker charging handle repeatedly to compress spring and CHARGE breaker.</t>
  </si>
  <si>
    <t>Note: If breaker MCBUPC fails to charge, do not proceed with the procedure as this will prevent system restoration and stabilization following completion of maintenance.</t>
  </si>
  <si>
    <t>OPEN breaker MCBUPC.</t>
  </si>
  <si>
    <t>VERIFY MCBUPC breaker flag indicates OPEN.</t>
  </si>
  <si>
    <t>ROTATE the interlock key 90 degrees to LOCK the MCBUPC breaker.</t>
  </si>
  <si>
    <t>REMOVE the interlock key from the MCBUPC breaker lock cylinder.</t>
  </si>
  <si>
    <t>NOTATE the kW reading at UPC Critical Bus Panel Meter: _________</t>
  </si>
  <si>
    <t>VERIFY the UPC SKRU RELEASE BUTTON is ILLUMINATED.</t>
  </si>
  <si>
    <t>INSERT the interlock key into the MCBUPC breaker lock cylinder.</t>
  </si>
  <si>
    <t>ROTATE the interlock key 90 degrees to UNLOCK the MCBUPC breaker.</t>
  </si>
  <si>
    <t xml:space="preserve">CLOSE breaker MCBUPC. </t>
  </si>
  <si>
    <t>VERIFY MCBUPC breaker flag indicates CLOSED.</t>
  </si>
  <si>
    <t>OPEN breaker MBUPC.</t>
  </si>
  <si>
    <t>VERIFY MBUPC breaker flag indicates OPEN.</t>
  </si>
  <si>
    <t>ROTATE the interlock key 90 degrees to LOCK the MBUPC breaker.</t>
  </si>
  <si>
    <t>REMOVE the interlock key from the MBUPC breaker lock cylinder.</t>
  </si>
  <si>
    <t>OPEN breaker marked as serving UPS-C2. APPLY LOTO.</t>
  </si>
  <si>
    <t>Apply LOTO to breaker UPS-C2.</t>
  </si>
  <si>
    <t>Remove LOTO from breaker UPS-C2.</t>
  </si>
  <si>
    <t>CLOSE breaker marked as serving UPS-C2.</t>
  </si>
  <si>
    <t>UPS-C1 and UPS-C2 will transfer to Static Bypass.</t>
  </si>
  <si>
    <t>OPEN breaker marked as serving UPS-C1. APPLY LOTO.</t>
  </si>
  <si>
    <t>Apply LOTO to breaker UPS-C1.</t>
  </si>
  <si>
    <t>Remove LOTO from breaker UPS-C1.</t>
  </si>
  <si>
    <t>CLOSE breaker marked as serving UPS-C1.</t>
  </si>
  <si>
    <t>Static Bypass Switch graphic will change from gray to green in color at both UPS-C1 and UPS-C2.</t>
  </si>
  <si>
    <t>UPS-C1 and UPS-C2 will transfer to Inverter Service.</t>
  </si>
  <si>
    <t>OPEN breaker DP-C1. (MOB, Module Output Breaker)</t>
  </si>
  <si>
    <t>Apply LOTO to breaker DP-C1.</t>
  </si>
  <si>
    <t>Remove LOTO from breaker DP-C1.</t>
  </si>
  <si>
    <t>CLOSE breaker DP-C1. (MOB, Module Output Breaker)</t>
  </si>
  <si>
    <t>OPEN breaker DP-C2. (MOB, Module Output Breaker)</t>
  </si>
  <si>
    <t>Apply LOTO to breaker DP-C2.</t>
  </si>
  <si>
    <t>Remove LOTO from breaker DP-C2.</t>
  </si>
  <si>
    <t>CLOSE breaker DP-C2. (MOB, Module Output Breaker)</t>
  </si>
  <si>
    <t>OPEN Battery Breaker at Cabinet C2-1.</t>
  </si>
  <si>
    <t>Apply LOTO to cabinet C2-1 battery breaker.</t>
  </si>
  <si>
    <t>OPEN Battery Breaker at Cabinet C2-2.</t>
  </si>
  <si>
    <t>Apply LOTO to cabinet C2-2 battery breaker.</t>
  </si>
  <si>
    <t>OPEN Battery Breaker at Cabinet C2-3.</t>
  </si>
  <si>
    <t>Apply LOTO to cabinet C2-3 battery breaker.</t>
  </si>
  <si>
    <t>Remove LOTO from cabinet C2-1 battery breaker.</t>
  </si>
  <si>
    <t>Remove LOTO from cabinet C2-2 battery breaker.</t>
  </si>
  <si>
    <t>Remove LOTO from cabinet C2-3 battery breaker.</t>
  </si>
  <si>
    <t>CLOSE Battery Breaker at Cabinet C2-1.</t>
  </si>
  <si>
    <t>CLOSE Battery Breaker at Cabinet C2-2.</t>
  </si>
  <si>
    <t>CLOSE Battery Breaker at Cabinet C2-3.</t>
  </si>
  <si>
    <t>OPEN Battery Breaker at Cabinet C1-1.</t>
  </si>
  <si>
    <t>Apply LOTO to cabinet C1-1 battery breaker.</t>
  </si>
  <si>
    <t>OPEN Battery Breaker at Cabinet C1-2.</t>
  </si>
  <si>
    <t>Apply LOTO to cabinet C1-2 battery breaker.</t>
  </si>
  <si>
    <t>OPEN Battery Breaker at Cabinet C1-3.</t>
  </si>
  <si>
    <t>Apply LOTO to cabinet C1-3 battery breaker.</t>
  </si>
  <si>
    <t>Remove LOTO from cabinet C1-1 battery breaker.</t>
  </si>
  <si>
    <t>Remove LOTO from cabinet C1-2 battery breaker.</t>
  </si>
  <si>
    <t>Remove LOTO from cabinet C1-3 battery breaker.</t>
  </si>
  <si>
    <t>CLOSE Battery Breaker at Cabinet C1-1.</t>
  </si>
  <si>
    <t>CLOSE Battery Breaker at Cabinet C1-2.</t>
  </si>
  <si>
    <t>CLOSE Battery Breaker at Cabinet C1-3.</t>
  </si>
  <si>
    <t>OPEN breaker DP-D1. (MOB, Module Output Breaker)</t>
  </si>
  <si>
    <t>Apply LOTO to breaker DP-D1.</t>
  </si>
  <si>
    <t>OPEN Battery Breaker at Cabinet D1-1.</t>
  </si>
  <si>
    <t>Apply LOTO to cabinet D1-1 battery breaker.</t>
  </si>
  <si>
    <t>OPEN Battery Breaker at Cabinet D1-2.</t>
  </si>
  <si>
    <t>Apply LOTO to cabinet D1-2 battery breaker.</t>
  </si>
  <si>
    <t>OPEN Battery Breaker at Cabinet D1-3.</t>
  </si>
  <si>
    <t>Apply LOTO to cabinet D1-3 battery breaker.</t>
  </si>
  <si>
    <t>OPEN breaker marked as serving UPS-D1. APPLY LOTO.</t>
  </si>
  <si>
    <t>Apply LOTO to breaker UPS-D1.</t>
  </si>
  <si>
    <t>Remove LOTO from breaker DP-D1.</t>
  </si>
  <si>
    <t>Remove LOTO from cabinet D1-1 battery breaker.</t>
  </si>
  <si>
    <t>Remove LOTO from cabinet D1-2 battery breaker.</t>
  </si>
  <si>
    <t>Remove LOTO from cabinet D1-3 battery breaker.</t>
  </si>
  <si>
    <t>Remove LOTO from breaker UPS-D1.</t>
  </si>
  <si>
    <t>CLOSE breaker marked as serving UPS-D1.</t>
  </si>
  <si>
    <t>CLOSE Battery Breaker at Cabinet D1-1.</t>
  </si>
  <si>
    <t>CLOSE Battery Breaker at Cabinet D1-2.</t>
  </si>
  <si>
    <t>CLOSE Battery Breaker at Cabinet D1-3.</t>
  </si>
  <si>
    <t>CLOSE breaker DP-D1. (MOB, Module Output Breaker)</t>
  </si>
  <si>
    <t>UPS-D1 and UPS-D2 will transfer to Static Bypass.</t>
  </si>
  <si>
    <t>OPEN breaker DP-D2. (MOB, Module Output Breaker)</t>
  </si>
  <si>
    <t>Apply LOTO to breaker DP-D2.</t>
  </si>
  <si>
    <t>OPEN Battery Breaker at Cabinet D2-1.</t>
  </si>
  <si>
    <t>Apply LOTO to cabinet D2-1 battery breaker.</t>
  </si>
  <si>
    <t>OPEN Battery Breaker at Cabinet D2-2.</t>
  </si>
  <si>
    <t>Apply LOTO to cabinet D2-2 battery breaker.</t>
  </si>
  <si>
    <t>OPEN Battery Breaker at Cabinet D2-3.</t>
  </si>
  <si>
    <t>Apply LOTO to cabinet D2-3 battery breaker.</t>
  </si>
  <si>
    <t>OPEN breaker marked as serving UPS-D2. APPLY LOTO.</t>
  </si>
  <si>
    <t>Apply LOTO to breaker UPS-D2.</t>
  </si>
  <si>
    <t>Remove LOTO from breaker DP-D2.</t>
  </si>
  <si>
    <t>Remove LOTO from cabinet D2-1 battery breaker.</t>
  </si>
  <si>
    <t>Remove LOTO from cabinet D2-2 battery breaker.</t>
  </si>
  <si>
    <t>Remove LOTO from cabinet D2-3 battery breaker.</t>
  </si>
  <si>
    <t>Remove LOTO from breaker UPS-D2.</t>
  </si>
  <si>
    <t>CLOSE breaker marked as serving UPS-D2.</t>
  </si>
  <si>
    <t>Static Bypass Switch graphic will change from gray to green in color at both UPS-D1 and UPS-D2.</t>
  </si>
  <si>
    <t>CLOSE Battery Breaker at Cabinet D2-1.</t>
  </si>
  <si>
    <t>CLOSE Battery Breaker at Cabinet D2-2.</t>
  </si>
  <si>
    <t>CLOSE Battery Breaker at Cabinet D2-3.</t>
  </si>
  <si>
    <t>CLOSE breaker DP-D2. (MOB, Module Output Breaker)</t>
  </si>
  <si>
    <t>UPS-D1 and UPS-D2 will transfer to Inverter Service.</t>
  </si>
  <si>
    <t>INSERT the interlock key into the MBUPD breaker lock cylinder.</t>
  </si>
  <si>
    <t>ROTATE the interlock key 90 degrees to UNLOCK the MBUPD breaker.</t>
  </si>
  <si>
    <t xml:space="preserve">CLOSE breaker MBUPD. </t>
  </si>
  <si>
    <t>Note: If breaker MCBUPD fails to charge, do not proceed with the procedure as this will prevent system restoration and stabilization following completion of maintenance.</t>
  </si>
  <si>
    <t>OPEN breaker MCBUPD.</t>
  </si>
  <si>
    <t>ROTATE the interlock key 90 degrees to LOCK the MCBUPD breaker.</t>
  </si>
  <si>
    <t>REMOVE the interlock key from the MCBUPD breaker lock cylinder.</t>
  </si>
  <si>
    <t>INSERT the interlock key into the MCBUPD breaker lock cylinder.</t>
  </si>
  <si>
    <t>ROTATE the interlock key 90 degrees to UNLOCK the MCBUPD breaker.</t>
  </si>
  <si>
    <t xml:space="preserve">CLOSE breaker MCBUPD. </t>
  </si>
  <si>
    <t>OPEN breaker MBUPD.</t>
  </si>
  <si>
    <t>ROTATE the interlock key 90 degrees to LOCK the MBUPD breaker.</t>
  </si>
  <si>
    <t>REMOVE the interlock key from the MBUPD breaker lock cylinder.</t>
  </si>
  <si>
    <t>UPS System D is now completely offline. Critical Customer Load remains on Maintenance Bypass Source.</t>
  </si>
  <si>
    <t>UPS System D is now online and ready to accept load. Critical Customer Load remains on Maintenance Bypass Source.</t>
  </si>
  <si>
    <t>Touch the STOP INVERTER graphic button on the UPS HOME screen.</t>
  </si>
  <si>
    <t>Touch the CONFIRM button on graphic.</t>
  </si>
  <si>
    <t>Touch the STOP INVERTER graphic button on the UPS Summary screen.</t>
  </si>
  <si>
    <t>ALLOW 60-90 seconds for UPS firmware to initialize and Touchscreens to display graphics. Expect to hear multiple contactor operations during this time.</t>
  </si>
  <si>
    <t>Touch the START INVERTER graphic button.</t>
  </si>
  <si>
    <t>Touch the CONFIRM graphic.</t>
  </si>
  <si>
    <t>Navigate to the UPS HOME screen by pressing the HOME button located in the upper right hand corner of Touchscreen, if not already at this screen.</t>
  </si>
  <si>
    <t>Pump the MBUPD breaker charging handle repeatedly to compress spring and CHARGE breaker.</t>
  </si>
  <si>
    <t>Pump the MCBUPD breaker charging handle repeatedly to compress spring and CHARGE breaker.</t>
  </si>
  <si>
    <t>Notate the kW reading at UPD Critical Bus Panel Meter:_________</t>
  </si>
  <si>
    <t>Notate the kW reading at UPD Critical Bus Panel Meter: _________</t>
  </si>
  <si>
    <t>Notate the kW reading at UPA Critical Bus Panel Meter:_________</t>
  </si>
  <si>
    <t>Verify UPS systems C and D are on-line with no critical alarms present.</t>
  </si>
  <si>
    <t>Verify unit indicates as in static bypass by following the one line graphic.</t>
  </si>
  <si>
    <t>Verify MBUPD breaker flag indicates CLOSED.</t>
  </si>
  <si>
    <t>Verify breaker MBUPD is carrying a portion of critical customer load using breaker mounted metering.</t>
  </si>
  <si>
    <t>Verify breaker MCBUPD is carrying a portion of critical customer load using breaker mounted metering.</t>
  </si>
  <si>
    <t>Verify load on UPD Critical Bus Panel Meter is the same as noted previously.</t>
  </si>
  <si>
    <t>Verify MCBUPD breaker flag indicates OPEN.</t>
  </si>
  <si>
    <t>Verify all tools are removed from unit and Verify with Technician the unit is ready to return to service.</t>
  </si>
  <si>
    <t>Verify the BATTERY VOLTAGE is at 540V, +/- 4V.</t>
  </si>
  <si>
    <t>Verify the UPD SKRU RELEASE BUTTON is ILLUMINATED.</t>
  </si>
  <si>
    <t>Verify MCBUPD breaker flag indicates CLOSED.</t>
  </si>
  <si>
    <t>Verify MBUPD breaker flag indicates OPEN.</t>
  </si>
  <si>
    <t>Verify One line indicates as UPS ONLINE.</t>
  </si>
  <si>
    <t>Digital Realty Operations Guide Chapter 16 - Technical Operations &amp; Maintenance</t>
  </si>
  <si>
    <t>https://digitalrealty.sharepoint.com/sites/og/Lists/Ops%20Guide/AllItems.aspx?id=%2Fsites%2Fog%2FLists%2FOps%20Guide%2FChapter%2016%20-%20Technical%20Operations%20%26%20Maintenance</t>
  </si>
  <si>
    <t>WO9999999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</si>
</sst>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yy;@"/>
    <numFmt numFmtId="165" formatCode="dd\ mmm\ yy"/>
    <numFmt numFmtId="166" formatCode="d\ mmm\ yyyy"/>
  </numFmts>
  <fonts count="90" x14ac:knownFonts="1">
    <font>
      <sz val="11"/>
      <color theme="1"/>
      <name val="Calibri"/>
      <family val="2"/>
      <scheme val="minor"/>
    </font>
    <font>
      <sz val="10"/>
      <color theme="1"/>
      <name val="Arial"/>
      <family val="2"/>
    </font>
    <font>
      <u/>
      <sz val="11"/>
      <color theme="10"/>
      <name val="Calibri"/>
      <family val="2"/>
      <scheme val="minor"/>
    </font>
    <font>
      <b/>
      <sz val="11"/>
      <color theme="1"/>
      <name val="Calibri"/>
      <family val="2"/>
      <scheme val="minor"/>
    </font>
    <font>
      <sz val="11"/>
      <color theme="1"/>
      <name val="Arial"/>
      <family val="2"/>
    </font>
    <font>
      <sz val="10"/>
      <color theme="1"/>
      <name val="Calibri"/>
      <family val="2"/>
      <scheme val="minor"/>
    </font>
    <font>
      <sz val="12"/>
      <color theme="1"/>
      <name val="Calibri"/>
      <family val="2"/>
      <scheme val="minor"/>
    </font>
    <font>
      <b/>
      <sz val="12"/>
      <color theme="1"/>
      <name val="Calibri"/>
      <family val="2"/>
      <scheme val="minor"/>
    </font>
    <font>
      <b/>
      <sz val="12"/>
      <name val="Calibri"/>
      <family val="2"/>
      <scheme val="minor"/>
    </font>
    <font>
      <sz val="14"/>
      <color theme="1"/>
      <name val="Calibri"/>
      <family val="2"/>
      <scheme val="minor"/>
    </font>
    <font>
      <sz val="11"/>
      <name val="Calibri"/>
      <family val="2"/>
      <scheme val="minor"/>
    </font>
    <font>
      <b/>
      <sz val="14"/>
      <color theme="1"/>
      <name val="Calibri"/>
      <family val="2"/>
      <scheme val="minor"/>
    </font>
    <font>
      <b/>
      <sz val="9"/>
      <color indexed="81"/>
      <name val="Tahoma"/>
      <family val="2"/>
    </font>
    <font>
      <sz val="11"/>
      <color indexed="8"/>
      <name val="Calibri"/>
      <family val="2"/>
      <scheme val="minor"/>
    </font>
    <font>
      <b/>
      <sz val="11"/>
      <name val="Calibri"/>
      <family val="2"/>
    </font>
    <font>
      <sz val="10"/>
      <color rgb="FF000000"/>
      <name val="Calibri"/>
      <family val="2"/>
      <scheme val="minor"/>
    </font>
    <font>
      <sz val="10"/>
      <color rgb="FF000000"/>
      <name val="Calibri"/>
      <family val="2"/>
    </font>
    <font>
      <sz val="10"/>
      <name val="Calibri"/>
      <family val="2"/>
      <scheme val="minor"/>
    </font>
    <font>
      <sz val="10"/>
      <color theme="1"/>
      <name val="Calibri"/>
      <family val="2"/>
    </font>
    <font>
      <b/>
      <sz val="11"/>
      <color indexed="8"/>
      <name val="Calibri"/>
      <family val="2"/>
      <scheme val="minor"/>
    </font>
    <font>
      <b/>
      <sz val="11"/>
      <color theme="1"/>
      <name val="Calibri"/>
      <family val="2"/>
    </font>
    <font>
      <sz val="11"/>
      <color theme="1"/>
      <name val="Calibri"/>
      <family val="2"/>
    </font>
    <font>
      <sz val="11"/>
      <color rgb="FF212121"/>
      <name val="Calibri"/>
      <family val="2"/>
      <scheme val="minor"/>
    </font>
    <font>
      <sz val="8"/>
      <color theme="1"/>
      <name val="Arial"/>
      <family val="2"/>
    </font>
    <font>
      <sz val="11"/>
      <color rgb="FFFF0000"/>
      <name val="Calibri"/>
      <family val="2"/>
      <scheme val="minor"/>
    </font>
    <font>
      <sz val="11"/>
      <color rgb="FF00B050"/>
      <name val="Calibri"/>
      <family val="2"/>
      <scheme val="minor"/>
    </font>
    <font>
      <sz val="18"/>
      <color theme="1"/>
      <name val="Calibri"/>
      <family val="2"/>
      <scheme val="minor"/>
    </font>
    <font>
      <b/>
      <sz val="14"/>
      <color theme="1"/>
      <name val="Arial"/>
      <family val="2"/>
    </font>
    <font>
      <b/>
      <sz val="18"/>
      <color theme="1"/>
      <name val="Calibri"/>
      <family val="2"/>
      <scheme val="minor"/>
    </font>
    <font>
      <sz val="12"/>
      <color theme="1"/>
      <name val="Arial"/>
      <family val="2"/>
    </font>
    <font>
      <sz val="18"/>
      <color theme="1"/>
      <name val="Arial"/>
      <family val="2"/>
    </font>
    <font>
      <b/>
      <sz val="10"/>
      <color theme="1"/>
      <name val="Arial"/>
      <family val="2"/>
    </font>
    <font>
      <sz val="10"/>
      <color rgb="FF000000"/>
      <name val="Arial"/>
      <family val="2"/>
    </font>
    <font>
      <sz val="10"/>
      <name val="Calibri"/>
      <family val="2"/>
    </font>
    <font>
      <b/>
      <sz val="16"/>
      <color theme="1"/>
      <name val="Calibri"/>
      <family val="2"/>
    </font>
    <font>
      <b/>
      <sz val="9"/>
      <color theme="1"/>
      <name val="Calibri"/>
      <family val="2"/>
    </font>
    <font>
      <sz val="9"/>
      <color theme="1"/>
      <name val="Calibri"/>
      <family val="2"/>
    </font>
    <font>
      <b/>
      <u/>
      <sz val="12"/>
      <color theme="1"/>
      <name val="Calibri"/>
      <family val="2"/>
      <scheme val="minor"/>
    </font>
    <font>
      <b/>
      <sz val="13"/>
      <color theme="1"/>
      <name val="Calibri"/>
      <family val="2"/>
      <scheme val="minor"/>
    </font>
    <font>
      <sz val="12"/>
      <name val="Calibri"/>
      <family val="2"/>
      <scheme val="minor"/>
    </font>
    <font>
      <b/>
      <sz val="11"/>
      <name val="Calibri"/>
      <family val="2"/>
      <scheme val="minor"/>
    </font>
    <font>
      <b/>
      <sz val="14"/>
      <name val="Calibri"/>
      <family val="2"/>
      <scheme val="minor"/>
    </font>
    <font>
      <sz val="8"/>
      <name val="Calibri"/>
      <family val="2"/>
      <scheme val="minor"/>
    </font>
    <font>
      <sz val="6"/>
      <color theme="1"/>
      <name val="Arial"/>
      <family val="2"/>
    </font>
    <font>
      <b/>
      <sz val="10"/>
      <color rgb="FF000000"/>
      <name val="Arial"/>
      <family val="2"/>
    </font>
    <font>
      <sz val="11"/>
      <color rgb="FF404040"/>
      <name val="Calibri"/>
      <family val="2"/>
      <scheme val="minor"/>
    </font>
    <font>
      <sz val="9"/>
      <color indexed="81"/>
      <name val="Tahoma"/>
      <family val="2"/>
    </font>
    <font>
      <sz val="22"/>
      <color theme="1"/>
      <name val="Arial"/>
      <family val="2"/>
    </font>
    <font>
      <b/>
      <sz val="22"/>
      <color theme="1"/>
      <name val="Arial"/>
      <family val="2"/>
    </font>
    <font>
      <b/>
      <sz val="12"/>
      <color rgb="FFFF0000"/>
      <name val="Calibri"/>
      <family val="2"/>
      <scheme val="minor"/>
    </font>
    <font>
      <b/>
      <sz val="13"/>
      <color rgb="FFFF0000"/>
      <name val="Calibri"/>
      <family val="2"/>
      <scheme val="minor"/>
    </font>
    <font>
      <sz val="9"/>
      <color theme="1"/>
      <name val="Calibri"/>
      <family val="2"/>
      <scheme val="minor"/>
    </font>
    <font>
      <sz val="9"/>
      <color rgb="FFFF0000"/>
      <name val="Calibri"/>
      <family val="2"/>
      <scheme val="minor"/>
    </font>
    <font>
      <sz val="14"/>
      <name val="Calibri"/>
      <family val="2"/>
      <scheme val="minor"/>
    </font>
    <font>
      <b/>
      <sz val="14"/>
      <color theme="1"/>
      <name val="Calibri"/>
      <family val="2"/>
    </font>
    <font>
      <sz val="14"/>
      <color theme="1"/>
      <name val="Calibri"/>
      <family val="2"/>
    </font>
    <font>
      <sz val="14"/>
      <color rgb="FF000000"/>
      <name val="Calibri"/>
      <family val="2"/>
    </font>
    <font>
      <sz val="14"/>
      <color rgb="FF000000"/>
      <name val="Calibri"/>
      <family val="2"/>
      <scheme val="minor"/>
    </font>
    <font>
      <b/>
      <u/>
      <sz val="14"/>
      <name val="Calibri"/>
      <family val="2"/>
      <scheme val="minor"/>
    </font>
    <font>
      <b/>
      <i/>
      <sz val="14"/>
      <name val="Calibri"/>
      <family val="2"/>
      <scheme val="minor"/>
    </font>
    <font>
      <sz val="14"/>
      <color rgb="FFFF0000"/>
      <name val="Calibri"/>
      <family val="2"/>
      <scheme val="minor"/>
    </font>
    <font>
      <sz val="14"/>
      <color theme="1"/>
      <name val="Arial"/>
      <family val="2"/>
    </font>
    <font>
      <u/>
      <sz val="14"/>
      <name val="Calibri"/>
      <family val="2"/>
      <scheme val="minor"/>
    </font>
    <font>
      <sz val="14"/>
      <color rgb="FF000000"/>
      <name val="Arial"/>
      <family val="2"/>
    </font>
    <font>
      <b/>
      <sz val="14"/>
      <color rgb="FF000000"/>
      <name val="Arial"/>
      <family val="2"/>
    </font>
    <font>
      <b/>
      <sz val="14"/>
      <color rgb="FF000000"/>
      <name val="Calibri"/>
      <family val="2"/>
      <scheme val="minor"/>
    </font>
    <font>
      <b/>
      <sz val="14"/>
      <name val="Arial"/>
      <family val="2"/>
    </font>
    <font>
      <sz val="14"/>
      <name val="Arial"/>
      <family val="2"/>
    </font>
    <font>
      <b/>
      <i/>
      <sz val="14"/>
      <name val="Arial"/>
      <family val="2"/>
    </font>
    <font>
      <sz val="14"/>
      <name val="Calibri"/>
      <family val="2"/>
    </font>
    <font>
      <b/>
      <sz val="14"/>
      <name val="Calibri"/>
      <family val="2"/>
    </font>
    <font>
      <b/>
      <u/>
      <sz val="14"/>
      <name val="Arial"/>
      <family val="2"/>
    </font>
    <font>
      <b/>
      <u/>
      <sz val="14"/>
      <color theme="1"/>
      <name val="Calibri"/>
      <family val="2"/>
      <scheme val="minor"/>
    </font>
    <font>
      <b/>
      <i/>
      <sz val="14"/>
      <color theme="1"/>
      <name val="Calibri"/>
      <family val="2"/>
      <scheme val="minor"/>
    </font>
    <font>
      <b/>
      <i/>
      <sz val="14"/>
      <color rgb="FF000000"/>
      <name val="Calibri"/>
      <family val="2"/>
    </font>
    <font>
      <sz val="14"/>
      <color rgb="FF242729"/>
      <name val="Consolas"/>
      <family val="3"/>
    </font>
    <font>
      <b/>
      <u/>
      <sz val="14"/>
      <name val="Calibri"/>
      <family val="2"/>
    </font>
    <font>
      <vertAlign val="superscript"/>
      <sz val="14"/>
      <name val="Calibri"/>
      <family val="2"/>
      <scheme val="minor"/>
    </font>
    <font>
      <b/>
      <sz val="13"/>
      <name val="Calibri"/>
      <family val="2"/>
      <scheme val="minor"/>
    </font>
    <font>
      <u/>
      <sz val="14"/>
      <color theme="1"/>
      <name val="Calibri"/>
      <family val="2"/>
      <scheme val="minor"/>
    </font>
    <font>
      <sz val="13"/>
      <color theme="1"/>
      <name val="Calibri"/>
      <family val="2"/>
      <scheme val="minor"/>
    </font>
    <font>
      <b/>
      <sz val="11"/>
      <color rgb="FFFF0000"/>
      <name val="Calibri"/>
      <family val="2"/>
      <scheme val="minor"/>
    </font>
    <font>
      <b/>
      <sz val="16"/>
      <color theme="1"/>
      <name val="Calibri"/>
      <family val="2"/>
      <scheme val="minor"/>
    </font>
    <font>
      <b/>
      <u/>
      <sz val="10"/>
      <color rgb="FF000000"/>
      <name val="Arial"/>
      <family val="2"/>
    </font>
    <font>
      <i/>
      <sz val="14"/>
      <name val="Calibri"/>
      <family val="2"/>
      <scheme val="minor"/>
    </font>
    <font>
      <sz val="14"/>
      <color indexed="8"/>
      <name val="Calibri"/>
      <family val="2"/>
      <scheme val="minor"/>
    </font>
    <font>
      <b/>
      <i/>
      <sz val="14"/>
      <color rgb="FF000000"/>
      <name val="Calibri"/>
      <family val="2"/>
      <scheme val="minor"/>
    </font>
    <font>
      <b/>
      <u/>
      <sz val="14"/>
      <color rgb="FF000000"/>
      <name val="Calibri"/>
      <family val="2"/>
      <scheme val="minor"/>
    </font>
    <font>
      <i/>
      <sz val="14"/>
      <color theme="1"/>
      <name val="Calibri"/>
      <family val="2"/>
      <scheme val="minor"/>
    </font>
    <font>
      <sz val="11"/>
      <color rgb="FF000000"/>
      <name val="Calibri"/>
      <family val="2"/>
      <scheme val="minor"/>
    </font>
  </fonts>
  <fills count="11">
    <fill>
      <patternFill patternType="none"/>
    </fill>
    <fill>
      <patternFill patternType="gray125"/>
    </fill>
    <fill>
      <patternFill patternType="solid">
        <fgColor rgb="FFFF000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solid">
        <fgColor rgb="FFD9D9D9"/>
        <bgColor rgb="FF000000"/>
      </patternFill>
    </fill>
  </fills>
  <borders count="7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thin">
        <color auto="1"/>
      </bottom>
      <diagonal/>
    </border>
    <border>
      <left/>
      <right/>
      <top/>
      <bottom style="medium">
        <color auto="1"/>
      </bottom>
      <diagonal/>
    </border>
    <border>
      <left/>
      <right style="thin">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top style="thin">
        <color auto="1"/>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auto="1"/>
      </left>
      <right style="thin">
        <color auto="1"/>
      </right>
      <top style="thin">
        <color auto="1"/>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bottom/>
      <diagonal/>
    </border>
    <border>
      <left style="thin">
        <color auto="1"/>
      </left>
      <right style="thin">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right style="medium">
        <color indexed="64"/>
      </right>
      <top style="medium">
        <color indexed="64"/>
      </top>
      <bottom style="medium">
        <color indexed="64"/>
      </bottom>
      <diagonal/>
    </border>
    <border>
      <left style="thin">
        <color auto="1"/>
      </left>
      <right style="medium">
        <color auto="1"/>
      </right>
      <top style="medium">
        <color auto="1"/>
      </top>
      <bottom/>
      <diagonal/>
    </border>
    <border>
      <left style="thin">
        <color auto="1"/>
      </left>
      <right/>
      <top style="thin">
        <color auto="1"/>
      </top>
      <bottom style="medium">
        <color indexed="64"/>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medium">
        <color indexed="64"/>
      </left>
      <right style="thin">
        <color auto="1"/>
      </right>
      <top style="medium">
        <color indexed="64"/>
      </top>
      <bottom style="medium">
        <color auto="1"/>
      </bottom>
      <diagonal/>
    </border>
    <border>
      <left style="thin">
        <color auto="1"/>
      </left>
      <right style="thin">
        <color auto="1"/>
      </right>
      <top style="medium">
        <color indexed="64"/>
      </top>
      <bottom style="medium">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medium">
        <color indexed="64"/>
      </right>
      <top style="thin">
        <color indexed="64"/>
      </top>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thin">
        <color auto="1"/>
      </bottom>
      <diagonal/>
    </border>
    <border>
      <left style="thin">
        <color auto="1"/>
      </left>
      <right/>
      <top style="medium">
        <color indexed="64"/>
      </top>
      <bottom style="medium">
        <color auto="1"/>
      </bottom>
      <diagonal/>
    </border>
    <border>
      <left/>
      <right style="medium">
        <color auto="1"/>
      </right>
      <top style="thin">
        <color auto="1"/>
      </top>
      <bottom style="medium">
        <color auto="1"/>
      </bottom>
      <diagonal/>
    </border>
    <border>
      <left style="medium">
        <color auto="1"/>
      </left>
      <right/>
      <top style="thin">
        <color auto="1"/>
      </top>
      <bottom/>
      <diagonal/>
    </border>
    <border>
      <left style="medium">
        <color auto="1"/>
      </left>
      <right style="thin">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auto="1"/>
      </right>
      <top/>
      <bottom style="thin">
        <color auto="1"/>
      </bottom>
      <diagonal/>
    </border>
    <border>
      <left style="thin">
        <color auto="1"/>
      </left>
      <right style="medium">
        <color auto="1"/>
      </right>
      <top style="thin">
        <color auto="1"/>
      </top>
      <bottom/>
      <diagonal/>
    </border>
    <border>
      <left style="thin">
        <color auto="1"/>
      </left>
      <right style="thin">
        <color auto="1"/>
      </right>
      <top/>
      <bottom style="medium">
        <color auto="1"/>
      </bottom>
      <diagonal/>
    </border>
    <border>
      <left style="thin">
        <color auto="1"/>
      </left>
      <right/>
      <top/>
      <bottom style="medium">
        <color auto="1"/>
      </bottom>
      <diagonal/>
    </border>
    <border>
      <left/>
      <right style="thin">
        <color auto="1"/>
      </right>
      <top/>
      <bottom style="medium">
        <color auto="1"/>
      </bottom>
      <diagonal/>
    </border>
    <border>
      <left style="thin">
        <color auto="1"/>
      </left>
      <right style="medium">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medium">
        <color rgb="FFFF0000"/>
      </left>
      <right style="medium">
        <color rgb="FFFF0000"/>
      </right>
      <top style="medium">
        <color rgb="FFFF0000"/>
      </top>
      <bottom style="thin">
        <color rgb="FFFF0000"/>
      </bottom>
      <diagonal/>
    </border>
    <border>
      <left style="medium">
        <color rgb="FFFF0000"/>
      </left>
      <right style="medium">
        <color rgb="FFFF0000"/>
      </right>
      <top style="thin">
        <color rgb="FFFF0000"/>
      </top>
      <bottom style="medium">
        <color rgb="FFFF0000"/>
      </bottom>
      <diagonal/>
    </border>
  </borders>
  <cellStyleXfs count="3">
    <xf numFmtId="0" fontId="0" fillId="0" borderId="0"/>
    <xf numFmtId="0" fontId="2" fillId="0" borderId="0" applyNumberFormat="0" applyFill="0" applyBorder="0" applyAlignment="0" applyProtection="0"/>
    <xf numFmtId="0" fontId="13" fillId="0" borderId="0"/>
  </cellStyleXfs>
  <cellXfs count="873">
    <xf numFmtId="0" fontId="0" fillId="0" borderId="0" xfId="0"/>
    <xf numFmtId="0" fontId="1" fillId="0" borderId="0" xfId="0" applyFont="1"/>
    <xf numFmtId="0" fontId="4" fillId="0" borderId="0" xfId="0" applyFont="1"/>
    <xf numFmtId="0" fontId="6" fillId="0" borderId="0" xfId="0" applyFont="1"/>
    <xf numFmtId="0" fontId="0" fillId="0" borderId="0" xfId="0" applyBorder="1"/>
    <xf numFmtId="0" fontId="0" fillId="0" borderId="0" xfId="0" applyBorder="1" applyAlignment="1">
      <alignment vertical="center"/>
    </xf>
    <xf numFmtId="0" fontId="0" fillId="0" borderId="0" xfId="0" applyAlignment="1"/>
    <xf numFmtId="0" fontId="2" fillId="0" borderId="0" xfId="1"/>
    <xf numFmtId="0" fontId="14" fillId="0" borderId="0" xfId="2" applyFont="1"/>
    <xf numFmtId="0" fontId="13" fillId="0" borderId="0" xfId="2"/>
    <xf numFmtId="0" fontId="13" fillId="0" borderId="0" xfId="2" applyAlignment="1">
      <alignment vertical="top" wrapText="1"/>
    </xf>
    <xf numFmtId="0" fontId="13" fillId="0" borderId="0" xfId="2" applyFill="1" applyAlignment="1">
      <alignment vertical="top" wrapText="1"/>
    </xf>
    <xf numFmtId="0" fontId="13" fillId="0" borderId="0" xfId="2" applyFill="1" applyBorder="1" applyAlignment="1">
      <alignment vertical="top" wrapText="1"/>
    </xf>
    <xf numFmtId="0" fontId="13" fillId="0" borderId="0" xfId="2" applyFill="1"/>
    <xf numFmtId="0" fontId="13" fillId="0" borderId="0" xfId="2" applyBorder="1" applyAlignment="1">
      <alignment vertical="top" wrapText="1"/>
    </xf>
    <xf numFmtId="0" fontId="5" fillId="0" borderId="0" xfId="0" applyFont="1" applyAlignment="1">
      <alignment horizontal="left" vertical="top" wrapText="1"/>
    </xf>
    <xf numFmtId="0" fontId="5" fillId="0" borderId="1" xfId="0" applyFont="1" applyBorder="1" applyAlignment="1">
      <alignment horizontal="left" vertical="top" wrapText="1"/>
    </xf>
    <xf numFmtId="0" fontId="5" fillId="2" borderId="1" xfId="0" applyFont="1" applyFill="1" applyBorder="1" applyAlignment="1">
      <alignment horizontal="left" vertical="top" wrapText="1"/>
    </xf>
    <xf numFmtId="0" fontId="5" fillId="0" borderId="0" xfId="0" applyFont="1" applyBorder="1" applyAlignment="1">
      <alignment horizontal="left" vertical="top" wrapText="1"/>
    </xf>
    <xf numFmtId="0" fontId="5" fillId="4"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vertical="center" wrapText="1"/>
    </xf>
    <xf numFmtId="0" fontId="5" fillId="0" borderId="0" xfId="0" applyFont="1" applyAlignment="1">
      <alignment wrapText="1"/>
    </xf>
    <xf numFmtId="0" fontId="19" fillId="0" borderId="0" xfId="2" applyFont="1"/>
    <xf numFmtId="0" fontId="0" fillId="0" borderId="0" xfId="0" applyFill="1" applyBorder="1"/>
    <xf numFmtId="0" fontId="22" fillId="0" borderId="0" xfId="0" applyFont="1" applyAlignment="1">
      <alignment vertical="center"/>
    </xf>
    <xf numFmtId="49" fontId="0" fillId="0" borderId="0" xfId="0" applyNumberFormat="1"/>
    <xf numFmtId="0" fontId="13" fillId="0" borderId="0" xfId="2" applyBorder="1"/>
    <xf numFmtId="0" fontId="13" fillId="0" borderId="0" xfId="2" applyFill="1" applyBorder="1"/>
    <xf numFmtId="0" fontId="13" fillId="0" borderId="1" xfId="2" applyBorder="1"/>
    <xf numFmtId="0" fontId="5" fillId="3" borderId="0" xfId="0" applyFont="1" applyFill="1" applyBorder="1" applyAlignment="1">
      <alignment vertical="center" wrapText="1"/>
    </xf>
    <xf numFmtId="0" fontId="5" fillId="0" borderId="25" xfId="0" applyFont="1" applyBorder="1" applyAlignment="1">
      <alignment horizontal="left" vertical="top" wrapText="1"/>
    </xf>
    <xf numFmtId="0" fontId="5" fillId="0" borderId="1" xfId="0" applyFont="1" applyFill="1" applyBorder="1" applyAlignment="1">
      <alignment horizontal="left" vertical="top" wrapText="1"/>
    </xf>
    <xf numFmtId="0" fontId="13" fillId="0" borderId="25" xfId="2" applyBorder="1"/>
    <xf numFmtId="0" fontId="5" fillId="4" borderId="0" xfId="0" applyFont="1" applyFill="1" applyBorder="1" applyAlignment="1">
      <alignment horizontal="left" vertical="top" wrapText="1"/>
    </xf>
    <xf numFmtId="0" fontId="5" fillId="2" borderId="0" xfId="0" applyFont="1" applyFill="1" applyBorder="1" applyAlignment="1">
      <alignment horizontal="left" vertical="top" wrapText="1"/>
    </xf>
    <xf numFmtId="0" fontId="13" fillId="0" borderId="1" xfId="2" applyFill="1" applyBorder="1"/>
    <xf numFmtId="0" fontId="15" fillId="0" borderId="1" xfId="0" applyFont="1" applyBorder="1" applyAlignment="1">
      <alignment horizontal="left" vertical="top" wrapText="1"/>
    </xf>
    <xf numFmtId="0" fontId="13" fillId="0" borderId="20" xfId="2" applyBorder="1"/>
    <xf numFmtId="0" fontId="16" fillId="0" borderId="1" xfId="0" applyFont="1" applyBorder="1" applyAlignment="1">
      <alignment horizontal="left" vertical="top" wrapText="1"/>
    </xf>
    <xf numFmtId="0" fontId="21" fillId="0" borderId="1" xfId="0" applyFont="1" applyBorder="1" applyAlignment="1">
      <alignment horizontal="left" vertical="center" wrapText="1"/>
    </xf>
    <xf numFmtId="0" fontId="0" fillId="0" borderId="0" xfId="0" applyAlignment="1">
      <alignment horizontal="center"/>
    </xf>
    <xf numFmtId="0" fontId="23" fillId="0" borderId="1" xfId="0" applyFont="1" applyBorder="1" applyAlignment="1">
      <alignment vertical="center" wrapText="1"/>
    </xf>
    <xf numFmtId="0" fontId="0" fillId="0" borderId="1" xfId="0" applyBorder="1" applyAlignment="1">
      <alignment horizontal="center" vertical="center"/>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xf>
    <xf numFmtId="49" fontId="0" fillId="0" borderId="0" xfId="0" applyNumberFormat="1" applyBorder="1" applyAlignment="1">
      <alignment horizontal="left"/>
    </xf>
    <xf numFmtId="0" fontId="21" fillId="0" borderId="1" xfId="0" applyFont="1" applyBorder="1" applyAlignment="1">
      <alignment horizontal="center" vertical="center" wrapText="1"/>
    </xf>
    <xf numFmtId="49" fontId="0" fillId="0" borderId="0" xfId="0" applyNumberFormat="1" applyFill="1" applyBorder="1" applyAlignment="1">
      <alignment horizontal="left"/>
    </xf>
    <xf numFmtId="0" fontId="25" fillId="0" borderId="0" xfId="0" applyFont="1"/>
    <xf numFmtId="0" fontId="0" fillId="0" borderId="26" xfId="0" applyBorder="1" applyAlignment="1">
      <alignment horizontal="center"/>
    </xf>
    <xf numFmtId="0" fontId="0" fillId="0" borderId="28" xfId="0" applyBorder="1" applyAlignment="1">
      <alignment horizontal="center"/>
    </xf>
    <xf numFmtId="0" fontId="0" fillId="0" borderId="23" xfId="0" applyBorder="1" applyAlignment="1">
      <alignment horizontal="center"/>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25" fillId="0" borderId="0" xfId="0" quotePrefix="1" applyFont="1"/>
    <xf numFmtId="0" fontId="0" fillId="0" borderId="0" xfId="0" applyBorder="1" applyAlignment="1">
      <alignment horizontal="center"/>
    </xf>
    <xf numFmtId="0" fontId="26" fillId="0" borderId="0" xfId="0" applyFont="1"/>
    <xf numFmtId="0" fontId="0" fillId="0" borderId="1" xfId="0" applyBorder="1"/>
    <xf numFmtId="0" fontId="0" fillId="0" borderId="1" xfId="0" applyFill="1" applyBorder="1" applyAlignment="1">
      <alignment horizontal="left"/>
    </xf>
    <xf numFmtId="0" fontId="0" fillId="0" borderId="1" xfId="0" applyBorder="1" applyAlignment="1">
      <alignment horizontal="center" vertical="center" wrapText="1"/>
    </xf>
    <xf numFmtId="0" fontId="4" fillId="0" borderId="1" xfId="0" applyFont="1" applyBorder="1" applyAlignment="1">
      <alignment vertical="center" wrapText="1"/>
    </xf>
    <xf numFmtId="1" fontId="0" fillId="0" borderId="0" xfId="0" applyNumberFormat="1"/>
    <xf numFmtId="0" fontId="0" fillId="0" borderId="27" xfId="0" applyBorder="1" applyAlignment="1">
      <alignment horizontal="center" vertical="center"/>
    </xf>
    <xf numFmtId="0" fontId="0" fillId="0" borderId="29" xfId="0" applyBorder="1" applyAlignment="1">
      <alignment horizontal="center" vertical="center"/>
    </xf>
    <xf numFmtId="0" fontId="0" fillId="0" borderId="22" xfId="0" applyBorder="1" applyAlignment="1">
      <alignment horizontal="center" vertical="center"/>
    </xf>
    <xf numFmtId="0" fontId="0" fillId="0" borderId="0" xfId="0" applyBorder="1" applyAlignment="1">
      <alignment horizontal="center" vertical="center"/>
    </xf>
    <xf numFmtId="0" fontId="0" fillId="0" borderId="24" xfId="0" applyBorder="1" applyAlignment="1">
      <alignment horizontal="center" vertical="center"/>
    </xf>
    <xf numFmtId="0" fontId="0" fillId="0" borderId="21" xfId="0" applyBorder="1" applyAlignment="1">
      <alignment horizontal="center" vertical="center"/>
    </xf>
    <xf numFmtId="0" fontId="0" fillId="0" borderId="0" xfId="0" applyAlignment="1">
      <alignment horizontal="center" vertical="center"/>
    </xf>
    <xf numFmtId="0" fontId="25" fillId="0" borderId="0" xfId="0" applyFont="1" applyBorder="1"/>
    <xf numFmtId="1" fontId="0" fillId="0" borderId="0" xfId="0" applyNumberFormat="1" applyBorder="1"/>
    <xf numFmtId="1" fontId="0" fillId="0" borderId="0" xfId="0" applyNumberFormat="1" applyAlignment="1">
      <alignment horizontal="left" vertical="center"/>
    </xf>
    <xf numFmtId="0" fontId="0" fillId="0" borderId="0" xfId="0" applyAlignment="1">
      <alignment horizontal="left" vertical="center"/>
    </xf>
    <xf numFmtId="1" fontId="0" fillId="0" borderId="0" xfId="0" applyNumberFormat="1" applyBorder="1" applyAlignment="1">
      <alignment horizontal="left" vertical="center"/>
    </xf>
    <xf numFmtId="0" fontId="6" fillId="0" borderId="0" xfId="0" applyFont="1" applyAlignment="1">
      <alignment vertical="center"/>
    </xf>
    <xf numFmtId="0" fontId="0" fillId="0" borderId="31" xfId="0" applyBorder="1"/>
    <xf numFmtId="0" fontId="0" fillId="0" borderId="0" xfId="0" applyProtection="1"/>
    <xf numFmtId="0" fontId="0" fillId="0" borderId="0" xfId="0" applyAlignment="1">
      <alignment horizontal="center"/>
    </xf>
    <xf numFmtId="20" fontId="0" fillId="0" borderId="27" xfId="0" applyNumberFormat="1" applyBorder="1" applyAlignment="1">
      <alignment horizontal="center" vertical="center"/>
    </xf>
    <xf numFmtId="0" fontId="0" fillId="0" borderId="27" xfId="0" applyBorder="1" applyAlignment="1">
      <alignment horizontal="center"/>
    </xf>
    <xf numFmtId="0" fontId="0" fillId="0" borderId="29" xfId="0" applyBorder="1" applyAlignment="1">
      <alignment horizontal="center"/>
    </xf>
    <xf numFmtId="0" fontId="0" fillId="0" borderId="22" xfId="0" applyBorder="1" applyAlignment="1">
      <alignment horizontal="center"/>
    </xf>
    <xf numFmtId="0" fontId="26" fillId="0" borderId="1" xfId="0" applyFont="1" applyBorder="1"/>
    <xf numFmtId="0" fontId="28" fillId="0" borderId="1" xfId="0" applyFont="1" applyBorder="1" applyAlignment="1" applyProtection="1">
      <alignment horizontal="center" vertical="center" wrapText="1"/>
      <protection locked="0"/>
    </xf>
    <xf numFmtId="0" fontId="0" fillId="0" borderId="0" xfId="0" applyAlignment="1">
      <alignment horizontal="center"/>
    </xf>
    <xf numFmtId="0" fontId="29" fillId="0" borderId="0" xfId="0" applyFont="1"/>
    <xf numFmtId="0" fontId="29" fillId="0" borderId="0" xfId="0" applyFont="1" applyAlignment="1">
      <alignment vertical="center"/>
    </xf>
    <xf numFmtId="0" fontId="0" fillId="0" borderId="1" xfId="0" applyBorder="1" applyAlignment="1">
      <alignment vertical="center" wrapText="1"/>
    </xf>
    <xf numFmtId="0" fontId="11" fillId="0" borderId="0" xfId="0" applyFont="1" applyAlignment="1" applyProtection="1">
      <alignment wrapText="1"/>
      <protection locked="0"/>
    </xf>
    <xf numFmtId="0" fontId="3" fillId="0" borderId="1" xfId="0" applyFont="1" applyBorder="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wrapText="1"/>
      <protection locked="0"/>
    </xf>
    <xf numFmtId="0" fontId="3" fillId="0" borderId="1" xfId="0" applyFont="1" applyBorder="1" applyAlignment="1">
      <alignment vertical="center" wrapText="1"/>
    </xf>
    <xf numFmtId="0" fontId="10" fillId="0" borderId="0" xfId="2" applyFont="1" applyFill="1" applyBorder="1"/>
    <xf numFmtId="0" fontId="10" fillId="0" borderId="0" xfId="2" applyFont="1" applyFill="1"/>
    <xf numFmtId="0" fontId="17" fillId="0" borderId="0" xfId="0" applyFont="1" applyFill="1" applyBorder="1" applyAlignment="1">
      <alignment horizontal="left" vertical="top" wrapText="1"/>
    </xf>
    <xf numFmtId="0" fontId="33" fillId="0" borderId="0" xfId="0" applyFont="1" applyFill="1" applyBorder="1" applyAlignment="1">
      <alignment horizontal="left" vertical="top" wrapText="1"/>
    </xf>
    <xf numFmtId="0" fontId="20" fillId="0" borderId="1" xfId="0" applyFont="1" applyBorder="1" applyAlignment="1">
      <alignment vertical="center"/>
    </xf>
    <xf numFmtId="0" fontId="35" fillId="0" borderId="1" xfId="0" applyFont="1" applyBorder="1" applyAlignment="1">
      <alignment vertical="center"/>
    </xf>
    <xf numFmtId="0" fontId="36" fillId="0" borderId="1" xfId="0" applyFont="1" applyBorder="1" applyAlignment="1">
      <alignment vertical="center"/>
    </xf>
    <xf numFmtId="0" fontId="26" fillId="0" borderId="1" xfId="0" applyFont="1" applyBorder="1" applyAlignment="1">
      <alignment vertical="center" wrapText="1"/>
    </xf>
    <xf numFmtId="0" fontId="26" fillId="0" borderId="1" xfId="0" applyFont="1" applyBorder="1" applyAlignment="1">
      <alignment wrapText="1"/>
    </xf>
    <xf numFmtId="0" fontId="0" fillId="0" borderId="0" xfId="0" quotePrefix="1"/>
    <xf numFmtId="0" fontId="0" fillId="0" borderId="0" xfId="0" applyNumberFormat="1"/>
    <xf numFmtId="0" fontId="0" fillId="0" borderId="0" xfId="0" applyAlignment="1">
      <alignment horizontal="left" wrapText="1"/>
    </xf>
    <xf numFmtId="0" fontId="13" fillId="0" borderId="0" xfId="2" applyAlignment="1">
      <alignment horizontal="left" wrapText="1"/>
    </xf>
    <xf numFmtId="0" fontId="13" fillId="0" borderId="0" xfId="2" applyFill="1" applyAlignment="1">
      <alignment wrapText="1"/>
    </xf>
    <xf numFmtId="0" fontId="6" fillId="0" borderId="8" xfId="0" applyFont="1" applyBorder="1" applyAlignment="1">
      <alignment horizontal="center" vertical="center"/>
    </xf>
    <xf numFmtId="0" fontId="29" fillId="0" borderId="8" xfId="0" applyFont="1" applyBorder="1" applyAlignment="1">
      <alignment horizontal="center"/>
    </xf>
    <xf numFmtId="0" fontId="29" fillId="0" borderId="11" xfId="0" applyFont="1" applyBorder="1" applyAlignment="1">
      <alignment horizontal="center"/>
    </xf>
    <xf numFmtId="0" fontId="6" fillId="0" borderId="11" xfId="0" applyFont="1" applyBorder="1" applyAlignment="1">
      <alignment horizontal="center" vertical="center"/>
    </xf>
    <xf numFmtId="0" fontId="31" fillId="0" borderId="1" xfId="0" applyFont="1" applyBorder="1" applyAlignment="1">
      <alignment horizontal="center" vertical="center"/>
    </xf>
    <xf numFmtId="15" fontId="0" fillId="0" borderId="0" xfId="0" applyNumberFormat="1" applyAlignment="1">
      <alignment horizontal="left"/>
    </xf>
    <xf numFmtId="0" fontId="11" fillId="0" borderId="0" xfId="0" applyFont="1" applyAlignment="1">
      <alignment vertical="center"/>
    </xf>
    <xf numFmtId="0" fontId="29" fillId="0" borderId="28" xfId="0" applyFont="1" applyBorder="1" applyAlignment="1">
      <alignment vertical="center"/>
    </xf>
    <xf numFmtId="0" fontId="0" fillId="0" borderId="29" xfId="0" applyBorder="1" applyAlignment="1">
      <alignment horizontal="right"/>
    </xf>
    <xf numFmtId="0" fontId="43" fillId="0" borderId="28" xfId="0" applyFont="1" applyBorder="1" applyAlignment="1">
      <alignment vertical="center"/>
    </xf>
    <xf numFmtId="0" fontId="0" fillId="0" borderId="29" xfId="0" applyBorder="1"/>
    <xf numFmtId="0" fontId="29" fillId="0" borderId="1" xfId="0" applyFont="1" applyBorder="1" applyAlignment="1">
      <alignment horizontal="center" vertical="center" wrapText="1"/>
    </xf>
    <xf numFmtId="0" fontId="0" fillId="0" borderId="0" xfId="0" applyFill="1"/>
    <xf numFmtId="0" fontId="0" fillId="0" borderId="0" xfId="0" applyNumberFormat="1" applyAlignment="1"/>
    <xf numFmtId="0" fontId="43" fillId="0" borderId="28" xfId="0" applyFont="1" applyFill="1" applyBorder="1" applyAlignment="1">
      <alignment vertical="center"/>
    </xf>
    <xf numFmtId="0" fontId="11" fillId="0" borderId="0" xfId="0" applyFont="1" applyFill="1" applyAlignment="1">
      <alignment vertical="center"/>
    </xf>
    <xf numFmtId="0" fontId="0" fillId="0" borderId="29" xfId="0" applyFill="1" applyBorder="1"/>
    <xf numFmtId="0" fontId="44" fillId="0" borderId="1" xfId="0" applyFont="1" applyFill="1" applyBorder="1" applyAlignment="1">
      <alignment horizontal="center" vertical="center" wrapText="1"/>
    </xf>
    <xf numFmtId="0" fontId="0" fillId="0" borderId="1" xfId="0" applyFill="1" applyBorder="1" applyAlignment="1">
      <alignment horizontal="center" vertical="center"/>
    </xf>
    <xf numFmtId="0" fontId="29" fillId="0" borderId="1" xfId="0" applyFont="1" applyFill="1" applyBorder="1" applyAlignment="1">
      <alignment horizontal="center" vertical="center" wrapText="1"/>
    </xf>
    <xf numFmtId="0" fontId="0" fillId="0" borderId="36" xfId="0" applyBorder="1"/>
    <xf numFmtId="0" fontId="5" fillId="0" borderId="28" xfId="0" applyFont="1" applyBorder="1" applyAlignment="1" applyProtection="1">
      <alignment vertical="center" wrapText="1"/>
      <protection locked="0"/>
    </xf>
    <xf numFmtId="0" fontId="24" fillId="0" borderId="0" xfId="0" applyFont="1" applyAlignment="1">
      <alignment horizontal="left"/>
    </xf>
    <xf numFmtId="0" fontId="10" fillId="0" borderId="0" xfId="0" applyFont="1" applyBorder="1" applyAlignment="1">
      <alignment horizontal="left"/>
    </xf>
    <xf numFmtId="0" fontId="0" fillId="0" borderId="0" xfId="0" applyFont="1"/>
    <xf numFmtId="0" fontId="6" fillId="0" borderId="0" xfId="0" applyFont="1" applyBorder="1"/>
    <xf numFmtId="0" fontId="7" fillId="0" borderId="0" xfId="0" applyFont="1" applyBorder="1" applyAlignment="1">
      <alignment vertical="center" wrapText="1"/>
    </xf>
    <xf numFmtId="0" fontId="37" fillId="0" borderId="0" xfId="0" applyFont="1" applyBorder="1" applyAlignment="1">
      <alignment vertical="center" wrapText="1"/>
    </xf>
    <xf numFmtId="0" fontId="2" fillId="0" borderId="0" xfId="1" applyFont="1"/>
    <xf numFmtId="0" fontId="45" fillId="0" borderId="0" xfId="0" applyFont="1"/>
    <xf numFmtId="0" fontId="0" fillId="0" borderId="1" xfId="0" applyBorder="1" applyAlignment="1">
      <alignment horizontal="left"/>
    </xf>
    <xf numFmtId="49" fontId="0" fillId="0" borderId="1" xfId="0" applyNumberFormat="1" applyFill="1" applyBorder="1" applyAlignment="1">
      <alignment horizontal="left"/>
    </xf>
    <xf numFmtId="49" fontId="0" fillId="0" borderId="1" xfId="0" applyNumberFormat="1" applyBorder="1" applyAlignment="1">
      <alignment horizontal="left"/>
    </xf>
    <xf numFmtId="0" fontId="0" fillId="0" borderId="1" xfId="0" applyFill="1" applyBorder="1"/>
    <xf numFmtId="0" fontId="0" fillId="0" borderId="14" xfId="0" applyBorder="1" applyAlignment="1">
      <alignment horizontal="center" vertical="center"/>
    </xf>
    <xf numFmtId="0" fontId="0" fillId="0" borderId="14" xfId="0" applyFill="1" applyBorder="1" applyAlignment="1">
      <alignment horizontal="left"/>
    </xf>
    <xf numFmtId="0" fontId="48" fillId="0" borderId="1" xfId="0" applyFont="1" applyBorder="1" applyAlignment="1">
      <alignment horizontal="center" vertical="center" wrapText="1"/>
    </xf>
    <xf numFmtId="0" fontId="30" fillId="0" borderId="1" xfId="0" applyFont="1" applyBorder="1" applyAlignment="1">
      <alignment vertical="center" wrapText="1"/>
    </xf>
    <xf numFmtId="0" fontId="39" fillId="0" borderId="0" xfId="0" applyFont="1"/>
    <xf numFmtId="0" fontId="10" fillId="0" borderId="0" xfId="0" applyFont="1"/>
    <xf numFmtId="0" fontId="40" fillId="0" borderId="0" xfId="0" applyFont="1" applyBorder="1" applyAlignment="1">
      <alignment vertical="center" wrapText="1"/>
    </xf>
    <xf numFmtId="0" fontId="14" fillId="0" borderId="0" xfId="0" applyFont="1" applyBorder="1" applyAlignment="1">
      <alignment vertical="center" wrapText="1"/>
    </xf>
    <xf numFmtId="0" fontId="0" fillId="0" borderId="0" xfId="0" applyAlignment="1">
      <alignment vertical="center"/>
    </xf>
    <xf numFmtId="0" fontId="0" fillId="0" borderId="36" xfId="0" applyBorder="1" applyAlignment="1">
      <alignment horizontal="left"/>
    </xf>
    <xf numFmtId="0" fontId="10" fillId="0" borderId="36" xfId="0" applyFont="1" applyBorder="1" applyAlignment="1">
      <alignment horizontal="left"/>
    </xf>
    <xf numFmtId="0" fontId="0" fillId="0" borderId="36" xfId="0" applyFill="1" applyBorder="1" applyAlignment="1">
      <alignment horizontal="left"/>
    </xf>
    <xf numFmtId="0" fontId="13" fillId="0" borderId="30" xfId="2" applyBorder="1"/>
    <xf numFmtId="0" fontId="5" fillId="2" borderId="30" xfId="0" applyFont="1" applyFill="1" applyBorder="1" applyAlignment="1">
      <alignment horizontal="left" vertical="top" wrapText="1"/>
    </xf>
    <xf numFmtId="0" fontId="1" fillId="0" borderId="20" xfId="0" applyFont="1" applyBorder="1" applyAlignment="1">
      <alignment wrapText="1"/>
    </xf>
    <xf numFmtId="0" fontId="1" fillId="0" borderId="20" xfId="0" applyFont="1" applyBorder="1" applyAlignment="1">
      <alignment vertical="center" wrapText="1"/>
    </xf>
    <xf numFmtId="0" fontId="5" fillId="0" borderId="20" xfId="0" applyFont="1" applyBorder="1" applyAlignment="1">
      <alignment horizontal="left" vertical="top" wrapText="1"/>
    </xf>
    <xf numFmtId="0" fontId="5" fillId="4" borderId="37" xfId="0" applyFont="1" applyFill="1" applyBorder="1" applyAlignment="1">
      <alignment horizontal="left" vertical="top" wrapText="1"/>
    </xf>
    <xf numFmtId="0" fontId="0" fillId="0" borderId="0" xfId="0" applyFont="1" applyAlignment="1">
      <alignment vertical="center"/>
    </xf>
    <xf numFmtId="0" fontId="0" fillId="0" borderId="0" xfId="0" applyFont="1" applyBorder="1"/>
    <xf numFmtId="0" fontId="0" fillId="0" borderId="0" xfId="0" applyFont="1" applyFill="1" applyBorder="1"/>
    <xf numFmtId="0" fontId="44" fillId="8" borderId="1" xfId="0" applyFont="1" applyFill="1" applyBorder="1" applyAlignment="1">
      <alignment horizontal="center" vertical="center" wrapText="1"/>
    </xf>
    <xf numFmtId="0" fontId="28" fillId="8" borderId="1" xfId="0" applyFont="1" applyFill="1" applyBorder="1" applyAlignment="1">
      <alignment vertical="center" wrapText="1"/>
    </xf>
    <xf numFmtId="0" fontId="28" fillId="8" borderId="1" xfId="0" applyFont="1" applyFill="1" applyBorder="1" applyAlignment="1">
      <alignment horizontal="center" vertical="center" wrapText="1"/>
    </xf>
    <xf numFmtId="0" fontId="20" fillId="8" borderId="1" xfId="0" applyFont="1" applyFill="1" applyBorder="1" applyAlignment="1">
      <alignment vertical="center"/>
    </xf>
    <xf numFmtId="0" fontId="20" fillId="8" borderId="1" xfId="0" applyFont="1" applyFill="1" applyBorder="1" applyAlignment="1">
      <alignment horizontal="center" vertical="center"/>
    </xf>
    <xf numFmtId="0" fontId="28" fillId="8" borderId="1" xfId="0" applyFont="1" applyFill="1" applyBorder="1" applyAlignment="1" applyProtection="1">
      <alignment horizontal="center" vertical="center" wrapText="1"/>
      <protection locked="0"/>
    </xf>
    <xf numFmtId="0" fontId="11" fillId="0" borderId="21" xfId="0" applyFont="1" applyBorder="1" applyAlignment="1">
      <alignment vertical="center"/>
    </xf>
    <xf numFmtId="0" fontId="9" fillId="0" borderId="0" xfId="0" applyFont="1" applyAlignment="1">
      <alignment vertical="center"/>
    </xf>
    <xf numFmtId="0" fontId="9" fillId="0" borderId="1" xfId="0" applyFont="1" applyBorder="1" applyAlignment="1" applyProtection="1">
      <alignment horizontal="center" vertical="center"/>
      <protection locked="0"/>
    </xf>
    <xf numFmtId="0" fontId="9" fillId="0" borderId="1" xfId="0" applyFont="1" applyBorder="1" applyAlignment="1">
      <alignment vertical="center" wrapText="1"/>
    </xf>
    <xf numFmtId="0" fontId="11" fillId="0" borderId="1" xfId="0" applyFont="1" applyBorder="1" applyAlignment="1">
      <alignment vertical="center" wrapText="1"/>
    </xf>
    <xf numFmtId="0" fontId="9" fillId="0" borderId="1" xfId="0" applyFont="1" applyBorder="1" applyAlignment="1">
      <alignment vertical="center"/>
    </xf>
    <xf numFmtId="0" fontId="11" fillId="0" borderId="1" xfId="0" applyFont="1" applyBorder="1" applyAlignment="1" applyProtection="1">
      <alignment horizontal="center" vertical="center" wrapText="1"/>
      <protection locked="0"/>
    </xf>
    <xf numFmtId="0" fontId="9" fillId="0" borderId="14" xfId="0" applyFont="1" applyBorder="1" applyAlignment="1" applyProtection="1">
      <alignment horizontal="center" vertical="center"/>
      <protection locked="0"/>
    </xf>
    <xf numFmtId="0" fontId="9" fillId="0" borderId="2" xfId="0" applyFont="1" applyBorder="1" applyAlignment="1" applyProtection="1">
      <alignment horizontal="center" vertical="center" wrapText="1"/>
      <protection locked="0"/>
    </xf>
    <xf numFmtId="0" fontId="9" fillId="0" borderId="14" xfId="0" applyFont="1" applyFill="1" applyBorder="1" applyAlignment="1" applyProtection="1">
      <alignment horizontal="center" vertical="center" wrapText="1"/>
      <protection locked="0"/>
    </xf>
    <xf numFmtId="0" fontId="9" fillId="0" borderId="20" xfId="0" applyFont="1" applyBorder="1" applyAlignment="1">
      <alignment vertical="center" wrapText="1"/>
    </xf>
    <xf numFmtId="0" fontId="53" fillId="0" borderId="1" xfId="0" applyFont="1" applyBorder="1" applyAlignment="1" applyProtection="1">
      <alignment horizontal="center" vertical="center" wrapText="1"/>
      <protection locked="0"/>
    </xf>
    <xf numFmtId="0" fontId="53" fillId="0" borderId="1" xfId="0" applyFont="1" applyBorder="1" applyAlignment="1">
      <alignment horizontal="left" vertical="center" wrapText="1"/>
    </xf>
    <xf numFmtId="0" fontId="9" fillId="0" borderId="0" xfId="0" applyFont="1"/>
    <xf numFmtId="0" fontId="53" fillId="0" borderId="1" xfId="0" applyFont="1" applyBorder="1" applyAlignment="1">
      <alignment vertical="center" wrapText="1"/>
    </xf>
    <xf numFmtId="0" fontId="41" fillId="0" borderId="1" xfId="0" applyFont="1" applyBorder="1" applyAlignment="1">
      <alignment vertical="center" wrapText="1"/>
    </xf>
    <xf numFmtId="0" fontId="54" fillId="0" borderId="1" xfId="0" applyFont="1" applyBorder="1" applyAlignment="1">
      <alignment horizontal="left" vertical="center" wrapText="1"/>
    </xf>
    <xf numFmtId="0" fontId="9" fillId="0" borderId="1" xfId="0" applyFont="1" applyBorder="1" applyAlignment="1" applyProtection="1">
      <alignment vertical="center" wrapText="1"/>
      <protection locked="0"/>
    </xf>
    <xf numFmtId="0" fontId="55" fillId="0" borderId="1" xfId="0" applyFont="1" applyBorder="1" applyAlignment="1">
      <alignment vertical="center" wrapText="1"/>
    </xf>
    <xf numFmtId="0" fontId="55" fillId="0" borderId="1" xfId="0" applyFont="1" applyBorder="1" applyAlignment="1">
      <alignment horizontal="left" vertical="center" wrapText="1"/>
    </xf>
    <xf numFmtId="0" fontId="9" fillId="0" borderId="0" xfId="0" applyFont="1" applyAlignment="1" applyProtection="1">
      <alignment horizontal="center" vertical="center"/>
      <protection locked="0"/>
    </xf>
    <xf numFmtId="0" fontId="53" fillId="0" borderId="1" xfId="0" applyFont="1" applyBorder="1" applyAlignment="1" applyProtection="1">
      <alignment vertical="center" wrapText="1"/>
      <protection locked="0"/>
    </xf>
    <xf numFmtId="0" fontId="9" fillId="0" borderId="1" xfId="0" applyFont="1" applyBorder="1" applyAlignment="1">
      <alignment horizontal="left" vertical="center" wrapText="1"/>
    </xf>
    <xf numFmtId="0" fontId="57" fillId="0" borderId="1" xfId="0" applyFont="1" applyBorder="1" applyAlignment="1">
      <alignment horizontal="left" vertical="center" wrapText="1"/>
    </xf>
    <xf numFmtId="0" fontId="53" fillId="0" borderId="1" xfId="0" applyFont="1" applyBorder="1" applyAlignment="1">
      <alignment wrapText="1"/>
    </xf>
    <xf numFmtId="0" fontId="53" fillId="0" borderId="1" xfId="0" applyFont="1" applyBorder="1"/>
    <xf numFmtId="0" fontId="9" fillId="0" borderId="1" xfId="0" applyFont="1" applyBorder="1"/>
    <xf numFmtId="0" fontId="9" fillId="0" borderId="1" xfId="0" applyFont="1" applyBorder="1" applyAlignment="1">
      <alignment wrapText="1"/>
    </xf>
    <xf numFmtId="0" fontId="53" fillId="0" borderId="1" xfId="0" applyFont="1" applyBorder="1" applyAlignment="1" applyProtection="1">
      <alignment horizontal="center" vertical="center"/>
      <protection locked="0"/>
    </xf>
    <xf numFmtId="0" fontId="53" fillId="0" borderId="2" xfId="0" applyFont="1" applyBorder="1" applyAlignment="1" applyProtection="1">
      <alignment horizontal="center" vertical="center" wrapText="1"/>
      <protection locked="0"/>
    </xf>
    <xf numFmtId="0" fontId="41" fillId="0" borderId="1" xfId="0" applyFont="1" applyBorder="1" applyAlignment="1">
      <alignment horizontal="left" vertical="center" wrapText="1"/>
    </xf>
    <xf numFmtId="0" fontId="41" fillId="0" borderId="0" xfId="0" applyFont="1" applyAlignment="1">
      <alignment vertical="center" wrapText="1"/>
    </xf>
    <xf numFmtId="0" fontId="58" fillId="0" borderId="1" xfId="0" applyFont="1" applyBorder="1" applyAlignment="1">
      <alignment vertical="center" wrapText="1"/>
    </xf>
    <xf numFmtId="0" fontId="53" fillId="0" borderId="0" xfId="0" applyFont="1" applyAlignment="1">
      <alignment vertical="center" wrapText="1"/>
    </xf>
    <xf numFmtId="0" fontId="41" fillId="0" borderId="1" xfId="0" applyFont="1" applyBorder="1" applyAlignment="1" applyProtection="1">
      <alignment horizontal="center" vertical="center" wrapText="1"/>
      <protection locked="0"/>
    </xf>
    <xf numFmtId="0" fontId="41" fillId="0" borderId="30" xfId="0" applyFont="1" applyBorder="1" applyAlignment="1">
      <alignment vertical="center" wrapText="1"/>
    </xf>
    <xf numFmtId="0" fontId="53" fillId="0" borderId="20" xfId="0" applyFont="1" applyBorder="1" applyAlignment="1">
      <alignment vertical="center" wrapText="1"/>
    </xf>
    <xf numFmtId="0" fontId="11" fillId="0" borderId="21" xfId="0" applyFont="1" applyFill="1" applyBorder="1" applyAlignment="1">
      <alignment vertical="center"/>
    </xf>
    <xf numFmtId="0" fontId="9" fillId="0" borderId="0" xfId="0" applyFont="1" applyFill="1" applyAlignment="1">
      <alignment vertical="center"/>
    </xf>
    <xf numFmtId="0" fontId="9" fillId="0" borderId="1" xfId="0" applyFont="1" applyFill="1" applyBorder="1" applyAlignment="1" applyProtection="1">
      <alignment horizontal="center" vertical="center"/>
      <protection locked="0"/>
    </xf>
    <xf numFmtId="0" fontId="53" fillId="0" borderId="1" xfId="0" applyFont="1" applyFill="1" applyBorder="1" applyAlignment="1" applyProtection="1">
      <alignment horizontal="center" vertical="center" wrapText="1"/>
      <protection locked="0"/>
    </xf>
    <xf numFmtId="0" fontId="41" fillId="0" borderId="1" xfId="0" applyFont="1" applyFill="1" applyBorder="1" applyAlignment="1">
      <alignment vertical="center" wrapText="1"/>
    </xf>
    <xf numFmtId="0" fontId="53" fillId="0" borderId="1" xfId="0" applyFont="1" applyFill="1" applyBorder="1" applyAlignment="1" applyProtection="1">
      <alignment vertical="center" wrapText="1"/>
      <protection locked="0"/>
    </xf>
    <xf numFmtId="0" fontId="53" fillId="0" borderId="1" xfId="0" applyFont="1" applyFill="1" applyBorder="1" applyAlignment="1">
      <alignment vertical="center" wrapText="1"/>
    </xf>
    <xf numFmtId="0" fontId="60" fillId="0" borderId="1" xfId="0" applyFont="1" applyBorder="1" applyAlignment="1">
      <alignment horizontal="left" vertical="center" wrapText="1"/>
    </xf>
    <xf numFmtId="0" fontId="53" fillId="0" borderId="1" xfId="0" applyFont="1" applyFill="1" applyBorder="1" applyAlignment="1">
      <alignment wrapText="1"/>
    </xf>
    <xf numFmtId="0" fontId="53" fillId="0" borderId="1" xfId="0" applyFont="1" applyFill="1" applyBorder="1"/>
    <xf numFmtId="0" fontId="61" fillId="0" borderId="7" xfId="0" applyFont="1" applyFill="1" applyBorder="1" applyAlignment="1" applyProtection="1">
      <alignment horizontal="center" vertical="center"/>
      <protection locked="0"/>
    </xf>
    <xf numFmtId="0" fontId="53" fillId="0" borderId="0" xfId="0" applyFont="1" applyFill="1" applyAlignment="1">
      <alignment horizontal="left" vertical="center" wrapText="1"/>
    </xf>
    <xf numFmtId="0" fontId="53" fillId="0" borderId="2" xfId="0" applyFont="1" applyFill="1" applyBorder="1" applyAlignment="1" applyProtection="1">
      <alignment horizontal="center" vertical="center" wrapText="1"/>
      <protection locked="0"/>
    </xf>
    <xf numFmtId="0" fontId="61" fillId="0" borderId="1" xfId="0" applyFont="1" applyFill="1" applyBorder="1" applyAlignment="1" applyProtection="1">
      <alignment horizontal="center" vertical="center"/>
      <protection locked="0"/>
    </xf>
    <xf numFmtId="0" fontId="53" fillId="0" borderId="1" xfId="0" applyFont="1" applyFill="1" applyBorder="1" applyAlignment="1">
      <alignment horizontal="left" vertical="center" wrapText="1"/>
    </xf>
    <xf numFmtId="0" fontId="27" fillId="0" borderId="1" xfId="0" applyFont="1" applyBorder="1" applyAlignment="1">
      <alignment horizontal="left" vertical="center" wrapText="1"/>
    </xf>
    <xf numFmtId="0" fontId="9" fillId="0" borderId="1" xfId="0" applyFont="1" applyBorder="1" applyAlignment="1">
      <alignment horizontal="center" vertical="center"/>
    </xf>
    <xf numFmtId="0" fontId="63" fillId="0" borderId="1" xfId="0" applyFont="1" applyBorder="1" applyAlignment="1">
      <alignment horizontal="left" vertical="center" wrapText="1"/>
    </xf>
    <xf numFmtId="0" fontId="64" fillId="0" borderId="1" xfId="0" applyFont="1" applyBorder="1" applyAlignment="1">
      <alignment horizontal="left" vertical="center" wrapText="1"/>
    </xf>
    <xf numFmtId="0" fontId="9" fillId="0" borderId="7" xfId="0" applyFont="1" applyBorder="1" applyAlignment="1" applyProtection="1">
      <alignment horizontal="center" vertical="center"/>
      <protection locked="0"/>
    </xf>
    <xf numFmtId="0" fontId="9" fillId="0" borderId="24" xfId="0" applyFont="1" applyBorder="1" applyAlignment="1" applyProtection="1">
      <alignment horizontal="center" vertical="center"/>
      <protection locked="0"/>
    </xf>
    <xf numFmtId="0" fontId="66" fillId="0" borderId="1" xfId="0" applyFont="1" applyBorder="1" applyAlignment="1">
      <alignment vertical="center" wrapText="1"/>
    </xf>
    <xf numFmtId="0" fontId="53" fillId="0" borderId="1" xfId="0" applyFont="1" applyBorder="1" applyAlignment="1">
      <alignment horizontal="center" vertical="center" wrapText="1"/>
    </xf>
    <xf numFmtId="0" fontId="67" fillId="0" borderId="1" xfId="0" applyFont="1" applyBorder="1" applyAlignment="1">
      <alignment vertical="center" wrapText="1"/>
    </xf>
    <xf numFmtId="0" fontId="69" fillId="0" borderId="1" xfId="0" applyFont="1" applyBorder="1" applyAlignment="1">
      <alignment vertical="center" wrapText="1"/>
    </xf>
    <xf numFmtId="0" fontId="53" fillId="0" borderId="20" xfId="0" applyFont="1" applyBorder="1" applyAlignment="1">
      <alignment wrapText="1"/>
    </xf>
    <xf numFmtId="0" fontId="70" fillId="0" borderId="1" xfId="0" applyFont="1" applyBorder="1" applyAlignment="1">
      <alignment vertical="center" wrapText="1"/>
    </xf>
    <xf numFmtId="0" fontId="53" fillId="0" borderId="23" xfId="0" applyFont="1" applyBorder="1" applyAlignment="1">
      <alignment horizontal="center" vertical="center" wrapText="1"/>
    </xf>
    <xf numFmtId="0" fontId="66" fillId="0" borderId="20" xfId="0" applyFont="1" applyBorder="1" applyAlignment="1">
      <alignment vertical="center" wrapText="1"/>
    </xf>
    <xf numFmtId="0" fontId="53" fillId="0" borderId="20"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3" fillId="0" borderId="0" xfId="0" applyFont="1"/>
    <xf numFmtId="0" fontId="72" fillId="0" borderId="1" xfId="0" applyFont="1" applyBorder="1" applyAlignment="1">
      <alignment vertical="center" wrapText="1"/>
    </xf>
    <xf numFmtId="0" fontId="9" fillId="0" borderId="2" xfId="0" applyFont="1" applyFill="1" applyBorder="1" applyAlignment="1" applyProtection="1">
      <alignment horizontal="center" vertical="center" wrapText="1"/>
      <protection locked="0"/>
    </xf>
    <xf numFmtId="0" fontId="11" fillId="0" borderId="1" xfId="0" applyFont="1" applyFill="1" applyBorder="1" applyAlignment="1" applyProtection="1">
      <alignment horizontal="center" vertical="center" wrapText="1"/>
      <protection locked="0"/>
    </xf>
    <xf numFmtId="0" fontId="74" fillId="0" borderId="1" xfId="0" applyFont="1" applyBorder="1" applyAlignment="1">
      <alignment horizontal="left" vertical="center" wrapText="1"/>
    </xf>
    <xf numFmtId="0" fontId="56" fillId="0" borderId="1" xfId="0" applyFont="1" applyBorder="1" applyAlignment="1">
      <alignment horizontal="left" vertical="center" wrapText="1"/>
    </xf>
    <xf numFmtId="0" fontId="9" fillId="0" borderId="0" xfId="0" applyFont="1" applyAlignment="1">
      <alignment horizontal="center" vertical="center"/>
    </xf>
    <xf numFmtId="0" fontId="75" fillId="0" borderId="0" xfId="0" applyFont="1" applyAlignment="1">
      <alignment horizontal="center" vertical="center" wrapText="1"/>
    </xf>
    <xf numFmtId="0" fontId="11" fillId="0" borderId="1" xfId="0" applyFont="1" applyBorder="1" applyAlignment="1">
      <alignment horizontal="left" vertical="center" wrapText="1"/>
    </xf>
    <xf numFmtId="0" fontId="65" fillId="0" borderId="1" xfId="0" applyFont="1" applyBorder="1" applyAlignment="1">
      <alignment horizontal="left" vertical="center" wrapText="1"/>
    </xf>
    <xf numFmtId="0" fontId="75" fillId="0" borderId="0" xfId="0" applyFont="1" applyAlignment="1">
      <alignment horizontal="left" vertical="center" wrapText="1"/>
    </xf>
    <xf numFmtId="0" fontId="53" fillId="0" borderId="7" xfId="0" applyFont="1" applyBorder="1" applyAlignment="1" applyProtection="1">
      <alignment horizontal="center" vertical="center"/>
      <protection locked="0"/>
    </xf>
    <xf numFmtId="0" fontId="69" fillId="0" borderId="1" xfId="0" applyFont="1" applyBorder="1" applyAlignment="1">
      <alignment horizontal="left" vertical="center" wrapText="1"/>
    </xf>
    <xf numFmtId="0" fontId="9" fillId="0" borderId="0" xfId="0" applyFont="1" applyFill="1" applyBorder="1" applyAlignment="1" applyProtection="1">
      <alignment horizontal="center" vertical="center"/>
      <protection locked="0"/>
    </xf>
    <xf numFmtId="0" fontId="9" fillId="0" borderId="0" xfId="0" applyFont="1" applyFill="1" applyBorder="1"/>
    <xf numFmtId="0" fontId="9" fillId="0" borderId="0" xfId="0" applyFont="1" applyFill="1" applyBorder="1" applyAlignment="1">
      <alignment horizontal="center"/>
    </xf>
    <xf numFmtId="0" fontId="57" fillId="0" borderId="1" xfId="0" applyFont="1" applyBorder="1" applyAlignment="1">
      <alignment vertical="center" wrapText="1"/>
    </xf>
    <xf numFmtId="0" fontId="38" fillId="8" borderId="7" xfId="0" applyFont="1" applyFill="1" applyBorder="1" applyAlignment="1" applyProtection="1">
      <alignment horizontal="center" vertical="center"/>
    </xf>
    <xf numFmtId="0" fontId="38" fillId="0" borderId="0" xfId="0" applyFont="1" applyFill="1" applyBorder="1" applyAlignment="1" applyProtection="1">
      <alignment vertical="center"/>
    </xf>
    <xf numFmtId="0" fontId="0" fillId="0" borderId="0" xfId="0" applyBorder="1" applyProtection="1"/>
    <xf numFmtId="0" fontId="1" fillId="0" borderId="0" xfId="0" applyFont="1" applyProtection="1"/>
    <xf numFmtId="0" fontId="79" fillId="0" borderId="1" xfId="0" applyFont="1" applyBorder="1" applyAlignment="1">
      <alignment vertical="center" wrapText="1"/>
    </xf>
    <xf numFmtId="0" fontId="13" fillId="0" borderId="0" xfId="2" applyAlignment="1">
      <alignment vertical="top"/>
    </xf>
    <xf numFmtId="0" fontId="9" fillId="0" borderId="14" xfId="0" applyFont="1" applyBorder="1" applyAlignment="1" applyProtection="1">
      <alignment horizontal="center" vertical="center" wrapText="1"/>
      <protection locked="0"/>
    </xf>
    <xf numFmtId="0" fontId="21" fillId="0" borderId="0" xfId="0" applyFont="1"/>
    <xf numFmtId="0" fontId="9" fillId="0" borderId="0" xfId="0" applyFont="1" applyBorder="1" applyAlignment="1" applyProtection="1">
      <alignment horizontal="center" vertical="center" wrapText="1"/>
      <protection locked="0"/>
    </xf>
    <xf numFmtId="0" fontId="53" fillId="0" borderId="1" xfId="0" applyFont="1" applyFill="1" applyBorder="1" applyAlignment="1" applyProtection="1">
      <alignment horizontal="left" vertical="center" wrapText="1"/>
      <protection locked="0"/>
    </xf>
    <xf numFmtId="0" fontId="10" fillId="0" borderId="0" xfId="0" applyFont="1" applyFill="1" applyBorder="1" applyAlignment="1">
      <alignment vertical="center"/>
    </xf>
    <xf numFmtId="0" fontId="9" fillId="0" borderId="0" xfId="0" applyFont="1" applyFill="1" applyAlignment="1">
      <alignment horizontal="left" vertical="center"/>
    </xf>
    <xf numFmtId="0" fontId="53" fillId="0" borderId="1" xfId="0" applyFont="1" applyFill="1" applyBorder="1" applyAlignment="1">
      <alignment horizontal="left" wrapText="1"/>
    </xf>
    <xf numFmtId="0" fontId="9" fillId="0" borderId="0" xfId="0" applyFont="1" applyAlignment="1">
      <alignment horizontal="left"/>
    </xf>
    <xf numFmtId="0" fontId="5" fillId="0" borderId="0" xfId="0" applyFont="1" applyBorder="1" applyAlignment="1">
      <alignment horizontal="left" vertical="center" wrapText="1"/>
    </xf>
    <xf numFmtId="0" fontId="0" fillId="0" borderId="0" xfId="0" applyFont="1" applyBorder="1" applyAlignment="1">
      <alignment horizontal="left" vertical="center" wrapText="1"/>
    </xf>
    <xf numFmtId="0" fontId="15" fillId="0" borderId="0" xfId="0" applyFont="1" applyBorder="1" applyAlignment="1">
      <alignment horizontal="left" vertical="center" wrapText="1"/>
    </xf>
    <xf numFmtId="0" fontId="1" fillId="0" borderId="0" xfId="0" applyFont="1" applyBorder="1" applyAlignment="1">
      <alignment horizontal="left" vertical="center" wrapText="1"/>
    </xf>
    <xf numFmtId="0" fontId="5" fillId="0" borderId="0" xfId="0" applyFont="1" applyAlignment="1">
      <alignment horizontal="left" vertical="center" wrapText="1"/>
    </xf>
    <xf numFmtId="0" fontId="13" fillId="0" borderId="0" xfId="2" applyAlignment="1">
      <alignment horizontal="left" vertical="center" wrapText="1"/>
    </xf>
    <xf numFmtId="0" fontId="13" fillId="0" borderId="0" xfId="2" applyFill="1" applyBorder="1" applyAlignment="1">
      <alignment horizontal="left" vertical="center" wrapText="1"/>
    </xf>
    <xf numFmtId="0" fontId="13" fillId="0" borderId="0" xfId="2" applyAlignment="1">
      <alignment horizontal="left" vertical="center"/>
    </xf>
    <xf numFmtId="0" fontId="0" fillId="0" borderId="0" xfId="0" applyAlignment="1">
      <alignment horizontal="left" vertical="center" wrapText="1"/>
    </xf>
    <xf numFmtId="0" fontId="13" fillId="0" borderId="0" xfId="2" applyBorder="1" applyAlignment="1">
      <alignment horizontal="left" vertical="center" wrapText="1"/>
    </xf>
    <xf numFmtId="0" fontId="1" fillId="3" borderId="0" xfId="0" applyFont="1" applyFill="1" applyBorder="1" applyAlignment="1">
      <alignment horizontal="left" vertical="center" wrapText="1"/>
    </xf>
    <xf numFmtId="0" fontId="9" fillId="0" borderId="1" xfId="0" applyFont="1" applyFill="1" applyBorder="1" applyAlignment="1" applyProtection="1">
      <alignment horizontal="left" vertical="center" wrapText="1"/>
      <protection locked="0"/>
    </xf>
    <xf numFmtId="0" fontId="9" fillId="0" borderId="1" xfId="0" applyFont="1" applyFill="1" applyBorder="1" applyAlignment="1" applyProtection="1">
      <alignment horizontal="center" vertical="center" wrapText="1"/>
      <protection locked="0"/>
    </xf>
    <xf numFmtId="0" fontId="9" fillId="0" borderId="2" xfId="0" applyFont="1" applyBorder="1" applyAlignment="1">
      <alignment horizontal="center" vertical="center" wrapText="1"/>
    </xf>
    <xf numFmtId="0" fontId="9" fillId="0" borderId="2" xfId="0" applyFont="1" applyBorder="1" applyAlignment="1">
      <alignment horizontal="center" vertical="center"/>
    </xf>
    <xf numFmtId="0" fontId="7" fillId="0" borderId="0" xfId="0" applyFont="1" applyAlignment="1">
      <alignment vertical="center" wrapText="1"/>
    </xf>
    <xf numFmtId="0" fontId="9" fillId="0" borderId="1" xfId="0" applyFont="1" applyBorder="1" applyAlignment="1">
      <alignment horizontal="left" vertical="center"/>
    </xf>
    <xf numFmtId="0" fontId="80" fillId="0" borderId="0" xfId="0" applyFont="1"/>
    <xf numFmtId="0" fontId="38" fillId="6" borderId="6" xfId="0" applyFont="1" applyFill="1" applyBorder="1" applyAlignment="1">
      <alignment horizontal="center" vertical="center"/>
    </xf>
    <xf numFmtId="0" fontId="11" fillId="0" borderId="0" xfId="0" applyFont="1" applyAlignment="1">
      <alignment vertical="top"/>
    </xf>
    <xf numFmtId="0" fontId="8" fillId="6" borderId="6" xfId="0" applyFont="1" applyFill="1" applyBorder="1" applyAlignment="1">
      <alignment horizontal="center" vertical="center"/>
    </xf>
    <xf numFmtId="0" fontId="6" fillId="0" borderId="20" xfId="0" applyFont="1" applyBorder="1" applyAlignment="1">
      <alignment horizontal="center" vertical="center"/>
    </xf>
    <xf numFmtId="0" fontId="29" fillId="0" borderId="48" xfId="0" applyFont="1" applyBorder="1" applyAlignment="1">
      <alignment horizontal="center"/>
    </xf>
    <xf numFmtId="0" fontId="39" fillId="0" borderId="26" xfId="0" applyFont="1" applyBorder="1" applyAlignment="1">
      <alignment horizontal="center" vertical="center"/>
    </xf>
    <xf numFmtId="0" fontId="39" fillId="0" borderId="24" xfId="0" applyFont="1" applyBorder="1" applyAlignment="1">
      <alignment horizontal="center" vertical="center"/>
    </xf>
    <xf numFmtId="0" fontId="39" fillId="0" borderId="27" xfId="0" applyFont="1" applyBorder="1" applyAlignment="1">
      <alignment horizontal="center" vertical="center"/>
    </xf>
    <xf numFmtId="0" fontId="29" fillId="0" borderId="62" xfId="0" applyFont="1" applyBorder="1" applyAlignment="1">
      <alignment horizontal="center"/>
    </xf>
    <xf numFmtId="0" fontId="6" fillId="0" borderId="63" xfId="0" applyFont="1" applyBorder="1" applyAlignment="1">
      <alignment horizontal="center" vertical="center"/>
    </xf>
    <xf numFmtId="0" fontId="29" fillId="0" borderId="66" xfId="0" applyFont="1" applyBorder="1" applyAlignment="1">
      <alignment horizont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left" vertical="top" wrapText="1"/>
    </xf>
    <xf numFmtId="0" fontId="80" fillId="0" borderId="20" xfId="0" applyFont="1" applyBorder="1" applyAlignment="1">
      <alignment horizontal="center" vertical="center"/>
    </xf>
    <xf numFmtId="0" fontId="80" fillId="0" borderId="1" xfId="0" applyFont="1" applyBorder="1" applyAlignment="1">
      <alignment horizontal="center" vertical="center"/>
    </xf>
    <xf numFmtId="0" fontId="80" fillId="0" borderId="63" xfId="0" applyFont="1" applyBorder="1" applyAlignment="1">
      <alignment horizontal="center" vertical="center"/>
    </xf>
    <xf numFmtId="0" fontId="1" fillId="0" borderId="8" xfId="0" applyFont="1" applyBorder="1"/>
    <xf numFmtId="0" fontId="1" fillId="0" borderId="11" xfId="0" applyFont="1" applyBorder="1"/>
    <xf numFmtId="0" fontId="29" fillId="0" borderId="0" xfId="0" applyFont="1" applyAlignment="1">
      <alignment horizontal="center"/>
    </xf>
    <xf numFmtId="0" fontId="7" fillId="6" borderId="41" xfId="0" applyFont="1" applyFill="1" applyBorder="1" applyAlignment="1">
      <alignment horizontal="center" vertical="center"/>
    </xf>
    <xf numFmtId="0" fontId="6" fillId="0" borderId="2" xfId="0" applyFont="1" applyBorder="1" applyAlignment="1">
      <alignment horizontal="center"/>
    </xf>
    <xf numFmtId="0" fontId="6" fillId="0" borderId="42" xfId="0" applyFont="1" applyBorder="1" applyAlignment="1">
      <alignment horizontal="center"/>
    </xf>
    <xf numFmtId="0" fontId="82" fillId="0" borderId="0" xfId="0" applyFont="1"/>
    <xf numFmtId="0" fontId="80" fillId="0" borderId="10" xfId="0" applyFont="1" applyBorder="1" applyAlignment="1">
      <alignment horizontal="center" vertical="center"/>
    </xf>
    <xf numFmtId="0" fontId="80" fillId="0" borderId="0" xfId="0" applyFont="1" applyAlignment="1">
      <alignment horizontal="left" vertical="top" wrapText="1"/>
    </xf>
    <xf numFmtId="0" fontId="44" fillId="0" borderId="0" xfId="0" applyFont="1" applyAlignment="1">
      <alignment vertical="center" wrapText="1"/>
    </xf>
    <xf numFmtId="0" fontId="1" fillId="3" borderId="58" xfId="0" applyFont="1" applyFill="1" applyBorder="1" applyAlignment="1">
      <alignment vertical="top" wrapText="1"/>
    </xf>
    <xf numFmtId="0" fontId="1" fillId="3" borderId="59" xfId="0" applyFont="1" applyFill="1" applyBorder="1" applyAlignment="1">
      <alignment vertical="top" wrapText="1"/>
    </xf>
    <xf numFmtId="0" fontId="1" fillId="3" borderId="60" xfId="0" applyFont="1" applyFill="1" applyBorder="1" applyAlignment="1">
      <alignment vertical="top" wrapText="1"/>
    </xf>
    <xf numFmtId="0" fontId="0" fillId="8" borderId="1" xfId="0" applyFill="1" applyBorder="1"/>
    <xf numFmtId="0" fontId="7" fillId="6" borderId="16" xfId="0" applyFont="1" applyFill="1" applyBorder="1" applyAlignment="1">
      <alignment horizontal="center" vertical="center"/>
    </xf>
    <xf numFmtId="0" fontId="6" fillId="0" borderId="15" xfId="0" applyFont="1" applyBorder="1" applyAlignment="1">
      <alignment horizontal="center"/>
    </xf>
    <xf numFmtId="0" fontId="6" fillId="0" borderId="17" xfId="0" applyFont="1" applyBorder="1" applyAlignment="1">
      <alignment horizontal="center"/>
    </xf>
    <xf numFmtId="0" fontId="7" fillId="6" borderId="43"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29" fillId="0" borderId="7" xfId="0" applyFont="1" applyBorder="1" applyAlignment="1">
      <alignment horizontal="center"/>
    </xf>
    <xf numFmtId="0" fontId="29" fillId="0" borderId="9" xfId="0" applyFont="1" applyBorder="1" applyAlignment="1">
      <alignment horizontal="center"/>
    </xf>
    <xf numFmtId="0" fontId="6" fillId="0" borderId="1" xfId="0" applyFont="1" applyBorder="1" applyAlignment="1">
      <alignment horizontal="center"/>
    </xf>
    <xf numFmtId="0" fontId="38" fillId="6" borderId="4" xfId="0" applyFont="1" applyFill="1" applyBorder="1" applyAlignment="1">
      <alignment horizontal="center" vertical="center"/>
    </xf>
    <xf numFmtId="0" fontId="78" fillId="6" borderId="5" xfId="0" applyFont="1" applyFill="1" applyBorder="1" applyAlignment="1">
      <alignment horizontal="center" vertical="center" wrapText="1"/>
    </xf>
    <xf numFmtId="0" fontId="0" fillId="0" borderId="7" xfId="0" applyBorder="1" applyAlignment="1">
      <alignment horizontal="center"/>
    </xf>
    <xf numFmtId="0" fontId="0" fillId="0" borderId="9" xfId="0" applyBorder="1" applyAlignment="1">
      <alignment horizontal="center"/>
    </xf>
    <xf numFmtId="0" fontId="6" fillId="0" borderId="10" xfId="0" applyFont="1" applyBorder="1" applyAlignment="1">
      <alignment horizontal="center"/>
    </xf>
    <xf numFmtId="0" fontId="41" fillId="0" borderId="8" xfId="0" applyFont="1" applyBorder="1" applyAlignment="1">
      <alignment vertical="center"/>
    </xf>
    <xf numFmtId="0" fontId="41" fillId="0" borderId="11" xfId="0" applyFont="1" applyBorder="1" applyAlignment="1">
      <alignment vertical="center"/>
    </xf>
    <xf numFmtId="0" fontId="2" fillId="7" borderId="8" xfId="1" applyFill="1" applyBorder="1" applyAlignment="1">
      <alignment horizontal="center" vertical="center" wrapText="1"/>
    </xf>
    <xf numFmtId="0" fontId="44" fillId="8" borderId="25" xfId="0" applyFont="1" applyFill="1" applyBorder="1" applyAlignment="1">
      <alignment horizontal="center" vertical="center" wrapText="1"/>
    </xf>
    <xf numFmtId="0" fontId="1" fillId="3" borderId="32" xfId="0" applyFont="1" applyFill="1" applyBorder="1" applyAlignment="1">
      <alignment horizontal="center" vertical="center" wrapText="1"/>
    </xf>
    <xf numFmtId="0" fontId="80" fillId="0" borderId="0" xfId="0" applyFont="1" applyProtection="1">
      <protection locked="0"/>
    </xf>
    <xf numFmtId="0" fontId="0" fillId="0" borderId="0" xfId="0" applyProtection="1">
      <protection locked="0"/>
    </xf>
    <xf numFmtId="0" fontId="80" fillId="0" borderId="0" xfId="0" applyFont="1" applyProtection="1"/>
    <xf numFmtId="0" fontId="38" fillId="8" borderId="4" xfId="0" applyFont="1" applyFill="1" applyBorder="1" applyAlignment="1" applyProtection="1">
      <alignment horizontal="center" vertical="center"/>
    </xf>
    <xf numFmtId="49" fontId="6" fillId="0" borderId="6" xfId="0" applyNumberFormat="1" applyFont="1" applyBorder="1" applyAlignment="1" applyProtection="1">
      <alignment horizontal="center" vertical="center" wrapText="1"/>
    </xf>
    <xf numFmtId="49" fontId="6" fillId="0" borderId="1" xfId="0" applyNumberFormat="1" applyFont="1" applyBorder="1" applyAlignment="1" applyProtection="1">
      <alignment horizontal="center" vertical="center"/>
    </xf>
    <xf numFmtId="49" fontId="6" fillId="0" borderId="8" xfId="0" applyNumberFormat="1" applyFont="1" applyBorder="1" applyAlignment="1" applyProtection="1">
      <alignment horizontal="center" vertical="center"/>
    </xf>
    <xf numFmtId="0" fontId="38" fillId="8" borderId="56" xfId="0" applyFont="1" applyFill="1" applyBorder="1" applyAlignment="1" applyProtection="1">
      <alignment horizontal="center" vertical="center"/>
    </xf>
    <xf numFmtId="0" fontId="38" fillId="8" borderId="57" xfId="0" applyFont="1" applyFill="1" applyBorder="1" applyAlignment="1" applyProtection="1">
      <alignment horizontal="center" vertical="center"/>
    </xf>
    <xf numFmtId="0" fontId="38" fillId="8" borderId="4" xfId="0" applyFont="1" applyFill="1" applyBorder="1" applyAlignment="1" applyProtection="1">
      <alignment horizontal="center" vertical="center" wrapText="1"/>
    </xf>
    <xf numFmtId="0" fontId="6" fillId="0" borderId="7" xfId="0" applyFont="1" applyBorder="1" applyAlignment="1" applyProtection="1">
      <alignment horizontal="left" vertical="top" wrapText="1"/>
    </xf>
    <xf numFmtId="0" fontId="6" fillId="8" borderId="8" xfId="0" applyFont="1" applyFill="1" applyBorder="1" applyAlignment="1" applyProtection="1">
      <alignment horizontal="center" vertical="center" wrapText="1"/>
    </xf>
    <xf numFmtId="0" fontId="6" fillId="0" borderId="9" xfId="0" applyFont="1" applyBorder="1" applyAlignment="1" applyProtection="1">
      <alignment horizontal="left" vertical="top" wrapText="1"/>
    </xf>
    <xf numFmtId="0" fontId="6" fillId="8" borderId="11" xfId="0" applyFont="1" applyFill="1" applyBorder="1" applyAlignment="1" applyProtection="1">
      <alignment horizontal="center" vertical="center" wrapText="1"/>
    </xf>
    <xf numFmtId="0" fontId="0" fillId="0" borderId="52" xfId="0" applyBorder="1" applyProtection="1"/>
    <xf numFmtId="0" fontId="38" fillId="0" borderId="0" xfId="0" applyFont="1" applyBorder="1" applyAlignment="1" applyProtection="1">
      <alignment vertical="center"/>
    </xf>
    <xf numFmtId="0" fontId="80" fillId="0" borderId="0" xfId="0" applyFont="1" applyBorder="1" applyProtection="1"/>
    <xf numFmtId="0" fontId="38" fillId="6" borderId="6" xfId="0" applyFont="1" applyFill="1" applyBorder="1" applyAlignment="1" applyProtection="1">
      <alignment horizontal="center" vertical="center"/>
    </xf>
    <xf numFmtId="0" fontId="81" fillId="6" borderId="6" xfId="0" applyFont="1" applyFill="1" applyBorder="1" applyAlignment="1" applyProtection="1">
      <alignment horizontal="center" vertical="center"/>
    </xf>
    <xf numFmtId="0" fontId="80" fillId="0" borderId="8" xfId="0" applyFont="1" applyBorder="1" applyAlignment="1" applyProtection="1">
      <alignment horizontal="center" vertical="center" wrapText="1"/>
    </xf>
    <xf numFmtId="0" fontId="80" fillId="6" borderId="8" xfId="0" applyFont="1" applyFill="1" applyBorder="1" applyAlignment="1" applyProtection="1">
      <alignment horizontal="center" vertical="center" wrapText="1"/>
    </xf>
    <xf numFmtId="0" fontId="80" fillId="0" borderId="11" xfId="0" applyFont="1" applyBorder="1" applyAlignment="1" applyProtection="1">
      <alignment horizontal="center" vertical="center" wrapText="1"/>
    </xf>
    <xf numFmtId="0" fontId="80" fillId="6" borderId="11" xfId="0" applyFont="1" applyFill="1" applyBorder="1" applyAlignment="1" applyProtection="1">
      <alignment horizontal="center" vertical="center" wrapText="1"/>
    </xf>
    <xf numFmtId="0" fontId="78" fillId="0" borderId="0" xfId="0" applyFont="1" applyBorder="1" applyAlignment="1" applyProtection="1">
      <alignment vertical="center" wrapText="1"/>
    </xf>
    <xf numFmtId="0" fontId="38" fillId="0" borderId="1" xfId="0" applyFont="1" applyFill="1" applyBorder="1" applyAlignment="1" applyProtection="1">
      <alignment horizontal="center"/>
    </xf>
    <xf numFmtId="0" fontId="78" fillId="0" borderId="52" xfId="0" applyFont="1" applyBorder="1" applyAlignment="1" applyProtection="1">
      <alignment vertical="center" wrapText="1"/>
    </xf>
    <xf numFmtId="0" fontId="29" fillId="0" borderId="0" xfId="0" applyFont="1" applyBorder="1" applyProtection="1"/>
    <xf numFmtId="0" fontId="29" fillId="0" borderId="52" xfId="0" applyFont="1" applyBorder="1" applyProtection="1"/>
    <xf numFmtId="0" fontId="29" fillId="0" borderId="0" xfId="0" applyFont="1" applyProtection="1"/>
    <xf numFmtId="0" fontId="6" fillId="0" borderId="0" xfId="0" applyFont="1" applyProtection="1"/>
    <xf numFmtId="0" fontId="1" fillId="0" borderId="0" xfId="0" applyFont="1" applyAlignment="1" applyProtection="1">
      <alignment horizontal="center"/>
    </xf>
    <xf numFmtId="0" fontId="1" fillId="0" borderId="0" xfId="0" applyFont="1" applyAlignment="1" applyProtection="1">
      <alignment horizontal="left"/>
    </xf>
    <xf numFmtId="0" fontId="10" fillId="0" borderId="0" xfId="0" applyFont="1" applyFill="1" applyProtection="1">
      <protection locked="0"/>
    </xf>
    <xf numFmtId="0" fontId="78" fillId="0" borderId="69" xfId="0" applyFont="1" applyFill="1" applyBorder="1" applyAlignment="1" applyProtection="1">
      <alignment horizontal="center" vertical="center"/>
      <protection locked="0"/>
    </xf>
    <xf numFmtId="0" fontId="78" fillId="0" borderId="70" xfId="0" applyFont="1" applyFill="1" applyBorder="1" applyAlignment="1" applyProtection="1">
      <alignment horizontal="center" vertical="center"/>
      <protection locked="0"/>
    </xf>
    <xf numFmtId="0" fontId="10" fillId="0" borderId="71" xfId="0" applyFont="1" applyFill="1" applyBorder="1" applyAlignment="1" applyProtection="1">
      <alignment horizontal="center" vertical="center" wrapText="1"/>
      <protection locked="0"/>
    </xf>
    <xf numFmtId="0" fontId="10" fillId="0" borderId="72" xfId="0" applyFont="1" applyFill="1" applyBorder="1" applyAlignment="1" applyProtection="1">
      <alignment horizontal="center" vertical="center" wrapText="1"/>
      <protection locked="0"/>
    </xf>
    <xf numFmtId="0" fontId="78" fillId="0" borderId="73" xfId="0" applyFont="1" applyFill="1" applyBorder="1" applyAlignment="1" applyProtection="1">
      <alignment horizontal="center" vertical="center"/>
      <protection locked="0"/>
    </xf>
    <xf numFmtId="49" fontId="10" fillId="0" borderId="74" xfId="0" applyNumberFormat="1" applyFont="1" applyFill="1" applyBorder="1" applyAlignment="1" applyProtection="1">
      <alignment horizontal="center"/>
      <protection locked="0"/>
    </xf>
    <xf numFmtId="0" fontId="53" fillId="0" borderId="1" xfId="0" applyFont="1" applyBorder="1" applyAlignment="1">
      <alignment horizontal="left" vertical="center"/>
    </xf>
    <xf numFmtId="0" fontId="41" fillId="8" borderId="20" xfId="0" applyFont="1" applyFill="1" applyBorder="1" applyAlignment="1">
      <alignment horizontal="center" vertical="center"/>
    </xf>
    <xf numFmtId="0" fontId="41" fillId="8" borderId="20" xfId="0" applyFont="1" applyFill="1" applyBorder="1" applyAlignment="1">
      <alignment horizontal="center" vertical="center" wrapText="1"/>
    </xf>
    <xf numFmtId="0" fontId="11" fillId="0" borderId="24" xfId="0" applyFont="1" applyFill="1" applyBorder="1" applyAlignment="1">
      <alignment vertical="center"/>
    </xf>
    <xf numFmtId="0" fontId="11" fillId="0" borderId="27" xfId="0" applyFont="1" applyFill="1" applyBorder="1" applyAlignment="1">
      <alignment vertical="center"/>
    </xf>
    <xf numFmtId="0" fontId="9" fillId="0" borderId="21" xfId="0" applyFont="1" applyFill="1" applyBorder="1" applyAlignment="1">
      <alignment vertical="center"/>
    </xf>
    <xf numFmtId="0" fontId="9" fillId="0" borderId="22" xfId="0" applyFont="1" applyFill="1" applyBorder="1" applyAlignment="1">
      <alignment vertical="center"/>
    </xf>
    <xf numFmtId="0" fontId="0" fillId="0" borderId="51" xfId="0" applyBorder="1"/>
    <xf numFmtId="0" fontId="0" fillId="0" borderId="52" xfId="0" applyBorder="1"/>
    <xf numFmtId="0" fontId="0" fillId="8" borderId="10" xfId="0" applyFill="1" applyBorder="1"/>
    <xf numFmtId="0" fontId="0" fillId="0" borderId="0" xfId="0" applyFill="1" applyAlignment="1">
      <alignment horizontal="left"/>
    </xf>
    <xf numFmtId="0" fontId="9" fillId="0" borderId="1" xfId="0" applyFont="1" applyBorder="1" applyAlignment="1" applyProtection="1">
      <alignment horizontal="center" vertical="center" wrapText="1"/>
      <protection locked="0"/>
    </xf>
    <xf numFmtId="0" fontId="9" fillId="7" borderId="1" xfId="0" applyFont="1" applyFill="1" applyBorder="1" applyAlignment="1">
      <alignment horizontal="center" vertical="center" wrapText="1"/>
    </xf>
    <xf numFmtId="0" fontId="69" fillId="7" borderId="1" xfId="0" applyFont="1" applyFill="1" applyBorder="1" applyAlignment="1">
      <alignment vertical="center" wrapText="1"/>
    </xf>
    <xf numFmtId="0" fontId="53" fillId="7" borderId="1" xfId="0" applyFont="1" applyFill="1" applyBorder="1" applyAlignment="1" applyProtection="1">
      <alignment horizontal="center" vertical="center" wrapText="1"/>
      <protection locked="0"/>
    </xf>
    <xf numFmtId="0" fontId="9" fillId="7" borderId="1" xfId="0" applyFont="1" applyFill="1" applyBorder="1" applyAlignment="1">
      <alignment horizontal="center" vertical="center"/>
    </xf>
    <xf numFmtId="0" fontId="55" fillId="3" borderId="1" xfId="0" applyFont="1" applyFill="1" applyBorder="1" applyAlignment="1">
      <alignment vertical="center" wrapText="1"/>
    </xf>
    <xf numFmtId="0" fontId="9" fillId="0" borderId="30" xfId="0" applyFont="1" applyBorder="1" applyAlignment="1" applyProtection="1">
      <alignment horizontal="center" vertical="center" wrapText="1"/>
      <protection locked="0"/>
    </xf>
    <xf numFmtId="0" fontId="9" fillId="0" borderId="24" xfId="0" applyFont="1" applyFill="1" applyBorder="1" applyAlignment="1">
      <alignment vertical="center"/>
    </xf>
    <xf numFmtId="0" fontId="9" fillId="0" borderId="27" xfId="0" applyFont="1" applyFill="1" applyBorder="1" applyAlignment="1">
      <alignment vertical="center"/>
    </xf>
    <xf numFmtId="0" fontId="53" fillId="8" borderId="20" xfId="0" applyFont="1" applyFill="1" applyBorder="1" applyAlignment="1">
      <alignment horizontal="center" vertical="center"/>
    </xf>
    <xf numFmtId="0" fontId="53" fillId="8" borderId="20" xfId="0" applyFont="1" applyFill="1" applyBorder="1" applyAlignment="1">
      <alignment horizontal="center" vertical="center" wrapText="1"/>
    </xf>
    <xf numFmtId="0" fontId="0" fillId="7" borderId="0" xfId="0" applyFont="1" applyFill="1" applyAlignment="1">
      <alignment vertical="center"/>
    </xf>
    <xf numFmtId="0" fontId="9" fillId="7" borderId="0" xfId="0" applyFont="1" applyFill="1" applyAlignment="1">
      <alignment vertical="center"/>
    </xf>
    <xf numFmtId="0" fontId="53" fillId="7" borderId="0" xfId="0" applyFont="1" applyFill="1" applyAlignment="1">
      <alignment vertical="center"/>
    </xf>
    <xf numFmtId="0" fontId="9" fillId="0" borderId="30" xfId="0" applyFont="1" applyBorder="1" applyAlignment="1">
      <alignment vertical="center"/>
    </xf>
    <xf numFmtId="0" fontId="9" fillId="0" borderId="30" xfId="0" applyFont="1" applyBorder="1" applyAlignment="1">
      <alignment vertical="center" wrapText="1"/>
    </xf>
    <xf numFmtId="0" fontId="53" fillId="0" borderId="0" xfId="0" applyFont="1" applyAlignment="1">
      <alignment vertical="center"/>
    </xf>
    <xf numFmtId="0" fontId="10" fillId="0" borderId="0" xfId="0" applyNumberFormat="1" applyFont="1" applyFill="1" applyProtection="1">
      <protection locked="0"/>
    </xf>
    <xf numFmtId="0" fontId="0" fillId="0" borderId="0" xfId="0" applyNumberFormat="1" applyProtection="1">
      <protection locked="0"/>
    </xf>
    <xf numFmtId="0" fontId="78" fillId="0" borderId="0" xfId="0" applyNumberFormat="1" applyFont="1" applyFill="1" applyBorder="1" applyAlignment="1" applyProtection="1">
      <alignment horizontal="center"/>
      <protection locked="0"/>
    </xf>
    <xf numFmtId="0" fontId="39" fillId="0" borderId="0" xfId="0" applyNumberFormat="1" applyFont="1" applyFill="1" applyBorder="1" applyAlignment="1" applyProtection="1">
      <alignment horizontal="center" vertical="center"/>
      <protection locked="0"/>
    </xf>
    <xf numFmtId="0" fontId="80" fillId="0" borderId="0" xfId="0" applyNumberFormat="1" applyFont="1" applyProtection="1">
      <protection locked="0"/>
    </xf>
    <xf numFmtId="0" fontId="80" fillId="0" borderId="0" xfId="0" applyNumberFormat="1" applyFont="1"/>
    <xf numFmtId="0" fontId="80" fillId="0" borderId="0" xfId="0" applyFont="1" applyFill="1" applyBorder="1" applyProtection="1"/>
    <xf numFmtId="0" fontId="78" fillId="0" borderId="0" xfId="0" applyFont="1" applyFill="1" applyBorder="1" applyAlignment="1" applyProtection="1">
      <alignment vertical="center" wrapText="1"/>
    </xf>
    <xf numFmtId="0" fontId="38" fillId="0" borderId="0" xfId="0" applyFont="1" applyFill="1" applyBorder="1" applyAlignment="1" applyProtection="1">
      <alignment horizontal="center" vertical="center"/>
    </xf>
    <xf numFmtId="0" fontId="6" fillId="0" borderId="51" xfId="0" applyFont="1" applyFill="1" applyBorder="1" applyProtection="1"/>
    <xf numFmtId="0" fontId="6" fillId="0" borderId="0" xfId="0" applyFont="1" applyFill="1" applyBorder="1" applyProtection="1"/>
    <xf numFmtId="0" fontId="29" fillId="0" borderId="0" xfId="0" applyFont="1" applyFill="1" applyBorder="1" applyProtection="1"/>
    <xf numFmtId="0" fontId="38" fillId="0" borderId="0" xfId="0" applyFont="1" applyFill="1" applyBorder="1" applyAlignment="1" applyProtection="1"/>
    <xf numFmtId="0" fontId="57" fillId="0" borderId="1" xfId="0" applyFont="1" applyBorder="1" applyAlignment="1">
      <alignment vertical="top" wrapText="1"/>
    </xf>
    <xf numFmtId="0" fontId="9" fillId="0" borderId="21" xfId="0" applyFont="1" applyBorder="1" applyAlignment="1">
      <alignment vertical="center"/>
    </xf>
    <xf numFmtId="0" fontId="9" fillId="0" borderId="22" xfId="0" applyFont="1" applyBorder="1" applyAlignment="1">
      <alignment vertical="center"/>
    </xf>
    <xf numFmtId="0" fontId="41" fillId="8" borderId="1" xfId="0" applyFont="1" applyFill="1" applyBorder="1" applyAlignment="1">
      <alignment horizontal="center" vertical="center"/>
    </xf>
    <xf numFmtId="0" fontId="9" fillId="7" borderId="1" xfId="0" applyFont="1" applyFill="1" applyBorder="1" applyAlignment="1" applyProtection="1">
      <alignment horizontal="center" vertical="center" wrapText="1"/>
      <protection locked="0"/>
    </xf>
    <xf numFmtId="0" fontId="9" fillId="7" borderId="1" xfId="0" applyFont="1" applyFill="1" applyBorder="1" applyAlignment="1" applyProtection="1">
      <alignment vertical="top" wrapText="1"/>
      <protection locked="0"/>
    </xf>
    <xf numFmtId="0" fontId="9" fillId="7" borderId="1" xfId="0" applyFont="1" applyFill="1" applyBorder="1" applyAlignment="1" applyProtection="1">
      <alignment horizontal="center" vertical="center"/>
      <protection locked="0"/>
    </xf>
    <xf numFmtId="0" fontId="9" fillId="7" borderId="2" xfId="0" applyFont="1" applyFill="1" applyBorder="1" applyAlignment="1" applyProtection="1">
      <alignment vertical="top" wrapText="1"/>
      <protection locked="0"/>
    </xf>
    <xf numFmtId="0" fontId="9" fillId="7" borderId="1" xfId="0" applyFont="1" applyFill="1" applyBorder="1" applyAlignment="1" applyProtection="1">
      <alignment horizontal="left" vertical="top" wrapText="1"/>
      <protection locked="0"/>
    </xf>
    <xf numFmtId="0" fontId="85" fillId="0" borderId="1" xfId="0" applyFont="1" applyBorder="1" applyAlignment="1">
      <alignment vertical="center" wrapText="1"/>
    </xf>
    <xf numFmtId="0" fontId="6" fillId="0" borderId="0" xfId="0" applyFont="1" applyAlignment="1"/>
    <xf numFmtId="0" fontId="6" fillId="0" borderId="1" xfId="0" applyFont="1" applyBorder="1" applyAlignment="1" applyProtection="1">
      <alignment horizontal="center" vertical="center" wrapText="1"/>
    </xf>
    <xf numFmtId="0" fontId="6" fillId="0" borderId="10" xfId="0" applyFont="1" applyBorder="1" applyAlignment="1" applyProtection="1">
      <alignment horizontal="center" vertical="center" wrapText="1"/>
    </xf>
    <xf numFmtId="0" fontId="38" fillId="0" borderId="51" xfId="0" applyFont="1" applyFill="1" applyBorder="1" applyAlignment="1" applyProtection="1">
      <alignment horizontal="left"/>
    </xf>
    <xf numFmtId="0" fontId="38" fillId="8" borderId="5" xfId="0" applyFont="1" applyFill="1" applyBorder="1" applyAlignment="1" applyProtection="1">
      <alignment horizontal="center" vertical="center"/>
    </xf>
    <xf numFmtId="0" fontId="38" fillId="8" borderId="6" xfId="0" applyFont="1" applyFill="1" applyBorder="1" applyAlignment="1" applyProtection="1">
      <alignment horizontal="center" vertical="center"/>
    </xf>
    <xf numFmtId="0" fontId="38" fillId="8" borderId="5" xfId="0" applyFont="1" applyFill="1" applyBorder="1" applyAlignment="1" applyProtection="1">
      <alignment horizontal="center" vertical="center" wrapText="1"/>
    </xf>
    <xf numFmtId="0" fontId="38" fillId="8" borderId="1" xfId="0" applyFont="1" applyFill="1" applyBorder="1" applyAlignment="1" applyProtection="1">
      <alignment horizontal="center" vertical="center"/>
    </xf>
    <xf numFmtId="0" fontId="38" fillId="8" borderId="9" xfId="0" applyFont="1" applyFill="1" applyBorder="1" applyAlignment="1" applyProtection="1">
      <alignment horizontal="center" vertical="center"/>
    </xf>
    <xf numFmtId="0" fontId="38" fillId="8" borderId="10" xfId="0" applyFont="1" applyFill="1" applyBorder="1" applyAlignment="1" applyProtection="1">
      <alignment horizontal="center" vertical="center"/>
    </xf>
    <xf numFmtId="0" fontId="8" fillId="6" borderId="45" xfId="0" applyFont="1" applyFill="1" applyBorder="1" applyAlignment="1">
      <alignment horizontal="center" vertical="center"/>
    </xf>
    <xf numFmtId="0" fontId="29" fillId="0" borderId="42" xfId="0" applyFont="1" applyBorder="1" applyAlignment="1">
      <alignment horizontal="center"/>
    </xf>
    <xf numFmtId="0" fontId="8" fillId="6" borderId="43" xfId="0" applyFont="1" applyFill="1" applyBorder="1" applyAlignment="1">
      <alignment horizontal="center" vertical="center" wrapText="1"/>
    </xf>
    <xf numFmtId="0" fontId="1" fillId="0" borderId="2" xfId="0" applyFont="1" applyBorder="1" applyAlignment="1">
      <alignment horizontal="center"/>
    </xf>
    <xf numFmtId="0" fontId="1" fillId="0" borderId="42" xfId="0" applyFont="1" applyBorder="1" applyAlignment="1">
      <alignment horizontal="center"/>
    </xf>
    <xf numFmtId="0" fontId="29" fillId="0" borderId="2" xfId="0" applyFont="1" applyBorder="1" applyAlignment="1">
      <alignment horizontal="center"/>
    </xf>
    <xf numFmtId="0" fontId="7" fillId="0" borderId="13" xfId="0" applyFont="1" applyBorder="1" applyAlignment="1">
      <alignment horizontal="left" wrapText="1"/>
    </xf>
    <xf numFmtId="0" fontId="7" fillId="6" borderId="43" xfId="0" applyFont="1" applyFill="1" applyBorder="1" applyAlignment="1">
      <alignment horizontal="center" vertical="center"/>
    </xf>
    <xf numFmtId="0" fontId="29" fillId="0" borderId="10" xfId="0" applyFont="1" applyBorder="1" applyAlignment="1">
      <alignment horizontal="center"/>
    </xf>
    <xf numFmtId="0" fontId="29" fillId="0" borderId="1" xfId="0" applyFont="1" applyBorder="1" applyAlignment="1">
      <alignment horizontal="center"/>
    </xf>
    <xf numFmtId="0" fontId="1" fillId="0" borderId="1" xfId="0" applyFont="1" applyBorder="1" applyAlignment="1">
      <alignment horizontal="center"/>
    </xf>
    <xf numFmtId="0" fontId="1" fillId="0" borderId="10" xfId="0" applyFont="1" applyBorder="1" applyAlignment="1">
      <alignment horizontal="center"/>
    </xf>
    <xf numFmtId="0" fontId="38" fillId="6" borderId="5" xfId="0" applyFont="1" applyFill="1" applyBorder="1" applyAlignment="1">
      <alignment horizontal="center" vertical="center" wrapText="1"/>
    </xf>
    <xf numFmtId="0" fontId="78" fillId="6" borderId="1" xfId="0" applyFont="1" applyFill="1" applyBorder="1" applyAlignment="1">
      <alignment horizontal="center" vertical="center"/>
    </xf>
    <xf numFmtId="0" fontId="8" fillId="6" borderId="5" xfId="0" applyFont="1" applyFill="1" applyBorder="1" applyAlignment="1">
      <alignment horizontal="center" vertical="center"/>
    </xf>
    <xf numFmtId="0" fontId="0" fillId="0" borderId="2" xfId="0" applyBorder="1" applyAlignment="1">
      <alignment horizontal="center"/>
    </xf>
    <xf numFmtId="0" fontId="0" fillId="0" borderId="14" xfId="0" applyBorder="1" applyAlignment="1">
      <alignment horizontal="center"/>
    </xf>
    <xf numFmtId="0" fontId="6" fillId="0" borderId="1" xfId="0" applyFont="1" applyBorder="1" applyAlignment="1">
      <alignment horizontal="center" vertical="center"/>
    </xf>
    <xf numFmtId="0" fontId="9" fillId="0" borderId="24" xfId="0" applyFont="1" applyBorder="1" applyAlignment="1" applyProtection="1">
      <alignment horizontal="left" vertical="center" wrapText="1"/>
      <protection locked="0"/>
    </xf>
    <xf numFmtId="0" fontId="9" fillId="0" borderId="27" xfId="0" applyFont="1" applyBorder="1" applyAlignment="1" applyProtection="1">
      <alignment horizontal="left" vertical="center" wrapText="1"/>
      <protection locked="0"/>
    </xf>
    <xf numFmtId="0" fontId="41" fillId="8" borderId="1" xfId="0" applyFont="1" applyFill="1" applyBorder="1" applyAlignment="1">
      <alignment horizontal="center" vertical="center" wrapText="1"/>
    </xf>
    <xf numFmtId="0" fontId="41" fillId="0" borderId="26" xfId="0" applyFont="1" applyFill="1" applyBorder="1" applyAlignment="1">
      <alignment horizontal="center" vertical="center"/>
    </xf>
    <xf numFmtId="0" fontId="41" fillId="0" borderId="24" xfId="0" applyFont="1" applyFill="1" applyBorder="1" applyAlignment="1">
      <alignment horizontal="center" vertical="center"/>
    </xf>
    <xf numFmtId="0" fontId="9" fillId="0" borderId="24" xfId="0" applyFont="1" applyFill="1" applyBorder="1" applyAlignment="1" applyProtection="1">
      <alignment horizontal="left" vertical="center" wrapText="1"/>
      <protection locked="0"/>
    </xf>
    <xf numFmtId="0" fontId="9" fillId="0" borderId="27" xfId="0" applyFont="1" applyFill="1" applyBorder="1" applyAlignment="1" applyProtection="1">
      <alignment horizontal="left" vertical="center" wrapText="1"/>
      <protection locked="0"/>
    </xf>
    <xf numFmtId="0" fontId="9" fillId="0" borderId="21" xfId="0" applyFont="1" applyFill="1" applyBorder="1" applyAlignment="1">
      <alignment horizontal="left" vertical="center"/>
    </xf>
    <xf numFmtId="0" fontId="26" fillId="0" borderId="1" xfId="0" applyFont="1" applyBorder="1" applyAlignment="1">
      <alignment horizontal="left"/>
    </xf>
    <xf numFmtId="0" fontId="26" fillId="0" borderId="1" xfId="0" applyFont="1" applyBorder="1" applyAlignment="1">
      <alignment horizontal="left" vertical="center"/>
    </xf>
    <xf numFmtId="0" fontId="41" fillId="6" borderId="5" xfId="0" applyFont="1" applyFill="1" applyBorder="1" applyAlignment="1">
      <alignment horizontal="center" vertical="center"/>
    </xf>
    <xf numFmtId="0" fontId="1" fillId="0" borderId="0" xfId="0" applyFont="1" applyAlignment="1">
      <alignment horizontal="center"/>
    </xf>
    <xf numFmtId="0" fontId="7" fillId="0" borderId="0" xfId="0" applyFont="1" applyBorder="1" applyAlignment="1">
      <alignment horizontal="left" wrapText="1"/>
    </xf>
    <xf numFmtId="0" fontId="8" fillId="6" borderId="41" xfId="0" applyFont="1" applyFill="1" applyBorder="1" applyAlignment="1">
      <alignment horizontal="center" vertical="center" wrapText="1"/>
    </xf>
    <xf numFmtId="0" fontId="38" fillId="6" borderId="5" xfId="0" applyFont="1" applyFill="1" applyBorder="1" applyAlignment="1">
      <alignment horizontal="center" vertical="center"/>
    </xf>
    <xf numFmtId="0" fontId="0" fillId="0" borderId="10" xfId="0" applyBorder="1" applyAlignment="1">
      <alignment horizontal="center"/>
    </xf>
    <xf numFmtId="0" fontId="0" fillId="0" borderId="1" xfId="0" applyBorder="1" applyAlignment="1">
      <alignment horizontal="center"/>
    </xf>
    <xf numFmtId="0" fontId="6" fillId="0" borderId="10" xfId="0" applyFont="1" applyBorder="1" applyAlignment="1">
      <alignment horizontal="center" vertical="center"/>
    </xf>
    <xf numFmtId="0" fontId="1" fillId="0" borderId="11" xfId="0" applyFont="1" applyBorder="1" applyAlignment="1">
      <alignment horizontal="center"/>
    </xf>
    <xf numFmtId="0" fontId="9" fillId="0" borderId="1" xfId="0" applyFont="1" applyBorder="1" applyAlignment="1">
      <alignment horizontal="center" vertical="center" wrapText="1"/>
    </xf>
    <xf numFmtId="0" fontId="1" fillId="0" borderId="8" xfId="0" applyFont="1" applyBorder="1" applyAlignment="1">
      <alignment horizontal="center"/>
    </xf>
    <xf numFmtId="0" fontId="3" fillId="0" borderId="7" xfId="0" applyFont="1" applyBorder="1" applyAlignment="1">
      <alignment horizontal="center" vertical="center" wrapText="1"/>
    </xf>
    <xf numFmtId="0" fontId="3" fillId="0" borderId="8" xfId="0" applyFont="1" applyBorder="1" applyAlignment="1" applyProtection="1">
      <alignment horizontal="center" vertical="center" wrapText="1"/>
      <protection locked="0"/>
    </xf>
    <xf numFmtId="0" fontId="0" fillId="0" borderId="7" xfId="0" applyBorder="1" applyAlignment="1">
      <alignment horizontal="center" vertical="center" wrapText="1"/>
    </xf>
    <xf numFmtId="0" fontId="7" fillId="0" borderId="1" xfId="0" applyFont="1" applyBorder="1" applyAlignment="1">
      <alignment horizontal="center" vertical="center" wrapText="1"/>
    </xf>
    <xf numFmtId="0" fontId="3" fillId="0" borderId="8" xfId="0" applyFont="1" applyBorder="1" applyAlignment="1" applyProtection="1">
      <alignment wrapText="1"/>
      <protection locked="0"/>
    </xf>
    <xf numFmtId="0" fontId="0" fillId="0" borderId="30" xfId="0" applyBorder="1" applyAlignment="1">
      <alignment vertical="center" wrapText="1"/>
    </xf>
    <xf numFmtId="0" fontId="7" fillId="0" borderId="30" xfId="0" applyFont="1" applyBorder="1" applyAlignment="1">
      <alignment horizontal="center" vertical="center" wrapText="1"/>
    </xf>
    <xf numFmtId="0" fontId="3" fillId="0" borderId="62" xfId="0" applyFont="1" applyBorder="1" applyAlignment="1" applyProtection="1">
      <alignment wrapText="1"/>
      <protection locked="0"/>
    </xf>
    <xf numFmtId="0" fontId="3" fillId="0" borderId="10" xfId="0" applyFont="1" applyBorder="1" applyAlignment="1" applyProtection="1">
      <alignment wrapText="1"/>
      <protection locked="0"/>
    </xf>
    <xf numFmtId="0" fontId="7" fillId="0" borderId="10" xfId="0" applyFont="1" applyBorder="1" applyAlignment="1" applyProtection="1">
      <alignment horizontal="center" wrapText="1"/>
      <protection locked="0"/>
    </xf>
    <xf numFmtId="0" fontId="3" fillId="0" borderId="11" xfId="0" applyFont="1" applyBorder="1" applyAlignment="1" applyProtection="1">
      <alignment wrapText="1"/>
      <protection locked="0"/>
    </xf>
    <xf numFmtId="0" fontId="41" fillId="0" borderId="26" xfId="0" applyFont="1" applyBorder="1" applyAlignment="1">
      <alignment horizontal="center" vertical="center"/>
    </xf>
    <xf numFmtId="0" fontId="41" fillId="0" borderId="24" xfId="0" applyFont="1" applyBorder="1" applyAlignment="1">
      <alignment horizontal="center" vertical="center"/>
    </xf>
    <xf numFmtId="0" fontId="11" fillId="0" borderId="24" xfId="0" applyFont="1" applyBorder="1" applyAlignment="1">
      <alignment vertical="center"/>
    </xf>
    <xf numFmtId="0" fontId="11" fillId="0" borderId="27" xfId="0" applyFont="1" applyBorder="1" applyAlignment="1">
      <alignment vertical="center"/>
    </xf>
    <xf numFmtId="0" fontId="61" fillId="0" borderId="1" xfId="0" applyFont="1" applyBorder="1" applyAlignment="1" applyProtection="1">
      <alignment horizontal="center" vertical="center"/>
      <protection locked="0"/>
    </xf>
    <xf numFmtId="0" fontId="55" fillId="3" borderId="1" xfId="0" applyFont="1" applyFill="1" applyBorder="1" applyAlignment="1">
      <alignment horizontal="left" vertical="center" wrapText="1"/>
    </xf>
    <xf numFmtId="0" fontId="57" fillId="0" borderId="1" xfId="0" applyFont="1" applyBorder="1" applyAlignment="1">
      <alignment horizontal="left" vertical="top" wrapText="1"/>
    </xf>
    <xf numFmtId="0" fontId="9" fillId="0" borderId="3" xfId="0" applyFont="1" applyBorder="1"/>
    <xf numFmtId="0" fontId="11" fillId="0" borderId="0" xfId="0" applyFont="1"/>
    <xf numFmtId="0" fontId="9" fillId="0" borderId="28" xfId="0" applyFont="1" applyBorder="1" applyAlignment="1" applyProtection="1">
      <alignment vertical="center" wrapText="1"/>
      <protection locked="0"/>
    </xf>
    <xf numFmtId="0" fontId="9" fillId="0" borderId="0" xfId="0" applyFont="1" applyBorder="1" applyAlignment="1" applyProtection="1">
      <alignment vertical="center" wrapText="1"/>
      <protection locked="0"/>
    </xf>
    <xf numFmtId="0" fontId="55" fillId="0" borderId="1" xfId="0" applyFont="1" applyBorder="1" applyAlignment="1" applyProtection="1">
      <alignment horizontal="center" vertical="center" wrapText="1"/>
      <protection locked="0"/>
    </xf>
    <xf numFmtId="0" fontId="55" fillId="0" borderId="1" xfId="0" applyFont="1" applyBorder="1" applyAlignment="1">
      <alignment horizontal="center" vertical="center" wrapText="1"/>
    </xf>
    <xf numFmtId="0" fontId="56" fillId="0" borderId="1" xfId="0" applyFont="1" applyBorder="1" applyAlignment="1">
      <alignment vertical="center" wrapText="1"/>
    </xf>
    <xf numFmtId="0" fontId="55" fillId="7" borderId="1" xfId="0" applyFont="1" applyFill="1" applyBorder="1" applyAlignment="1">
      <alignment vertical="center"/>
    </xf>
    <xf numFmtId="0" fontId="55" fillId="7" borderId="1" xfId="0" applyFont="1" applyFill="1" applyBorder="1" applyAlignment="1">
      <alignment vertical="center" wrapText="1"/>
    </xf>
    <xf numFmtId="0" fontId="63" fillId="0" borderId="1" xfId="0" applyFont="1" applyBorder="1" applyAlignment="1">
      <alignment horizontal="center" vertical="center"/>
    </xf>
    <xf numFmtId="0" fontId="57" fillId="0" borderId="1" xfId="0" applyFont="1" applyBorder="1" applyAlignment="1">
      <alignment horizontal="center" vertical="center" wrapText="1"/>
    </xf>
    <xf numFmtId="0" fontId="57" fillId="0" borderId="2" xfId="0" applyFont="1" applyBorder="1" applyAlignment="1">
      <alignment horizontal="center" vertical="center" wrapText="1"/>
    </xf>
    <xf numFmtId="0" fontId="65" fillId="0" borderId="1" xfId="0" applyFont="1" applyBorder="1" applyAlignment="1">
      <alignment vertical="center" wrapText="1"/>
    </xf>
    <xf numFmtId="0" fontId="57" fillId="0" borderId="1" xfId="0" applyFont="1" applyBorder="1" applyAlignment="1">
      <alignment horizontal="center" vertical="center"/>
    </xf>
    <xf numFmtId="0" fontId="65" fillId="10" borderId="1" xfId="0" applyFont="1" applyFill="1" applyBorder="1" applyAlignment="1">
      <alignment horizontal="center" vertical="center" wrapText="1"/>
    </xf>
    <xf numFmtId="0" fontId="57" fillId="0" borderId="37" xfId="0" applyFont="1" applyBorder="1" applyAlignment="1">
      <alignment vertical="center" wrapText="1"/>
    </xf>
    <xf numFmtId="0" fontId="57" fillId="0" borderId="20" xfId="0" applyFont="1" applyBorder="1" applyAlignment="1">
      <alignment vertical="center" wrapText="1"/>
    </xf>
    <xf numFmtId="0" fontId="57" fillId="0" borderId="14" xfId="0" applyFont="1" applyBorder="1" applyAlignment="1">
      <alignment horizontal="center" vertical="center" wrapText="1"/>
    </xf>
    <xf numFmtId="0" fontId="57" fillId="0" borderId="30" xfId="0" applyFont="1" applyBorder="1" applyAlignment="1">
      <alignment vertical="center" wrapText="1"/>
    </xf>
    <xf numFmtId="0" fontId="57" fillId="0" borderId="20" xfId="0" applyFont="1" applyBorder="1" applyAlignment="1">
      <alignment horizontal="center" vertical="center" wrapText="1"/>
    </xf>
    <xf numFmtId="0" fontId="57" fillId="0" borderId="23" xfId="0" applyFont="1" applyBorder="1" applyAlignment="1">
      <alignment horizontal="center" vertical="center" wrapText="1"/>
    </xf>
    <xf numFmtId="0" fontId="41" fillId="8" borderId="1" xfId="0" applyFont="1" applyFill="1" applyBorder="1" applyAlignment="1">
      <alignment horizontal="center" vertical="center" wrapText="1"/>
    </xf>
    <xf numFmtId="0" fontId="70" fillId="8" borderId="1" xfId="0" applyFont="1" applyFill="1" applyBorder="1" applyAlignment="1">
      <alignment horizontal="center" vertical="center"/>
    </xf>
    <xf numFmtId="0" fontId="70" fillId="8" borderId="1" xfId="0" applyFont="1" applyFill="1" applyBorder="1" applyAlignment="1">
      <alignment horizontal="center" vertical="center" wrapText="1"/>
    </xf>
    <xf numFmtId="0" fontId="55" fillId="0" borderId="1" xfId="0" applyFont="1" applyBorder="1" applyAlignment="1">
      <alignment horizontal="center" vertical="center"/>
    </xf>
    <xf numFmtId="2" fontId="0" fillId="0" borderId="0" xfId="0" applyNumberFormat="1"/>
    <xf numFmtId="15" fontId="0" fillId="0" borderId="0" xfId="0" applyNumberFormat="1"/>
    <xf numFmtId="164" fontId="0" fillId="0" borderId="0" xfId="0" applyNumberFormat="1"/>
    <xf numFmtId="0" fontId="0" fillId="0" borderId="0" xfId="0" applyAlignment="1">
      <alignment wrapText="1"/>
    </xf>
    <xf numFmtId="0" fontId="55" fillId="0" borderId="0" xfId="0" applyFont="1" applyBorder="1" applyAlignment="1">
      <alignment vertical="center" wrapText="1"/>
    </xf>
    <xf numFmtId="165" fontId="80" fillId="0" borderId="0" xfId="0" applyNumberFormat="1" applyFont="1" applyProtection="1">
      <protection locked="0"/>
    </xf>
    <xf numFmtId="166" fontId="6" fillId="0" borderId="1" xfId="0" applyNumberFormat="1" applyFont="1" applyBorder="1" applyAlignment="1" applyProtection="1">
      <alignment horizontal="center" vertical="center"/>
    </xf>
    <xf numFmtId="1" fontId="0" fillId="0" borderId="0" xfId="0" applyNumberFormat="1" applyFill="1" applyBorder="1" applyAlignment="1">
      <alignment horizontal="left"/>
    </xf>
    <xf numFmtId="0" fontId="9" fillId="0" borderId="1" xfId="0" applyFont="1" applyBorder="1" applyAlignment="1">
      <alignment horizontal="center" vertical="center" wrapText="1"/>
    </xf>
    <xf numFmtId="0" fontId="89" fillId="0" borderId="0" xfId="0" applyFont="1"/>
    <xf numFmtId="0" fontId="0" fillId="0" borderId="0" xfId="0" quotePrefix="1" applyNumberFormat="1" applyProtection="1">
      <protection locked="0"/>
    </xf>
    <xf numFmtId="0" fontId="6" fillId="0" borderId="1" xfId="0" applyFont="1" applyBorder="1" applyAlignment="1" applyProtection="1">
      <alignment horizontal="left" vertical="top" wrapText="1"/>
      <protection locked="0"/>
    </xf>
    <xf numFmtId="0" fontId="6" fillId="0" borderId="8" xfId="0" applyFont="1" applyBorder="1" applyAlignment="1" applyProtection="1">
      <alignment horizontal="left" vertical="top" wrapText="1"/>
      <protection locked="0"/>
    </xf>
    <xf numFmtId="0" fontId="6" fillId="0" borderId="1" xfId="0" applyFont="1" applyBorder="1" applyAlignment="1" applyProtection="1">
      <alignment horizontal="left" vertical="top" wrapText="1"/>
    </xf>
    <xf numFmtId="0" fontId="6" fillId="0" borderId="8" xfId="0" applyFont="1" applyBorder="1" applyAlignment="1" applyProtection="1">
      <alignment horizontal="left" vertical="top" wrapText="1"/>
    </xf>
    <xf numFmtId="0" fontId="38" fillId="0" borderId="58" xfId="0" applyFont="1" applyBorder="1" applyAlignment="1" applyProtection="1">
      <alignment horizontal="left"/>
    </xf>
    <xf numFmtId="0" fontId="38" fillId="0" borderId="59" xfId="0" applyFont="1" applyBorder="1" applyAlignment="1" applyProtection="1">
      <alignment horizontal="left"/>
    </xf>
    <xf numFmtId="0" fontId="38" fillId="0" borderId="60" xfId="0" applyFont="1" applyBorder="1" applyAlignment="1" applyProtection="1">
      <alignment horizontal="left"/>
    </xf>
    <xf numFmtId="0" fontId="6" fillId="0" borderId="43" xfId="0" applyFont="1" applyBorder="1" applyAlignment="1" applyProtection="1">
      <alignment horizontal="left" vertical="center" wrapText="1"/>
    </xf>
    <xf numFmtId="0" fontId="6" fillId="0" borderId="12" xfId="0" applyFont="1" applyBorder="1" applyAlignment="1" applyProtection="1">
      <alignment horizontal="left" vertical="center" wrapText="1"/>
    </xf>
    <xf numFmtId="0" fontId="6" fillId="0" borderId="44" xfId="0" applyFont="1" applyBorder="1" applyAlignment="1" applyProtection="1">
      <alignment horizontal="left" vertical="center" wrapText="1"/>
    </xf>
    <xf numFmtId="0" fontId="38" fillId="8" borderId="1" xfId="0" applyFont="1" applyFill="1" applyBorder="1" applyAlignment="1" applyProtection="1">
      <alignment horizontal="center" vertical="center"/>
    </xf>
    <xf numFmtId="0" fontId="6" fillId="0" borderId="26" xfId="0" applyFont="1" applyBorder="1" applyAlignment="1" applyProtection="1">
      <alignment horizontal="left" vertical="top" wrapText="1"/>
    </xf>
    <xf numFmtId="0" fontId="6" fillId="0" borderId="24" xfId="0" applyFont="1" applyBorder="1" applyAlignment="1" applyProtection="1">
      <alignment horizontal="left" vertical="top" wrapText="1"/>
    </xf>
    <xf numFmtId="0" fontId="6" fillId="0" borderId="0" xfId="0" applyFont="1" applyBorder="1" applyAlignment="1" applyProtection="1">
      <alignment horizontal="left" vertical="top" wrapText="1"/>
    </xf>
    <xf numFmtId="0" fontId="6" fillId="0" borderId="49" xfId="0" applyFont="1" applyBorder="1" applyAlignment="1" applyProtection="1">
      <alignment horizontal="left" vertical="top" wrapText="1"/>
    </xf>
    <xf numFmtId="0" fontId="6" fillId="0" borderId="1" xfId="0" applyFont="1" applyBorder="1" applyAlignment="1" applyProtection="1">
      <alignment horizontal="center" vertical="center" wrapText="1"/>
    </xf>
    <xf numFmtId="0" fontId="6" fillId="0" borderId="42" xfId="0" applyFont="1" applyBorder="1" applyAlignment="1" applyProtection="1">
      <alignment horizontal="left" vertical="center"/>
    </xf>
    <xf numFmtId="0" fontId="6" fillId="0" borderId="18" xfId="0" applyFont="1" applyBorder="1" applyAlignment="1" applyProtection="1">
      <alignment horizontal="left" vertical="center"/>
    </xf>
    <xf numFmtId="0" fontId="6" fillId="0" borderId="19" xfId="0" applyFont="1" applyBorder="1" applyAlignment="1" applyProtection="1">
      <alignment horizontal="left" vertical="center"/>
    </xf>
    <xf numFmtId="0" fontId="6" fillId="0" borderId="10" xfId="0" applyFont="1" applyBorder="1" applyAlignment="1" applyProtection="1">
      <alignment horizontal="left" vertical="center"/>
    </xf>
    <xf numFmtId="0" fontId="6" fillId="0" borderId="11" xfId="0" applyFont="1" applyBorder="1" applyAlignment="1" applyProtection="1">
      <alignment horizontal="left" vertical="center"/>
    </xf>
    <xf numFmtId="0" fontId="38" fillId="7" borderId="58" xfId="0" applyFont="1" applyFill="1" applyBorder="1" applyAlignment="1" applyProtection="1">
      <alignment horizontal="left"/>
    </xf>
    <xf numFmtId="0" fontId="38" fillId="7" borderId="59" xfId="0" applyFont="1" applyFill="1" applyBorder="1" applyAlignment="1" applyProtection="1">
      <alignment horizontal="left"/>
    </xf>
    <xf numFmtId="0" fontId="38" fillId="7" borderId="60" xfId="0" applyFont="1" applyFill="1" applyBorder="1" applyAlignment="1" applyProtection="1">
      <alignment horizontal="left"/>
    </xf>
    <xf numFmtId="0" fontId="38" fillId="8" borderId="5" xfId="0" applyFont="1" applyFill="1" applyBorder="1" applyAlignment="1" applyProtection="1">
      <alignment horizontal="center" vertical="center" wrapText="1"/>
    </xf>
    <xf numFmtId="0" fontId="51" fillId="0" borderId="17" xfId="0" applyFont="1" applyBorder="1" applyAlignment="1" applyProtection="1">
      <alignment horizontal="left" vertical="top" wrapText="1"/>
    </xf>
    <xf numFmtId="0" fontId="51" fillId="0" borderId="18" xfId="0" applyFont="1" applyBorder="1" applyAlignment="1" applyProtection="1">
      <alignment horizontal="left" vertical="top" wrapText="1"/>
    </xf>
    <xf numFmtId="0" fontId="51" fillId="0" borderId="55" xfId="0" applyFont="1" applyBorder="1" applyAlignment="1" applyProtection="1">
      <alignment horizontal="left" vertical="top" wrapText="1"/>
    </xf>
    <xf numFmtId="0" fontId="38" fillId="0" borderId="51" xfId="0" applyFont="1" applyBorder="1" applyAlignment="1" applyProtection="1">
      <alignment horizontal="left"/>
    </xf>
    <xf numFmtId="0" fontId="38" fillId="0" borderId="0" xfId="0" applyFont="1" applyBorder="1" applyAlignment="1" applyProtection="1">
      <alignment horizontal="left"/>
    </xf>
    <xf numFmtId="0" fontId="38" fillId="0" borderId="35" xfId="0" applyFont="1" applyBorder="1" applyAlignment="1" applyProtection="1">
      <alignment horizontal="center"/>
    </xf>
    <xf numFmtId="0" fontId="38" fillId="0" borderId="13" xfId="0" applyFont="1" applyBorder="1" applyAlignment="1" applyProtection="1">
      <alignment horizontal="center"/>
    </xf>
    <xf numFmtId="0" fontId="38" fillId="0" borderId="32" xfId="0" applyFont="1" applyBorder="1" applyAlignment="1" applyProtection="1">
      <alignment horizontal="center"/>
    </xf>
    <xf numFmtId="0" fontId="38" fillId="8" borderId="16" xfId="0" applyFont="1" applyFill="1" applyBorder="1" applyAlignment="1" applyProtection="1">
      <alignment horizontal="center" vertical="center"/>
    </xf>
    <xf numFmtId="0" fontId="38" fillId="8" borderId="44" xfId="0" applyFont="1" applyFill="1" applyBorder="1" applyAlignment="1" applyProtection="1">
      <alignment horizontal="center" vertical="center"/>
    </xf>
    <xf numFmtId="0" fontId="38" fillId="8" borderId="5" xfId="0" applyFont="1" applyFill="1" applyBorder="1" applyAlignment="1" applyProtection="1">
      <alignment horizontal="center" vertical="center"/>
    </xf>
    <xf numFmtId="0" fontId="38" fillId="8" borderId="6" xfId="0" applyFont="1" applyFill="1" applyBorder="1" applyAlignment="1" applyProtection="1">
      <alignment horizontal="center" vertical="center"/>
    </xf>
    <xf numFmtId="0" fontId="78" fillId="0" borderId="58" xfId="0" applyFont="1" applyBorder="1" applyAlignment="1" applyProtection="1">
      <alignment horizontal="center" vertical="center" wrapText="1"/>
    </xf>
    <xf numFmtId="0" fontId="78" fillId="0" borderId="60" xfId="0" applyFont="1" applyBorder="1" applyAlignment="1" applyProtection="1">
      <alignment horizontal="center" vertical="center" wrapText="1"/>
    </xf>
    <xf numFmtId="0" fontId="78" fillId="0" borderId="51" xfId="0" applyFont="1" applyBorder="1" applyAlignment="1" applyProtection="1">
      <alignment horizontal="center" vertical="center" wrapText="1"/>
    </xf>
    <xf numFmtId="0" fontId="78" fillId="0" borderId="52" xfId="0" applyFont="1" applyBorder="1" applyAlignment="1" applyProtection="1">
      <alignment horizontal="center" vertical="center" wrapText="1"/>
    </xf>
    <xf numFmtId="0" fontId="78" fillId="0" borderId="53" xfId="0" applyFont="1" applyBorder="1" applyAlignment="1" applyProtection="1">
      <alignment horizontal="center" vertical="center" wrapText="1"/>
    </xf>
    <xf numFmtId="0" fontId="78" fillId="0" borderId="61" xfId="0" applyFont="1" applyBorder="1" applyAlignment="1" applyProtection="1">
      <alignment horizontal="center" vertical="center" wrapText="1"/>
    </xf>
    <xf numFmtId="0" fontId="6" fillId="0" borderId="15" xfId="0" applyFont="1" applyBorder="1" applyAlignment="1" applyProtection="1">
      <alignment horizontal="center" vertical="center" wrapText="1"/>
    </xf>
    <xf numFmtId="0" fontId="6" fillId="0" borderId="14" xfId="0" applyFont="1" applyBorder="1" applyAlignment="1" applyProtection="1">
      <alignment horizontal="center" vertical="center" wrapText="1"/>
    </xf>
    <xf numFmtId="166" fontId="6" fillId="0" borderId="2" xfId="0" applyNumberFormat="1" applyFont="1" applyBorder="1" applyAlignment="1" applyProtection="1">
      <alignment horizontal="center" vertical="center" wrapText="1"/>
    </xf>
    <xf numFmtId="166" fontId="6" fillId="0" borderId="3" xfId="0" applyNumberFormat="1" applyFont="1" applyBorder="1" applyAlignment="1" applyProtection="1">
      <alignment horizontal="center" vertical="center" wrapText="1"/>
    </xf>
    <xf numFmtId="166" fontId="6" fillId="0" borderId="50" xfId="0" applyNumberFormat="1" applyFont="1" applyBorder="1" applyAlignment="1" applyProtection="1">
      <alignment horizontal="center" vertical="center" wrapText="1"/>
    </xf>
    <xf numFmtId="0" fontId="6" fillId="0" borderId="17" xfId="0" applyFont="1" applyBorder="1" applyAlignment="1" applyProtection="1">
      <alignment horizontal="center" vertical="center" wrapText="1"/>
    </xf>
    <xf numFmtId="0" fontId="6" fillId="0" borderId="19" xfId="0" applyFont="1" applyBorder="1" applyAlignment="1" applyProtection="1">
      <alignment horizontal="center" vertical="center" wrapText="1"/>
    </xf>
    <xf numFmtId="166" fontId="6" fillId="0" borderId="10" xfId="0" applyNumberFormat="1" applyFont="1" applyBorder="1" applyAlignment="1" applyProtection="1">
      <alignment horizontal="center" vertical="center" wrapText="1"/>
    </xf>
    <xf numFmtId="166" fontId="6" fillId="0" borderId="11" xfId="0" applyNumberFormat="1" applyFont="1" applyBorder="1" applyAlignment="1" applyProtection="1">
      <alignment horizontal="center" vertical="center" wrapText="1"/>
    </xf>
    <xf numFmtId="0" fontId="6" fillId="0" borderId="10" xfId="0" applyFont="1" applyBorder="1" applyAlignment="1" applyProtection="1">
      <alignment horizontal="center" vertical="center" wrapText="1"/>
    </xf>
    <xf numFmtId="0" fontId="38" fillId="0" borderId="51" xfId="0" applyFont="1" applyFill="1" applyBorder="1" applyAlignment="1" applyProtection="1">
      <alignment horizontal="left"/>
    </xf>
    <xf numFmtId="0" fontId="38" fillId="0" borderId="0" xfId="0" applyFont="1" applyFill="1" applyBorder="1" applyAlignment="1" applyProtection="1">
      <alignment horizontal="left"/>
    </xf>
    <xf numFmtId="0" fontId="50" fillId="0" borderId="17" xfId="0" applyFont="1" applyBorder="1" applyAlignment="1" applyProtection="1">
      <alignment horizontal="center" vertical="center" wrapText="1"/>
    </xf>
    <xf numFmtId="0" fontId="50" fillId="0" borderId="55" xfId="0" applyFont="1" applyBorder="1" applyAlignment="1" applyProtection="1">
      <alignment horizontal="center" vertical="center" wrapText="1"/>
    </xf>
    <xf numFmtId="0" fontId="38" fillId="8" borderId="47" xfId="0" applyFont="1" applyFill="1" applyBorder="1" applyAlignment="1" applyProtection="1">
      <alignment horizontal="center" vertical="center"/>
    </xf>
    <xf numFmtId="0" fontId="38" fillId="8" borderId="20" xfId="0" applyFont="1" applyFill="1" applyBorder="1" applyAlignment="1" applyProtection="1">
      <alignment horizontal="center" vertical="center"/>
    </xf>
    <xf numFmtId="0" fontId="38" fillId="8" borderId="48" xfId="0" applyFont="1" applyFill="1" applyBorder="1" applyAlignment="1" applyProtection="1">
      <alignment horizontal="center" vertical="center"/>
    </xf>
    <xf numFmtId="0" fontId="6" fillId="0" borderId="9" xfId="0" applyFont="1" applyBorder="1" applyAlignment="1" applyProtection="1">
      <alignment horizontal="center" vertical="center"/>
    </xf>
    <xf numFmtId="0" fontId="6" fillId="0" borderId="10" xfId="0" applyFont="1" applyBorder="1" applyAlignment="1" applyProtection="1">
      <alignment horizontal="center" vertical="center"/>
    </xf>
    <xf numFmtId="0" fontId="6" fillId="0" borderId="11" xfId="0" applyFont="1" applyBorder="1" applyAlignment="1" applyProtection="1">
      <alignment horizontal="center" vertical="center"/>
    </xf>
    <xf numFmtId="0" fontId="39" fillId="7" borderId="15" xfId="0" applyFont="1" applyFill="1" applyBorder="1" applyAlignment="1">
      <alignment horizontal="center" vertical="center" wrapText="1"/>
    </xf>
    <xf numFmtId="0" fontId="39" fillId="7" borderId="3" xfId="0" applyFont="1" applyFill="1" applyBorder="1" applyAlignment="1">
      <alignment horizontal="center" vertical="center" wrapText="1"/>
    </xf>
    <xf numFmtId="0" fontId="39" fillId="7" borderId="14" xfId="0" applyFont="1" applyFill="1" applyBorder="1" applyAlignment="1">
      <alignment horizontal="center" vertical="center" wrapText="1"/>
    </xf>
    <xf numFmtId="0" fontId="11" fillId="0" borderId="0" xfId="0" applyFont="1" applyAlignment="1">
      <alignment horizontal="left" vertical="center"/>
    </xf>
    <xf numFmtId="0" fontId="8" fillId="6" borderId="45" xfId="0" applyFont="1" applyFill="1" applyBorder="1" applyAlignment="1">
      <alignment horizontal="center" vertical="center"/>
    </xf>
    <xf numFmtId="0" fontId="8" fillId="6" borderId="46" xfId="0" applyFont="1" applyFill="1" applyBorder="1" applyAlignment="1">
      <alignment horizontal="center" vertical="center"/>
    </xf>
    <xf numFmtId="0" fontId="8" fillId="6" borderId="54" xfId="0" applyFont="1" applyFill="1" applyBorder="1" applyAlignment="1">
      <alignment horizontal="center" vertical="center"/>
    </xf>
    <xf numFmtId="0" fontId="6" fillId="0" borderId="34" xfId="0" applyFont="1" applyBorder="1" applyAlignment="1">
      <alignment horizontal="left" vertical="center" wrapText="1"/>
    </xf>
    <xf numFmtId="0" fontId="6" fillId="0" borderId="40" xfId="0" applyFont="1" applyBorder="1" applyAlignment="1">
      <alignment horizontal="left" vertical="center" wrapText="1"/>
    </xf>
    <xf numFmtId="0" fontId="8" fillId="6" borderId="16" xfId="0" applyFont="1" applyFill="1" applyBorder="1" applyAlignment="1">
      <alignment horizontal="center" vertical="center"/>
    </xf>
    <xf numFmtId="0" fontId="8" fillId="6" borderId="12" xfId="0" applyFont="1" applyFill="1" applyBorder="1" applyAlignment="1">
      <alignment horizontal="center" vertical="center"/>
    </xf>
    <xf numFmtId="0" fontId="8" fillId="6" borderId="44" xfId="0" applyFont="1" applyFill="1" applyBorder="1" applyAlignment="1">
      <alignment horizontal="center" vertical="center"/>
    </xf>
    <xf numFmtId="0" fontId="49" fillId="7" borderId="58" xfId="0" applyFont="1" applyFill="1" applyBorder="1" applyAlignment="1">
      <alignment horizontal="center" vertical="center" wrapText="1"/>
    </xf>
    <xf numFmtId="0" fontId="49" fillId="7" borderId="59" xfId="0" applyFont="1" applyFill="1" applyBorder="1" applyAlignment="1">
      <alignment horizontal="center" vertical="center" wrapText="1"/>
    </xf>
    <xf numFmtId="0" fontId="49" fillId="7" borderId="60" xfId="0" applyFont="1" applyFill="1" applyBorder="1" applyAlignment="1">
      <alignment horizontal="center" vertical="center" wrapText="1"/>
    </xf>
    <xf numFmtId="0" fontId="49" fillId="7" borderId="51" xfId="0" applyFont="1" applyFill="1" applyBorder="1" applyAlignment="1">
      <alignment horizontal="center" vertical="center" wrapText="1"/>
    </xf>
    <xf numFmtId="0" fontId="49" fillId="7" borderId="0" xfId="0" applyFont="1" applyFill="1" applyAlignment="1">
      <alignment horizontal="center" vertical="center" wrapText="1"/>
    </xf>
    <xf numFmtId="0" fontId="49" fillId="7" borderId="52" xfId="0" applyFont="1" applyFill="1" applyBorder="1" applyAlignment="1">
      <alignment horizontal="center" vertical="center" wrapText="1"/>
    </xf>
    <xf numFmtId="0" fontId="49" fillId="7" borderId="33" xfId="0" applyFont="1" applyFill="1" applyBorder="1" applyAlignment="1">
      <alignment horizontal="center" vertical="center" wrapText="1"/>
    </xf>
    <xf numFmtId="0" fontId="49" fillId="7" borderId="13" xfId="0" applyFont="1" applyFill="1" applyBorder="1" applyAlignment="1">
      <alignment horizontal="center" vertical="center" wrapText="1"/>
    </xf>
    <xf numFmtId="0" fontId="49" fillId="7" borderId="32" xfId="0" applyFont="1" applyFill="1" applyBorder="1" applyAlignment="1">
      <alignment horizontal="center" vertical="center" wrapText="1"/>
    </xf>
    <xf numFmtId="0" fontId="6" fillId="0" borderId="34" xfId="0" applyFont="1" applyBorder="1" applyAlignment="1">
      <alignment horizontal="left" vertical="top" wrapText="1"/>
    </xf>
    <xf numFmtId="0" fontId="6" fillId="0" borderId="35" xfId="0" applyFont="1" applyBorder="1" applyAlignment="1">
      <alignment horizontal="left" vertical="top" wrapText="1"/>
    </xf>
    <xf numFmtId="0" fontId="6" fillId="0" borderId="40" xfId="0" applyFont="1" applyBorder="1" applyAlignment="1">
      <alignment horizontal="left" vertical="top" wrapText="1"/>
    </xf>
    <xf numFmtId="0" fontId="7" fillId="0" borderId="0" xfId="0" applyFont="1" applyAlignment="1">
      <alignment horizontal="center" vertical="center" wrapText="1"/>
    </xf>
    <xf numFmtId="0" fontId="8" fillId="0" borderId="0" xfId="0" applyFont="1" applyAlignment="1">
      <alignment horizontal="left"/>
    </xf>
    <xf numFmtId="0" fontId="8" fillId="6" borderId="4" xfId="0" applyFont="1" applyFill="1" applyBorder="1" applyAlignment="1">
      <alignment horizontal="center" vertical="center"/>
    </xf>
    <xf numFmtId="0" fontId="8" fillId="6" borderId="5" xfId="0" applyFont="1" applyFill="1" applyBorder="1" applyAlignment="1">
      <alignment horizontal="center" vertical="center"/>
    </xf>
    <xf numFmtId="0" fontId="6" fillId="0" borderId="7" xfId="0" applyFont="1" applyBorder="1" applyAlignment="1">
      <alignment horizontal="left" vertical="center" wrapText="1"/>
    </xf>
    <xf numFmtId="0" fontId="6" fillId="0" borderId="1" xfId="0" applyFont="1" applyBorder="1" applyAlignment="1">
      <alignment horizontal="left" vertical="center" wrapText="1"/>
    </xf>
    <xf numFmtId="0" fontId="39" fillId="0" borderId="1" xfId="0" applyFont="1" applyBorder="1" applyAlignment="1">
      <alignment horizontal="center" vertical="center"/>
    </xf>
    <xf numFmtId="0" fontId="39" fillId="0" borderId="20" xfId="0" applyFont="1" applyBorder="1" applyAlignment="1">
      <alignment horizontal="center" vertical="center"/>
    </xf>
    <xf numFmtId="0" fontId="6" fillId="0" borderId="15" xfId="0" applyFont="1" applyBorder="1" applyAlignment="1">
      <alignment horizontal="left" vertical="top" wrapText="1"/>
    </xf>
    <xf numFmtId="0" fontId="6" fillId="0" borderId="3" xfId="0" applyFont="1" applyBorder="1" applyAlignment="1">
      <alignment horizontal="left" vertical="top" wrapText="1"/>
    </xf>
    <xf numFmtId="0" fontId="6" fillId="0" borderId="17" xfId="0" applyFont="1" applyBorder="1" applyAlignment="1">
      <alignment horizontal="left" vertical="center" wrapText="1"/>
    </xf>
    <xf numFmtId="0" fontId="6" fillId="0" borderId="18" xfId="0" applyFont="1" applyBorder="1" applyAlignment="1">
      <alignment horizontal="left" vertical="center" wrapText="1"/>
    </xf>
    <xf numFmtId="0" fontId="39" fillId="0" borderId="42" xfId="0" applyFont="1" applyBorder="1" applyAlignment="1">
      <alignment horizontal="center" vertical="center"/>
    </xf>
    <xf numFmtId="0" fontId="39" fillId="0" borderId="18" xfId="0" applyFont="1" applyBorder="1" applyAlignment="1">
      <alignment horizontal="center" vertical="center"/>
    </xf>
    <xf numFmtId="0" fontId="39" fillId="0" borderId="19" xfId="0" applyFont="1" applyBorder="1" applyAlignment="1">
      <alignment horizontal="center" vertical="center"/>
    </xf>
    <xf numFmtId="0" fontId="7" fillId="0" borderId="0" xfId="0" applyFont="1" applyAlignment="1">
      <alignment horizontal="center" vertical="center"/>
    </xf>
    <xf numFmtId="0" fontId="39" fillId="0" borderId="2" xfId="0" applyFont="1" applyBorder="1" applyAlignment="1">
      <alignment horizontal="center" vertical="top"/>
    </xf>
    <xf numFmtId="0" fontId="39" fillId="0" borderId="3" xfId="0" applyFont="1" applyBorder="1" applyAlignment="1">
      <alignment horizontal="center" vertical="top"/>
    </xf>
    <xf numFmtId="0" fontId="39" fillId="0" borderId="14" xfId="0" applyFont="1" applyBorder="1" applyAlignment="1">
      <alignment horizontal="center" vertical="top"/>
    </xf>
    <xf numFmtId="0" fontId="6" fillId="0" borderId="7" xfId="0" applyFont="1" applyBorder="1" applyAlignment="1">
      <alignment horizontal="left" vertical="top" wrapText="1"/>
    </xf>
    <xf numFmtId="0" fontId="6" fillId="0" borderId="1" xfId="0" applyFont="1" applyBorder="1" applyAlignment="1">
      <alignment horizontal="left" vertical="top" wrapText="1"/>
    </xf>
    <xf numFmtId="0" fontId="6" fillId="0" borderId="9" xfId="0" applyFont="1" applyBorder="1" applyAlignment="1">
      <alignment horizontal="left" vertical="center" wrapText="1"/>
    </xf>
    <xf numFmtId="0" fontId="6" fillId="0" borderId="10" xfId="0" applyFont="1" applyBorder="1" applyAlignment="1">
      <alignment horizontal="left" vertical="center" wrapText="1"/>
    </xf>
    <xf numFmtId="0" fontId="39" fillId="0" borderId="10" xfId="0" applyFont="1" applyBorder="1" applyAlignment="1">
      <alignment horizontal="left" vertical="center"/>
    </xf>
    <xf numFmtId="0" fontId="7" fillId="0" borderId="0" xfId="0" applyFont="1" applyAlignment="1">
      <alignment horizontal="left" wrapText="1"/>
    </xf>
    <xf numFmtId="0" fontId="6" fillId="0" borderId="9" xfId="0" applyFont="1" applyBorder="1" applyAlignment="1">
      <alignment vertical="top" wrapText="1"/>
    </xf>
    <xf numFmtId="0" fontId="6" fillId="0" borderId="10" xfId="0" applyFont="1" applyBorder="1" applyAlignment="1">
      <alignment vertical="top" wrapText="1"/>
    </xf>
    <xf numFmtId="0" fontId="8" fillId="6" borderId="43" xfId="0" applyFont="1" applyFill="1" applyBorder="1" applyAlignment="1">
      <alignment horizontal="center" vertical="center"/>
    </xf>
    <xf numFmtId="0" fontId="6" fillId="0" borderId="15" xfId="0" applyFont="1" applyBorder="1" applyAlignment="1">
      <alignment horizontal="left" vertical="center" wrapText="1"/>
    </xf>
    <xf numFmtId="0" fontId="6" fillId="0" borderId="3" xfId="0" applyFont="1" applyBorder="1" applyAlignment="1">
      <alignment horizontal="left" vertical="center" wrapText="1"/>
    </xf>
    <xf numFmtId="0" fontId="38" fillId="6" borderId="5" xfId="0" applyFont="1" applyFill="1" applyBorder="1" applyAlignment="1">
      <alignment horizontal="center" vertical="center" wrapText="1"/>
    </xf>
    <xf numFmtId="0" fontId="41" fillId="6" borderId="67" xfId="0" applyFont="1" applyFill="1" applyBorder="1" applyAlignment="1">
      <alignment horizontal="center" vertical="center"/>
    </xf>
    <xf numFmtId="0" fontId="41" fillId="6" borderId="59" xfId="0" applyFont="1" applyFill="1" applyBorder="1" applyAlignment="1">
      <alignment horizontal="center" vertical="center"/>
    </xf>
    <xf numFmtId="0" fontId="41" fillId="6" borderId="68" xfId="0" applyFont="1" applyFill="1" applyBorder="1" applyAlignment="1">
      <alignment horizontal="center" vertical="center"/>
    </xf>
    <xf numFmtId="0" fontId="41" fillId="6" borderId="23" xfId="0" applyFont="1" applyFill="1" applyBorder="1" applyAlignment="1">
      <alignment horizontal="center" vertical="center"/>
    </xf>
    <xf numFmtId="0" fontId="41" fillId="6" borderId="21" xfId="0" applyFont="1" applyFill="1" applyBorder="1" applyAlignment="1">
      <alignment horizontal="center" vertical="center"/>
    </xf>
    <xf numFmtId="0" fontId="41" fillId="6" borderId="22" xfId="0" applyFont="1" applyFill="1" applyBorder="1" applyAlignment="1">
      <alignment horizontal="center" vertical="center"/>
    </xf>
    <xf numFmtId="0" fontId="41" fillId="6" borderId="6" xfId="0" applyFont="1" applyFill="1" applyBorder="1" applyAlignment="1">
      <alignment horizontal="center" vertical="center"/>
    </xf>
    <xf numFmtId="0" fontId="41" fillId="6" borderId="8" xfId="0" applyFont="1" applyFill="1" applyBorder="1" applyAlignment="1">
      <alignment horizontal="center" vertical="center"/>
    </xf>
    <xf numFmtId="0" fontId="29" fillId="0" borderId="1" xfId="0" applyFont="1" applyBorder="1" applyAlignment="1">
      <alignment horizontal="center"/>
    </xf>
    <xf numFmtId="0" fontId="7" fillId="0" borderId="0" xfId="0" applyFont="1" applyAlignment="1">
      <alignment horizontal="left" vertical="center" wrapText="1"/>
    </xf>
    <xf numFmtId="0" fontId="7" fillId="0" borderId="13" xfId="0" applyFont="1" applyBorder="1" applyAlignment="1">
      <alignment horizontal="left" vertical="center" wrapText="1"/>
    </xf>
    <xf numFmtId="0" fontId="8" fillId="6" borderId="5" xfId="0" applyFont="1" applyFill="1" applyBorder="1" applyAlignment="1">
      <alignment horizontal="center" vertical="center" wrapText="1"/>
    </xf>
    <xf numFmtId="0" fontId="78" fillId="6" borderId="4" xfId="0" applyFont="1" applyFill="1" applyBorder="1" applyAlignment="1">
      <alignment horizontal="center" vertical="center"/>
    </xf>
    <xf numFmtId="0" fontId="78" fillId="6" borderId="5" xfId="0" applyFont="1" applyFill="1" applyBorder="1" applyAlignment="1">
      <alignment horizontal="center" vertical="center"/>
    </xf>
    <xf numFmtId="0" fontId="78" fillId="6" borderId="7" xfId="0" applyFont="1" applyFill="1" applyBorder="1" applyAlignment="1">
      <alignment horizontal="center" vertical="center"/>
    </xf>
    <xf numFmtId="0" fontId="78" fillId="6" borderId="1" xfId="0" applyFont="1" applyFill="1" applyBorder="1" applyAlignment="1">
      <alignment horizontal="center" vertical="center"/>
    </xf>
    <xf numFmtId="0" fontId="8" fillId="0" borderId="64" xfId="0" applyFont="1" applyBorder="1" applyAlignment="1">
      <alignment horizontal="left" vertical="center"/>
    </xf>
    <xf numFmtId="0" fontId="8" fillId="0" borderId="13" xfId="0" applyFont="1" applyBorder="1" applyAlignment="1">
      <alignment horizontal="left" vertical="center"/>
    </xf>
    <xf numFmtId="0" fontId="8" fillId="0" borderId="65" xfId="0" applyFont="1" applyBorder="1" applyAlignment="1">
      <alignment horizontal="left" vertical="center"/>
    </xf>
    <xf numFmtId="0" fontId="6" fillId="0" borderId="0" xfId="0" applyFont="1" applyAlignment="1">
      <alignment horizontal="left" vertical="center" wrapText="1"/>
    </xf>
    <xf numFmtId="0" fontId="8" fillId="0" borderId="0" xfId="0" applyFont="1" applyAlignment="1">
      <alignment horizontal="center" vertical="center"/>
    </xf>
    <xf numFmtId="0" fontId="1" fillId="0" borderId="7"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left"/>
    </xf>
    <xf numFmtId="0" fontId="1" fillId="0" borderId="3" xfId="0" applyFont="1" applyBorder="1" applyAlignment="1">
      <alignment horizontal="left"/>
    </xf>
    <xf numFmtId="0" fontId="1" fillId="0" borderId="14" xfId="0" applyFont="1" applyBorder="1" applyAlignment="1">
      <alignment horizontal="left"/>
    </xf>
    <xf numFmtId="0" fontId="1" fillId="0" borderId="9" xfId="0" applyFont="1" applyBorder="1" applyAlignment="1">
      <alignment horizontal="center"/>
    </xf>
    <xf numFmtId="0" fontId="1" fillId="0" borderId="10" xfId="0" applyFont="1" applyBorder="1" applyAlignment="1">
      <alignment horizontal="center"/>
    </xf>
    <xf numFmtId="0" fontId="1" fillId="0" borderId="42" xfId="0" applyFont="1" applyBorder="1" applyAlignment="1">
      <alignment horizontal="left"/>
    </xf>
    <xf numFmtId="0" fontId="1" fillId="0" borderId="18" xfId="0" applyFont="1" applyBorder="1" applyAlignment="1">
      <alignment horizontal="left"/>
    </xf>
    <xf numFmtId="0" fontId="1" fillId="0" borderId="19" xfId="0" applyFont="1" applyBorder="1" applyAlignment="1">
      <alignment horizontal="left"/>
    </xf>
    <xf numFmtId="0" fontId="7" fillId="0" borderId="13" xfId="0" applyFont="1" applyBorder="1" applyAlignment="1">
      <alignment horizontal="left" wrapText="1"/>
    </xf>
    <xf numFmtId="0" fontId="7" fillId="6" borderId="43" xfId="0" applyFont="1" applyFill="1" applyBorder="1" applyAlignment="1">
      <alignment horizontal="center" vertical="center"/>
    </xf>
    <xf numFmtId="0" fontId="7" fillId="6" borderId="12" xfId="0" applyFont="1" applyFill="1" applyBorder="1" applyAlignment="1">
      <alignment horizontal="center" vertical="center"/>
    </xf>
    <xf numFmtId="0" fontId="7" fillId="6" borderId="44" xfId="0" applyFont="1" applyFill="1" applyBorder="1" applyAlignment="1">
      <alignment horizontal="center" vertical="center"/>
    </xf>
    <xf numFmtId="0" fontId="29" fillId="0" borderId="10" xfId="0" applyFont="1" applyBorder="1" applyAlignment="1">
      <alignment horizontal="center"/>
    </xf>
    <xf numFmtId="0" fontId="1" fillId="0" borderId="15" xfId="0" applyFont="1" applyBorder="1" applyAlignment="1">
      <alignment horizontal="center"/>
    </xf>
    <xf numFmtId="0" fontId="1" fillId="0" borderId="3" xfId="0" applyFont="1" applyBorder="1" applyAlignment="1">
      <alignment horizontal="center"/>
    </xf>
    <xf numFmtId="0" fontId="1" fillId="0" borderId="14" xfId="0" applyFont="1" applyBorder="1" applyAlignment="1">
      <alignment horizontal="center"/>
    </xf>
    <xf numFmtId="0" fontId="8" fillId="0" borderId="0" xfId="0" applyFont="1" applyAlignment="1">
      <alignment horizontal="left" vertical="center"/>
    </xf>
    <xf numFmtId="0" fontId="29" fillId="0" borderId="42" xfId="0" applyFont="1" applyBorder="1" applyAlignment="1">
      <alignment horizontal="center"/>
    </xf>
    <xf numFmtId="0" fontId="29" fillId="0" borderId="18" xfId="0" applyFont="1" applyBorder="1" applyAlignment="1">
      <alignment horizontal="center"/>
    </xf>
    <xf numFmtId="0" fontId="29" fillId="0" borderId="19" xfId="0" applyFont="1" applyBorder="1" applyAlignment="1">
      <alignment horizontal="center"/>
    </xf>
    <xf numFmtId="0" fontId="8" fillId="6" borderId="43" xfId="0" applyFont="1" applyFill="1" applyBorder="1" applyAlignment="1">
      <alignment horizontal="center" vertical="center" wrapText="1"/>
    </xf>
    <xf numFmtId="0" fontId="8" fillId="6" borderId="12" xfId="0" applyFont="1" applyFill="1" applyBorder="1" applyAlignment="1">
      <alignment horizontal="center" vertical="center" wrapText="1"/>
    </xf>
    <xf numFmtId="0" fontId="1" fillId="0" borderId="2" xfId="0" applyFont="1" applyBorder="1" applyAlignment="1">
      <alignment horizontal="center"/>
    </xf>
    <xf numFmtId="0" fontId="1" fillId="0" borderId="42" xfId="0" applyFont="1" applyBorder="1" applyAlignment="1">
      <alignment horizontal="center"/>
    </xf>
    <xf numFmtId="0" fontId="1" fillId="0" borderId="18" xfId="0" applyFont="1" applyBorder="1" applyAlignment="1">
      <alignment horizontal="center"/>
    </xf>
    <xf numFmtId="0" fontId="29" fillId="0" borderId="2" xfId="0" applyFont="1" applyBorder="1" applyAlignment="1">
      <alignment horizontal="center"/>
    </xf>
    <xf numFmtId="0" fontId="29" fillId="0" borderId="3" xfId="0" applyFont="1" applyBorder="1" applyAlignment="1">
      <alignment horizontal="center"/>
    </xf>
    <xf numFmtId="0" fontId="29" fillId="0" borderId="14" xfId="0" applyFont="1" applyBorder="1" applyAlignment="1">
      <alignment horizontal="center"/>
    </xf>
    <xf numFmtId="0" fontId="1" fillId="0" borderId="17" xfId="0" applyFont="1" applyBorder="1" applyAlignment="1">
      <alignment horizontal="center"/>
    </xf>
    <xf numFmtId="0" fontId="1" fillId="0" borderId="19" xfId="0" applyFont="1" applyBorder="1" applyAlignment="1">
      <alignment horizontal="center"/>
    </xf>
    <xf numFmtId="0" fontId="54" fillId="8" borderId="1" xfId="0" applyFont="1" applyFill="1" applyBorder="1" applyAlignment="1">
      <alignment horizontal="center" vertical="center" wrapText="1"/>
    </xf>
    <xf numFmtId="0" fontId="54" fillId="8" borderId="1" xfId="0" applyFont="1" applyFill="1" applyBorder="1" applyAlignment="1">
      <alignment vertical="center"/>
    </xf>
    <xf numFmtId="0" fontId="54" fillId="8" borderId="1" xfId="0" applyFont="1" applyFill="1" applyBorder="1" applyAlignment="1"/>
    <xf numFmtId="0" fontId="41" fillId="8" borderId="30" xfId="0" applyFont="1" applyFill="1" applyBorder="1" applyAlignment="1">
      <alignment horizontal="center" vertical="center"/>
    </xf>
    <xf numFmtId="0" fontId="11" fillId="0" borderId="23" xfId="0" applyFont="1" applyFill="1" applyBorder="1" applyAlignment="1">
      <alignment horizontal="left" vertical="center"/>
    </xf>
    <xf numFmtId="0" fontId="11" fillId="0" borderId="21" xfId="0" applyFont="1" applyFill="1" applyBorder="1" applyAlignment="1">
      <alignment horizontal="left" vertical="center"/>
    </xf>
    <xf numFmtId="0" fontId="9" fillId="0" borderId="26" xfId="0" applyFont="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7" xfId="0" applyFont="1" applyBorder="1" applyAlignment="1" applyProtection="1">
      <alignment horizontal="left" vertical="center" wrapText="1"/>
      <protection locked="0"/>
    </xf>
    <xf numFmtId="0" fontId="53" fillId="8" borderId="1" xfId="0" applyFont="1" applyFill="1" applyBorder="1" applyAlignment="1">
      <alignment horizontal="center" vertical="center" wrapText="1"/>
    </xf>
    <xf numFmtId="0" fontId="41" fillId="8" borderId="1" xfId="0" applyFont="1" applyFill="1" applyBorder="1" applyAlignment="1" applyProtection="1">
      <alignment horizontal="center" vertical="center" wrapText="1"/>
      <protection locked="0"/>
    </xf>
    <xf numFmtId="0" fontId="53" fillId="8" borderId="1" xfId="0" applyFont="1" applyFill="1" applyBorder="1" applyAlignment="1" applyProtection="1">
      <alignment horizontal="center" vertical="center" wrapText="1"/>
      <protection locked="0"/>
    </xf>
    <xf numFmtId="0" fontId="41" fillId="8" borderId="1" xfId="0" applyFont="1" applyFill="1" applyBorder="1" applyAlignment="1">
      <alignment horizontal="center" vertical="center" wrapText="1"/>
    </xf>
    <xf numFmtId="0" fontId="41" fillId="8" borderId="30"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1" fillId="8" borderId="2" xfId="0" applyFont="1" applyFill="1" applyBorder="1" applyAlignment="1">
      <alignment horizontal="center" vertical="center" wrapText="1"/>
    </xf>
    <xf numFmtId="0" fontId="11" fillId="8" borderId="3" xfId="0" applyFont="1" applyFill="1" applyBorder="1" applyAlignment="1">
      <alignment horizontal="center" vertical="center" wrapText="1"/>
    </xf>
    <xf numFmtId="0" fontId="11" fillId="8" borderId="14" xfId="0" applyFont="1" applyFill="1" applyBorder="1" applyAlignment="1">
      <alignment horizontal="center" vertical="center" wrapText="1"/>
    </xf>
    <xf numFmtId="0" fontId="11" fillId="8" borderId="20" xfId="0" applyFont="1" applyFill="1" applyBorder="1" applyAlignment="1" applyProtection="1">
      <alignment horizontal="center" vertical="center" wrapText="1"/>
      <protection locked="0"/>
    </xf>
    <xf numFmtId="0" fontId="11" fillId="8" borderId="24" xfId="0" applyFont="1" applyFill="1" applyBorder="1" applyAlignment="1">
      <alignment horizontal="center" vertical="center" wrapText="1"/>
    </xf>
    <xf numFmtId="0" fontId="11" fillId="8" borderId="26"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41" fillId="8" borderId="26" xfId="0" applyFont="1" applyFill="1" applyBorder="1" applyAlignment="1" applyProtection="1">
      <alignment horizontal="center" vertical="center" wrapText="1"/>
      <protection locked="0"/>
    </xf>
    <xf numFmtId="0" fontId="41" fillId="8" borderId="24" xfId="0" applyFont="1" applyFill="1" applyBorder="1" applyAlignment="1" applyProtection="1">
      <alignment horizontal="center" vertical="center" wrapText="1"/>
      <protection locked="0"/>
    </xf>
    <xf numFmtId="0" fontId="41" fillId="8" borderId="27" xfId="0" applyFont="1" applyFill="1" applyBorder="1" applyAlignment="1" applyProtection="1">
      <alignment horizontal="center" vertical="center" wrapText="1"/>
      <protection locked="0"/>
    </xf>
    <xf numFmtId="0" fontId="41" fillId="0" borderId="26" xfId="0" applyFont="1" applyFill="1" applyBorder="1" applyAlignment="1">
      <alignment horizontal="center" vertical="center"/>
    </xf>
    <xf numFmtId="0" fontId="41" fillId="0" borderId="24" xfId="0" applyFont="1" applyFill="1" applyBorder="1" applyAlignment="1">
      <alignment horizontal="center" vertical="center"/>
    </xf>
    <xf numFmtId="0" fontId="9" fillId="0" borderId="24" xfId="0" applyFont="1" applyFill="1" applyBorder="1" applyAlignment="1" applyProtection="1">
      <alignment horizontal="left" vertical="center" wrapText="1"/>
      <protection locked="0"/>
    </xf>
    <xf numFmtId="0" fontId="9" fillId="0" borderId="26" xfId="0" applyFont="1" applyFill="1" applyBorder="1" applyAlignment="1" applyProtection="1">
      <alignment horizontal="left" vertical="center" wrapText="1"/>
      <protection locked="0"/>
    </xf>
    <xf numFmtId="0" fontId="9" fillId="0" borderId="27" xfId="0" applyFont="1" applyFill="1" applyBorder="1" applyAlignment="1" applyProtection="1">
      <alignment horizontal="left" vertical="center" wrapText="1"/>
      <protection locked="0"/>
    </xf>
    <xf numFmtId="0" fontId="41" fillId="8" borderId="2" xfId="0" applyFont="1" applyFill="1" applyBorder="1" applyAlignment="1">
      <alignment horizontal="center" vertical="center" wrapText="1"/>
    </xf>
    <xf numFmtId="0" fontId="41" fillId="8" borderId="3" xfId="0" applyFont="1" applyFill="1" applyBorder="1" applyAlignment="1">
      <alignment horizontal="center" vertical="center" wrapText="1"/>
    </xf>
    <xf numFmtId="0" fontId="41" fillId="8" borderId="14" xfId="0" applyFont="1" applyFill="1" applyBorder="1" applyAlignment="1">
      <alignment horizontal="center" vertical="center" wrapText="1"/>
    </xf>
    <xf numFmtId="0" fontId="41" fillId="8" borderId="24" xfId="0" applyFont="1" applyFill="1" applyBorder="1" applyAlignment="1">
      <alignment horizontal="center" vertical="center" wrapText="1"/>
    </xf>
    <xf numFmtId="0" fontId="56" fillId="8" borderId="2" xfId="0" applyFont="1" applyFill="1" applyBorder="1" applyAlignment="1">
      <alignment horizontal="center" vertical="center" wrapText="1"/>
    </xf>
    <xf numFmtId="0" fontId="56" fillId="8" borderId="3" xfId="0" applyFont="1" applyFill="1" applyBorder="1" applyAlignment="1">
      <alignment horizontal="center" vertical="center" wrapText="1"/>
    </xf>
    <xf numFmtId="0" fontId="56" fillId="8" borderId="14" xfId="0" applyFont="1" applyFill="1" applyBorder="1" applyAlignment="1">
      <alignment horizontal="center" vertical="center" wrapText="1"/>
    </xf>
    <xf numFmtId="0" fontId="53" fillId="8" borderId="2" xfId="0" applyFont="1" applyFill="1" applyBorder="1" applyAlignment="1" applyProtection="1">
      <alignment horizontal="center" vertical="center" wrapText="1"/>
      <protection locked="0"/>
    </xf>
    <xf numFmtId="0" fontId="53" fillId="8" borderId="3" xfId="0" applyFont="1" applyFill="1" applyBorder="1" applyAlignment="1" applyProtection="1">
      <alignment horizontal="center" vertical="center" wrapText="1"/>
      <protection locked="0"/>
    </xf>
    <xf numFmtId="0" fontId="53" fillId="8" borderId="14" xfId="0" applyFont="1" applyFill="1" applyBorder="1" applyAlignment="1" applyProtection="1">
      <alignment horizontal="center" vertical="center" wrapText="1"/>
      <protection locked="0"/>
    </xf>
    <xf numFmtId="0" fontId="53" fillId="8" borderId="30" xfId="0" applyFont="1" applyFill="1" applyBorder="1" applyAlignment="1">
      <alignment horizontal="center" vertical="center"/>
    </xf>
    <xf numFmtId="0" fontId="53" fillId="0" borderId="26" xfId="0" applyFont="1" applyFill="1" applyBorder="1" applyAlignment="1">
      <alignment horizontal="center" vertical="center"/>
    </xf>
    <xf numFmtId="0" fontId="53" fillId="0" borderId="24" xfId="0" applyFont="1" applyFill="1" applyBorder="1" applyAlignment="1">
      <alignment horizontal="center" vertical="center"/>
    </xf>
    <xf numFmtId="0" fontId="9" fillId="0" borderId="23" xfId="0" applyFont="1" applyFill="1" applyBorder="1" applyAlignment="1">
      <alignment horizontal="left" vertical="center"/>
    </xf>
    <xf numFmtId="0" fontId="9" fillId="0" borderId="21" xfId="0" applyFont="1" applyFill="1" applyBorder="1" applyAlignment="1">
      <alignment horizontal="left" vertical="center"/>
    </xf>
    <xf numFmtId="0" fontId="11" fillId="8" borderId="1" xfId="0" applyFont="1" applyFill="1" applyBorder="1" applyAlignment="1">
      <alignment horizontal="center" vertical="center" wrapText="1"/>
    </xf>
    <xf numFmtId="0" fontId="9" fillId="8" borderId="2" xfId="0" applyFont="1" applyFill="1" applyBorder="1" applyAlignment="1" applyProtection="1">
      <alignment horizontal="center" vertical="center" wrapText="1"/>
      <protection locked="0"/>
    </xf>
    <xf numFmtId="0" fontId="9" fillId="8" borderId="24" xfId="0" applyFont="1" applyFill="1" applyBorder="1" applyAlignment="1" applyProtection="1">
      <alignment horizontal="center" vertical="center" wrapText="1"/>
      <protection locked="0"/>
    </xf>
    <xf numFmtId="0" fontId="9" fillId="8" borderId="3" xfId="0" applyFont="1" applyFill="1" applyBorder="1" applyAlignment="1" applyProtection="1">
      <alignment horizontal="center" vertical="center" wrapText="1"/>
      <protection locked="0"/>
    </xf>
    <xf numFmtId="0" fontId="9" fillId="8" borderId="14" xfId="0" applyFont="1" applyFill="1" applyBorder="1" applyAlignment="1" applyProtection="1">
      <alignment horizontal="center" vertical="center" wrapText="1"/>
      <protection locked="0"/>
    </xf>
    <xf numFmtId="0" fontId="11" fillId="8" borderId="2" xfId="0" applyFont="1" applyFill="1" applyBorder="1" applyAlignment="1" applyProtection="1">
      <alignment horizontal="center" vertical="center" wrapText="1"/>
      <protection locked="0"/>
    </xf>
    <xf numFmtId="0" fontId="11" fillId="8" borderId="3" xfId="0" applyFont="1" applyFill="1" applyBorder="1" applyAlignment="1" applyProtection="1">
      <alignment horizontal="center" vertical="center" wrapText="1"/>
      <protection locked="0"/>
    </xf>
    <xf numFmtId="0" fontId="11" fillId="8" borderId="14" xfId="0" applyFont="1" applyFill="1" applyBorder="1" applyAlignment="1" applyProtection="1">
      <alignment horizontal="center" vertical="center" wrapText="1"/>
      <protection locked="0"/>
    </xf>
    <xf numFmtId="0" fontId="41" fillId="8" borderId="2" xfId="0" applyFont="1" applyFill="1" applyBorder="1" applyAlignment="1" applyProtection="1">
      <alignment horizontal="center" vertical="center" wrapText="1"/>
      <protection locked="0"/>
    </xf>
    <xf numFmtId="0" fontId="41" fillId="8" borderId="3" xfId="0" applyFont="1" applyFill="1" applyBorder="1" applyAlignment="1" applyProtection="1">
      <alignment horizontal="center" vertical="center" wrapText="1"/>
      <protection locked="0"/>
    </xf>
    <xf numFmtId="0" fontId="41" fillId="8" borderId="14" xfId="0" applyFont="1" applyFill="1" applyBorder="1" applyAlignment="1" applyProtection="1">
      <alignment horizontal="center" vertical="center" wrapText="1"/>
      <protection locked="0"/>
    </xf>
    <xf numFmtId="0" fontId="41" fillId="8" borderId="21" xfId="0" applyFont="1" applyFill="1" applyBorder="1" applyAlignment="1" applyProtection="1">
      <alignment horizontal="center" vertical="center" wrapText="1"/>
      <protection locked="0"/>
    </xf>
    <xf numFmtId="0" fontId="21" fillId="8" borderId="1" xfId="0" applyFont="1" applyFill="1" applyBorder="1" applyAlignment="1">
      <alignment horizontal="center" vertical="center" wrapText="1"/>
    </xf>
    <xf numFmtId="0" fontId="4" fillId="8" borderId="1" xfId="0" applyFont="1" applyFill="1" applyBorder="1" applyAlignment="1">
      <alignment horizontal="center"/>
    </xf>
    <xf numFmtId="0" fontId="47" fillId="8" borderId="1" xfId="0" applyFont="1" applyFill="1" applyBorder="1" applyAlignment="1">
      <alignment horizontal="center"/>
    </xf>
    <xf numFmtId="0" fontId="47" fillId="8" borderId="1" xfId="0" applyFont="1" applyFill="1" applyBorder="1" applyAlignment="1">
      <alignment horizontal="center" vertical="center" wrapText="1"/>
    </xf>
    <xf numFmtId="0" fontId="27" fillId="8" borderId="1" xfId="0" applyFont="1" applyFill="1" applyBorder="1" applyAlignment="1">
      <alignment horizontal="center"/>
    </xf>
    <xf numFmtId="0" fontId="4" fillId="8" borderId="1" xfId="0" applyFont="1" applyFill="1" applyBorder="1" applyAlignment="1">
      <alignment horizontal="center" vertical="center" wrapText="1"/>
    </xf>
    <xf numFmtId="0" fontId="11" fillId="8" borderId="1" xfId="0" applyFont="1" applyFill="1" applyBorder="1" applyAlignment="1" applyProtection="1">
      <alignment horizontal="center" wrapText="1"/>
      <protection locked="0"/>
    </xf>
    <xf numFmtId="0" fontId="11" fillId="8" borderId="2" xfId="0" applyFont="1" applyFill="1" applyBorder="1" applyAlignment="1" applyProtection="1">
      <alignment horizontal="center" wrapText="1"/>
      <protection locked="0"/>
    </xf>
    <xf numFmtId="0" fontId="11" fillId="8" borderId="3" xfId="0" applyFont="1" applyFill="1" applyBorder="1" applyAlignment="1" applyProtection="1">
      <alignment horizontal="center" wrapText="1"/>
      <protection locked="0"/>
    </xf>
    <xf numFmtId="0" fontId="11" fillId="8" borderId="14" xfId="0" applyFont="1" applyFill="1" applyBorder="1" applyAlignment="1" applyProtection="1">
      <alignment horizontal="center" wrapText="1"/>
      <protection locked="0"/>
    </xf>
    <xf numFmtId="0" fontId="30" fillId="8" borderId="1" xfId="0" applyFont="1" applyFill="1" applyBorder="1" applyAlignment="1">
      <alignment horizontal="center" vertical="center" wrapText="1"/>
    </xf>
    <xf numFmtId="0" fontId="28" fillId="8" borderId="1" xfId="0" applyFont="1" applyFill="1" applyBorder="1" applyAlignment="1">
      <alignment horizontal="center"/>
    </xf>
    <xf numFmtId="0" fontId="26" fillId="0" borderId="1" xfId="0" applyFont="1" applyBorder="1" applyAlignment="1">
      <alignment horizontal="left"/>
    </xf>
    <xf numFmtId="0" fontId="35" fillId="0" borderId="1" xfId="0" applyFont="1" applyBorder="1" applyAlignment="1">
      <alignment horizontal="center" vertical="center" wrapText="1"/>
    </xf>
    <xf numFmtId="0" fontId="34" fillId="8" borderId="1" xfId="0" applyFont="1" applyFill="1" applyBorder="1" applyAlignment="1">
      <alignment horizontal="center" vertical="center"/>
    </xf>
    <xf numFmtId="0" fontId="20" fillId="8" borderId="1" xfId="0" applyFont="1" applyFill="1" applyBorder="1" applyAlignment="1">
      <alignment horizontal="left" vertical="center"/>
    </xf>
    <xf numFmtId="0" fontId="20" fillId="0" borderId="1" xfId="0" applyFont="1" applyBorder="1" applyAlignment="1">
      <alignment horizontal="left" vertical="center"/>
    </xf>
    <xf numFmtId="0" fontId="26" fillId="0" borderId="1" xfId="0" applyFont="1" applyBorder="1" applyAlignment="1">
      <alignment horizontal="left" vertical="center"/>
    </xf>
    <xf numFmtId="0" fontId="41" fillId="10" borderId="2" xfId="0" applyFont="1" applyFill="1" applyBorder="1" applyAlignment="1">
      <alignment horizontal="center" vertical="center" wrapText="1"/>
    </xf>
    <xf numFmtId="0" fontId="41" fillId="10" borderId="3" xfId="0" applyFont="1" applyFill="1" applyBorder="1" applyAlignment="1">
      <alignment horizontal="center" vertical="center" wrapText="1"/>
    </xf>
    <xf numFmtId="0" fontId="41" fillId="10" borderId="14" xfId="0" applyFont="1" applyFill="1" applyBorder="1" applyAlignment="1">
      <alignment horizontal="center" vertical="center" wrapText="1"/>
    </xf>
    <xf numFmtId="0" fontId="57" fillId="10" borderId="2" xfId="0" applyFont="1" applyFill="1" applyBorder="1" applyAlignment="1">
      <alignment horizontal="center" vertical="center" wrapText="1"/>
    </xf>
    <xf numFmtId="0" fontId="57" fillId="10" borderId="14" xfId="0" applyFont="1" applyFill="1" applyBorder="1" applyAlignment="1">
      <alignment horizontal="center" vertical="center" wrapText="1"/>
    </xf>
    <xf numFmtId="0" fontId="57" fillId="10" borderId="2" xfId="0" applyFont="1" applyFill="1" applyBorder="1" applyAlignment="1">
      <alignment horizontal="center" vertical="center"/>
    </xf>
    <xf numFmtId="0" fontId="57" fillId="10" borderId="3" xfId="0" applyFont="1" applyFill="1" applyBorder="1" applyAlignment="1">
      <alignment horizontal="center" vertical="center"/>
    </xf>
    <xf numFmtId="0" fontId="57" fillId="10" borderId="14" xfId="0" applyFont="1" applyFill="1" applyBorder="1" applyAlignment="1">
      <alignment horizontal="center" vertical="center"/>
    </xf>
    <xf numFmtId="0" fontId="65" fillId="10" borderId="2" xfId="0" applyFont="1" applyFill="1" applyBorder="1" applyAlignment="1">
      <alignment horizontal="center" vertical="center" wrapText="1"/>
    </xf>
    <xf numFmtId="0" fontId="65" fillId="10" borderId="3" xfId="0" applyFont="1" applyFill="1" applyBorder="1" applyAlignment="1">
      <alignment horizontal="center" vertical="center" wrapText="1"/>
    </xf>
    <xf numFmtId="0" fontId="65" fillId="10" borderId="14" xfId="0" applyFont="1" applyFill="1" applyBorder="1" applyAlignment="1">
      <alignment horizontal="center" vertical="center" wrapText="1"/>
    </xf>
    <xf numFmtId="0" fontId="9" fillId="8" borderId="2" xfId="0" applyFont="1" applyFill="1" applyBorder="1" applyAlignment="1">
      <alignment horizontal="center" vertical="center" wrapText="1"/>
    </xf>
    <xf numFmtId="0" fontId="9" fillId="8" borderId="3" xfId="0" applyFont="1" applyFill="1" applyBorder="1" applyAlignment="1">
      <alignment horizontal="center" vertical="center" wrapText="1"/>
    </xf>
    <xf numFmtId="0" fontId="9" fillId="8" borderId="14" xfId="0" applyFont="1" applyFill="1" applyBorder="1" applyAlignment="1">
      <alignment horizontal="center" vertical="center" wrapText="1"/>
    </xf>
    <xf numFmtId="0" fontId="41" fillId="0" borderId="26" xfId="0" applyFont="1" applyBorder="1" applyAlignment="1">
      <alignment horizontal="center" vertical="center"/>
    </xf>
    <xf numFmtId="0" fontId="41" fillId="0" borderId="24" xfId="0" applyFont="1" applyBorder="1" applyAlignment="1">
      <alignment horizontal="center" vertical="center"/>
    </xf>
    <xf numFmtId="0" fontId="11" fillId="0" borderId="23" xfId="0" applyFont="1" applyBorder="1" applyAlignment="1">
      <alignment horizontal="left" vertical="center"/>
    </xf>
    <xf numFmtId="0" fontId="11" fillId="0" borderId="21" xfId="0" applyFont="1" applyBorder="1" applyAlignment="1">
      <alignment horizontal="left" vertical="center"/>
    </xf>
    <xf numFmtId="0" fontId="11" fillId="5" borderId="4" xfId="0" applyFont="1" applyFill="1" applyBorder="1" applyAlignment="1" applyProtection="1">
      <alignment horizontal="center" wrapText="1"/>
      <protection locked="0"/>
    </xf>
    <xf numFmtId="0" fontId="11" fillId="5" borderId="5" xfId="0" applyFont="1" applyFill="1" applyBorder="1" applyAlignment="1" applyProtection="1">
      <alignment horizontal="center" wrapText="1"/>
      <protection locked="0"/>
    </xf>
    <xf numFmtId="0" fontId="11" fillId="5" borderId="6" xfId="0" applyFont="1" applyFill="1" applyBorder="1" applyAlignment="1" applyProtection="1">
      <alignment horizontal="center" wrapText="1"/>
      <protection locked="0"/>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14" xfId="0" applyFont="1" applyFill="1" applyBorder="1" applyAlignment="1">
      <alignment horizontal="center" vertical="center"/>
    </xf>
    <xf numFmtId="0" fontId="29" fillId="0" borderId="28" xfId="0" applyFont="1" applyFill="1" applyBorder="1" applyAlignment="1">
      <alignment horizontal="right" vertical="center"/>
    </xf>
    <xf numFmtId="0" fontId="29" fillId="0" borderId="0" xfId="0" applyFont="1" applyFill="1" applyAlignment="1">
      <alignment horizontal="right" vertical="center"/>
    </xf>
    <xf numFmtId="0" fontId="29" fillId="0" borderId="29" xfId="0" applyFont="1" applyFill="1" applyBorder="1" applyAlignment="1">
      <alignment horizontal="right" vertical="center"/>
    </xf>
    <xf numFmtId="0" fontId="32" fillId="0" borderId="23" xfId="0" applyFont="1" applyFill="1" applyBorder="1" applyAlignment="1">
      <alignment horizontal="center" vertical="center" wrapText="1"/>
    </xf>
    <xf numFmtId="0" fontId="32" fillId="0" borderId="21" xfId="0" applyFont="1" applyFill="1" applyBorder="1" applyAlignment="1">
      <alignment horizontal="center" vertical="center" wrapText="1"/>
    </xf>
    <xf numFmtId="0" fontId="32" fillId="0" borderId="22"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11" fillId="0" borderId="0" xfId="0" applyFont="1" applyAlignment="1">
      <alignment horizontal="left" wrapText="1"/>
    </xf>
    <xf numFmtId="0" fontId="41" fillId="6" borderId="4" xfId="0" applyFont="1" applyFill="1" applyBorder="1" applyAlignment="1">
      <alignment horizontal="center" vertical="center"/>
    </xf>
    <xf numFmtId="0" fontId="41" fillId="6" borderId="5" xfId="0" applyFont="1" applyFill="1" applyBorder="1" applyAlignment="1">
      <alignment horizontal="center" vertical="center"/>
    </xf>
    <xf numFmtId="0" fontId="1" fillId="0" borderId="50" xfId="0" applyFont="1" applyBorder="1" applyAlignment="1">
      <alignment horizontal="center"/>
    </xf>
    <xf numFmtId="0" fontId="38" fillId="6" borderId="5" xfId="0" applyFont="1" applyFill="1" applyBorder="1" applyAlignment="1">
      <alignment horizontal="center" vertical="center"/>
    </xf>
    <xf numFmtId="0" fontId="41" fillId="0" borderId="1" xfId="0" applyFont="1" applyBorder="1" applyAlignment="1">
      <alignment horizontal="center" vertical="center"/>
    </xf>
    <xf numFmtId="0" fontId="41" fillId="0" borderId="10" xfId="0" applyFont="1" applyBorder="1" applyAlignment="1">
      <alignment horizontal="center" vertical="center"/>
    </xf>
    <xf numFmtId="0" fontId="6" fillId="0" borderId="14" xfId="0" applyFont="1" applyBorder="1" applyAlignment="1">
      <alignment horizontal="left" vertical="center" wrapText="1"/>
    </xf>
    <xf numFmtId="0" fontId="6" fillId="0" borderId="19" xfId="0" applyFont="1" applyBorder="1" applyAlignment="1">
      <alignment horizontal="left" vertical="center" wrapText="1"/>
    </xf>
    <xf numFmtId="0" fontId="7" fillId="0" borderId="0" xfId="0" applyFont="1" applyBorder="1" applyAlignment="1">
      <alignment horizontal="left" wrapText="1"/>
    </xf>
    <xf numFmtId="0" fontId="8" fillId="6" borderId="38" xfId="0" applyFont="1" applyFill="1" applyBorder="1" applyAlignment="1">
      <alignment horizontal="center" vertical="center" wrapText="1"/>
    </xf>
    <xf numFmtId="0" fontId="8" fillId="6" borderId="39" xfId="0" applyFont="1" applyFill="1" applyBorder="1" applyAlignment="1">
      <alignment horizontal="center" vertical="center" wrapText="1"/>
    </xf>
    <xf numFmtId="0" fontId="8" fillId="6" borderId="39" xfId="0" applyFont="1" applyFill="1" applyBorder="1" applyAlignment="1">
      <alignment horizontal="center" vertical="center"/>
    </xf>
    <xf numFmtId="0" fontId="8" fillId="6" borderId="67" xfId="0" applyFont="1" applyFill="1" applyBorder="1" applyAlignment="1">
      <alignment horizontal="center" vertical="center" wrapText="1"/>
    </xf>
    <xf numFmtId="0" fontId="8" fillId="6" borderId="41" xfId="0" applyFont="1" applyFill="1" applyBorder="1" applyAlignment="1">
      <alignment horizontal="center" vertical="center" wrapText="1"/>
    </xf>
    <xf numFmtId="0" fontId="1" fillId="0" borderId="0" xfId="0" applyFont="1" applyAlignment="1">
      <alignment horizontal="center"/>
    </xf>
    <xf numFmtId="0" fontId="1" fillId="0" borderId="10" xfId="0" applyFont="1" applyBorder="1" applyAlignment="1">
      <alignment horizontal="left"/>
    </xf>
    <xf numFmtId="0" fontId="1" fillId="0" borderId="55" xfId="0" applyFont="1" applyBorder="1" applyAlignment="1">
      <alignment horizontal="center"/>
    </xf>
    <xf numFmtId="0" fontId="41" fillId="6" borderId="1" xfId="0" applyFont="1" applyFill="1" applyBorder="1" applyAlignment="1">
      <alignment horizontal="center" vertical="center"/>
    </xf>
    <xf numFmtId="0" fontId="11" fillId="8" borderId="2" xfId="0" applyFont="1" applyFill="1" applyBorder="1" applyAlignment="1" applyProtection="1">
      <alignment horizontal="center" vertical="top" wrapText="1"/>
      <protection locked="0"/>
    </xf>
    <xf numFmtId="0" fontId="11" fillId="8" borderId="3" xfId="0" applyFont="1" applyFill="1" applyBorder="1" applyAlignment="1" applyProtection="1">
      <alignment horizontal="center" vertical="top" wrapText="1"/>
      <protection locked="0"/>
    </xf>
    <xf numFmtId="0" fontId="11" fillId="8" borderId="14" xfId="0" applyFont="1" applyFill="1" applyBorder="1" applyAlignment="1" applyProtection="1">
      <alignment horizontal="center" vertical="top" wrapText="1"/>
      <protection locked="0"/>
    </xf>
    <xf numFmtId="0" fontId="27" fillId="8" borderId="58" xfId="0" applyFont="1" applyFill="1" applyBorder="1" applyAlignment="1">
      <alignment horizontal="center" vertical="center" wrapText="1"/>
    </xf>
    <xf numFmtId="0" fontId="27" fillId="8" borderId="59" xfId="0" applyFont="1" applyFill="1" applyBorder="1" applyAlignment="1">
      <alignment horizontal="center" vertical="center" wrapText="1"/>
    </xf>
    <xf numFmtId="0" fontId="27" fillId="8" borderId="60" xfId="0" applyFont="1" applyFill="1" applyBorder="1" applyAlignment="1">
      <alignment horizontal="center" vertical="center" wrapText="1"/>
    </xf>
    <xf numFmtId="0" fontId="44" fillId="9" borderId="58" xfId="0" applyFont="1" applyFill="1" applyBorder="1" applyAlignment="1">
      <alignment horizontal="center" vertical="center" wrapText="1"/>
    </xf>
    <xf numFmtId="0" fontId="83" fillId="9" borderId="59" xfId="0" applyFont="1" applyFill="1" applyBorder="1" applyAlignment="1">
      <alignment horizontal="center" vertical="center" wrapText="1"/>
    </xf>
    <xf numFmtId="0" fontId="83" fillId="9" borderId="60" xfId="0" applyFont="1" applyFill="1" applyBorder="1" applyAlignment="1">
      <alignment horizontal="center" vertical="center" wrapText="1"/>
    </xf>
    <xf numFmtId="0" fontId="83" fillId="9" borderId="33" xfId="0" applyFont="1" applyFill="1" applyBorder="1" applyAlignment="1">
      <alignment horizontal="center" vertical="center" wrapText="1"/>
    </xf>
    <xf numFmtId="0" fontId="83" fillId="9" borderId="13" xfId="0" applyFont="1" applyFill="1" applyBorder="1" applyAlignment="1">
      <alignment horizontal="center" vertical="center" wrapText="1"/>
    </xf>
    <xf numFmtId="0" fontId="83" fillId="9" borderId="32" xfId="0" applyFont="1" applyFill="1" applyBorder="1" applyAlignment="1">
      <alignment horizontal="center" vertical="center" wrapText="1"/>
    </xf>
    <xf numFmtId="0" fontId="44" fillId="8" borderId="58" xfId="0" applyFont="1" applyFill="1" applyBorder="1" applyAlignment="1">
      <alignment horizontal="center" vertical="center" wrapText="1"/>
    </xf>
    <xf numFmtId="0" fontId="44" fillId="8" borderId="60"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1" fillId="3" borderId="34" xfId="0" applyFont="1" applyFill="1" applyBorder="1" applyAlignment="1">
      <alignment horizontal="center" vertical="center" wrapText="1"/>
    </xf>
    <xf numFmtId="0" fontId="1" fillId="3" borderId="40" xfId="0" applyFont="1" applyFill="1" applyBorder="1" applyAlignment="1">
      <alignment horizontal="center" vertical="center" wrapText="1"/>
    </xf>
    <xf numFmtId="0" fontId="1" fillId="3" borderId="35" xfId="0" applyFont="1" applyFill="1" applyBorder="1" applyAlignment="1">
      <alignment horizontal="center" vertical="center" wrapText="1"/>
    </xf>
    <xf numFmtId="0" fontId="44" fillId="8" borderId="34" xfId="0" applyFont="1" applyFill="1" applyBorder="1" applyAlignment="1">
      <alignment vertical="center" wrapText="1"/>
    </xf>
    <xf numFmtId="0" fontId="44" fillId="8" borderId="35" xfId="0" applyFont="1" applyFill="1" applyBorder="1" applyAlignment="1">
      <alignment vertical="center" wrapText="1"/>
    </xf>
    <xf numFmtId="0" fontId="44" fillId="8" borderId="40" xfId="0" applyFont="1" applyFill="1" applyBorder="1" applyAlignment="1">
      <alignment vertical="center" wrapText="1"/>
    </xf>
    <xf numFmtId="0" fontId="44" fillId="0" borderId="59" xfId="0" applyFont="1" applyBorder="1" applyAlignment="1">
      <alignment vertical="center" wrapText="1"/>
    </xf>
    <xf numFmtId="0" fontId="44" fillId="0" borderId="0" xfId="0" applyFont="1" applyAlignment="1">
      <alignment horizontal="left" vertical="top" wrapText="1"/>
    </xf>
    <xf numFmtId="0" fontId="1" fillId="3" borderId="34" xfId="0" applyFont="1" applyFill="1" applyBorder="1" applyAlignment="1">
      <alignment horizontal="left" vertical="top" wrapText="1"/>
    </xf>
    <xf numFmtId="0" fontId="1" fillId="3" borderId="35" xfId="0" applyFont="1" applyFill="1" applyBorder="1" applyAlignment="1">
      <alignment horizontal="left" vertical="top" wrapText="1"/>
    </xf>
    <xf numFmtId="0" fontId="1" fillId="3" borderId="40" xfId="0" applyFont="1" applyFill="1" applyBorder="1" applyAlignment="1">
      <alignment horizontal="left" vertical="top" wrapText="1"/>
    </xf>
    <xf numFmtId="0" fontId="44" fillId="7" borderId="34" xfId="0" applyFont="1" applyFill="1" applyBorder="1" applyAlignment="1">
      <alignment horizontal="left" vertical="top" wrapText="1"/>
    </xf>
    <xf numFmtId="0" fontId="44" fillId="7" borderId="35" xfId="0" applyFont="1" applyFill="1" applyBorder="1" applyAlignment="1">
      <alignment horizontal="left" vertical="top" wrapText="1"/>
    </xf>
    <xf numFmtId="0" fontId="44" fillId="7" borderId="40" xfId="0" applyFont="1" applyFill="1" applyBorder="1" applyAlignment="1">
      <alignment horizontal="left" vertical="top" wrapText="1"/>
    </xf>
    <xf numFmtId="0" fontId="0" fillId="0" borderId="34" xfId="0" applyBorder="1" applyAlignment="1">
      <alignment horizontal="left" vertical="top"/>
    </xf>
    <xf numFmtId="0" fontId="0" fillId="0" borderId="35" xfId="0" applyBorder="1" applyAlignment="1">
      <alignment horizontal="left" vertical="top"/>
    </xf>
    <xf numFmtId="0" fontId="0" fillId="0" borderId="40" xfId="0" applyBorder="1" applyAlignment="1">
      <alignment horizontal="left" vertical="top"/>
    </xf>
    <xf numFmtId="0" fontId="0" fillId="8" borderId="9" xfId="0" applyFill="1" applyBorder="1" applyAlignment="1">
      <alignment horizontal="left" vertical="top"/>
    </xf>
    <xf numFmtId="0" fontId="0" fillId="8" borderId="10" xfId="0" applyFill="1" applyBorder="1" applyAlignment="1">
      <alignment horizontal="left" vertical="top"/>
    </xf>
    <xf numFmtId="0" fontId="0" fillId="0" borderId="10" xfId="0" applyFill="1" applyBorder="1" applyAlignment="1">
      <alignment horizontal="left" vertical="top"/>
    </xf>
    <xf numFmtId="0" fontId="0" fillId="0" borderId="10" xfId="0" applyBorder="1" applyAlignment="1">
      <alignment horizontal="center"/>
    </xf>
    <xf numFmtId="0" fontId="0" fillId="0" borderId="11" xfId="0" applyBorder="1" applyAlignment="1">
      <alignment horizontal="center"/>
    </xf>
    <xf numFmtId="0" fontId="27" fillId="8" borderId="34" xfId="0" applyFont="1" applyFill="1" applyBorder="1" applyAlignment="1">
      <alignment horizontal="center" vertical="center" wrapText="1"/>
    </xf>
    <xf numFmtId="0" fontId="27" fillId="8" borderId="35" xfId="0" applyFont="1" applyFill="1" applyBorder="1" applyAlignment="1">
      <alignment horizontal="center" vertical="center" wrapText="1"/>
    </xf>
    <xf numFmtId="0" fontId="27" fillId="8" borderId="40" xfId="0" applyFont="1" applyFill="1" applyBorder="1" applyAlignment="1">
      <alignment horizontal="center" vertical="center" wrapText="1"/>
    </xf>
    <xf numFmtId="0" fontId="0" fillId="8" borderId="7" xfId="0" applyFill="1" applyBorder="1" applyAlignment="1">
      <alignment horizontal="left" vertical="top"/>
    </xf>
    <xf numFmtId="0" fontId="0" fillId="8" borderId="1" xfId="0" applyFill="1" applyBorder="1" applyAlignment="1">
      <alignment horizontal="left" vertical="top"/>
    </xf>
    <xf numFmtId="0" fontId="0" fillId="0" borderId="1" xfId="0" applyFill="1" applyBorder="1" applyAlignment="1">
      <alignment horizontal="left" vertical="top"/>
    </xf>
    <xf numFmtId="0" fontId="0" fillId="0" borderId="1" xfId="0" applyBorder="1" applyAlignment="1">
      <alignment horizontal="center"/>
    </xf>
    <xf numFmtId="0" fontId="0" fillId="0" borderId="8" xfId="0" applyBorder="1" applyAlignment="1">
      <alignment horizontal="center"/>
    </xf>
  </cellXfs>
  <cellStyles count="3">
    <cellStyle name="Hyperlink" xfId="1" builtinId="8"/>
    <cellStyle name="Normal" xfId="0" builtinId="0"/>
    <cellStyle name="Normal 2" xfId="2" xr:uid="{D839927B-8F80-48AA-AD95-D9D33E60930C}"/>
  </cellStyles>
  <dxfs count="30">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theme="0"/>
      </font>
      <fill>
        <patternFill>
          <bgColor rgb="FFC000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theme" Target="theme/theme1.xml"/><Relationship Id="rId87"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eetMetadata" Target="metadata.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85"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17/10/relationships/person" Target="persons/person.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sharedStrings" Target="sharedStrings.xml"/><Relationship Id="rId86"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9</xdr:col>
      <xdr:colOff>97156</xdr:colOff>
      <xdr:row>0</xdr:row>
      <xdr:rowOff>76200</xdr:rowOff>
    </xdr:from>
    <xdr:to>
      <xdr:col>15</xdr:col>
      <xdr:colOff>1</xdr:colOff>
      <xdr:row>5</xdr:row>
      <xdr:rowOff>592455</xdr:rowOff>
    </xdr:to>
    <xdr:sp macro="" textlink="">
      <xdr:nvSpPr>
        <xdr:cNvPr id="2" name="TextBox 1">
          <a:extLst>
            <a:ext uri="{FF2B5EF4-FFF2-40B4-BE49-F238E27FC236}">
              <a16:creationId xmlns:a16="http://schemas.microsoft.com/office/drawing/2014/main" id="{EAA63D25-49EE-428A-8F21-6E17753BC45B}"/>
            </a:ext>
          </a:extLst>
        </xdr:cNvPr>
        <xdr:cNvSpPr txBox="1"/>
      </xdr:nvSpPr>
      <xdr:spPr>
        <a:xfrm>
          <a:off x="10144126" y="76200"/>
          <a:ext cx="6667500" cy="24384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How to use the automated Master MOP file: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1. Select the work to be performed from the "Task/MOP Name" dropdown list. - Cell K9</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2. Select the equipment to be worked on from the "Equipment Designator" dropdown list. - Cell L9</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3. Type the WO or CHG # into cell K12</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4. Press Ctrl + Shift + P on your keyboard or click the PDF Button to save a PDF of the MOP to your desktop.</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All portions of the MOP are automated. There is no need to edit anything other than what's required in steps 1-4.</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Email suggestions and any problems that you find to dvanderplas@digitalrealty.com</a:t>
          </a:r>
        </a:p>
      </xdr:txBody>
    </xdr:sp>
    <xdr:clientData/>
  </xdr:twoCellAnchor>
  <xdr:twoCellAnchor editAs="oneCell">
    <xdr:from>
      <xdr:col>10</xdr:col>
      <xdr:colOff>247650</xdr:colOff>
      <xdr:row>5</xdr:row>
      <xdr:rowOff>847725</xdr:rowOff>
    </xdr:from>
    <xdr:to>
      <xdr:col>10</xdr:col>
      <xdr:colOff>2611755</xdr:colOff>
      <xdr:row>6</xdr:row>
      <xdr:rowOff>555752</xdr:rowOff>
    </xdr:to>
    <xdr:pic macro="[0]!SavePDF">
      <xdr:nvPicPr>
        <xdr:cNvPr id="4" name="Picture 3">
          <a:extLst>
            <a:ext uri="{FF2B5EF4-FFF2-40B4-BE49-F238E27FC236}">
              <a16:creationId xmlns:a16="http://schemas.microsoft.com/office/drawing/2014/main" id="{7A9AB6D4-0F94-4594-A5AE-5D007A02EAD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25125" y="2600325"/>
          <a:ext cx="2371725" cy="7519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Dan Vanderplas" id="{9D560820-4F26-4054-B091-4456035B7A57}" userId="S::dvanderplas@digitalrealty.com::05b47451-347a-48a4-9266-ccfe1119f3f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1" dT="2019-12-16T21:25:45.62" personId="{9D560820-4F26-4054-B091-4456035B7A57}" id="{9F2F1AF6-AC24-4301-AC12-564B78E22AAC}">
    <text>per UPS module</text>
  </threadedComment>
</ThreadedComments>
</file>

<file path=xl/threadedComments/threadedComment2.xml><?xml version="1.0" encoding="utf-8"?>
<ThreadedComments xmlns="http://schemas.microsoft.com/office/spreadsheetml/2018/threadedcomments" xmlns:x="http://schemas.openxmlformats.org/spreadsheetml/2006/main">
  <threadedComment ref="L1" dT="2019-12-16T21:25:45.62" personId="{9D560820-4F26-4054-B091-4456035B7A57}" id="{1EDA8CE7-B381-41F1-AFFB-B5ABC2A09930}">
    <text>per UPS module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g.co" TargetMode="External"/><Relationship Id="rId3" Type="http://schemas.openxmlformats.org/officeDocument/2006/relationships/hyperlink" Target="https://digitalrealty.sharepoint.com/sites/og/Templates%20%20Forms/Chapter%2016%20Technical%20Operations%20and%20Maintenance/Maintenance%20and%20Operations%20Standards%20v5.7.pdf" TargetMode="External"/><Relationship Id="rId7" Type="http://schemas.openxmlformats.org/officeDocument/2006/relationships/hyperlink" Target="g.co" TargetMode="External"/><Relationship Id="rId2" Type="http://schemas.openxmlformats.org/officeDocument/2006/relationships/hyperlink" Target="https://digitalrealty.sharepoint.com/sites/og" TargetMode="External"/><Relationship Id="rId1" Type="http://schemas.openxmlformats.org/officeDocument/2006/relationships/hyperlink" Target="https://digitalrealty.sharepoint.com/sites/og/Lists/Ops%20Guide/AllItems.aspx?id=%2Fsites%2Fog%2FLists%2FOps%20Guide%2FChapter%2016%20-%20Technical%20Operations%20%26%20Maintenance" TargetMode="External"/><Relationship Id="rId6" Type="http://schemas.openxmlformats.org/officeDocument/2006/relationships/hyperlink" Target="g.co" TargetMode="External"/><Relationship Id="rId11" Type="http://schemas.openxmlformats.org/officeDocument/2006/relationships/vmlDrawing" Target="../drawings/vmlDrawing2.vml"/><Relationship Id="rId5" Type="http://schemas.openxmlformats.org/officeDocument/2006/relationships/hyperlink" Target="g.co" TargetMode="External"/><Relationship Id="rId10" Type="http://schemas.openxmlformats.org/officeDocument/2006/relationships/printerSettings" Target="../printerSettings/printerSettings2.bin"/><Relationship Id="rId4" Type="http://schemas.openxmlformats.org/officeDocument/2006/relationships/hyperlink" Target="g.co" TargetMode="External"/><Relationship Id="rId9" Type="http://schemas.openxmlformats.org/officeDocument/2006/relationships/hyperlink" Target="g.co" TargetMode="Externa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11.bin"/><Relationship Id="rId4" Type="http://schemas.microsoft.com/office/2017/10/relationships/threadedComment" Target="../threadedComments/threadedComment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61.bin"/></Relationships>
</file>

<file path=xl/worksheets/_rels/sheet67.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64.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3.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7.bin"/></Relationships>
</file>

<file path=xl/worksheets/_rels/sheet74.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8.bin"/></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9.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70.bin"/></Relationships>
</file>

<file path=xl/worksheets/_rels/sheet77.xml.rels><?xml version="1.0" encoding="UTF-8" standalone="yes"?>
<Relationships xmlns="http://schemas.openxmlformats.org/package/2006/relationships"><Relationship Id="rId26" Type="http://schemas.openxmlformats.org/officeDocument/2006/relationships/hyperlink" Target="mailto:ryoung@digitalrealty.com" TargetMode="External"/><Relationship Id="rId117" Type="http://schemas.openxmlformats.org/officeDocument/2006/relationships/hyperlink" Target="mailto:jreitz@digitalrealty.com" TargetMode="External"/><Relationship Id="rId21" Type="http://schemas.openxmlformats.org/officeDocument/2006/relationships/hyperlink" Target="mailto:ryoung@digitalrealty.com" TargetMode="External"/><Relationship Id="rId42" Type="http://schemas.openxmlformats.org/officeDocument/2006/relationships/hyperlink" Target="mailto:ryoung@digitalrealty.com" TargetMode="External"/><Relationship Id="rId47" Type="http://schemas.openxmlformats.org/officeDocument/2006/relationships/hyperlink" Target="mailto:jreitz@digitalrealty.com" TargetMode="External"/><Relationship Id="rId63" Type="http://schemas.openxmlformats.org/officeDocument/2006/relationships/hyperlink" Target="mailto:pbamrick@digitalrealty.com" TargetMode="External"/><Relationship Id="rId68" Type="http://schemas.openxmlformats.org/officeDocument/2006/relationships/hyperlink" Target="mailto:pbamrick@digitalrealty.com" TargetMode="External"/><Relationship Id="rId84" Type="http://schemas.openxmlformats.org/officeDocument/2006/relationships/hyperlink" Target="mailto:wfrick@digitalrealty.com" TargetMode="External"/><Relationship Id="rId89" Type="http://schemas.openxmlformats.org/officeDocument/2006/relationships/hyperlink" Target="mailto:jambrozy@digitalrealty.com" TargetMode="External"/><Relationship Id="rId112" Type="http://schemas.openxmlformats.org/officeDocument/2006/relationships/hyperlink" Target="mailto:jdodson@digitalrealty.com" TargetMode="External"/><Relationship Id="rId133" Type="http://schemas.openxmlformats.org/officeDocument/2006/relationships/hyperlink" Target="mailto:cion@digitalrealty.com" TargetMode="External"/><Relationship Id="rId138" Type="http://schemas.openxmlformats.org/officeDocument/2006/relationships/hyperlink" Target="mailto:cion@digitalrealty.com" TargetMode="External"/><Relationship Id="rId16" Type="http://schemas.openxmlformats.org/officeDocument/2006/relationships/hyperlink" Target="mailto:ryoung@digitalrealty.com" TargetMode="External"/><Relationship Id="rId107" Type="http://schemas.openxmlformats.org/officeDocument/2006/relationships/hyperlink" Target="mailto:dgoodavage@digitalrealty.com" TargetMode="External"/><Relationship Id="rId11" Type="http://schemas.openxmlformats.org/officeDocument/2006/relationships/hyperlink" Target="mailto:ryoung@digitalrealty.com" TargetMode="External"/><Relationship Id="rId32" Type="http://schemas.openxmlformats.org/officeDocument/2006/relationships/hyperlink" Target="mailto:ryoung@digitalrealty.com" TargetMode="External"/><Relationship Id="rId37" Type="http://schemas.openxmlformats.org/officeDocument/2006/relationships/hyperlink" Target="mailto:ryoung@digitalrealty.com" TargetMode="External"/><Relationship Id="rId53" Type="http://schemas.openxmlformats.org/officeDocument/2006/relationships/hyperlink" Target="mailto:jreitz@digitalrealty.com" TargetMode="External"/><Relationship Id="rId58" Type="http://schemas.openxmlformats.org/officeDocument/2006/relationships/hyperlink" Target="mailto:pbamrick@digitalrealty.com" TargetMode="External"/><Relationship Id="rId74" Type="http://schemas.openxmlformats.org/officeDocument/2006/relationships/hyperlink" Target="mailto:vdorgan@digitalrealty.com" TargetMode="External"/><Relationship Id="rId79" Type="http://schemas.openxmlformats.org/officeDocument/2006/relationships/hyperlink" Target="mailto:bshore@digitalrealty.com" TargetMode="External"/><Relationship Id="rId102" Type="http://schemas.openxmlformats.org/officeDocument/2006/relationships/hyperlink" Target="mailto:dpenny@digitalrealty.com" TargetMode="External"/><Relationship Id="rId123" Type="http://schemas.openxmlformats.org/officeDocument/2006/relationships/hyperlink" Target="mailto:cion@digitalrealty.com" TargetMode="External"/><Relationship Id="rId128" Type="http://schemas.openxmlformats.org/officeDocument/2006/relationships/hyperlink" Target="mailto:cion@digitalrealty.com" TargetMode="External"/><Relationship Id="rId5" Type="http://schemas.openxmlformats.org/officeDocument/2006/relationships/hyperlink" Target="mailto:ryoung@digitalrealty.com" TargetMode="External"/><Relationship Id="rId90" Type="http://schemas.openxmlformats.org/officeDocument/2006/relationships/hyperlink" Target="mailto:jlimbacher@digitalrealty.com" TargetMode="External"/><Relationship Id="rId95" Type="http://schemas.openxmlformats.org/officeDocument/2006/relationships/hyperlink" Target="mailto:ryoung@digitalrealty.com" TargetMode="External"/><Relationship Id="rId22" Type="http://schemas.openxmlformats.org/officeDocument/2006/relationships/hyperlink" Target="mailto:ryoung@digitalrealty.com" TargetMode="External"/><Relationship Id="rId27" Type="http://schemas.openxmlformats.org/officeDocument/2006/relationships/hyperlink" Target="mailto:ryoung@digitalrealty.com" TargetMode="External"/><Relationship Id="rId43" Type="http://schemas.openxmlformats.org/officeDocument/2006/relationships/hyperlink" Target="mailto:ryoung@digitalrealty.com" TargetMode="External"/><Relationship Id="rId48" Type="http://schemas.openxmlformats.org/officeDocument/2006/relationships/hyperlink" Target="mailto:jreitz@digitalrealty.com" TargetMode="External"/><Relationship Id="rId64" Type="http://schemas.openxmlformats.org/officeDocument/2006/relationships/hyperlink" Target="mailto:pbamrick@digitalrealty.com" TargetMode="External"/><Relationship Id="rId69" Type="http://schemas.openxmlformats.org/officeDocument/2006/relationships/hyperlink" Target="mailto:pbamrick@digitalrealty.com" TargetMode="External"/><Relationship Id="rId113" Type="http://schemas.openxmlformats.org/officeDocument/2006/relationships/hyperlink" Target="mailto:jreitz@digitalrealty.com" TargetMode="External"/><Relationship Id="rId118" Type="http://schemas.openxmlformats.org/officeDocument/2006/relationships/hyperlink" Target="mailto:ryoung@digitalrealty.com" TargetMode="External"/><Relationship Id="rId134" Type="http://schemas.openxmlformats.org/officeDocument/2006/relationships/hyperlink" Target="mailto:cion@digitalrealty.com" TargetMode="External"/><Relationship Id="rId139" Type="http://schemas.openxmlformats.org/officeDocument/2006/relationships/hyperlink" Target="mailto:cion@digitalrealty.com" TargetMode="External"/><Relationship Id="rId8" Type="http://schemas.openxmlformats.org/officeDocument/2006/relationships/hyperlink" Target="mailto:ryoung@digitalrealty.com" TargetMode="External"/><Relationship Id="rId51" Type="http://schemas.openxmlformats.org/officeDocument/2006/relationships/hyperlink" Target="mailto:jreitz@digitalrealty.com" TargetMode="External"/><Relationship Id="rId72" Type="http://schemas.openxmlformats.org/officeDocument/2006/relationships/hyperlink" Target="mailto:vdorgan@digitalrealty.com" TargetMode="External"/><Relationship Id="rId80" Type="http://schemas.openxmlformats.org/officeDocument/2006/relationships/hyperlink" Target="mailto:jgalut@digitalrealty.com" TargetMode="External"/><Relationship Id="rId85" Type="http://schemas.openxmlformats.org/officeDocument/2006/relationships/hyperlink" Target="mailto:tgriffin@digitalrealty.com" TargetMode="External"/><Relationship Id="rId93" Type="http://schemas.openxmlformats.org/officeDocument/2006/relationships/hyperlink" Target="mailto:cion@digitalrealty.com" TargetMode="External"/><Relationship Id="rId98" Type="http://schemas.openxmlformats.org/officeDocument/2006/relationships/hyperlink" Target="mailto:datkinson@digitalrealty.com" TargetMode="External"/><Relationship Id="rId121" Type="http://schemas.openxmlformats.org/officeDocument/2006/relationships/hyperlink" Target="mailto:ryoung@digitalrealty.com" TargetMode="External"/><Relationship Id="rId3" Type="http://schemas.openxmlformats.org/officeDocument/2006/relationships/hyperlink" Target="mailto:ryoung@digitalrealty.com" TargetMode="External"/><Relationship Id="rId12" Type="http://schemas.openxmlformats.org/officeDocument/2006/relationships/hyperlink" Target="mailto:ryoung@digitalrealty.com" TargetMode="External"/><Relationship Id="rId17" Type="http://schemas.openxmlformats.org/officeDocument/2006/relationships/hyperlink" Target="mailto:ryoung@digitalrealty.com" TargetMode="External"/><Relationship Id="rId25" Type="http://schemas.openxmlformats.org/officeDocument/2006/relationships/hyperlink" Target="mailto:ryoung@digitalrealty.com" TargetMode="External"/><Relationship Id="rId33" Type="http://schemas.openxmlformats.org/officeDocument/2006/relationships/hyperlink" Target="mailto:ryoung@digitalrealty.com" TargetMode="External"/><Relationship Id="rId38" Type="http://schemas.openxmlformats.org/officeDocument/2006/relationships/hyperlink" Target="mailto:ryoung@digitalrealty.com" TargetMode="External"/><Relationship Id="rId46" Type="http://schemas.openxmlformats.org/officeDocument/2006/relationships/hyperlink" Target="mailto:jreitz@digitalrealty.com" TargetMode="External"/><Relationship Id="rId59" Type="http://schemas.openxmlformats.org/officeDocument/2006/relationships/hyperlink" Target="mailto:pbamrick@digitalrealty.com" TargetMode="External"/><Relationship Id="rId67" Type="http://schemas.openxmlformats.org/officeDocument/2006/relationships/hyperlink" Target="mailto:pbamrick@digitalrealty.com" TargetMode="External"/><Relationship Id="rId103" Type="http://schemas.openxmlformats.org/officeDocument/2006/relationships/hyperlink" Target="mailto:jreinboldt@digitalrealty.com" TargetMode="External"/><Relationship Id="rId108" Type="http://schemas.openxmlformats.org/officeDocument/2006/relationships/hyperlink" Target="mailto:dgoodavage@digitalrealty.com" TargetMode="External"/><Relationship Id="rId116" Type="http://schemas.openxmlformats.org/officeDocument/2006/relationships/hyperlink" Target="mailto:jreitz@digitalrealty.com" TargetMode="External"/><Relationship Id="rId124" Type="http://schemas.openxmlformats.org/officeDocument/2006/relationships/hyperlink" Target="mailto:cion@digitalrealty.com" TargetMode="External"/><Relationship Id="rId129" Type="http://schemas.openxmlformats.org/officeDocument/2006/relationships/hyperlink" Target="mailto:rgiovannini@digitalrealty.com" TargetMode="External"/><Relationship Id="rId137" Type="http://schemas.openxmlformats.org/officeDocument/2006/relationships/hyperlink" Target="mailto:cion@digitalrealty.com" TargetMode="External"/><Relationship Id="rId20" Type="http://schemas.openxmlformats.org/officeDocument/2006/relationships/hyperlink" Target="mailto:ryoung@digitalrealty.com" TargetMode="External"/><Relationship Id="rId41" Type="http://schemas.openxmlformats.org/officeDocument/2006/relationships/hyperlink" Target="mailto:ryoung@digitalrealty.com" TargetMode="External"/><Relationship Id="rId54" Type="http://schemas.openxmlformats.org/officeDocument/2006/relationships/hyperlink" Target="mailto:jreitz@digitalrealty.com" TargetMode="External"/><Relationship Id="rId62" Type="http://schemas.openxmlformats.org/officeDocument/2006/relationships/hyperlink" Target="mailto:pbamrick@digitalrealty.com" TargetMode="External"/><Relationship Id="rId70" Type="http://schemas.openxmlformats.org/officeDocument/2006/relationships/hyperlink" Target="mailto:vdorgan@digitalrealty.com" TargetMode="External"/><Relationship Id="rId75" Type="http://schemas.openxmlformats.org/officeDocument/2006/relationships/hyperlink" Target="mailto:vdorgan@digitalrealty.com" TargetMode="External"/><Relationship Id="rId83" Type="http://schemas.openxmlformats.org/officeDocument/2006/relationships/hyperlink" Target="mailto:beaton@digitalrealty.com" TargetMode="External"/><Relationship Id="rId88" Type="http://schemas.openxmlformats.org/officeDocument/2006/relationships/hyperlink" Target="mailto:tgriffin@digitalrealty.com" TargetMode="External"/><Relationship Id="rId91" Type="http://schemas.openxmlformats.org/officeDocument/2006/relationships/hyperlink" Target="mailto:cion@digitalrealty.com" TargetMode="External"/><Relationship Id="rId96" Type="http://schemas.openxmlformats.org/officeDocument/2006/relationships/hyperlink" Target="mailto:jreitz@digitalrealty.com" TargetMode="External"/><Relationship Id="rId111" Type="http://schemas.openxmlformats.org/officeDocument/2006/relationships/hyperlink" Target="mailto:jdodson@digitalrealty.com" TargetMode="External"/><Relationship Id="rId132" Type="http://schemas.openxmlformats.org/officeDocument/2006/relationships/hyperlink" Target="mailto:rgiovannini@digitalrealty.com" TargetMode="External"/><Relationship Id="rId140" Type="http://schemas.openxmlformats.org/officeDocument/2006/relationships/printerSettings" Target="../printerSettings/printerSettings71.bin"/><Relationship Id="rId1" Type="http://schemas.openxmlformats.org/officeDocument/2006/relationships/hyperlink" Target="mailto:ryoung@digitalrealty.com" TargetMode="External"/><Relationship Id="rId6" Type="http://schemas.openxmlformats.org/officeDocument/2006/relationships/hyperlink" Target="mailto:ryoung@digitalrealty.com" TargetMode="External"/><Relationship Id="rId15" Type="http://schemas.openxmlformats.org/officeDocument/2006/relationships/hyperlink" Target="mailto:ryoung@digitalrealty.com" TargetMode="External"/><Relationship Id="rId23" Type="http://schemas.openxmlformats.org/officeDocument/2006/relationships/hyperlink" Target="mailto:ryoung@digitalrealty.com" TargetMode="External"/><Relationship Id="rId28" Type="http://schemas.openxmlformats.org/officeDocument/2006/relationships/hyperlink" Target="mailto:ryoung@digitalrealty.com" TargetMode="External"/><Relationship Id="rId36" Type="http://schemas.openxmlformats.org/officeDocument/2006/relationships/hyperlink" Target="mailto:ryoung@digitalrealty.com" TargetMode="External"/><Relationship Id="rId49" Type="http://schemas.openxmlformats.org/officeDocument/2006/relationships/hyperlink" Target="mailto:jreitz@digitalrealty.com" TargetMode="External"/><Relationship Id="rId57" Type="http://schemas.openxmlformats.org/officeDocument/2006/relationships/hyperlink" Target="mailto:pbamrick@digitalrealty.com" TargetMode="External"/><Relationship Id="rId106" Type="http://schemas.openxmlformats.org/officeDocument/2006/relationships/hyperlink" Target="mailto:rgiovannini@digitalrealty.com" TargetMode="External"/><Relationship Id="rId114" Type="http://schemas.openxmlformats.org/officeDocument/2006/relationships/hyperlink" Target="mailto:jreitz@digitalrealty.com" TargetMode="External"/><Relationship Id="rId119" Type="http://schemas.openxmlformats.org/officeDocument/2006/relationships/hyperlink" Target="mailto:ryoung@digitalrealty.com" TargetMode="External"/><Relationship Id="rId127" Type="http://schemas.openxmlformats.org/officeDocument/2006/relationships/hyperlink" Target="mailto:cion@digitalrealty.com" TargetMode="External"/><Relationship Id="rId10" Type="http://schemas.openxmlformats.org/officeDocument/2006/relationships/hyperlink" Target="mailto:ryoung@digitalrealty.com" TargetMode="External"/><Relationship Id="rId31" Type="http://schemas.openxmlformats.org/officeDocument/2006/relationships/hyperlink" Target="mailto:ryoung@digitalrealty.com" TargetMode="External"/><Relationship Id="rId44" Type="http://schemas.openxmlformats.org/officeDocument/2006/relationships/hyperlink" Target="mailto:vdorgan@digitalrealty.com" TargetMode="External"/><Relationship Id="rId52" Type="http://schemas.openxmlformats.org/officeDocument/2006/relationships/hyperlink" Target="mailto:jreitz@digitalrealty.com" TargetMode="External"/><Relationship Id="rId60" Type="http://schemas.openxmlformats.org/officeDocument/2006/relationships/hyperlink" Target="mailto:pbamrick@digitalrealty.com" TargetMode="External"/><Relationship Id="rId65" Type="http://schemas.openxmlformats.org/officeDocument/2006/relationships/hyperlink" Target="mailto:pbamrick@digitalrealty.com" TargetMode="External"/><Relationship Id="rId73" Type="http://schemas.openxmlformats.org/officeDocument/2006/relationships/hyperlink" Target="mailto:vdorgan@digitalrealty.com" TargetMode="External"/><Relationship Id="rId78" Type="http://schemas.openxmlformats.org/officeDocument/2006/relationships/hyperlink" Target="mailto:vdorgan@digitalrealty.com" TargetMode="External"/><Relationship Id="rId81" Type="http://schemas.openxmlformats.org/officeDocument/2006/relationships/hyperlink" Target="mailto:ncrowley@digitalrealty.com" TargetMode="External"/><Relationship Id="rId86" Type="http://schemas.openxmlformats.org/officeDocument/2006/relationships/hyperlink" Target="mailto:jambrozy@digitalrealty.com" TargetMode="External"/><Relationship Id="rId94" Type="http://schemas.openxmlformats.org/officeDocument/2006/relationships/hyperlink" Target="mailto:ryoung@digitalrealty.com" TargetMode="External"/><Relationship Id="rId99" Type="http://schemas.openxmlformats.org/officeDocument/2006/relationships/hyperlink" Target="mailto:datkinson@digitalrealty.com" TargetMode="External"/><Relationship Id="rId101" Type="http://schemas.openxmlformats.org/officeDocument/2006/relationships/hyperlink" Target="mailto:mknox@digitalrealty.com" TargetMode="External"/><Relationship Id="rId122" Type="http://schemas.openxmlformats.org/officeDocument/2006/relationships/hyperlink" Target="mailto:ryoung@digitalrealty.com" TargetMode="External"/><Relationship Id="rId130" Type="http://schemas.openxmlformats.org/officeDocument/2006/relationships/hyperlink" Target="mailto:rgiovannini@digitalrealty.com" TargetMode="External"/><Relationship Id="rId135" Type="http://schemas.openxmlformats.org/officeDocument/2006/relationships/hyperlink" Target="mailto:cion@digitalrealty.com" TargetMode="External"/><Relationship Id="rId4" Type="http://schemas.openxmlformats.org/officeDocument/2006/relationships/hyperlink" Target="mailto:ryoung@digitalrealty.com" TargetMode="External"/><Relationship Id="rId9" Type="http://schemas.openxmlformats.org/officeDocument/2006/relationships/hyperlink" Target="mailto:ryoung@digitalrealty.com" TargetMode="External"/><Relationship Id="rId13" Type="http://schemas.openxmlformats.org/officeDocument/2006/relationships/hyperlink" Target="mailto:ryoung@digitalrealty.com" TargetMode="External"/><Relationship Id="rId18" Type="http://schemas.openxmlformats.org/officeDocument/2006/relationships/hyperlink" Target="mailto:ryoung@digitalrealty.com" TargetMode="External"/><Relationship Id="rId39" Type="http://schemas.openxmlformats.org/officeDocument/2006/relationships/hyperlink" Target="mailto:ryoung@digitalrealty.com" TargetMode="External"/><Relationship Id="rId109" Type="http://schemas.openxmlformats.org/officeDocument/2006/relationships/hyperlink" Target="mailto:klim@digitalrealty.com" TargetMode="External"/><Relationship Id="rId34" Type="http://schemas.openxmlformats.org/officeDocument/2006/relationships/hyperlink" Target="mailto:ryoung@digitalrealty.com" TargetMode="External"/><Relationship Id="rId50" Type="http://schemas.openxmlformats.org/officeDocument/2006/relationships/hyperlink" Target="mailto:jreitz@digitalrealty.com" TargetMode="External"/><Relationship Id="rId55" Type="http://schemas.openxmlformats.org/officeDocument/2006/relationships/hyperlink" Target="mailto:jreitz@digitalrealty.com" TargetMode="External"/><Relationship Id="rId76" Type="http://schemas.openxmlformats.org/officeDocument/2006/relationships/hyperlink" Target="mailto:vdorgan@digitalrealty.com" TargetMode="External"/><Relationship Id="rId97" Type="http://schemas.openxmlformats.org/officeDocument/2006/relationships/hyperlink" Target="mailto:jreitz@digitalrealty.com" TargetMode="External"/><Relationship Id="rId104" Type="http://schemas.openxmlformats.org/officeDocument/2006/relationships/hyperlink" Target="mailto:jreinboldt@digitalrealty.com" TargetMode="External"/><Relationship Id="rId120" Type="http://schemas.openxmlformats.org/officeDocument/2006/relationships/hyperlink" Target="mailto:ryoung@digitalrealty.com" TargetMode="External"/><Relationship Id="rId125" Type="http://schemas.openxmlformats.org/officeDocument/2006/relationships/hyperlink" Target="mailto:cion@digitalrealty.com" TargetMode="External"/><Relationship Id="rId7" Type="http://schemas.openxmlformats.org/officeDocument/2006/relationships/hyperlink" Target="mailto:ryoung@digitalrealty.com" TargetMode="External"/><Relationship Id="rId71" Type="http://schemas.openxmlformats.org/officeDocument/2006/relationships/hyperlink" Target="mailto:vdorgan@digitalrealty.com" TargetMode="External"/><Relationship Id="rId92" Type="http://schemas.openxmlformats.org/officeDocument/2006/relationships/hyperlink" Target="mailto:cion@digitalrealty.com" TargetMode="External"/><Relationship Id="rId2" Type="http://schemas.openxmlformats.org/officeDocument/2006/relationships/hyperlink" Target="mailto:ryoung@digitalrealty.com" TargetMode="External"/><Relationship Id="rId29" Type="http://schemas.openxmlformats.org/officeDocument/2006/relationships/hyperlink" Target="mailto:ryoung@digitalrealty.com" TargetMode="External"/><Relationship Id="rId24" Type="http://schemas.openxmlformats.org/officeDocument/2006/relationships/hyperlink" Target="mailto:ryoung@digitalrealty.com" TargetMode="External"/><Relationship Id="rId40" Type="http://schemas.openxmlformats.org/officeDocument/2006/relationships/hyperlink" Target="mailto:ryoung@digitalrealty.com" TargetMode="External"/><Relationship Id="rId45" Type="http://schemas.openxmlformats.org/officeDocument/2006/relationships/hyperlink" Target="mailto:pbamrick@digitalrealty.com" TargetMode="External"/><Relationship Id="rId66" Type="http://schemas.openxmlformats.org/officeDocument/2006/relationships/hyperlink" Target="mailto:pbamrick@digitalrealty.com" TargetMode="External"/><Relationship Id="rId87" Type="http://schemas.openxmlformats.org/officeDocument/2006/relationships/hyperlink" Target="mailto:jambrozy@digitalrealty.com" TargetMode="External"/><Relationship Id="rId110" Type="http://schemas.openxmlformats.org/officeDocument/2006/relationships/hyperlink" Target="mailto:klim@digitalrealty.com" TargetMode="External"/><Relationship Id="rId115" Type="http://schemas.openxmlformats.org/officeDocument/2006/relationships/hyperlink" Target="mailto:jreitz@digitalrealty.com" TargetMode="External"/><Relationship Id="rId131" Type="http://schemas.openxmlformats.org/officeDocument/2006/relationships/hyperlink" Target="mailto:rgiovannini@digitalrealty.com" TargetMode="External"/><Relationship Id="rId136" Type="http://schemas.openxmlformats.org/officeDocument/2006/relationships/hyperlink" Target="mailto:cion@digitalrealty.com" TargetMode="External"/><Relationship Id="rId61" Type="http://schemas.openxmlformats.org/officeDocument/2006/relationships/hyperlink" Target="mailto:pbamrick@digitalrealty.com" TargetMode="External"/><Relationship Id="rId82" Type="http://schemas.openxmlformats.org/officeDocument/2006/relationships/hyperlink" Target="mailto:ncrowley@digitalrealty.com" TargetMode="External"/><Relationship Id="rId19" Type="http://schemas.openxmlformats.org/officeDocument/2006/relationships/hyperlink" Target="mailto:ryoung@digitalrealty.com" TargetMode="External"/><Relationship Id="rId14" Type="http://schemas.openxmlformats.org/officeDocument/2006/relationships/hyperlink" Target="mailto:ryoung@digitalrealty.com" TargetMode="External"/><Relationship Id="rId30" Type="http://schemas.openxmlformats.org/officeDocument/2006/relationships/hyperlink" Target="mailto:ryoung@digitalrealty.com" TargetMode="External"/><Relationship Id="rId35" Type="http://schemas.openxmlformats.org/officeDocument/2006/relationships/hyperlink" Target="mailto:ryoung@digitalrealty.com" TargetMode="External"/><Relationship Id="rId56" Type="http://schemas.openxmlformats.org/officeDocument/2006/relationships/hyperlink" Target="mailto:pbamrick@digitalrealty.com" TargetMode="External"/><Relationship Id="rId77" Type="http://schemas.openxmlformats.org/officeDocument/2006/relationships/hyperlink" Target="mailto:ryoung@digitalrealty.com" TargetMode="External"/><Relationship Id="rId100" Type="http://schemas.openxmlformats.org/officeDocument/2006/relationships/hyperlink" Target="mailto:mknox@digitalrealty.com" TargetMode="External"/><Relationship Id="rId105" Type="http://schemas.openxmlformats.org/officeDocument/2006/relationships/hyperlink" Target="mailto:gpanait@digitalrealty.com" TargetMode="External"/><Relationship Id="rId126" Type="http://schemas.openxmlformats.org/officeDocument/2006/relationships/hyperlink" Target="mailto:cion@digitalrealty.com" TargetMode="External"/></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07270-B21A-434E-95AC-BEC6DE689D1B}">
  <sheetPr codeName="AACoverPage">
    <pageSetUpPr fitToPage="1"/>
  </sheetPr>
  <dimension ref="A1:N96"/>
  <sheetViews>
    <sheetView tabSelected="1" view="pageBreakPreview" zoomScaleNormal="100" zoomScaleSheetLayoutView="100" workbookViewId="0">
      <selection activeCell="L9" sqref="L9"/>
    </sheetView>
  </sheetViews>
  <sheetFormatPr defaultColWidth="8.7109375" defaultRowHeight="15" x14ac:dyDescent="0.25"/>
  <cols>
    <col min="1" max="1" width="23.85546875" style="80" customWidth="1"/>
    <col min="2" max="2" width="18.28515625" style="80" customWidth="1"/>
    <col min="3" max="3" width="30.5703125" style="80" customWidth="1"/>
    <col min="4" max="4" width="3" style="80" customWidth="1"/>
    <col min="5" max="5" width="13" style="80" bestFit="1" customWidth="1"/>
    <col min="6" max="6" width="12.140625" style="80" customWidth="1"/>
    <col min="7" max="7" width="18.140625" style="80" customWidth="1"/>
    <col min="8" max="8" width="17.140625" style="80" customWidth="1"/>
    <col min="9" max="9" width="14.42578125" style="80" customWidth="1"/>
    <col min="10" max="10" width="3.5703125" style="80" customWidth="1"/>
    <col min="11" max="11" width="42.5703125" style="406" customWidth="1"/>
    <col min="12" max="12" width="29.28515625" style="406" bestFit="1" customWidth="1"/>
    <col min="13" max="14" width="8.7109375" style="406"/>
    <col min="15" max="16384" width="8.7109375" style="107"/>
  </cols>
  <sheetData>
    <row r="1" spans="1:14" s="288" customFormat="1" ht="18" thickBot="1" x14ac:dyDescent="0.35">
      <c r="A1" s="535" t="s">
        <v>0</v>
      </c>
      <c r="B1" s="536"/>
      <c r="C1" s="536"/>
      <c r="D1" s="536"/>
      <c r="E1" s="536"/>
      <c r="F1" s="536"/>
      <c r="G1" s="536"/>
      <c r="H1" s="536"/>
      <c r="I1" s="537"/>
      <c r="J1" s="340"/>
      <c r="K1" s="338"/>
      <c r="L1" s="338"/>
      <c r="M1" s="338"/>
      <c r="N1" s="338"/>
    </row>
    <row r="2" spans="1:14" customFormat="1" ht="33.75" customHeight="1" x14ac:dyDescent="0.25">
      <c r="A2" s="341" t="s">
        <v>1</v>
      </c>
      <c r="B2" s="538" t="str">
        <f>IF(zSelectedEquipment = "Please Select...", " ", K9 &amp; " (performed on " &amp; zSelectedEquipment &amp; ")")</f>
        <v>Routine Generator run with no load transfer (performed on G104-Gen-B)</v>
      </c>
      <c r="C2" s="539"/>
      <c r="D2" s="539"/>
      <c r="E2" s="539"/>
      <c r="F2" s="539"/>
      <c r="G2" s="540"/>
      <c r="H2" s="434" t="s">
        <v>2</v>
      </c>
      <c r="I2" s="342" t="str">
        <f>K12</f>
        <v>WO9999999</v>
      </c>
      <c r="J2" s="80"/>
      <c r="K2" s="339"/>
      <c r="L2" s="339"/>
      <c r="M2" s="339"/>
      <c r="N2" s="339"/>
    </row>
    <row r="3" spans="1:14" customFormat="1" ht="17.25" x14ac:dyDescent="0.25">
      <c r="A3" s="257" t="s">
        <v>3</v>
      </c>
      <c r="B3" s="526"/>
      <c r="C3" s="541" t="s">
        <v>4</v>
      </c>
      <c r="D3" s="541"/>
      <c r="E3" s="526"/>
      <c r="F3" s="435" t="s">
        <v>5</v>
      </c>
      <c r="G3" s="343"/>
      <c r="H3" s="435" t="s">
        <v>6</v>
      </c>
      <c r="I3" s="344"/>
      <c r="J3" s="80"/>
      <c r="K3" s="339"/>
      <c r="L3" s="339"/>
      <c r="M3" s="339"/>
      <c r="N3" s="339"/>
    </row>
    <row r="4" spans="1:14" customFormat="1" ht="64.5" customHeight="1" x14ac:dyDescent="0.25">
      <c r="A4" s="345" t="s">
        <v>7</v>
      </c>
      <c r="B4" s="542" t="str">
        <f>IF(zSelectedEquipment = "Please Select...", " ", VLOOKUP(zTaskName, 'Risk Guidelines'!$A$1:$AA$295, 13, FALSE))</f>
        <v>Perform generator testing for 15 minutes with no load. Readings will be recorded, any anomalies reported directly to DLR Manager - Facility Engineering.</v>
      </c>
      <c r="C4" s="543"/>
      <c r="D4" s="543"/>
      <c r="E4" s="543"/>
      <c r="F4" s="543"/>
      <c r="G4" s="544"/>
      <c r="H4" s="543"/>
      <c r="I4" s="545"/>
      <c r="J4" s="80"/>
      <c r="K4" s="339"/>
      <c r="L4" s="339"/>
      <c r="M4" s="339"/>
      <c r="N4" s="339"/>
    </row>
    <row r="5" spans="1:14" customFormat="1" ht="17.25" x14ac:dyDescent="0.25">
      <c r="A5" s="346" t="s">
        <v>8</v>
      </c>
      <c r="B5" s="531" t="str">
        <f>IF(zSelectedEquipment="Please Select..."," ",VLOOKUP(zTaskNameIdentifier,'Config-All'!$B$4:$AE$37,4,FALSE))</f>
        <v>IAD35 Generator Yard</v>
      </c>
      <c r="C5" s="531"/>
      <c r="D5" s="531"/>
      <c r="E5" s="531"/>
      <c r="F5" s="531"/>
      <c r="G5" s="531"/>
      <c r="H5" s="531"/>
      <c r="I5" s="532"/>
      <c r="J5" s="80"/>
      <c r="K5" s="339"/>
      <c r="L5" s="339"/>
      <c r="M5" s="339"/>
      <c r="N5" s="339"/>
    </row>
    <row r="6" spans="1:14" customFormat="1" ht="82.5" customHeight="1" x14ac:dyDescent="0.25">
      <c r="A6" s="257" t="s">
        <v>9</v>
      </c>
      <c r="B6" s="533" t="str">
        <f>IF(zSelectedEquipment = "Please Select...", " ", VLOOKUP(zTaskName, 'Risk Guidelines'!$A$1:$AA$295, 14, FALSE))</f>
        <v>No immediate risk to customer loads.</v>
      </c>
      <c r="C6" s="533"/>
      <c r="D6" s="533"/>
      <c r="E6" s="533"/>
      <c r="F6" s="533"/>
      <c r="G6" s="533"/>
      <c r="H6" s="533"/>
      <c r="I6" s="534"/>
      <c r="J6" s="80"/>
      <c r="K6" s="339"/>
      <c r="L6" s="339"/>
      <c r="M6" s="339"/>
      <c r="N6" s="339"/>
    </row>
    <row r="7" spans="1:14" customFormat="1" ht="52.35" customHeight="1" thickBot="1" x14ac:dyDescent="0.3">
      <c r="A7" s="257" t="s">
        <v>10</v>
      </c>
      <c r="B7" s="533" t="str">
        <f>IF(zSelectedEquipment = "Please Select...", " ", VLOOKUP(zTaskName, 'Risk Guidelines'!$A$1:$AA$295, 15, FALSE))</f>
        <v xml:space="preserve">No immediate impact to customer loads. </v>
      </c>
      <c r="C7" s="533"/>
      <c r="D7" s="533"/>
      <c r="E7" s="533"/>
      <c r="F7" s="533"/>
      <c r="G7" s="533"/>
      <c r="H7" s="533"/>
      <c r="I7" s="534"/>
      <c r="J7" s="80"/>
      <c r="K7" s="339"/>
      <c r="L7" s="339"/>
      <c r="M7" s="339"/>
      <c r="N7" s="339"/>
    </row>
    <row r="8" spans="1:14" customFormat="1" ht="22.9" customHeight="1" thickBot="1" x14ac:dyDescent="0.3">
      <c r="A8" s="436" t="s">
        <v>11</v>
      </c>
      <c r="B8" s="547" t="str">
        <f>IF(zSelectedEquipment = "Please Select...", " ", VLOOKUP(zTaskName, 'Config-All'!$A$4:$N$84, 3, FALSE))</f>
        <v>Dan Vanderplas</v>
      </c>
      <c r="C8" s="548"/>
      <c r="D8" s="549"/>
      <c r="E8" s="437" t="s">
        <v>12</v>
      </c>
      <c r="F8" s="550" t="str">
        <f>IF(zSelectedEquipment = "Please Select...", " ", VLOOKUP(zTaskName, 'Config-All'!$A$4:$N$84, 4, FALSE))</f>
        <v>Manager - Facility Engineering</v>
      </c>
      <c r="G8" s="550"/>
      <c r="H8" s="550"/>
      <c r="I8" s="551"/>
      <c r="J8" s="80"/>
      <c r="K8" s="371" t="s">
        <v>1</v>
      </c>
      <c r="L8" s="372" t="s">
        <v>13</v>
      </c>
      <c r="M8" s="339"/>
      <c r="N8" s="339"/>
    </row>
    <row r="9" spans="1:14" customFormat="1" ht="36" customHeight="1" thickBot="1" x14ac:dyDescent="0.35">
      <c r="A9" s="552" t="s">
        <v>14</v>
      </c>
      <c r="B9" s="553"/>
      <c r="C9" s="553"/>
      <c r="D9" s="553"/>
      <c r="E9" s="553"/>
      <c r="F9" s="553"/>
      <c r="G9" s="553"/>
      <c r="H9" s="553"/>
      <c r="I9" s="554"/>
      <c r="J9" s="80"/>
      <c r="K9" s="373" t="s">
        <v>199</v>
      </c>
      <c r="L9" s="374" t="s">
        <v>437</v>
      </c>
      <c r="M9" s="339"/>
      <c r="N9" s="339"/>
    </row>
    <row r="10" spans="1:14" customFormat="1" ht="18" customHeight="1" thickBot="1" x14ac:dyDescent="0.3">
      <c r="A10" s="347" t="s">
        <v>17</v>
      </c>
      <c r="B10" s="432" t="s">
        <v>18</v>
      </c>
      <c r="C10" s="555" t="s">
        <v>8</v>
      </c>
      <c r="D10" s="555"/>
      <c r="E10" s="555"/>
      <c r="F10" s="555" t="s">
        <v>19</v>
      </c>
      <c r="G10" s="555"/>
      <c r="H10" s="432" t="s">
        <v>20</v>
      </c>
      <c r="I10" s="433" t="s">
        <v>21</v>
      </c>
      <c r="J10" s="80"/>
      <c r="K10" s="370"/>
      <c r="L10" s="370"/>
      <c r="M10" s="339"/>
      <c r="N10" s="339"/>
    </row>
    <row r="11" spans="1:14" customFormat="1" ht="17.25" x14ac:dyDescent="0.25">
      <c r="A11" s="348"/>
      <c r="B11" s="429" t="str">
        <f>IF(zSelectedEquipment = "Please Select...", " ", VLOOKUP(zTaskNameIdentifier, 'Config-Cover Page'!$B$3:$AF$34, 17, FALSE))</f>
        <v>Digital Realty</v>
      </c>
      <c r="C11" s="546" t="str">
        <f>IF(zSelectedEquipment = "Please Select...", " ", VLOOKUP(zTaskNameIdentifier, 'Config-Cover Page'!$B$3:$AF$34, 7, FALSE))</f>
        <v>IAD35 Generator Yard</v>
      </c>
      <c r="D11" s="546"/>
      <c r="E11" s="546"/>
      <c r="F11" s="546" t="str">
        <f>IF(zSelectedEquipment = "Please Select...", " ", VLOOKUP(zTaskNameIdentifier, 'Config-Cover Page'!$B$3:$AF$34, 12, FALSE))</f>
        <v>Reader &amp; Operator</v>
      </c>
      <c r="G11" s="546"/>
      <c r="H11" s="429" t="str">
        <f>IF(zSelectedEquipment = "Please Select...", " ", VLOOKUP(zTaskNameIdentifier, 'Config-Cover Page'!$B$3:$AF$34, 22, FALSE))</f>
        <v>(703) 964-4776</v>
      </c>
      <c r="I11" s="349" t="s">
        <v>22</v>
      </c>
      <c r="J11" s="80"/>
      <c r="K11" s="375" t="s">
        <v>23</v>
      </c>
      <c r="L11" s="339"/>
      <c r="M11" s="339"/>
      <c r="N11" s="339"/>
    </row>
    <row r="12" spans="1:14" customFormat="1" ht="16.5" thickBot="1" x14ac:dyDescent="0.3">
      <c r="A12" s="348"/>
      <c r="B12" s="429" t="str">
        <f>IF(zSelectedEquipment = "Please Select...", " ", VLOOKUP(zTaskNameIdentifier, 'Config-Cover Page'!$B$3:$AF$34, 18, FALSE))</f>
        <v>Digital Realty</v>
      </c>
      <c r="C12" s="546" t="str">
        <f>IF(zSelectedEquipment = "Please Select...", " ", VLOOKUP(zTaskNameIdentifier, 'Config-Cover Page'!$B$3:$AF$34, 8, FALSE))</f>
        <v>BMS Base Station</v>
      </c>
      <c r="D12" s="546"/>
      <c r="E12" s="546"/>
      <c r="F12" s="546" t="str">
        <f>IF(zSelectedEquipment = "Please Select...", " ", VLOOKUP(zTaskNameIdentifier, 'Config-Cover Page'!$B$3:$AF$34, 13, FALSE))</f>
        <v>Monitor BMS/Call Buildings Out</v>
      </c>
      <c r="G12" s="546"/>
      <c r="H12" s="429" t="str">
        <f>IF(zSelectedEquipment = "Please Select...", " ", VLOOKUP(zTaskNameIdentifier, 'Config-Cover Page'!$B$3:$AF$34, 23, FALSE))</f>
        <v>(703) 964-4776</v>
      </c>
      <c r="I12" s="349" t="s">
        <v>22</v>
      </c>
      <c r="J12" s="80"/>
      <c r="K12" s="376" t="s">
        <v>4935</v>
      </c>
      <c r="L12" s="339"/>
      <c r="M12" s="339"/>
      <c r="N12" s="339"/>
    </row>
    <row r="13" spans="1:14" ht="15.75" x14ac:dyDescent="0.25">
      <c r="A13" s="348"/>
      <c r="B13" s="429" t="str">
        <f>IF(zSelectedEquipment = "Please Select...", " ", VLOOKUP(zTaskNameIdentifier, 'Config-Cover Page'!$B$3:$AF$34, 19, FALSE))</f>
        <v xml:space="preserve"> </v>
      </c>
      <c r="C13" s="546" t="str">
        <f>IF(zSelectedEquipment = "Please Select...", " ", VLOOKUP(zTaskNameIdentifier, 'Config-Cover Page'!$B$3:$AF$34, 9, FALSE))</f>
        <v xml:space="preserve"> </v>
      </c>
      <c r="D13" s="546"/>
      <c r="E13" s="546"/>
      <c r="F13" s="546" t="str">
        <f>IF(zSelectedEquipment = "Please Select...", " ", VLOOKUP(zTaskNameIdentifier, 'Config-Cover Page'!$B$3:$AF$34, 14, FALSE))</f>
        <v xml:space="preserve"> </v>
      </c>
      <c r="G13" s="546"/>
      <c r="H13" s="429" t="str">
        <f>IF(zSelectedEquipment = "Please Select...", " ", VLOOKUP(zTaskNameIdentifier, 'Config-Cover Page'!$B$3:$AF$34, 24, FALSE))</f>
        <v xml:space="preserve"> </v>
      </c>
      <c r="I13" s="349" t="s">
        <v>22</v>
      </c>
      <c r="K13" s="405"/>
      <c r="L13" s="405"/>
    </row>
    <row r="14" spans="1:14" ht="17.25" x14ac:dyDescent="0.3">
      <c r="A14" s="348"/>
      <c r="B14" s="429" t="str">
        <f>IF(zSelectedEquipment = "Please Select...", " ", VLOOKUP(zTaskNameIdentifier, 'Config-Cover Page'!$B$3:$AF$34, 20, FALSE))</f>
        <v xml:space="preserve"> </v>
      </c>
      <c r="C14" s="546" t="str">
        <f>IF(zSelectedEquipment = "Please Select...", " ", VLOOKUP(zTaskNameIdentifier, 'Config-Cover Page'!$B$3:$AF$34, 10, FALSE))</f>
        <v xml:space="preserve"> </v>
      </c>
      <c r="D14" s="546"/>
      <c r="E14" s="546"/>
      <c r="F14" s="546" t="str">
        <f>IF(zSelectedEquipment = "Please Select...", " ", VLOOKUP(zTaskNameIdentifier, 'Config-Cover Page'!$B$3:$AF$34, 15, FALSE))</f>
        <v xml:space="preserve"> </v>
      </c>
      <c r="G14" s="546"/>
      <c r="H14" s="429" t="str">
        <f>IF(zSelectedEquipment = "Please Select...", " ", VLOOKUP(zTaskNameIdentifier, 'Config-Cover Page'!$B$3:$AF$34, 25, FALSE))</f>
        <v xml:space="preserve"> </v>
      </c>
      <c r="I14" s="349" t="s">
        <v>22</v>
      </c>
      <c r="K14" s="407"/>
      <c r="L14" s="407"/>
    </row>
    <row r="15" spans="1:14" ht="15.75" x14ac:dyDescent="0.25">
      <c r="A15" s="348"/>
      <c r="B15" s="429" t="str">
        <f>IF(zSelectedEquipment = "Please Select...", " ", VLOOKUP(zTaskNameIdentifier, 'Config-Cover Page'!$B$3:$AF$34, 21, FALSE))</f>
        <v xml:space="preserve"> </v>
      </c>
      <c r="C15" s="546" t="str">
        <f>IF(zSelectedEquipment = "Please Select...", " ", VLOOKUP(zTaskNameIdentifier, 'Config-Cover Page'!$B$3:$AF$34, 11, FALSE))</f>
        <v xml:space="preserve"> </v>
      </c>
      <c r="D15" s="546"/>
      <c r="E15" s="546"/>
      <c r="F15" s="546" t="str">
        <f>IF(zSelectedEquipment = "Please Select...", " ", VLOOKUP(zTaskNameIdentifier, 'Config-Cover Page'!$B$3:$AF$34, 16, FALSE))</f>
        <v xml:space="preserve"> </v>
      </c>
      <c r="G15" s="546"/>
      <c r="H15" s="429" t="str">
        <f>IF(zSelectedEquipment = "Please Select...", " ", VLOOKUP(zTaskNameIdentifier, 'Config-Cover Page'!$B$3:$AF$34, 26, FALSE))</f>
        <v xml:space="preserve"> </v>
      </c>
      <c r="I15" s="349" t="s">
        <v>22</v>
      </c>
      <c r="K15" s="408"/>
      <c r="L15" s="408"/>
    </row>
    <row r="16" spans="1:14" ht="15.75" x14ac:dyDescent="0.25">
      <c r="A16" s="348"/>
      <c r="B16" s="429"/>
      <c r="C16" s="546"/>
      <c r="D16" s="546"/>
      <c r="E16" s="546"/>
      <c r="F16" s="546"/>
      <c r="G16" s="546"/>
      <c r="H16" s="429"/>
      <c r="I16" s="349" t="s">
        <v>22</v>
      </c>
      <c r="K16" s="405"/>
      <c r="L16" s="405"/>
    </row>
    <row r="17" spans="1:14" ht="15.75" x14ac:dyDescent="0.25">
      <c r="A17" s="348"/>
      <c r="B17" s="429"/>
      <c r="C17" s="546"/>
      <c r="D17" s="546"/>
      <c r="E17" s="546"/>
      <c r="F17" s="546"/>
      <c r="G17" s="546"/>
      <c r="H17" s="429"/>
      <c r="I17" s="349" t="s">
        <v>22</v>
      </c>
      <c r="L17" s="405"/>
    </row>
    <row r="18" spans="1:14" ht="15.75" x14ac:dyDescent="0.25">
      <c r="A18" s="348"/>
      <c r="B18" s="429"/>
      <c r="C18" s="546"/>
      <c r="D18" s="546"/>
      <c r="E18" s="546"/>
      <c r="F18" s="546"/>
      <c r="G18" s="546"/>
      <c r="H18" s="429"/>
      <c r="I18" s="349" t="s">
        <v>22</v>
      </c>
      <c r="L18" s="405"/>
    </row>
    <row r="19" spans="1:14" ht="15.75" x14ac:dyDescent="0.25">
      <c r="A19" s="348"/>
      <c r="B19" s="429"/>
      <c r="C19" s="546"/>
      <c r="D19" s="546"/>
      <c r="E19" s="546"/>
      <c r="F19" s="546"/>
      <c r="G19" s="546"/>
      <c r="H19" s="429"/>
      <c r="I19" s="349" t="s">
        <v>22</v>
      </c>
    </row>
    <row r="20" spans="1:14" ht="16.5" thickBot="1" x14ac:dyDescent="0.3">
      <c r="A20" s="350"/>
      <c r="B20" s="430"/>
      <c r="C20" s="583"/>
      <c r="D20" s="583"/>
      <c r="E20" s="583"/>
      <c r="F20" s="583"/>
      <c r="G20" s="583"/>
      <c r="H20" s="430"/>
      <c r="I20" s="351" t="s">
        <v>22</v>
      </c>
    </row>
    <row r="21" spans="1:14" ht="17.25" x14ac:dyDescent="0.25">
      <c r="A21" s="588" t="s">
        <v>24</v>
      </c>
      <c r="B21" s="589"/>
      <c r="C21" s="589" t="s">
        <v>25</v>
      </c>
      <c r="D21" s="589"/>
      <c r="E21" s="589" t="s">
        <v>26</v>
      </c>
      <c r="F21" s="589"/>
      <c r="G21" s="590"/>
      <c r="H21" s="259"/>
      <c r="I21" s="352"/>
    </row>
    <row r="22" spans="1:14" ht="16.5" thickBot="1" x14ac:dyDescent="0.3">
      <c r="A22" s="591" t="str" cm="1">
        <f t="array" ref="A22">IF(zSelectedEquipment = "Please Select...", " ", VLOOKUP(IADNumber, 'Site List'!$A$2:$O$196, 13, FALSE))</f>
        <v>George Panait</v>
      </c>
      <c r="B22" s="592"/>
      <c r="C22" s="592"/>
      <c r="D22" s="592"/>
      <c r="E22" s="592"/>
      <c r="F22" s="592"/>
      <c r="G22" s="593"/>
      <c r="H22" s="259"/>
      <c r="I22" s="352"/>
      <c r="K22" s="530"/>
    </row>
    <row r="23" spans="1:14" s="410" customFormat="1" ht="18" thickBot="1" x14ac:dyDescent="0.35">
      <c r="A23" s="559" t="s">
        <v>27</v>
      </c>
      <c r="B23" s="560"/>
      <c r="C23" s="353"/>
      <c r="D23" s="353"/>
      <c r="E23" s="353"/>
      <c r="F23" s="354"/>
      <c r="G23" s="561"/>
      <c r="H23" s="562"/>
      <c r="I23" s="563"/>
      <c r="J23" s="340"/>
      <c r="K23" s="409"/>
      <c r="L23" s="409"/>
      <c r="M23" s="409"/>
      <c r="N23" s="409"/>
    </row>
    <row r="24" spans="1:14" s="410" customFormat="1" ht="17.25" x14ac:dyDescent="0.3">
      <c r="A24" s="564" t="s">
        <v>17</v>
      </c>
      <c r="B24" s="565"/>
      <c r="C24" s="566" t="s">
        <v>28</v>
      </c>
      <c r="D24" s="566"/>
      <c r="E24" s="567"/>
      <c r="F24" s="355" t="s">
        <v>21</v>
      </c>
      <c r="G24" s="356" t="s">
        <v>29</v>
      </c>
      <c r="H24" s="568" t="s">
        <v>30</v>
      </c>
      <c r="I24" s="569"/>
      <c r="J24" s="340"/>
      <c r="K24" s="409"/>
      <c r="L24" s="409"/>
      <c r="M24" s="409"/>
      <c r="N24" s="409"/>
    </row>
    <row r="25" spans="1:14" s="410" customFormat="1" ht="17.25" x14ac:dyDescent="0.3">
      <c r="A25" s="574" t="str">
        <f>IF(zSelectedEquipment = "Please Select...", " ", VLOOKUP(zTaskNameIdentifier, 'Config-All'!$B$3:$AH$45, 20, FALSE))</f>
        <v>Renzo Giovannini</v>
      </c>
      <c r="B25" s="575"/>
      <c r="C25" s="576">
        <f>IF(zSelectedEquipment = "Please Select...", " ", VLOOKUP(zTaskNameIdentifier, 'Config-All'!$B$3:$AH$45, 21, FALSE))</f>
        <v>43906</v>
      </c>
      <c r="D25" s="577"/>
      <c r="E25" s="578"/>
      <c r="F25" s="357" t="s">
        <v>22</v>
      </c>
      <c r="G25" s="358"/>
      <c r="H25" s="570"/>
      <c r="I25" s="571"/>
      <c r="J25" s="340"/>
      <c r="K25" s="409"/>
      <c r="L25" s="525"/>
      <c r="M25" s="409"/>
      <c r="N25" s="409"/>
    </row>
    <row r="26" spans="1:14" s="410" customFormat="1" ht="18" thickBot="1" x14ac:dyDescent="0.35">
      <c r="A26" s="579" t="str">
        <f>IF(zSelectedEquipment = "Please Select...", " ", VLOOKUP(zTaskNameIdentifier, 'Config-All'!$B$3:$AH$45, 22, FALSE))</f>
        <v>Dan Vanderplas</v>
      </c>
      <c r="B26" s="580"/>
      <c r="C26" s="581">
        <f>IF(zSelectedEquipment = "Please Select...", " ", VLOOKUP(zTaskNameIdentifier, 'Config-All'!$B$3:$AH$45, 23, FALSE))</f>
        <v>43906</v>
      </c>
      <c r="D26" s="581"/>
      <c r="E26" s="582"/>
      <c r="F26" s="359" t="s">
        <v>22</v>
      </c>
      <c r="G26" s="360"/>
      <c r="H26" s="572"/>
      <c r="I26" s="573"/>
      <c r="J26" s="340"/>
      <c r="K26" s="409"/>
      <c r="L26" s="409"/>
      <c r="M26" s="409"/>
      <c r="N26" s="409"/>
    </row>
    <row r="27" spans="1:14" s="410" customFormat="1" ht="15.75" customHeight="1" thickBot="1" x14ac:dyDescent="0.35">
      <c r="A27" s="584"/>
      <c r="B27" s="585"/>
      <c r="C27" s="258"/>
      <c r="D27" s="258"/>
      <c r="E27" s="258"/>
      <c r="F27" s="411"/>
      <c r="G27" s="412"/>
      <c r="H27" s="586" t="s">
        <v>31</v>
      </c>
      <c r="I27" s="587"/>
      <c r="J27" s="340"/>
      <c r="K27" s="409"/>
      <c r="L27" s="409"/>
      <c r="M27" s="409"/>
      <c r="N27" s="409"/>
    </row>
    <row r="28" spans="1:14" s="410" customFormat="1" ht="17.25" x14ac:dyDescent="0.3">
      <c r="A28" s="431" t="s">
        <v>32</v>
      </c>
      <c r="B28" s="362" t="str">
        <f>VLOOKUP(zTaskNameIdentifier, 'Config-Cover Page'!B3:AG28, 32, FALSE)</f>
        <v>Yes</v>
      </c>
      <c r="C28" s="417"/>
      <c r="D28" s="417"/>
      <c r="E28" s="417"/>
      <c r="F28" s="413"/>
      <c r="G28" s="412"/>
      <c r="H28" s="361"/>
      <c r="I28" s="363"/>
      <c r="J28" s="340"/>
      <c r="K28" s="409"/>
      <c r="L28" s="409"/>
      <c r="M28" s="409"/>
      <c r="N28" s="409"/>
    </row>
    <row r="29" spans="1:14" s="410" customFormat="1" ht="17.25" x14ac:dyDescent="0.3">
      <c r="A29" s="414"/>
      <c r="B29" s="415"/>
      <c r="C29" s="415"/>
      <c r="D29" s="415"/>
      <c r="E29" s="415"/>
      <c r="F29" s="415"/>
      <c r="G29" s="416"/>
      <c r="H29" s="364"/>
      <c r="I29" s="365"/>
      <c r="J29" s="340"/>
      <c r="K29" s="409"/>
      <c r="L29" s="409"/>
      <c r="M29" s="409"/>
      <c r="N29" s="409"/>
    </row>
    <row r="30" spans="1:14" s="410" customFormat="1" ht="43.9" customHeight="1" thickBot="1" x14ac:dyDescent="0.35">
      <c r="A30" s="556" t="s">
        <v>33</v>
      </c>
      <c r="B30" s="557"/>
      <c r="C30" s="557"/>
      <c r="D30" s="557"/>
      <c r="E30" s="557"/>
      <c r="F30" s="557"/>
      <c r="G30" s="557"/>
      <c r="H30" s="557"/>
      <c r="I30" s="558"/>
      <c r="J30" s="340"/>
      <c r="K30" s="409"/>
      <c r="L30" s="409"/>
      <c r="M30" s="409"/>
      <c r="N30" s="409"/>
    </row>
    <row r="31" spans="1:14" s="410" customFormat="1" ht="19.149999999999999" customHeight="1" x14ac:dyDescent="0.3">
      <c r="A31" s="366"/>
      <c r="B31" s="366"/>
      <c r="C31" s="366"/>
      <c r="D31" s="366"/>
      <c r="E31" s="366"/>
      <c r="F31" s="366"/>
      <c r="G31" s="366"/>
      <c r="H31" s="366"/>
      <c r="I31" s="367"/>
      <c r="J31" s="340"/>
      <c r="K31" s="409"/>
      <c r="L31" s="409"/>
      <c r="M31" s="409"/>
      <c r="N31" s="409"/>
    </row>
    <row r="32" spans="1:14" s="410" customFormat="1" ht="17.25" x14ac:dyDescent="0.3">
      <c r="A32" s="368" t="s">
        <v>34</v>
      </c>
      <c r="B32" s="369">
        <v>1.5</v>
      </c>
      <c r="C32" s="260"/>
      <c r="D32" s="260"/>
      <c r="E32" s="260"/>
      <c r="F32" s="260"/>
      <c r="G32" s="260"/>
      <c r="H32" s="260"/>
      <c r="I32" s="80"/>
      <c r="J32" s="340"/>
      <c r="K32" s="409"/>
      <c r="L32" s="409"/>
      <c r="M32" s="409"/>
      <c r="N32" s="409"/>
    </row>
    <row r="33" spans="1:5" ht="15.4" customHeight="1" x14ac:dyDescent="0.25">
      <c r="A33" s="260"/>
      <c r="B33" s="260"/>
      <c r="C33" s="260"/>
      <c r="D33" s="260"/>
      <c r="E33" s="260"/>
    </row>
    <row r="34" spans="1:5" ht="38.25" customHeight="1" x14ac:dyDescent="0.25">
      <c r="A34" s="260"/>
      <c r="B34" s="260"/>
      <c r="C34" s="260"/>
      <c r="D34" s="260"/>
      <c r="E34" s="260"/>
    </row>
    <row r="35" spans="1:5" x14ac:dyDescent="0.25">
      <c r="A35" s="260"/>
      <c r="B35" s="260"/>
      <c r="C35" s="260"/>
      <c r="D35" s="260"/>
      <c r="E35" s="260"/>
    </row>
    <row r="36" spans="1:5" x14ac:dyDescent="0.25">
      <c r="A36" s="260"/>
      <c r="B36" s="260"/>
      <c r="C36" s="260"/>
      <c r="D36" s="260"/>
      <c r="E36" s="260"/>
    </row>
    <row r="47" spans="1:5" hidden="1" x14ac:dyDescent="0.25"/>
    <row r="48" spans="1:5"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sheetData>
  <sheetProtection algorithmName="SHA-512" hashValue="p1rFhot/RLSoseeJZKEzKKy5l252a3YADtZGxtNR3R7G3oiWED2pwwJIDQBL+itJfygCGhSlpIV4mayy8Z21Fg==" saltValue="x7F12MPyoN4s2qwk0TJFcQ==" spinCount="100000" sheet="1" objects="1" scenarios="1"/>
  <mergeCells count="50">
    <mergeCell ref="F18:G18"/>
    <mergeCell ref="F19:G19"/>
    <mergeCell ref="F20:G20"/>
    <mergeCell ref="A27:B27"/>
    <mergeCell ref="H27:I27"/>
    <mergeCell ref="A21:B21"/>
    <mergeCell ref="C21:D21"/>
    <mergeCell ref="E21:G21"/>
    <mergeCell ref="A22:B22"/>
    <mergeCell ref="C22:D22"/>
    <mergeCell ref="E22:G22"/>
    <mergeCell ref="C20:E20"/>
    <mergeCell ref="A30:I30"/>
    <mergeCell ref="A23:B23"/>
    <mergeCell ref="G23:I23"/>
    <mergeCell ref="A24:B24"/>
    <mergeCell ref="C24:E24"/>
    <mergeCell ref="H24:I26"/>
    <mergeCell ref="A25:B25"/>
    <mergeCell ref="C25:E25"/>
    <mergeCell ref="A26:B26"/>
    <mergeCell ref="C26:E26"/>
    <mergeCell ref="C15:E15"/>
    <mergeCell ref="C17:E17"/>
    <mergeCell ref="C18:E18"/>
    <mergeCell ref="C19:E19"/>
    <mergeCell ref="C16:E16"/>
    <mergeCell ref="F14:G14"/>
    <mergeCell ref="F15:G15"/>
    <mergeCell ref="F16:G16"/>
    <mergeCell ref="F17:G17"/>
    <mergeCell ref="B8:D8"/>
    <mergeCell ref="F8:I8"/>
    <mergeCell ref="A9:I9"/>
    <mergeCell ref="C10:E10"/>
    <mergeCell ref="C11:E11"/>
    <mergeCell ref="C12:E12"/>
    <mergeCell ref="C13:E13"/>
    <mergeCell ref="F10:G10"/>
    <mergeCell ref="F11:G11"/>
    <mergeCell ref="F12:G12"/>
    <mergeCell ref="F13:G13"/>
    <mergeCell ref="C14:E14"/>
    <mergeCell ref="B5:I5"/>
    <mergeCell ref="B6:I6"/>
    <mergeCell ref="B7:I7"/>
    <mergeCell ref="A1:I1"/>
    <mergeCell ref="B2:G2"/>
    <mergeCell ref="C3:D3"/>
    <mergeCell ref="B4:I4"/>
  </mergeCells>
  <conditionalFormatting sqref="G3">
    <cfRule type="containsText" dxfId="29" priority="6" operator="containsText" text="Select">
      <formula>NOT(ISERROR(SEARCH("Select",G3)))</formula>
    </cfRule>
  </conditionalFormatting>
  <conditionalFormatting sqref="I2">
    <cfRule type="containsBlanks" dxfId="28" priority="4">
      <formula>LEN(TRIM(I2))=0</formula>
    </cfRule>
  </conditionalFormatting>
  <conditionalFormatting sqref="I3">
    <cfRule type="containsText" dxfId="27" priority="3" operator="containsText" text="Select">
      <formula>NOT(ISERROR(SEARCH("Select",I3)))</formula>
    </cfRule>
  </conditionalFormatting>
  <conditionalFormatting sqref="K15">
    <cfRule type="containsText" dxfId="26" priority="2" operator="containsText" text="Select">
      <formula>NOT(ISERROR(SEARCH("Select",K15)))</formula>
    </cfRule>
  </conditionalFormatting>
  <conditionalFormatting sqref="L15">
    <cfRule type="containsText" dxfId="25" priority="1" operator="containsText" text="Select">
      <formula>NOT(ISERROR(SEARCH("Select",L15)))</formula>
    </cfRule>
  </conditionalFormatting>
  <dataValidations count="2">
    <dataValidation type="list" allowBlank="1" showInputMessage="1" showErrorMessage="1" sqref="I11:I20 F25:F26" xr:uid="{A19BAC85-B69F-4F68-A93F-D8DEB329D5A7}">
      <formula1>"+, PIC, AP, DAP, SAP, CP"</formula1>
    </dataValidation>
    <dataValidation type="list" allowBlank="1" showInputMessage="1" showErrorMessage="1" sqref="L9" xr:uid="{C64F2F7E-7CD9-4236-B1B1-7180A90963BD}">
      <formula1>INDIRECT(zTaskNameIdentifier)</formula1>
    </dataValidation>
  </dataValidations>
  <printOptions horizontalCentered="1"/>
  <pageMargins left="0.2" right="0.2" top="0.45" bottom="0.25" header="0.15" footer="0.05"/>
  <pageSetup scale="69" orientation="portrait" r:id="rId1"/>
  <headerFooter scaleWithDoc="0">
    <oddHeader>&amp;L&amp;"-,Bold"&amp;8Digital Realty Operations&amp;C&amp;"-,Bold"&amp;10Method Of Procedure&amp;R&amp;G</oddHeader>
    <oddFooter>&amp;C&amp;8Page &amp;P of &amp;N&amp;R&amp;1VA5 Master MOP v2.01</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16" operator="containsText" id="{EBC502D0-A38B-44D2-A090-6A91E24504AF}">
            <xm:f>NOT(ISERROR(SEARCH("+",F25)))</xm:f>
            <xm:f>"+"</xm:f>
            <x14:dxf>
              <fill>
                <patternFill>
                  <bgColor theme="0" tint="-0.24994659260841701"/>
                </patternFill>
              </fill>
            </x14:dxf>
          </x14:cfRule>
          <xm:sqref>F25:G26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56CD22F-C816-44BE-8F54-1E450FFE061C}">
          <x14:formula1>
            <xm:f>'Config-All'!$A$4:$A$23</xm:f>
          </x14:formula1>
          <xm:sqref>K9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D34BA-FD54-4C93-9204-9C27B7847FD8}">
  <sheetPr codeName="AAReferences">
    <pageSetUpPr autoPageBreaks="0"/>
  </sheetPr>
  <dimension ref="A1:E16"/>
  <sheetViews>
    <sheetView view="pageBreakPreview" zoomScaleNormal="100" zoomScaleSheetLayoutView="100" workbookViewId="0">
      <selection activeCell="A5" sqref="A5:D5"/>
    </sheetView>
  </sheetViews>
  <sheetFormatPr defaultColWidth="8.7109375" defaultRowHeight="15" x14ac:dyDescent="0.25"/>
  <cols>
    <col min="1" max="1" width="7.140625" customWidth="1"/>
    <col min="2" max="3" width="5.7109375" customWidth="1"/>
    <col min="4" max="4" width="46.28515625" customWidth="1"/>
    <col min="5" max="5" width="67.140625" customWidth="1"/>
    <col min="6" max="6" width="18.42578125" customWidth="1"/>
  </cols>
  <sheetData>
    <row r="1" spans="1:5" ht="22.15" customHeight="1" thickBot="1" x14ac:dyDescent="0.3">
      <c r="A1" s="597" t="s">
        <v>41</v>
      </c>
      <c r="B1" s="597"/>
      <c r="C1" s="597"/>
    </row>
    <row r="2" spans="1:5" ht="16.5" thickBot="1" x14ac:dyDescent="0.3">
      <c r="A2" s="598" t="s">
        <v>42</v>
      </c>
      <c r="B2" s="599"/>
      <c r="C2" s="600"/>
      <c r="D2" s="601" t="str">
        <f>zTaskName</f>
        <v>Routine Generator run with no load transfer</v>
      </c>
      <c r="E2" s="602"/>
    </row>
    <row r="3" spans="1:5" ht="15.75" thickBot="1" x14ac:dyDescent="0.3"/>
    <row r="4" spans="1:5" ht="42.4" customHeight="1" x14ac:dyDescent="0.25">
      <c r="A4" s="603" t="s">
        <v>43</v>
      </c>
      <c r="B4" s="604"/>
      <c r="C4" s="604"/>
      <c r="D4" s="605"/>
      <c r="E4" s="469" t="s">
        <v>44</v>
      </c>
    </row>
    <row r="5" spans="1:5" ht="54.75" customHeight="1" x14ac:dyDescent="0.25">
      <c r="A5" s="594" t="str">
        <f>VLOOKUP(zTaskNameIdentifier, 'Config-References'!$B$3:$L$40, 2, FALSE)</f>
        <v>Operations Guide</v>
      </c>
      <c r="B5" s="595"/>
      <c r="C5" s="595"/>
      <c r="D5" s="596"/>
      <c r="E5" s="335" t="str">
        <f>IFERROR(VLOOKUP($A5, 'Config-References'!$A$37:$C$41, 2, FALSE), "")</f>
        <v>Digital Realty Operations Guide Chapter 16 - Technical Operations &amp; Maintenance</v>
      </c>
    </row>
    <row r="6" spans="1:5" ht="54.75" customHeight="1" x14ac:dyDescent="0.25">
      <c r="A6" s="594" t="str">
        <f>VLOOKUP(zTaskNameIdentifier, 'Config-References'!$B$3:$L$40, 3, FALSE)</f>
        <v>Maintenance Standards</v>
      </c>
      <c r="B6" s="595"/>
      <c r="C6" s="595"/>
      <c r="D6" s="596"/>
      <c r="E6" s="335" t="str">
        <f>IFERROR(VLOOKUP($A6, 'Config-References'!$A$37:$C$41, 2, FALSE), "")</f>
        <v>Digital Realty Maintenance &amp; Operations Standards Version 5.7</v>
      </c>
    </row>
    <row r="7" spans="1:5" ht="54.75" customHeight="1" x14ac:dyDescent="0.25">
      <c r="A7" s="594" t="str">
        <f>VLOOKUP(zTaskNameIdentifier, 'Config-References'!$B$3:$L$40, 4, FALSE)</f>
        <v/>
      </c>
      <c r="B7" s="595"/>
      <c r="C7" s="595"/>
      <c r="D7" s="596"/>
      <c r="E7" s="335" t="str">
        <f>IFERROR(VLOOKUP($A7, 'Config-References'!$A$37:$C$41, 2, FALSE), "")</f>
        <v/>
      </c>
    </row>
    <row r="8" spans="1:5" ht="54.75" customHeight="1" x14ac:dyDescent="0.25">
      <c r="A8" s="594" t="str">
        <f>VLOOKUP(zTaskNameIdentifier, 'Config-References'!$B$3:$L$40, 5, FALSE)</f>
        <v/>
      </c>
      <c r="B8" s="595"/>
      <c r="C8" s="595"/>
      <c r="D8" s="596"/>
      <c r="E8" s="335" t="str">
        <f>IFERROR(VLOOKUP($A8, 'Config-References'!$A$37:$C$41, 2, FALSE), "")</f>
        <v/>
      </c>
    </row>
    <row r="9" spans="1:5" ht="54.75" customHeight="1" x14ac:dyDescent="0.25">
      <c r="A9" s="594" t="str">
        <f>VLOOKUP(zTaskNameIdentifier, 'Config-References'!$B$3:$L$40, 6, FALSE)</f>
        <v/>
      </c>
      <c r="B9" s="595"/>
      <c r="C9" s="595"/>
      <c r="D9" s="596"/>
      <c r="E9" s="335" t="str">
        <f>IFERROR(VLOOKUP($A9, 'Config-References'!$A$37:$C$41, 2, FALSE), "")</f>
        <v/>
      </c>
    </row>
    <row r="10" spans="1:5" ht="54.75" customHeight="1" x14ac:dyDescent="0.25">
      <c r="A10" s="594" t="str">
        <f>VLOOKUP(zTaskNameIdentifier, 'Config-References'!$B$3:$L$40, 7, FALSE)</f>
        <v/>
      </c>
      <c r="B10" s="595"/>
      <c r="C10" s="595"/>
      <c r="D10" s="596"/>
      <c r="E10" s="335" t="str">
        <f>IFERROR(VLOOKUP($A10, 'Config-References'!$A$37:$C$41, 2, FALSE), "")</f>
        <v/>
      </c>
    </row>
    <row r="11" spans="1:5" ht="54.75" customHeight="1" x14ac:dyDescent="0.25">
      <c r="A11" s="594" t="str">
        <f>VLOOKUP(zTaskNameIdentifier, 'Config-References'!$B$3:$L$40, 8, FALSE)</f>
        <v/>
      </c>
      <c r="B11" s="595"/>
      <c r="C11" s="595"/>
      <c r="D11" s="596"/>
      <c r="E11" s="335" t="str">
        <f>IFERROR(VLOOKUP($A11, 'Config-References'!$A$37:$C$41, 2, FALSE), "")</f>
        <v/>
      </c>
    </row>
    <row r="12" spans="1:5" ht="54.75" customHeight="1" thickBot="1" x14ac:dyDescent="0.3">
      <c r="A12" s="594" t="str">
        <f>VLOOKUP(zTaskNameIdentifier, 'Config-References'!$B$3:$L$40, 9, FALSE)</f>
        <v/>
      </c>
      <c r="B12" s="595"/>
      <c r="C12" s="595"/>
      <c r="D12" s="596"/>
      <c r="E12" s="335" t="str">
        <f>IFERROR(VLOOKUP($A12, 'Config-References'!$A$37:$C$41, 2, FALSE), "")</f>
        <v/>
      </c>
    </row>
    <row r="13" spans="1:5" x14ac:dyDescent="0.25">
      <c r="A13" s="606" t="s">
        <v>45</v>
      </c>
      <c r="B13" s="607"/>
      <c r="C13" s="607"/>
      <c r="D13" s="607"/>
      <c r="E13" s="608"/>
    </row>
    <row r="14" spans="1:5" x14ac:dyDescent="0.25">
      <c r="A14" s="609"/>
      <c r="B14" s="610"/>
      <c r="C14" s="610"/>
      <c r="D14" s="610"/>
      <c r="E14" s="611"/>
    </row>
    <row r="15" spans="1:5" x14ac:dyDescent="0.25">
      <c r="A15" s="609"/>
      <c r="B15" s="610"/>
      <c r="C15" s="610"/>
      <c r="D15" s="610"/>
      <c r="E15" s="611"/>
    </row>
    <row r="16" spans="1:5" ht="15.75" thickBot="1" x14ac:dyDescent="0.3">
      <c r="A16" s="612"/>
      <c r="B16" s="613"/>
      <c r="C16" s="613"/>
      <c r="D16" s="613"/>
      <c r="E16" s="614"/>
    </row>
  </sheetData>
  <mergeCells count="13">
    <mergeCell ref="A13:E16"/>
    <mergeCell ref="A7:D7"/>
    <mergeCell ref="A8:D8"/>
    <mergeCell ref="A9:D9"/>
    <mergeCell ref="A10:D10"/>
    <mergeCell ref="A11:D11"/>
    <mergeCell ref="A12:D12"/>
    <mergeCell ref="A6:D6"/>
    <mergeCell ref="A1:C1"/>
    <mergeCell ref="A2:C2"/>
    <mergeCell ref="D2:E2"/>
    <mergeCell ref="A4:D4"/>
    <mergeCell ref="A5:D5"/>
  </mergeCells>
  <hyperlinks>
    <hyperlink ref="E5" r:id="rId1" display="https://digitalrealty.sharepoint.com/sites/og/Lists/Ops Guide/AllItems.aspx?id=%2Fsites%2Fog%2FLists%2FOps%20Guide%2FChapter%2016%20-%20Technical%20Operations%20%26%20Maintenance" xr:uid="{335BD6B3-0016-4112-905F-607E3415B3FD}"/>
    <hyperlink ref="E6:E12" r:id="rId2" display="https://digitalrealty.sharepoint.com/sites/og" xr:uid="{FBA5A433-C2AA-40A6-99E5-18265525581B}"/>
    <hyperlink ref="E6" r:id="rId3" display="https://digitalrealty.sharepoint.com/sites/og/Templates  Forms/Chapter 16 Technical Operations and Maintenance/Maintenance and Operations Standards v5.7.pdf" xr:uid="{72FA0617-2504-4248-847F-1979E4EEDB6C}"/>
    <hyperlink ref="E7" r:id="rId4" display="g.co" xr:uid="{62711439-DBF6-48B1-86E0-55718C3FF123}"/>
    <hyperlink ref="E8" r:id="rId5" display="g.co" xr:uid="{3ED1E0A7-4AD9-4BC6-A4A2-5E787D47B0C0}"/>
    <hyperlink ref="E9" r:id="rId6" display="g.co" xr:uid="{14CD4CCC-53C5-4F52-9465-95EB6EA54560}"/>
    <hyperlink ref="E10" r:id="rId7" display="g.co" xr:uid="{832B032F-0528-4154-9324-0518A0A32836}"/>
    <hyperlink ref="E11" r:id="rId8" display="g.co" xr:uid="{4CEBAB76-0BA0-4734-9778-465BF69062A7}"/>
    <hyperlink ref="E12" r:id="rId9" display="g.co" xr:uid="{AC4C7A60-BEC2-48A6-B0D7-E2ACC1388C23}"/>
  </hyperlinks>
  <printOptions horizontalCentered="1"/>
  <pageMargins left="0.30249999999999999" right="0.5" top="0.51249999999999996" bottom="0.34558823529411797" header="0.3" footer="7.3529411764705899E-2"/>
  <pageSetup scale="66" orientation="portrait" r:id="rId10"/>
  <headerFooter>
    <oddHeader>&amp;L&amp;"-,Bold"&amp;8Digital Realty Operations&amp;C&amp;"-,Bold"&amp;10Method Of Procedure&amp;R&amp;G</oddHeader>
    <oddFooter>&amp;C&amp;8Page &amp;P of &amp;N</oddFooter>
  </headerFooter>
  <legacyDrawingHF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5F2AE-2742-433C-B8A3-5C1252988BEB}">
  <sheetPr codeName="AAPre_Work"/>
  <dimension ref="A1:Y120"/>
  <sheetViews>
    <sheetView view="pageBreakPreview" zoomScale="85" zoomScaleNormal="100" zoomScaleSheetLayoutView="85" workbookViewId="0">
      <selection activeCell="A22" sqref="A22:M22"/>
    </sheetView>
  </sheetViews>
  <sheetFormatPr defaultColWidth="2.42578125" defaultRowHeight="15" x14ac:dyDescent="0.25"/>
  <cols>
    <col min="1" max="1" width="30.140625" customWidth="1"/>
    <col min="2" max="2" width="10.42578125" bestFit="1" customWidth="1"/>
    <col min="3" max="3" width="11.5703125" customWidth="1"/>
    <col min="4" max="11" width="5.7109375" customWidth="1"/>
    <col min="12" max="12" width="8.7109375" customWidth="1"/>
    <col min="13" max="13" width="10.140625" customWidth="1"/>
    <col min="14" max="14" width="8.140625" customWidth="1"/>
    <col min="15" max="15" width="6.140625" customWidth="1"/>
    <col min="16" max="16" width="5.7109375" customWidth="1"/>
    <col min="17" max="23" width="6.28515625" customWidth="1"/>
    <col min="24" max="24" width="7.7109375" customWidth="1"/>
    <col min="25" max="25" width="6.28515625" customWidth="1"/>
  </cols>
  <sheetData>
    <row r="1" spans="1:25" ht="27.75" customHeight="1" thickBot="1" x14ac:dyDescent="0.3">
      <c r="A1" s="290" t="s">
        <v>46</v>
      </c>
    </row>
    <row r="2" spans="1:25" s="3" customFormat="1" ht="16.5" thickBot="1" x14ac:dyDescent="0.3">
      <c r="A2" s="438" t="s">
        <v>42</v>
      </c>
      <c r="B2" s="615" t="str">
        <f>zTaskName</f>
        <v>Routine Generator run with no load transfer</v>
      </c>
      <c r="C2" s="616"/>
      <c r="D2" s="616"/>
      <c r="E2" s="616"/>
      <c r="F2" s="616"/>
      <c r="G2" s="616"/>
      <c r="H2" s="616"/>
      <c r="I2" s="616"/>
      <c r="J2" s="616"/>
      <c r="K2" s="616"/>
      <c r="L2" s="616"/>
      <c r="M2" s="616"/>
      <c r="N2" s="616"/>
      <c r="O2" s="616"/>
      <c r="P2" s="616"/>
      <c r="Q2" s="616"/>
      <c r="R2" s="616"/>
      <c r="S2" s="616"/>
      <c r="T2" s="616"/>
      <c r="U2" s="616"/>
      <c r="V2" s="616"/>
      <c r="W2" s="616"/>
      <c r="X2" s="616"/>
      <c r="Y2" s="617"/>
    </row>
    <row r="3" spans="1:25" s="90" customFormat="1" ht="30" customHeight="1" x14ac:dyDescent="0.25">
      <c r="A3" s="618" t="s">
        <v>47</v>
      </c>
      <c r="B3" s="618"/>
      <c r="C3" s="618"/>
      <c r="D3" s="618"/>
      <c r="E3" s="618"/>
      <c r="F3" s="618"/>
      <c r="G3" s="618"/>
      <c r="H3" s="618"/>
      <c r="I3" s="618"/>
      <c r="J3" s="618"/>
      <c r="K3" s="618"/>
      <c r="L3" s="618"/>
      <c r="M3" s="618"/>
      <c r="N3" s="618"/>
      <c r="O3" s="618"/>
      <c r="P3" s="618"/>
      <c r="Q3" s="618"/>
      <c r="R3" s="618"/>
      <c r="S3" s="618"/>
      <c r="T3" s="618"/>
      <c r="U3" s="618"/>
      <c r="V3" s="618"/>
      <c r="W3" s="618"/>
      <c r="X3" s="618"/>
      <c r="Y3" s="618"/>
    </row>
    <row r="4" spans="1:25" s="89" customFormat="1" ht="17.25" customHeight="1" thickBot="1" x14ac:dyDescent="0.3">
      <c r="A4" s="619" t="s">
        <v>48</v>
      </c>
      <c r="B4" s="619"/>
      <c r="C4" s="619"/>
      <c r="D4" s="619"/>
      <c r="E4" s="619"/>
      <c r="F4" s="619"/>
      <c r="G4" s="619"/>
      <c r="H4" s="619"/>
      <c r="I4" s="619"/>
      <c r="J4" s="619"/>
      <c r="K4" s="619"/>
      <c r="L4" s="619"/>
      <c r="M4" s="619"/>
    </row>
    <row r="5" spans="1:25" s="89" customFormat="1" ht="20.25" customHeight="1" x14ac:dyDescent="0.2">
      <c r="A5" s="620" t="s">
        <v>49</v>
      </c>
      <c r="B5" s="621"/>
      <c r="C5" s="621"/>
      <c r="D5" s="621"/>
      <c r="E5" s="621"/>
      <c r="F5" s="621"/>
      <c r="G5" s="621"/>
      <c r="H5" s="621"/>
      <c r="I5" s="621"/>
      <c r="J5" s="621"/>
      <c r="K5" s="621"/>
      <c r="L5" s="621"/>
      <c r="M5" s="621"/>
      <c r="N5" s="452" t="s">
        <v>50</v>
      </c>
      <c r="O5" s="452" t="s">
        <v>51</v>
      </c>
      <c r="P5" s="621" t="s">
        <v>52</v>
      </c>
      <c r="Q5" s="621"/>
      <c r="R5" s="621"/>
      <c r="S5" s="621"/>
      <c r="T5" s="621"/>
      <c r="U5" s="621"/>
      <c r="V5" s="621"/>
      <c r="W5" s="621"/>
      <c r="X5" s="621"/>
      <c r="Y5" s="291" t="s">
        <v>53</v>
      </c>
    </row>
    <row r="6" spans="1:25" s="89" customFormat="1" ht="15.75" customHeight="1" x14ac:dyDescent="0.2">
      <c r="A6" s="622" t="s">
        <v>54</v>
      </c>
      <c r="B6" s="623"/>
      <c r="C6" s="623"/>
      <c r="D6" s="623"/>
      <c r="E6" s="623"/>
      <c r="F6" s="623"/>
      <c r="G6" s="623"/>
      <c r="H6" s="623"/>
      <c r="I6" s="623"/>
      <c r="J6" s="623"/>
      <c r="K6" s="623"/>
      <c r="L6" s="623"/>
      <c r="M6" s="623"/>
      <c r="N6" s="292" t="s">
        <v>55</v>
      </c>
      <c r="O6" s="292" t="s">
        <v>55</v>
      </c>
      <c r="P6" s="625"/>
      <c r="Q6" s="625"/>
      <c r="R6" s="625"/>
      <c r="S6" s="625"/>
      <c r="T6" s="625"/>
      <c r="U6" s="625"/>
      <c r="V6" s="625"/>
      <c r="W6" s="625"/>
      <c r="X6" s="625"/>
      <c r="Y6" s="293"/>
    </row>
    <row r="7" spans="1:25" s="89" customFormat="1" ht="15.75" x14ac:dyDescent="0.2">
      <c r="A7" s="622" t="s">
        <v>56</v>
      </c>
      <c r="B7" s="623"/>
      <c r="C7" s="623"/>
      <c r="D7" s="623"/>
      <c r="E7" s="623"/>
      <c r="F7" s="623"/>
      <c r="G7" s="623"/>
      <c r="H7" s="623"/>
      <c r="I7" s="623"/>
      <c r="J7" s="623"/>
      <c r="K7" s="623"/>
      <c r="L7" s="623"/>
      <c r="M7" s="623"/>
      <c r="N7" s="455" t="s">
        <v>55</v>
      </c>
      <c r="O7" s="455" t="s">
        <v>55</v>
      </c>
      <c r="P7" s="624"/>
      <c r="Q7" s="624"/>
      <c r="R7" s="624"/>
      <c r="S7" s="624"/>
      <c r="T7" s="624"/>
      <c r="U7" s="624"/>
      <c r="V7" s="624"/>
      <c r="W7" s="624"/>
      <c r="X7" s="624"/>
      <c r="Y7" s="112"/>
    </row>
    <row r="8" spans="1:25" s="89" customFormat="1" ht="15.75" x14ac:dyDescent="0.2">
      <c r="A8" s="622" t="s">
        <v>57</v>
      </c>
      <c r="B8" s="623"/>
      <c r="C8" s="623"/>
      <c r="D8" s="623"/>
      <c r="E8" s="623"/>
      <c r="F8" s="623"/>
      <c r="G8" s="623"/>
      <c r="H8" s="623"/>
      <c r="I8" s="623"/>
      <c r="J8" s="623"/>
      <c r="K8" s="623"/>
      <c r="L8" s="623"/>
      <c r="M8" s="623"/>
      <c r="N8" s="455" t="s">
        <v>55</v>
      </c>
      <c r="O8" s="455" t="s">
        <v>55</v>
      </c>
      <c r="P8" s="624"/>
      <c r="Q8" s="624"/>
      <c r="R8" s="624"/>
      <c r="S8" s="624"/>
      <c r="T8" s="624"/>
      <c r="U8" s="624"/>
      <c r="V8" s="624"/>
      <c r="W8" s="624"/>
      <c r="X8" s="624"/>
      <c r="Y8" s="112"/>
    </row>
    <row r="9" spans="1:25" s="89" customFormat="1" ht="15.75" x14ac:dyDescent="0.2">
      <c r="A9" s="622" t="s">
        <v>58</v>
      </c>
      <c r="B9" s="623"/>
      <c r="C9" s="623"/>
      <c r="D9" s="623"/>
      <c r="E9" s="623"/>
      <c r="F9" s="623"/>
      <c r="G9" s="623"/>
      <c r="H9" s="623"/>
      <c r="I9" s="623"/>
      <c r="J9" s="623"/>
      <c r="K9" s="623"/>
      <c r="L9" s="623"/>
      <c r="M9" s="623"/>
      <c r="N9" s="455" t="s">
        <v>55</v>
      </c>
      <c r="O9" s="455" t="s">
        <v>55</v>
      </c>
      <c r="P9" s="624"/>
      <c r="Q9" s="624"/>
      <c r="R9" s="624"/>
      <c r="S9" s="624"/>
      <c r="T9" s="624"/>
      <c r="U9" s="624"/>
      <c r="V9" s="624"/>
      <c r="W9" s="624"/>
      <c r="X9" s="624"/>
      <c r="Y9" s="112"/>
    </row>
    <row r="10" spans="1:25" s="89" customFormat="1" ht="15.75" x14ac:dyDescent="0.2">
      <c r="A10" s="622" t="s">
        <v>59</v>
      </c>
      <c r="B10" s="623"/>
      <c r="C10" s="623"/>
      <c r="D10" s="623"/>
      <c r="E10" s="623"/>
      <c r="F10" s="623"/>
      <c r="G10" s="623"/>
      <c r="H10" s="623"/>
      <c r="I10" s="623"/>
      <c r="J10" s="623"/>
      <c r="K10" s="623"/>
      <c r="L10" s="623"/>
      <c r="M10" s="623"/>
      <c r="N10" s="455" t="s">
        <v>55</v>
      </c>
      <c r="O10" s="455" t="s">
        <v>55</v>
      </c>
      <c r="P10" s="624"/>
      <c r="Q10" s="624"/>
      <c r="R10" s="624"/>
      <c r="S10" s="624"/>
      <c r="T10" s="624"/>
      <c r="U10" s="624"/>
      <c r="V10" s="624"/>
      <c r="W10" s="624"/>
      <c r="X10" s="624"/>
      <c r="Y10" s="112"/>
    </row>
    <row r="11" spans="1:25" s="89" customFormat="1" ht="15.75" x14ac:dyDescent="0.2">
      <c r="A11" s="622" t="s">
        <v>60</v>
      </c>
      <c r="B11" s="623"/>
      <c r="C11" s="623"/>
      <c r="D11" s="623"/>
      <c r="E11" s="623"/>
      <c r="F11" s="623"/>
      <c r="G11" s="623"/>
      <c r="H11" s="623"/>
      <c r="I11" s="623"/>
      <c r="J11" s="623"/>
      <c r="K11" s="623"/>
      <c r="L11" s="623"/>
      <c r="M11" s="623"/>
      <c r="N11" s="455" t="s">
        <v>55</v>
      </c>
      <c r="O11" s="455" t="s">
        <v>55</v>
      </c>
      <c r="P11" s="624"/>
      <c r="Q11" s="624"/>
      <c r="R11" s="624"/>
      <c r="S11" s="624"/>
      <c r="T11" s="624"/>
      <c r="U11" s="624"/>
      <c r="V11" s="624"/>
      <c r="W11" s="624"/>
      <c r="X11" s="624"/>
      <c r="Y11" s="112"/>
    </row>
    <row r="12" spans="1:25" s="89" customFormat="1" ht="15.75" x14ac:dyDescent="0.2">
      <c r="A12" s="622" t="s">
        <v>61</v>
      </c>
      <c r="B12" s="623"/>
      <c r="C12" s="623"/>
      <c r="D12" s="623"/>
      <c r="E12" s="623"/>
      <c r="F12" s="623"/>
      <c r="G12" s="623"/>
      <c r="H12" s="623"/>
      <c r="I12" s="623"/>
      <c r="J12" s="623"/>
      <c r="K12" s="623"/>
      <c r="L12" s="623"/>
      <c r="M12" s="623"/>
      <c r="N12" s="455" t="s">
        <v>55</v>
      </c>
      <c r="O12" s="455" t="s">
        <v>55</v>
      </c>
      <c r="P12" s="624"/>
      <c r="Q12" s="624"/>
      <c r="R12" s="624"/>
      <c r="S12" s="624"/>
      <c r="T12" s="624"/>
      <c r="U12" s="624"/>
      <c r="V12" s="624"/>
      <c r="W12" s="624"/>
      <c r="X12" s="624"/>
      <c r="Y12" s="112"/>
    </row>
    <row r="13" spans="1:25" s="89" customFormat="1" ht="15.75" x14ac:dyDescent="0.2">
      <c r="A13" s="622" t="s">
        <v>62</v>
      </c>
      <c r="B13" s="623"/>
      <c r="C13" s="623"/>
      <c r="D13" s="623"/>
      <c r="E13" s="623"/>
      <c r="F13" s="623"/>
      <c r="G13" s="623"/>
      <c r="H13" s="623"/>
      <c r="I13" s="623"/>
      <c r="J13" s="623"/>
      <c r="K13" s="623"/>
      <c r="L13" s="623"/>
      <c r="M13" s="623"/>
      <c r="N13" s="455" t="s">
        <v>55</v>
      </c>
      <c r="O13" s="455" t="s">
        <v>55</v>
      </c>
      <c r="P13" s="624"/>
      <c r="Q13" s="624"/>
      <c r="R13" s="624"/>
      <c r="S13" s="624"/>
      <c r="T13" s="624"/>
      <c r="U13" s="624"/>
      <c r="V13" s="624"/>
      <c r="W13" s="624"/>
      <c r="X13" s="624"/>
      <c r="Y13" s="112"/>
    </row>
    <row r="14" spans="1:25" s="89" customFormat="1" ht="15.75" x14ac:dyDescent="0.2">
      <c r="A14" s="622" t="s">
        <v>63</v>
      </c>
      <c r="B14" s="623"/>
      <c r="C14" s="623"/>
      <c r="D14" s="623"/>
      <c r="E14" s="623"/>
      <c r="F14" s="623"/>
      <c r="G14" s="623"/>
      <c r="H14" s="623"/>
      <c r="I14" s="623"/>
      <c r="J14" s="623"/>
      <c r="K14" s="623"/>
      <c r="L14" s="623"/>
      <c r="M14" s="623"/>
      <c r="N14" s="455" t="s">
        <v>55</v>
      </c>
      <c r="O14" s="455" t="s">
        <v>55</v>
      </c>
      <c r="P14" s="624"/>
      <c r="Q14" s="624"/>
      <c r="R14" s="624"/>
      <c r="S14" s="624"/>
      <c r="T14" s="624"/>
      <c r="U14" s="624"/>
      <c r="V14" s="624"/>
      <c r="W14" s="624"/>
      <c r="X14" s="624"/>
      <c r="Y14" s="112"/>
    </row>
    <row r="15" spans="1:25" s="89" customFormat="1" ht="35.25" customHeight="1" x14ac:dyDescent="0.2">
      <c r="A15" s="622" t="s">
        <v>64</v>
      </c>
      <c r="B15" s="623"/>
      <c r="C15" s="623"/>
      <c r="D15" s="623"/>
      <c r="E15" s="623"/>
      <c r="F15" s="623"/>
      <c r="G15" s="623"/>
      <c r="H15" s="623"/>
      <c r="I15" s="623"/>
      <c r="J15" s="623"/>
      <c r="K15" s="623"/>
      <c r="L15" s="623"/>
      <c r="M15" s="623"/>
      <c r="N15" s="455" t="s">
        <v>55</v>
      </c>
      <c r="O15" s="455" t="s">
        <v>55</v>
      </c>
      <c r="P15" s="624"/>
      <c r="Q15" s="624"/>
      <c r="R15" s="624"/>
      <c r="S15" s="624"/>
      <c r="T15" s="624"/>
      <c r="U15" s="624"/>
      <c r="V15" s="624"/>
      <c r="W15" s="624"/>
      <c r="X15" s="624"/>
      <c r="Y15" s="112"/>
    </row>
    <row r="16" spans="1:25" s="89" customFormat="1" ht="34.15" customHeight="1" x14ac:dyDescent="0.2">
      <c r="A16" s="626" t="s">
        <v>65</v>
      </c>
      <c r="B16" s="627"/>
      <c r="C16" s="627"/>
      <c r="D16" s="627"/>
      <c r="E16" s="627"/>
      <c r="F16" s="627"/>
      <c r="G16" s="627"/>
      <c r="H16" s="627"/>
      <c r="I16" s="627"/>
      <c r="J16" s="627"/>
      <c r="K16" s="627"/>
      <c r="L16" s="627"/>
      <c r="M16" s="627"/>
      <c r="N16" s="455" t="s">
        <v>55</v>
      </c>
      <c r="O16" s="455" t="s">
        <v>55</v>
      </c>
      <c r="P16" s="294"/>
      <c r="Q16" s="295"/>
      <c r="R16" s="295"/>
      <c r="S16" s="295"/>
      <c r="T16" s="295"/>
      <c r="U16" s="295"/>
      <c r="V16" s="295"/>
      <c r="W16" s="295"/>
      <c r="X16" s="296"/>
      <c r="Y16" s="297"/>
    </row>
    <row r="17" spans="1:25" s="89" customFormat="1" ht="16.5" thickBot="1" x14ac:dyDescent="0.25">
      <c r="A17" s="628" t="s">
        <v>66</v>
      </c>
      <c r="B17" s="629"/>
      <c r="C17" s="629"/>
      <c r="D17" s="629"/>
      <c r="E17" s="629"/>
      <c r="F17" s="629"/>
      <c r="G17" s="629"/>
      <c r="H17" s="629"/>
      <c r="I17" s="629"/>
      <c r="J17" s="629"/>
      <c r="K17" s="629"/>
      <c r="L17" s="629"/>
      <c r="M17" s="629"/>
      <c r="N17" s="473" t="s">
        <v>55</v>
      </c>
      <c r="O17" s="473" t="s">
        <v>55</v>
      </c>
      <c r="P17" s="630"/>
      <c r="Q17" s="631"/>
      <c r="R17" s="631"/>
      <c r="S17" s="631"/>
      <c r="T17" s="631"/>
      <c r="U17" s="631"/>
      <c r="V17" s="631"/>
      <c r="W17" s="631"/>
      <c r="X17" s="632"/>
      <c r="Y17" s="113"/>
    </row>
    <row r="18" spans="1:25" s="3" customFormat="1" ht="36" customHeight="1" x14ac:dyDescent="0.25">
      <c r="A18" s="633" t="s">
        <v>67</v>
      </c>
      <c r="B18" s="633"/>
      <c r="C18" s="633"/>
      <c r="D18" s="633"/>
      <c r="E18" s="633"/>
      <c r="F18" s="633"/>
      <c r="G18" s="633"/>
      <c r="H18" s="633"/>
      <c r="I18" s="633"/>
      <c r="J18" s="633"/>
      <c r="K18" s="633"/>
      <c r="L18" s="633"/>
      <c r="M18" s="633"/>
      <c r="N18" s="633"/>
      <c r="O18" s="633"/>
      <c r="P18" s="633"/>
      <c r="Q18" s="633"/>
      <c r="R18" s="633"/>
      <c r="S18" s="633"/>
      <c r="T18" s="633"/>
      <c r="U18" s="633"/>
      <c r="V18" s="633"/>
      <c r="W18" s="633"/>
      <c r="X18" s="633"/>
      <c r="Y18" s="633"/>
    </row>
    <row r="19" spans="1:25" s="3" customFormat="1" ht="17.649999999999999" customHeight="1" thickBot="1" x14ac:dyDescent="0.3">
      <c r="A19" s="619" t="s">
        <v>68</v>
      </c>
      <c r="B19" s="619"/>
      <c r="C19" s="619"/>
      <c r="D19" s="619"/>
      <c r="E19" s="619"/>
      <c r="F19" s="619"/>
      <c r="G19" s="619"/>
      <c r="H19" s="619"/>
      <c r="I19" s="619"/>
      <c r="J19" s="619"/>
      <c r="K19" s="619"/>
      <c r="L19" s="619"/>
      <c r="M19" s="619"/>
    </row>
    <row r="20" spans="1:25" s="89" customFormat="1" ht="21" customHeight="1" x14ac:dyDescent="0.2">
      <c r="A20" s="620" t="s">
        <v>49</v>
      </c>
      <c r="B20" s="621"/>
      <c r="C20" s="621"/>
      <c r="D20" s="621"/>
      <c r="E20" s="621"/>
      <c r="F20" s="621"/>
      <c r="G20" s="621"/>
      <c r="H20" s="621"/>
      <c r="I20" s="621"/>
      <c r="J20" s="621"/>
      <c r="K20" s="621"/>
      <c r="L20" s="621"/>
      <c r="M20" s="621"/>
      <c r="N20" s="452" t="s">
        <v>50</v>
      </c>
      <c r="O20" s="452" t="s">
        <v>51</v>
      </c>
      <c r="P20" s="621" t="s">
        <v>52</v>
      </c>
      <c r="Q20" s="621"/>
      <c r="R20" s="621"/>
      <c r="S20" s="621"/>
      <c r="T20" s="621"/>
      <c r="U20" s="621"/>
      <c r="V20" s="621"/>
      <c r="W20" s="621"/>
      <c r="X20" s="621"/>
      <c r="Y20" s="291" t="s">
        <v>53</v>
      </c>
    </row>
    <row r="21" spans="1:25" s="89" customFormat="1" ht="65.25" customHeight="1" x14ac:dyDescent="0.2">
      <c r="A21" s="622" t="s">
        <v>4712</v>
      </c>
      <c r="B21" s="623"/>
      <c r="C21" s="623"/>
      <c r="D21" s="623"/>
      <c r="E21" s="623"/>
      <c r="F21" s="623"/>
      <c r="G21" s="623"/>
      <c r="H21" s="623"/>
      <c r="I21" s="623"/>
      <c r="J21" s="623"/>
      <c r="K21" s="623"/>
      <c r="L21" s="623"/>
      <c r="M21" s="623"/>
      <c r="N21" s="292" t="s">
        <v>55</v>
      </c>
      <c r="O21" s="292" t="s">
        <v>55</v>
      </c>
      <c r="P21" s="625"/>
      <c r="Q21" s="625"/>
      <c r="R21" s="625"/>
      <c r="S21" s="625"/>
      <c r="T21" s="625"/>
      <c r="U21" s="625"/>
      <c r="V21" s="625"/>
      <c r="W21" s="625"/>
      <c r="X21" s="625"/>
      <c r="Y21" s="293"/>
    </row>
    <row r="22" spans="1:25" s="89" customFormat="1" ht="96.4" customHeight="1" x14ac:dyDescent="0.2">
      <c r="A22" s="622" t="s">
        <v>69</v>
      </c>
      <c r="B22" s="623"/>
      <c r="C22" s="623"/>
      <c r="D22" s="623"/>
      <c r="E22" s="623"/>
      <c r="F22" s="623"/>
      <c r="G22" s="623"/>
      <c r="H22" s="623"/>
      <c r="I22" s="623"/>
      <c r="J22" s="623"/>
      <c r="K22" s="623"/>
      <c r="L22" s="623"/>
      <c r="M22" s="623"/>
      <c r="N22" s="455" t="s">
        <v>55</v>
      </c>
      <c r="O22" s="455" t="s">
        <v>55</v>
      </c>
      <c r="P22" s="624"/>
      <c r="Q22" s="624"/>
      <c r="R22" s="624"/>
      <c r="S22" s="624"/>
      <c r="T22" s="624"/>
      <c r="U22" s="624"/>
      <c r="V22" s="624"/>
      <c r="W22" s="624"/>
      <c r="X22" s="624"/>
      <c r="Y22" s="112"/>
    </row>
    <row r="23" spans="1:25" s="89" customFormat="1" ht="36.4" customHeight="1" x14ac:dyDescent="0.2">
      <c r="A23" s="622" t="s">
        <v>70</v>
      </c>
      <c r="B23" s="623"/>
      <c r="C23" s="623"/>
      <c r="D23" s="623"/>
      <c r="E23" s="623"/>
      <c r="F23" s="623"/>
      <c r="G23" s="623"/>
      <c r="H23" s="623"/>
      <c r="I23" s="623"/>
      <c r="J23" s="623"/>
      <c r="K23" s="623"/>
      <c r="L23" s="623"/>
      <c r="M23" s="623"/>
      <c r="N23" s="455" t="s">
        <v>55</v>
      </c>
      <c r="O23" s="455" t="s">
        <v>55</v>
      </c>
      <c r="P23" s="624"/>
      <c r="Q23" s="624"/>
      <c r="R23" s="624"/>
      <c r="S23" s="624"/>
      <c r="T23" s="624"/>
      <c r="U23" s="624"/>
      <c r="V23" s="624"/>
      <c r="W23" s="624"/>
      <c r="X23" s="624"/>
      <c r="Y23" s="112"/>
    </row>
    <row r="24" spans="1:25" s="89" customFormat="1" ht="36.4" customHeight="1" x14ac:dyDescent="0.2">
      <c r="A24" s="626" t="s">
        <v>71</v>
      </c>
      <c r="B24" s="627"/>
      <c r="C24" s="627"/>
      <c r="D24" s="627"/>
      <c r="E24" s="627"/>
      <c r="F24" s="627"/>
      <c r="G24" s="627"/>
      <c r="H24" s="627"/>
      <c r="I24" s="627"/>
      <c r="J24" s="627"/>
      <c r="K24" s="627"/>
      <c r="L24" s="627"/>
      <c r="M24" s="627"/>
      <c r="N24" s="455" t="s">
        <v>55</v>
      </c>
      <c r="O24" s="455" t="s">
        <v>55</v>
      </c>
      <c r="P24" s="634"/>
      <c r="Q24" s="635"/>
      <c r="R24" s="635"/>
      <c r="S24" s="635"/>
      <c r="T24" s="635"/>
      <c r="U24" s="635"/>
      <c r="V24" s="635"/>
      <c r="W24" s="635"/>
      <c r="X24" s="636"/>
      <c r="Y24" s="112"/>
    </row>
    <row r="25" spans="1:25" s="89" customFormat="1" ht="15.75" x14ac:dyDescent="0.2">
      <c r="A25" s="637" t="s">
        <v>72</v>
      </c>
      <c r="B25" s="638"/>
      <c r="C25" s="638"/>
      <c r="D25" s="638"/>
      <c r="E25" s="638"/>
      <c r="F25" s="638"/>
      <c r="G25" s="638"/>
      <c r="H25" s="638"/>
      <c r="I25" s="638"/>
      <c r="J25" s="638"/>
      <c r="K25" s="638"/>
      <c r="L25" s="638"/>
      <c r="M25" s="638"/>
      <c r="N25" s="455" t="s">
        <v>55</v>
      </c>
      <c r="O25" s="455" t="s">
        <v>55</v>
      </c>
      <c r="P25" s="624"/>
      <c r="Q25" s="624"/>
      <c r="R25" s="624"/>
      <c r="S25" s="624"/>
      <c r="T25" s="624"/>
      <c r="U25" s="624"/>
      <c r="V25" s="624"/>
      <c r="W25" s="624"/>
      <c r="X25" s="624"/>
      <c r="Y25" s="112"/>
    </row>
    <row r="26" spans="1:25" s="89" customFormat="1" ht="15.4" customHeight="1" x14ac:dyDescent="0.2">
      <c r="A26" s="622" t="s">
        <v>73</v>
      </c>
      <c r="B26" s="623"/>
      <c r="C26" s="623"/>
      <c r="D26" s="623"/>
      <c r="E26" s="623"/>
      <c r="F26" s="623"/>
      <c r="G26" s="623"/>
      <c r="H26" s="623"/>
      <c r="I26" s="623"/>
      <c r="J26" s="623"/>
      <c r="K26" s="623"/>
      <c r="L26" s="623"/>
      <c r="M26" s="623"/>
      <c r="N26" s="455" t="s">
        <v>55</v>
      </c>
      <c r="O26" s="455" t="s">
        <v>55</v>
      </c>
      <c r="P26" s="624"/>
      <c r="Q26" s="624"/>
      <c r="R26" s="624"/>
      <c r="S26" s="624"/>
      <c r="T26" s="624"/>
      <c r="U26" s="624"/>
      <c r="V26" s="624"/>
      <c r="W26" s="624"/>
      <c r="X26" s="624"/>
      <c r="Y26" s="112"/>
    </row>
    <row r="27" spans="1:25" s="89" customFormat="1" ht="76.900000000000006" customHeight="1" thickBot="1" x14ac:dyDescent="0.25">
      <c r="A27" s="639" t="s">
        <v>74</v>
      </c>
      <c r="B27" s="640"/>
      <c r="C27" s="640"/>
      <c r="D27" s="640"/>
      <c r="E27" s="640"/>
      <c r="F27" s="640"/>
      <c r="G27" s="640"/>
      <c r="H27" s="640"/>
      <c r="I27" s="640"/>
      <c r="J27" s="640"/>
      <c r="K27" s="640"/>
      <c r="L27" s="640"/>
      <c r="M27" s="640"/>
      <c r="N27" s="473" t="s">
        <v>55</v>
      </c>
      <c r="O27" s="473" t="s">
        <v>55</v>
      </c>
      <c r="P27" s="641"/>
      <c r="Q27" s="641"/>
      <c r="R27" s="641"/>
      <c r="S27" s="641"/>
      <c r="T27" s="641"/>
      <c r="U27" s="641"/>
      <c r="V27" s="641"/>
      <c r="W27" s="641"/>
      <c r="X27" s="641"/>
      <c r="Y27" s="113"/>
    </row>
    <row r="28" spans="1:25" s="89" customFormat="1" ht="33.75" customHeight="1" thickBot="1" x14ac:dyDescent="0.3">
      <c r="A28" s="642" t="s">
        <v>75</v>
      </c>
      <c r="B28" s="642"/>
      <c r="C28" s="642"/>
      <c r="D28" s="642"/>
      <c r="E28" s="642"/>
      <c r="F28" s="642"/>
      <c r="G28" s="642"/>
      <c r="H28" s="642"/>
      <c r="I28" s="642"/>
      <c r="J28" s="642"/>
      <c r="K28" s="642"/>
      <c r="L28" s="642"/>
      <c r="M28" s="642"/>
      <c r="N28" s="642"/>
      <c r="O28" s="642"/>
      <c r="P28" s="642"/>
      <c r="Q28" s="642"/>
      <c r="R28" s="642"/>
      <c r="S28" s="642"/>
      <c r="T28" s="642"/>
      <c r="U28" s="642"/>
      <c r="V28" s="642"/>
      <c r="W28" s="642"/>
      <c r="X28" s="642"/>
      <c r="Y28" s="642"/>
    </row>
    <row r="29" spans="1:25" s="89" customFormat="1" ht="21" customHeight="1" x14ac:dyDescent="0.2">
      <c r="A29" s="620" t="s">
        <v>49</v>
      </c>
      <c r="B29" s="621"/>
      <c r="C29" s="621"/>
      <c r="D29" s="621"/>
      <c r="E29" s="621"/>
      <c r="F29" s="621"/>
      <c r="G29" s="621"/>
      <c r="H29" s="621"/>
      <c r="I29" s="621"/>
      <c r="J29" s="621"/>
      <c r="K29" s="621"/>
      <c r="L29" s="621"/>
      <c r="M29" s="621"/>
      <c r="N29" s="452" t="s">
        <v>50</v>
      </c>
      <c r="O29" s="452" t="s">
        <v>51</v>
      </c>
      <c r="P29" s="621" t="s">
        <v>52</v>
      </c>
      <c r="Q29" s="621"/>
      <c r="R29" s="621"/>
      <c r="S29" s="621"/>
      <c r="T29" s="621"/>
      <c r="U29" s="621"/>
      <c r="V29" s="621"/>
      <c r="W29" s="621"/>
      <c r="X29" s="621"/>
      <c r="Y29" s="291" t="s">
        <v>53</v>
      </c>
    </row>
    <row r="30" spans="1:25" s="89" customFormat="1" ht="18" customHeight="1" x14ac:dyDescent="0.2">
      <c r="A30" s="622" t="s">
        <v>76</v>
      </c>
      <c r="B30" s="623"/>
      <c r="C30" s="623"/>
      <c r="D30" s="623"/>
      <c r="E30" s="623"/>
      <c r="F30" s="623"/>
      <c r="G30" s="623"/>
      <c r="H30" s="623"/>
      <c r="I30" s="623"/>
      <c r="J30" s="623"/>
      <c r="K30" s="623"/>
      <c r="L30" s="623"/>
      <c r="M30" s="623"/>
      <c r="N30" s="455" t="s">
        <v>55</v>
      </c>
      <c r="O30" s="455" t="s">
        <v>55</v>
      </c>
      <c r="P30" s="624"/>
      <c r="Q30" s="624"/>
      <c r="R30" s="624"/>
      <c r="S30" s="624"/>
      <c r="T30" s="624"/>
      <c r="U30" s="624"/>
      <c r="V30" s="624"/>
      <c r="W30" s="624"/>
      <c r="X30" s="624"/>
      <c r="Y30" s="112"/>
    </row>
    <row r="31" spans="1:25" s="89" customFormat="1" ht="18" customHeight="1" x14ac:dyDescent="0.2">
      <c r="A31" s="622" t="s">
        <v>77</v>
      </c>
      <c r="B31" s="623"/>
      <c r="C31" s="623"/>
      <c r="D31" s="623"/>
      <c r="E31" s="623"/>
      <c r="F31" s="623"/>
      <c r="G31" s="623"/>
      <c r="H31" s="623"/>
      <c r="I31" s="623"/>
      <c r="J31" s="623"/>
      <c r="K31" s="623"/>
      <c r="L31" s="623"/>
      <c r="M31" s="623"/>
      <c r="N31" s="455" t="s">
        <v>55</v>
      </c>
      <c r="O31" s="455" t="s">
        <v>55</v>
      </c>
      <c r="P31" s="624"/>
      <c r="Q31" s="624"/>
      <c r="R31" s="624"/>
      <c r="S31" s="624"/>
      <c r="T31" s="624"/>
      <c r="U31" s="624"/>
      <c r="V31" s="624"/>
      <c r="W31" s="624"/>
      <c r="X31" s="624"/>
      <c r="Y31" s="112"/>
    </row>
    <row r="32" spans="1:25" s="89" customFormat="1" ht="18" customHeight="1" x14ac:dyDescent="0.2">
      <c r="A32" s="622" t="s">
        <v>78</v>
      </c>
      <c r="B32" s="623"/>
      <c r="C32" s="623"/>
      <c r="D32" s="623"/>
      <c r="E32" s="623"/>
      <c r="F32" s="623"/>
      <c r="G32" s="623"/>
      <c r="H32" s="623"/>
      <c r="I32" s="623"/>
      <c r="J32" s="623"/>
      <c r="K32" s="623"/>
      <c r="L32" s="623"/>
      <c r="M32" s="623"/>
      <c r="N32" s="455" t="s">
        <v>55</v>
      </c>
      <c r="O32" s="455" t="s">
        <v>55</v>
      </c>
      <c r="P32" s="624"/>
      <c r="Q32" s="624"/>
      <c r="R32" s="624"/>
      <c r="S32" s="624"/>
      <c r="T32" s="624"/>
      <c r="U32" s="624"/>
      <c r="V32" s="624"/>
      <c r="W32" s="624"/>
      <c r="X32" s="624"/>
      <c r="Y32" s="112"/>
    </row>
    <row r="33" spans="1:25" s="89" customFormat="1" ht="39.75" customHeight="1" x14ac:dyDescent="0.2">
      <c r="A33" s="622" t="s">
        <v>79</v>
      </c>
      <c r="B33" s="623"/>
      <c r="C33" s="623"/>
      <c r="D33" s="623"/>
      <c r="E33" s="623"/>
      <c r="F33" s="623"/>
      <c r="G33" s="623"/>
      <c r="H33" s="623"/>
      <c r="I33" s="623"/>
      <c r="J33" s="623"/>
      <c r="K33" s="623"/>
      <c r="L33" s="623"/>
      <c r="M33" s="623"/>
      <c r="N33" s="455" t="s">
        <v>55</v>
      </c>
      <c r="O33" s="455" t="s">
        <v>55</v>
      </c>
      <c r="P33" s="624"/>
      <c r="Q33" s="624"/>
      <c r="R33" s="624"/>
      <c r="S33" s="624"/>
      <c r="T33" s="624"/>
      <c r="U33" s="624"/>
      <c r="V33" s="624"/>
      <c r="W33" s="624"/>
      <c r="X33" s="624"/>
      <c r="Y33" s="112"/>
    </row>
    <row r="34" spans="1:25" s="89" customFormat="1" ht="18" customHeight="1" x14ac:dyDescent="0.2">
      <c r="A34" s="622" t="s">
        <v>80</v>
      </c>
      <c r="B34" s="623"/>
      <c r="C34" s="623"/>
      <c r="D34" s="623"/>
      <c r="E34" s="623"/>
      <c r="F34" s="623"/>
      <c r="G34" s="623"/>
      <c r="H34" s="623"/>
      <c r="I34" s="623"/>
      <c r="J34" s="623"/>
      <c r="K34" s="623"/>
      <c r="L34" s="623"/>
      <c r="M34" s="623"/>
      <c r="N34" s="455" t="s">
        <v>55</v>
      </c>
      <c r="O34" s="455" t="s">
        <v>55</v>
      </c>
      <c r="P34" s="624"/>
      <c r="Q34" s="624"/>
      <c r="R34" s="624"/>
      <c r="S34" s="624"/>
      <c r="T34" s="624"/>
      <c r="U34" s="624"/>
      <c r="V34" s="624"/>
      <c r="W34" s="624"/>
      <c r="X34" s="624"/>
      <c r="Y34" s="112"/>
    </row>
    <row r="35" spans="1:25" s="89" customFormat="1" ht="105.4" customHeight="1" x14ac:dyDescent="0.2">
      <c r="A35" s="637" t="s">
        <v>81</v>
      </c>
      <c r="B35" s="638"/>
      <c r="C35" s="638"/>
      <c r="D35" s="638"/>
      <c r="E35" s="638"/>
      <c r="F35" s="638"/>
      <c r="G35" s="638"/>
      <c r="H35" s="638"/>
      <c r="I35" s="638"/>
      <c r="J35" s="638"/>
      <c r="K35" s="638"/>
      <c r="L35" s="638"/>
      <c r="M35" s="638"/>
      <c r="N35" s="455" t="s">
        <v>55</v>
      </c>
      <c r="O35" s="455" t="s">
        <v>55</v>
      </c>
      <c r="P35" s="624"/>
      <c r="Q35" s="624"/>
      <c r="R35" s="624"/>
      <c r="S35" s="624"/>
      <c r="T35" s="624"/>
      <c r="U35" s="624"/>
      <c r="V35" s="624"/>
      <c r="W35" s="624"/>
      <c r="X35" s="624"/>
      <c r="Y35" s="112"/>
    </row>
    <row r="36" spans="1:25" s="89" customFormat="1" ht="193.9" customHeight="1" thickBot="1" x14ac:dyDescent="0.25">
      <c r="A36" s="643" t="s">
        <v>82</v>
      </c>
      <c r="B36" s="644"/>
      <c r="C36" s="644"/>
      <c r="D36" s="644"/>
      <c r="E36" s="644"/>
      <c r="F36" s="644"/>
      <c r="G36" s="644"/>
      <c r="H36" s="644"/>
      <c r="I36" s="644"/>
      <c r="J36" s="644"/>
      <c r="K36" s="644"/>
      <c r="L36" s="644"/>
      <c r="M36" s="644"/>
      <c r="N36" s="455" t="s">
        <v>55</v>
      </c>
      <c r="O36" s="455" t="s">
        <v>55</v>
      </c>
      <c r="P36" s="624"/>
      <c r="Q36" s="624"/>
      <c r="R36" s="624"/>
      <c r="S36" s="624"/>
      <c r="T36" s="624"/>
      <c r="U36" s="624"/>
      <c r="V36" s="624"/>
      <c r="W36" s="624"/>
      <c r="X36" s="624"/>
      <c r="Y36" s="114"/>
    </row>
    <row r="37" spans="1:25" s="89" customFormat="1" ht="25.5" customHeight="1" thickBot="1" x14ac:dyDescent="0.3">
      <c r="A37" s="642" t="s">
        <v>83</v>
      </c>
      <c r="B37" s="642"/>
      <c r="C37" s="642"/>
      <c r="D37" s="642"/>
      <c r="E37" s="642"/>
      <c r="F37" s="642"/>
      <c r="G37" s="642"/>
      <c r="H37" s="642"/>
      <c r="I37" s="642"/>
      <c r="J37" s="642"/>
      <c r="K37" s="642"/>
      <c r="L37" s="642"/>
      <c r="M37" s="642"/>
      <c r="N37" s="642"/>
      <c r="O37" s="642"/>
      <c r="P37" s="642"/>
      <c r="Q37" s="642"/>
      <c r="R37" s="642"/>
      <c r="S37" s="642"/>
      <c r="T37" s="642"/>
      <c r="U37" s="642"/>
      <c r="V37" s="642"/>
      <c r="W37" s="642"/>
      <c r="X37" s="642"/>
      <c r="Y37" s="642"/>
    </row>
    <row r="38" spans="1:25" s="89" customFormat="1" ht="21" customHeight="1" x14ac:dyDescent="0.2">
      <c r="A38" s="620" t="s">
        <v>49</v>
      </c>
      <c r="B38" s="621"/>
      <c r="C38" s="621"/>
      <c r="D38" s="621"/>
      <c r="E38" s="621"/>
      <c r="F38" s="621"/>
      <c r="G38" s="621"/>
      <c r="H38" s="621"/>
      <c r="I38" s="621"/>
      <c r="J38" s="621"/>
      <c r="K38" s="621"/>
      <c r="L38" s="621"/>
      <c r="M38" s="621"/>
      <c r="N38" s="452" t="s">
        <v>50</v>
      </c>
      <c r="O38" s="452" t="s">
        <v>51</v>
      </c>
      <c r="P38" s="452" t="s">
        <v>84</v>
      </c>
      <c r="Q38" s="645" t="s">
        <v>52</v>
      </c>
      <c r="R38" s="604"/>
      <c r="S38" s="604"/>
      <c r="T38" s="604"/>
      <c r="U38" s="604"/>
      <c r="V38" s="604"/>
      <c r="W38" s="604"/>
      <c r="X38" s="605"/>
      <c r="Y38" s="291" t="s">
        <v>53</v>
      </c>
    </row>
    <row r="39" spans="1:25" s="89" customFormat="1" ht="36.4" customHeight="1" x14ac:dyDescent="0.2">
      <c r="A39" s="646" t="s">
        <v>85</v>
      </c>
      <c r="B39" s="647"/>
      <c r="C39" s="647"/>
      <c r="D39" s="647"/>
      <c r="E39" s="647"/>
      <c r="F39" s="647"/>
      <c r="G39" s="647"/>
      <c r="H39" s="647"/>
      <c r="I39" s="647"/>
      <c r="J39" s="647"/>
      <c r="K39" s="647"/>
      <c r="L39" s="647"/>
      <c r="M39" s="647"/>
      <c r="N39" s="292" t="s">
        <v>55</v>
      </c>
      <c r="O39" s="292" t="s">
        <v>55</v>
      </c>
      <c r="P39" s="455" t="s">
        <v>55</v>
      </c>
      <c r="Q39" s="624"/>
      <c r="R39" s="624"/>
      <c r="S39" s="624"/>
      <c r="T39" s="624"/>
      <c r="U39" s="624"/>
      <c r="V39" s="624"/>
      <c r="W39" s="624"/>
      <c r="X39" s="624"/>
      <c r="Y39" s="111"/>
    </row>
    <row r="40" spans="1:25" s="89" customFormat="1" ht="30" customHeight="1" x14ac:dyDescent="0.2">
      <c r="A40" s="646" t="s">
        <v>86</v>
      </c>
      <c r="B40" s="647"/>
      <c r="C40" s="647"/>
      <c r="D40" s="647"/>
      <c r="E40" s="647"/>
      <c r="F40" s="647"/>
      <c r="G40" s="647"/>
      <c r="H40" s="647"/>
      <c r="I40" s="647"/>
      <c r="J40" s="647"/>
      <c r="K40" s="647"/>
      <c r="L40" s="647"/>
      <c r="M40" s="647"/>
      <c r="N40" s="455" t="s">
        <v>55</v>
      </c>
      <c r="O40" s="455" t="s">
        <v>55</v>
      </c>
      <c r="P40" s="455" t="s">
        <v>55</v>
      </c>
      <c r="Q40" s="624"/>
      <c r="R40" s="624"/>
      <c r="S40" s="624"/>
      <c r="T40" s="624"/>
      <c r="U40" s="624"/>
      <c r="V40" s="624"/>
      <c r="W40" s="624"/>
      <c r="X40" s="624"/>
      <c r="Y40" s="111"/>
    </row>
    <row r="41" spans="1:25" s="89" customFormat="1" ht="18" customHeight="1" thickBot="1" x14ac:dyDescent="0.25">
      <c r="A41" s="628" t="s">
        <v>87</v>
      </c>
      <c r="B41" s="629"/>
      <c r="C41" s="629"/>
      <c r="D41" s="629"/>
      <c r="E41" s="629"/>
      <c r="F41" s="629"/>
      <c r="G41" s="629"/>
      <c r="H41" s="629"/>
      <c r="I41" s="629"/>
      <c r="J41" s="629"/>
      <c r="K41" s="629"/>
      <c r="L41" s="629"/>
      <c r="M41" s="629"/>
      <c r="N41" s="473" t="s">
        <v>55</v>
      </c>
      <c r="O41" s="473" t="s">
        <v>55</v>
      </c>
      <c r="P41" s="298" t="s">
        <v>55</v>
      </c>
      <c r="Q41" s="665"/>
      <c r="R41" s="666"/>
      <c r="S41" s="666"/>
      <c r="T41" s="666"/>
      <c r="U41" s="666"/>
      <c r="V41" s="666"/>
      <c r="W41" s="666"/>
      <c r="X41" s="667"/>
      <c r="Y41" s="299"/>
    </row>
    <row r="42" spans="1:25" s="89" customFormat="1" ht="18" customHeight="1" x14ac:dyDescent="0.2">
      <c r="A42" s="668"/>
      <c r="B42" s="668"/>
      <c r="C42" s="668"/>
      <c r="D42" s="668"/>
      <c r="E42" s="668"/>
      <c r="F42" s="668"/>
      <c r="G42" s="668"/>
      <c r="H42" s="668"/>
      <c r="I42" s="668"/>
      <c r="J42" s="668"/>
      <c r="K42" s="668"/>
      <c r="L42" s="668"/>
      <c r="M42" s="668"/>
      <c r="N42" s="300"/>
      <c r="O42" s="300"/>
      <c r="P42" s="300"/>
      <c r="Q42" s="669"/>
      <c r="R42" s="669"/>
      <c r="S42" s="669"/>
      <c r="T42" s="669"/>
      <c r="U42" s="669"/>
      <c r="V42" s="669"/>
      <c r="W42" s="669"/>
      <c r="X42" s="669"/>
      <c r="Y42" s="669"/>
    </row>
    <row r="43" spans="1:25" s="89" customFormat="1" ht="18" customHeight="1" thickBot="1" x14ac:dyDescent="0.25">
      <c r="A43" s="658" t="s">
        <v>88</v>
      </c>
      <c r="B43" s="658"/>
      <c r="C43" s="301"/>
      <c r="D43" s="301"/>
      <c r="E43" s="301"/>
      <c r="F43" s="659" t="s">
        <v>89</v>
      </c>
      <c r="G43" s="659"/>
      <c r="H43" s="659"/>
      <c r="I43" s="659"/>
      <c r="J43" s="659"/>
      <c r="K43" s="659"/>
      <c r="L43" s="659"/>
      <c r="M43" s="659"/>
      <c r="N43" s="301"/>
      <c r="O43" s="301"/>
      <c r="P43" s="301"/>
      <c r="Q43" s="301"/>
      <c r="R43" s="301"/>
      <c r="S43" s="301"/>
      <c r="T43" s="301"/>
      <c r="U43" s="301"/>
      <c r="V43" s="301"/>
      <c r="W43" s="301"/>
      <c r="X43" s="301"/>
      <c r="Y43" s="301"/>
    </row>
    <row r="44" spans="1:25" s="89" customFormat="1" ht="32.65" customHeight="1" x14ac:dyDescent="0.2">
      <c r="A44" s="324" t="s">
        <v>90</v>
      </c>
      <c r="B44" s="452" t="s">
        <v>91</v>
      </c>
      <c r="C44" s="660" t="s">
        <v>92</v>
      </c>
      <c r="D44" s="660"/>
      <c r="E44" s="302"/>
      <c r="F44" s="661" t="s">
        <v>93</v>
      </c>
      <c r="G44" s="662"/>
      <c r="H44" s="662"/>
      <c r="I44" s="662"/>
      <c r="J44" s="662"/>
      <c r="K44" s="662"/>
      <c r="L44" s="662"/>
      <c r="M44" s="662"/>
      <c r="N44" s="648" t="s">
        <v>94</v>
      </c>
      <c r="O44" s="648"/>
      <c r="P44" s="648"/>
      <c r="Q44" s="649" t="s">
        <v>52</v>
      </c>
      <c r="R44" s="650"/>
      <c r="S44" s="650"/>
      <c r="T44" s="650"/>
      <c r="U44" s="650"/>
      <c r="V44" s="650"/>
      <c r="W44" s="650"/>
      <c r="X44" s="651"/>
      <c r="Y44" s="655" t="s">
        <v>53</v>
      </c>
    </row>
    <row r="45" spans="1:25" s="89" customFormat="1" ht="18" customHeight="1" x14ac:dyDescent="0.2">
      <c r="A45" s="325" t="str">
        <f>VLOOKUP(zTaskNameIdentifier, 'Config-Pre Work'!$B$3:$AH$52, 32, FALSE)</f>
        <v>G104-Gen-B</v>
      </c>
      <c r="B45" s="447" t="str">
        <f>VLOOKUP(zTaskNameIdentifier, 'Config-Pre Work'!$B$3:$AH$52, 33, FALSE)</f>
        <v>4000 gal</v>
      </c>
      <c r="C45" s="657"/>
      <c r="D45" s="657"/>
      <c r="F45" s="663"/>
      <c r="G45" s="664"/>
      <c r="H45" s="664"/>
      <c r="I45" s="664"/>
      <c r="J45" s="664"/>
      <c r="K45" s="664"/>
      <c r="L45" s="664"/>
      <c r="M45" s="664"/>
      <c r="N45" s="451" t="s">
        <v>50</v>
      </c>
      <c r="O45" s="451" t="s">
        <v>51</v>
      </c>
      <c r="P45" s="451" t="s">
        <v>84</v>
      </c>
      <c r="Q45" s="652"/>
      <c r="R45" s="653"/>
      <c r="S45" s="653"/>
      <c r="T45" s="653"/>
      <c r="U45" s="653"/>
      <c r="V45" s="653"/>
      <c r="W45" s="653"/>
      <c r="X45" s="654"/>
      <c r="Y45" s="656"/>
    </row>
    <row r="46" spans="1:25" s="89" customFormat="1" ht="18" customHeight="1" x14ac:dyDescent="0.2">
      <c r="A46" s="325"/>
      <c r="B46" s="447"/>
      <c r="C46" s="657"/>
      <c r="D46" s="657"/>
      <c r="F46" s="670"/>
      <c r="G46" s="671"/>
      <c r="H46" s="671"/>
      <c r="I46" s="671"/>
      <c r="J46" s="671"/>
      <c r="K46" s="671"/>
      <c r="L46" s="671"/>
      <c r="M46" s="671"/>
      <c r="N46" s="303" t="s">
        <v>55</v>
      </c>
      <c r="O46" s="303" t="s">
        <v>55</v>
      </c>
      <c r="P46" s="303" t="s">
        <v>55</v>
      </c>
      <c r="Q46" s="672"/>
      <c r="R46" s="673"/>
      <c r="S46" s="673"/>
      <c r="T46" s="673"/>
      <c r="U46" s="673"/>
      <c r="V46" s="673"/>
      <c r="W46" s="673"/>
      <c r="X46" s="674"/>
      <c r="Y46" s="476"/>
    </row>
    <row r="47" spans="1:25" s="89" customFormat="1" ht="18" customHeight="1" x14ac:dyDescent="0.2">
      <c r="A47" s="325"/>
      <c r="B47" s="447"/>
      <c r="C47" s="657"/>
      <c r="D47" s="657"/>
      <c r="F47" s="670"/>
      <c r="G47" s="671"/>
      <c r="H47" s="671"/>
      <c r="I47" s="671"/>
      <c r="J47" s="671"/>
      <c r="K47" s="671"/>
      <c r="L47" s="671"/>
      <c r="M47" s="671"/>
      <c r="N47" s="304" t="s">
        <v>55</v>
      </c>
      <c r="O47" s="304" t="s">
        <v>55</v>
      </c>
      <c r="P47" s="304" t="s">
        <v>55</v>
      </c>
      <c r="Q47" s="672"/>
      <c r="R47" s="673"/>
      <c r="S47" s="673"/>
      <c r="T47" s="673"/>
      <c r="U47" s="673"/>
      <c r="V47" s="673"/>
      <c r="W47" s="673"/>
      <c r="X47" s="674"/>
      <c r="Y47" s="476"/>
    </row>
    <row r="48" spans="1:25" s="89" customFormat="1" ht="18" customHeight="1" x14ac:dyDescent="0.2">
      <c r="A48" s="325"/>
      <c r="B48" s="447"/>
      <c r="C48" s="657"/>
      <c r="D48" s="657"/>
      <c r="F48" s="670"/>
      <c r="G48" s="671"/>
      <c r="H48" s="671"/>
      <c r="I48" s="671"/>
      <c r="J48" s="671"/>
      <c r="K48" s="671"/>
      <c r="L48" s="671"/>
      <c r="M48" s="671"/>
      <c r="N48" s="304" t="s">
        <v>55</v>
      </c>
      <c r="O48" s="304" t="s">
        <v>55</v>
      </c>
      <c r="P48" s="304" t="s">
        <v>55</v>
      </c>
      <c r="Q48" s="672"/>
      <c r="R48" s="673"/>
      <c r="S48" s="673"/>
      <c r="T48" s="673"/>
      <c r="U48" s="673"/>
      <c r="V48" s="673"/>
      <c r="W48" s="673"/>
      <c r="X48" s="674"/>
      <c r="Y48" s="476"/>
    </row>
    <row r="49" spans="1:25" s="89" customFormat="1" ht="18" customHeight="1" thickBot="1" x14ac:dyDescent="0.25">
      <c r="A49" s="325"/>
      <c r="B49" s="447"/>
      <c r="C49" s="657"/>
      <c r="D49" s="657"/>
      <c r="F49" s="675"/>
      <c r="G49" s="676"/>
      <c r="H49" s="676"/>
      <c r="I49" s="676"/>
      <c r="J49" s="676"/>
      <c r="K49" s="676"/>
      <c r="L49" s="676"/>
      <c r="M49" s="676"/>
      <c r="N49" s="305" t="s">
        <v>55</v>
      </c>
      <c r="O49" s="305" t="s">
        <v>55</v>
      </c>
      <c r="P49" s="305" t="s">
        <v>55</v>
      </c>
      <c r="Q49" s="677"/>
      <c r="R49" s="678"/>
      <c r="S49" s="678"/>
      <c r="T49" s="678"/>
      <c r="U49" s="678"/>
      <c r="V49" s="678"/>
      <c r="W49" s="678"/>
      <c r="X49" s="679"/>
      <c r="Y49" s="474"/>
    </row>
    <row r="50" spans="1:25" s="89" customFormat="1" ht="15.75" x14ac:dyDescent="0.25">
      <c r="A50" s="325"/>
      <c r="B50" s="447"/>
      <c r="C50" s="657"/>
      <c r="D50" s="657"/>
      <c r="E50" s="3"/>
      <c r="F50" s="2"/>
      <c r="G50" s="2"/>
      <c r="H50" s="2"/>
      <c r="I50" s="2"/>
      <c r="J50" s="2"/>
      <c r="K50" s="2"/>
      <c r="L50" s="2"/>
      <c r="M50" s="1"/>
      <c r="N50" s="1"/>
      <c r="O50" s="1"/>
      <c r="P50" s="1"/>
      <c r="Q50" s="1"/>
      <c r="R50" s="1"/>
      <c r="S50" s="1"/>
      <c r="T50" s="1"/>
      <c r="U50" s="1"/>
      <c r="V50" s="1"/>
      <c r="W50" s="1"/>
      <c r="X50" s="1"/>
      <c r="Y50" s="1"/>
    </row>
    <row r="51" spans="1:25" s="89" customFormat="1" ht="18" customHeight="1" thickBot="1" x14ac:dyDescent="0.25">
      <c r="A51" s="325"/>
      <c r="B51" s="447"/>
      <c r="C51" s="657"/>
      <c r="D51" s="657"/>
      <c r="F51" s="688" t="s">
        <v>95</v>
      </c>
      <c r="G51" s="688"/>
      <c r="H51" s="688"/>
      <c r="I51" s="688"/>
      <c r="J51" s="688"/>
      <c r="K51" s="688"/>
      <c r="L51" s="688"/>
      <c r="M51" s="688"/>
      <c r="N51" s="688"/>
      <c r="O51" s="1"/>
      <c r="P51" s="1"/>
      <c r="Q51" s="1"/>
      <c r="R51" s="1"/>
      <c r="S51" s="1"/>
      <c r="T51" s="1"/>
      <c r="U51" s="1"/>
      <c r="V51" s="1"/>
      <c r="W51" s="1"/>
      <c r="X51" s="1"/>
      <c r="Y51" s="1"/>
    </row>
    <row r="52" spans="1:25" s="89" customFormat="1" ht="30.75" customHeight="1" x14ac:dyDescent="0.25">
      <c r="A52" s="325"/>
      <c r="B52" s="447"/>
      <c r="C52" s="657"/>
      <c r="D52" s="657"/>
      <c r="E52" s="3"/>
      <c r="F52" s="603" t="s">
        <v>96</v>
      </c>
      <c r="G52" s="604"/>
      <c r="H52" s="605"/>
      <c r="I52" s="692" t="s">
        <v>97</v>
      </c>
      <c r="J52" s="693"/>
      <c r="K52" s="693"/>
      <c r="L52" s="693"/>
      <c r="M52" s="693"/>
      <c r="N52" s="291" t="s">
        <v>98</v>
      </c>
    </row>
    <row r="53" spans="1:25" s="89" customFormat="1" ht="23.25" customHeight="1" thickBot="1" x14ac:dyDescent="0.3">
      <c r="A53" s="326"/>
      <c r="B53" s="446"/>
      <c r="C53" s="684"/>
      <c r="D53" s="684"/>
      <c r="E53" s="3"/>
      <c r="F53" s="685"/>
      <c r="G53" s="686"/>
      <c r="H53" s="687"/>
      <c r="I53" s="694"/>
      <c r="J53" s="686"/>
      <c r="K53" s="686"/>
      <c r="L53" s="686"/>
      <c r="M53" s="686"/>
      <c r="N53" s="306"/>
    </row>
    <row r="54" spans="1:25" s="1" customFormat="1" x14ac:dyDescent="0.25">
      <c r="A54"/>
      <c r="B54"/>
      <c r="C54"/>
      <c r="D54"/>
      <c r="E54"/>
      <c r="F54" s="685"/>
      <c r="G54" s="686"/>
      <c r="H54" s="687"/>
      <c r="I54" s="694"/>
      <c r="J54" s="686"/>
      <c r="K54" s="686"/>
      <c r="L54" s="686"/>
      <c r="M54" s="686"/>
      <c r="N54" s="306"/>
    </row>
    <row r="55" spans="1:25" s="1" customFormat="1" ht="16.5" customHeight="1" x14ac:dyDescent="0.25">
      <c r="E55"/>
      <c r="F55" s="685"/>
      <c r="G55" s="686"/>
      <c r="H55" s="687"/>
      <c r="I55" s="694"/>
      <c r="J55" s="686"/>
      <c r="K55" s="686"/>
      <c r="L55" s="686"/>
      <c r="M55" s="686"/>
      <c r="N55" s="306"/>
    </row>
    <row r="56" spans="1:25" s="1" customFormat="1" ht="31.9" customHeight="1" thickBot="1" x14ac:dyDescent="0.3">
      <c r="E56"/>
      <c r="F56" s="700"/>
      <c r="G56" s="696"/>
      <c r="H56" s="701"/>
      <c r="I56" s="695"/>
      <c r="J56" s="696"/>
      <c r="K56" s="696"/>
      <c r="L56" s="696"/>
      <c r="M56" s="696"/>
      <c r="N56" s="307"/>
    </row>
    <row r="57" spans="1:25" s="1" customFormat="1" ht="17.25" customHeight="1" x14ac:dyDescent="0.25">
      <c r="E57"/>
    </row>
    <row r="58" spans="1:25" s="1" customFormat="1" ht="16.5" customHeight="1" thickBot="1" x14ac:dyDescent="0.3">
      <c r="A58" s="680" t="s">
        <v>99</v>
      </c>
      <c r="B58" s="680"/>
      <c r="C58" s="444"/>
      <c r="D58" s="444"/>
      <c r="E58" s="89"/>
      <c r="F58" s="89"/>
      <c r="G58" s="308"/>
      <c r="H58" s="308"/>
      <c r="I58" s="308"/>
      <c r="J58" s="308"/>
      <c r="K58" s="308"/>
      <c r="L58" s="308"/>
      <c r="M58" s="308"/>
      <c r="N58" s="308"/>
    </row>
    <row r="59" spans="1:25" s="1" customFormat="1" ht="31.5" x14ac:dyDescent="0.2">
      <c r="A59" s="320" t="s">
        <v>100</v>
      </c>
      <c r="B59" s="323" t="s">
        <v>101</v>
      </c>
      <c r="C59" s="440" t="s">
        <v>102</v>
      </c>
      <c r="D59" s="681" t="s">
        <v>52</v>
      </c>
      <c r="E59" s="682"/>
      <c r="F59" s="682"/>
      <c r="G59" s="682"/>
      <c r="H59" s="682"/>
      <c r="I59" s="682"/>
      <c r="J59" s="682"/>
      <c r="K59" s="682"/>
      <c r="L59" s="683"/>
      <c r="M59" s="445" t="s">
        <v>103</v>
      </c>
      <c r="N59" s="309" t="s">
        <v>53</v>
      </c>
    </row>
    <row r="60" spans="1:25" s="1" customFormat="1" ht="15.75" x14ac:dyDescent="0.25">
      <c r="A60" s="321" t="str">
        <f>VLOOKUP(zTaskNameIdentifier,'Config-Pre Work'!$B$3:$AH$52,2,FALSE)</f>
        <v>See Gen Pre/Post-Checks Sheet</v>
      </c>
      <c r="B60" s="310"/>
      <c r="C60" s="310" t="str">
        <f>VLOOKUP(zTaskNameIdentifier,'Config-Pre Work'!$B$3:$AH$52,12,FALSE)</f>
        <v xml:space="preserve"> </v>
      </c>
      <c r="D60" s="697" t="str">
        <f>VLOOKUP(zTaskNameIdentifier,'Config-Pre Work'!$B$3:$AH$52,22,FALSE)</f>
        <v xml:space="preserve"> </v>
      </c>
      <c r="E60" s="698"/>
      <c r="F60" s="698"/>
      <c r="G60" s="698"/>
      <c r="H60" s="698"/>
      <c r="I60" s="698"/>
      <c r="J60" s="698"/>
      <c r="K60" s="698"/>
      <c r="L60" s="699"/>
      <c r="M60" s="443"/>
      <c r="N60" s="112"/>
    </row>
    <row r="61" spans="1:25" s="1" customFormat="1" ht="15.75" x14ac:dyDescent="0.25">
      <c r="A61" s="321" t="str">
        <f>VLOOKUP(zTaskNameIdentifier,'Config-Pre Work'!$B$3:$AH$52,3,FALSE)</f>
        <v xml:space="preserve"> </v>
      </c>
      <c r="B61" s="310"/>
      <c r="C61" s="310" t="str">
        <f>VLOOKUP(zTaskNameIdentifier,'Config-Pre Work'!$B$3:$AH$52,13,FALSE)</f>
        <v xml:space="preserve"> </v>
      </c>
      <c r="D61" s="697" t="str">
        <f>VLOOKUP(zTaskNameIdentifier,'Config-Pre Work'!$B$3:$AH$52,23,FALSE)</f>
        <v xml:space="preserve"> </v>
      </c>
      <c r="E61" s="698"/>
      <c r="F61" s="698"/>
      <c r="G61" s="698"/>
      <c r="H61" s="698"/>
      <c r="I61" s="698"/>
      <c r="J61" s="698"/>
      <c r="K61" s="698"/>
      <c r="L61" s="699"/>
      <c r="M61" s="443"/>
      <c r="N61" s="112"/>
    </row>
    <row r="62" spans="1:25" s="1" customFormat="1" ht="15.75" x14ac:dyDescent="0.25">
      <c r="A62" s="321" t="str">
        <f>VLOOKUP(zTaskNameIdentifier,'Config-Pre Work'!$B$3:$AH$52,4,FALSE)</f>
        <v xml:space="preserve"> </v>
      </c>
      <c r="B62" s="310"/>
      <c r="C62" s="310" t="str">
        <f>VLOOKUP(zTaskNameIdentifier,'Config-Pre Work'!$B$3:$AH$52,14,FALSE)</f>
        <v xml:space="preserve"> </v>
      </c>
      <c r="D62" s="697" t="str">
        <f>VLOOKUP(zTaskNameIdentifier,'Config-Pre Work'!$B$3:$AH$52,24,FALSE)</f>
        <v xml:space="preserve"> </v>
      </c>
      <c r="E62" s="698"/>
      <c r="F62" s="698"/>
      <c r="G62" s="698"/>
      <c r="H62" s="698"/>
      <c r="I62" s="698"/>
      <c r="J62" s="698"/>
      <c r="K62" s="698"/>
      <c r="L62" s="699"/>
      <c r="M62" s="443"/>
      <c r="N62" s="112"/>
    </row>
    <row r="63" spans="1:25" s="1" customFormat="1" ht="15.75" x14ac:dyDescent="0.25">
      <c r="A63" s="321" t="str">
        <f>VLOOKUP(zTaskNameIdentifier,'Config-Pre Work'!$B$3:$AH$52,5,FALSE)</f>
        <v xml:space="preserve"> </v>
      </c>
      <c r="B63" s="310"/>
      <c r="C63" s="310" t="str">
        <f>VLOOKUP(zTaskNameIdentifier,'Config-Pre Work'!$B$3:$AH$52,15,FALSE)</f>
        <v xml:space="preserve"> </v>
      </c>
      <c r="D63" s="697" t="str">
        <f>VLOOKUP(zTaskNameIdentifier,'Config-Pre Work'!$B$3:$AH$52,25,FALSE)</f>
        <v xml:space="preserve"> </v>
      </c>
      <c r="E63" s="698"/>
      <c r="F63" s="698"/>
      <c r="G63" s="698"/>
      <c r="H63" s="698"/>
      <c r="I63" s="698"/>
      <c r="J63" s="698"/>
      <c r="K63" s="698"/>
      <c r="L63" s="699"/>
      <c r="M63" s="443"/>
      <c r="N63" s="112"/>
    </row>
    <row r="64" spans="1:25" s="1" customFormat="1" ht="15.75" x14ac:dyDescent="0.25">
      <c r="A64" s="321" t="str">
        <f>VLOOKUP(zTaskNameIdentifier,'Config-Pre Work'!$B$3:$AH$52,6,FALSE)</f>
        <v xml:space="preserve"> </v>
      </c>
      <c r="B64" s="310"/>
      <c r="C64" s="310" t="str">
        <f>VLOOKUP(zTaskNameIdentifier,'Config-Pre Work'!$B$3:$AH$52,16,FALSE)</f>
        <v xml:space="preserve"> </v>
      </c>
      <c r="D64" s="697" t="str">
        <f>VLOOKUP(zTaskNameIdentifier,'Config-Pre Work'!$B$3:$AH$52,26,FALSE)</f>
        <v xml:space="preserve"> </v>
      </c>
      <c r="E64" s="698"/>
      <c r="F64" s="698"/>
      <c r="G64" s="698"/>
      <c r="H64" s="698"/>
      <c r="I64" s="698"/>
      <c r="J64" s="698"/>
      <c r="K64" s="698"/>
      <c r="L64" s="699"/>
      <c r="M64" s="443"/>
      <c r="N64" s="112"/>
    </row>
    <row r="65" spans="1:21" s="1" customFormat="1" ht="15.75" x14ac:dyDescent="0.25">
      <c r="A65" s="321" t="str">
        <f>VLOOKUP(zTaskNameIdentifier,'Config-Pre Work'!$B$3:$AH$52,7,FALSE)</f>
        <v xml:space="preserve"> </v>
      </c>
      <c r="B65" s="310"/>
      <c r="C65" s="310" t="str">
        <f>VLOOKUP(zTaskNameIdentifier,'Config-Pre Work'!$B$3:$AH$52,17,FALSE)</f>
        <v xml:space="preserve"> </v>
      </c>
      <c r="D65" s="697" t="str">
        <f>VLOOKUP(zTaskNameIdentifier,'Config-Pre Work'!$B$3:$AH$52,27,FALSE)</f>
        <v xml:space="preserve"> </v>
      </c>
      <c r="E65" s="698"/>
      <c r="F65" s="698"/>
      <c r="G65" s="698"/>
      <c r="H65" s="698"/>
      <c r="I65" s="698"/>
      <c r="J65" s="698"/>
      <c r="K65" s="698"/>
      <c r="L65" s="699"/>
      <c r="M65" s="443"/>
      <c r="N65" s="112"/>
    </row>
    <row r="66" spans="1:21" s="1" customFormat="1" ht="15.75" x14ac:dyDescent="0.25">
      <c r="A66" s="321" t="str">
        <f>VLOOKUP(zTaskNameIdentifier,'Config-Pre Work'!$B$3:$AH$52,8,FALSE)</f>
        <v xml:space="preserve"> </v>
      </c>
      <c r="B66" s="310"/>
      <c r="C66" s="310" t="str">
        <f>VLOOKUP(zTaskNameIdentifier,'Config-Pre Work'!$B$3:$AH$52,18,FALSE)</f>
        <v xml:space="preserve"> </v>
      </c>
      <c r="D66" s="697" t="str">
        <f>VLOOKUP(zTaskNameIdentifier,'Config-Pre Work'!$B$3:$AH$52,28,FALSE)</f>
        <v xml:space="preserve"> </v>
      </c>
      <c r="E66" s="698"/>
      <c r="F66" s="698"/>
      <c r="G66" s="698"/>
      <c r="H66" s="698"/>
      <c r="I66" s="698"/>
      <c r="J66" s="698"/>
      <c r="K66" s="698"/>
      <c r="L66" s="699"/>
      <c r="M66" s="443"/>
      <c r="N66" s="112"/>
    </row>
    <row r="67" spans="1:21" s="1" customFormat="1" ht="15.75" x14ac:dyDescent="0.25">
      <c r="A67" s="321" t="str">
        <f>VLOOKUP(zTaskNameIdentifier,'Config-Pre Work'!$B$3:$AH$52,9,FALSE)</f>
        <v xml:space="preserve"> </v>
      </c>
      <c r="B67" s="310"/>
      <c r="C67" s="310" t="str">
        <f>VLOOKUP(zTaskNameIdentifier,'Config-Pre Work'!$B$3:$AH$52,19,FALSE)</f>
        <v xml:space="preserve"> </v>
      </c>
      <c r="D67" s="697" t="str">
        <f>VLOOKUP(zTaskNameIdentifier,'Config-Pre Work'!$B$3:$AH$52,29,FALSE)</f>
        <v xml:space="preserve"> </v>
      </c>
      <c r="E67" s="698"/>
      <c r="F67" s="698"/>
      <c r="G67" s="698"/>
      <c r="H67" s="698"/>
      <c r="I67" s="698"/>
      <c r="J67" s="698"/>
      <c r="K67" s="698"/>
      <c r="L67" s="699"/>
      <c r="M67" s="443"/>
      <c r="N67" s="112"/>
    </row>
    <row r="68" spans="1:21" s="1" customFormat="1" ht="15.75" x14ac:dyDescent="0.25">
      <c r="A68" s="321" t="str">
        <f>VLOOKUP(zTaskNameIdentifier,'Config-Pre Work'!$B$3:$AH$52,10,FALSE)</f>
        <v xml:space="preserve"> </v>
      </c>
      <c r="B68" s="310"/>
      <c r="C68" s="310" t="str">
        <f>VLOOKUP(zTaskNameIdentifier,'Config-Pre Work'!$B$3:$AH$52,20,FALSE)</f>
        <v xml:space="preserve"> </v>
      </c>
      <c r="D68" s="697" t="str">
        <f>VLOOKUP(zTaskNameIdentifier,'Config-Pre Work'!$B$3:$AH$52,30,FALSE)</f>
        <v xml:space="preserve"> </v>
      </c>
      <c r="E68" s="698"/>
      <c r="F68" s="698"/>
      <c r="G68" s="698"/>
      <c r="H68" s="698"/>
      <c r="I68" s="698"/>
      <c r="J68" s="698"/>
      <c r="K68" s="698"/>
      <c r="L68" s="699"/>
      <c r="M68" s="443"/>
      <c r="N68" s="112"/>
    </row>
    <row r="69" spans="1:21" s="1" customFormat="1" ht="15.75" x14ac:dyDescent="0.25">
      <c r="A69" s="321" t="str">
        <f>VLOOKUP(zTaskNameIdentifier,'Config-Pre Work'!$B$3:$AH$52,11,FALSE)</f>
        <v xml:space="preserve"> </v>
      </c>
      <c r="B69" s="310"/>
      <c r="C69" s="310" t="str">
        <f>VLOOKUP(zTaskNameIdentifier,'Config-Pre Work'!$B$3:$AH$52,21,FALSE)</f>
        <v xml:space="preserve"> </v>
      </c>
      <c r="D69" s="697" t="str">
        <f>VLOOKUP(zTaskNameIdentifier,'Config-Pre Work'!$B$3:$AH$52,31,FALSE)</f>
        <v xml:space="preserve"> </v>
      </c>
      <c r="E69" s="698"/>
      <c r="F69" s="698"/>
      <c r="G69" s="698"/>
      <c r="H69" s="698"/>
      <c r="I69" s="698"/>
      <c r="J69" s="698"/>
      <c r="K69" s="698"/>
      <c r="L69" s="699"/>
      <c r="M69" s="443"/>
      <c r="N69" s="112"/>
    </row>
    <row r="70" spans="1:21" s="1" customFormat="1" ht="15.75" x14ac:dyDescent="0.25">
      <c r="A70" s="321"/>
      <c r="B70" s="310"/>
      <c r="C70" s="310"/>
      <c r="D70" s="697"/>
      <c r="E70" s="698"/>
      <c r="F70" s="698"/>
      <c r="G70" s="698"/>
      <c r="H70" s="698"/>
      <c r="I70" s="698"/>
      <c r="J70" s="698"/>
      <c r="K70" s="698"/>
      <c r="L70" s="699"/>
      <c r="M70" s="443"/>
      <c r="N70" s="112"/>
    </row>
    <row r="71" spans="1:21" s="1" customFormat="1" ht="15.75" x14ac:dyDescent="0.25">
      <c r="A71" s="321"/>
      <c r="B71" s="310"/>
      <c r="C71" s="310"/>
      <c r="D71" s="697"/>
      <c r="E71" s="698"/>
      <c r="F71" s="698"/>
      <c r="G71" s="698"/>
      <c r="H71" s="698"/>
      <c r="I71" s="698"/>
      <c r="J71" s="698"/>
      <c r="K71" s="698"/>
      <c r="L71" s="699"/>
      <c r="M71" s="443"/>
      <c r="N71" s="112"/>
    </row>
    <row r="72" spans="1:21" s="1" customFormat="1" ht="15.75" x14ac:dyDescent="0.25">
      <c r="A72" s="321"/>
      <c r="B72" s="310"/>
      <c r="C72" s="310"/>
      <c r="D72" s="697"/>
      <c r="E72" s="698"/>
      <c r="F72" s="698"/>
      <c r="G72" s="698"/>
      <c r="H72" s="698"/>
      <c r="I72" s="698"/>
      <c r="J72" s="698"/>
      <c r="K72" s="698"/>
      <c r="L72" s="699"/>
      <c r="M72" s="443"/>
      <c r="N72" s="112"/>
    </row>
    <row r="73" spans="1:21" s="1" customFormat="1" ht="15.75" x14ac:dyDescent="0.25">
      <c r="A73" s="321"/>
      <c r="B73" s="310"/>
      <c r="C73" s="310"/>
      <c r="D73" s="697"/>
      <c r="E73" s="698"/>
      <c r="F73" s="698"/>
      <c r="G73" s="698"/>
      <c r="H73" s="698"/>
      <c r="I73" s="698"/>
      <c r="J73" s="698"/>
      <c r="K73" s="698"/>
      <c r="L73" s="699"/>
      <c r="M73" s="443"/>
      <c r="N73" s="112"/>
    </row>
    <row r="74" spans="1:21" s="1" customFormat="1" ht="15.75" x14ac:dyDescent="0.25">
      <c r="A74" s="321"/>
      <c r="B74" s="310"/>
      <c r="C74" s="310"/>
      <c r="D74" s="697"/>
      <c r="E74" s="698"/>
      <c r="F74" s="698"/>
      <c r="G74" s="698"/>
      <c r="H74" s="698"/>
      <c r="I74" s="698"/>
      <c r="J74" s="698"/>
      <c r="K74" s="698"/>
      <c r="L74" s="699"/>
      <c r="M74" s="443"/>
      <c r="N74" s="112"/>
      <c r="O74"/>
      <c r="P74"/>
      <c r="Q74"/>
      <c r="R74"/>
      <c r="S74"/>
      <c r="T74"/>
      <c r="U74"/>
    </row>
    <row r="75" spans="1:21" s="1" customFormat="1" ht="16.5" thickBot="1" x14ac:dyDescent="0.3">
      <c r="A75" s="322"/>
      <c r="B75" s="311"/>
      <c r="C75" s="311"/>
      <c r="D75" s="689"/>
      <c r="E75" s="690"/>
      <c r="F75" s="690"/>
      <c r="G75" s="690"/>
      <c r="H75" s="690"/>
      <c r="I75" s="690"/>
      <c r="J75" s="690"/>
      <c r="K75" s="690"/>
      <c r="L75" s="691"/>
      <c r="M75" s="439"/>
      <c r="N75" s="113"/>
      <c r="O75"/>
      <c r="P75"/>
      <c r="Q75"/>
      <c r="R75"/>
      <c r="S75"/>
      <c r="T75"/>
      <c r="U75"/>
    </row>
    <row r="76" spans="1:21" s="1" customFormat="1" x14ac:dyDescent="0.25">
      <c r="A76" s="2"/>
      <c r="B76" s="2"/>
      <c r="C76" s="2"/>
      <c r="D76" s="2"/>
      <c r="E76" s="2"/>
      <c r="F76" s="2"/>
      <c r="G76"/>
      <c r="H76"/>
      <c r="I76"/>
      <c r="J76"/>
      <c r="K76"/>
      <c r="L76"/>
      <c r="N76"/>
      <c r="O76"/>
      <c r="P76"/>
      <c r="Q76"/>
      <c r="R76"/>
      <c r="S76"/>
      <c r="T76"/>
      <c r="U76"/>
    </row>
    <row r="77" spans="1:21" s="1" customFormat="1" x14ac:dyDescent="0.25">
      <c r="A77" s="2"/>
      <c r="B77" s="2"/>
      <c r="C77" s="2"/>
      <c r="D77" s="2"/>
      <c r="E77" s="2"/>
      <c r="F77" s="2"/>
      <c r="G77"/>
      <c r="H77"/>
      <c r="I77"/>
      <c r="J77"/>
      <c r="K77"/>
      <c r="L77"/>
      <c r="N77"/>
      <c r="O77"/>
      <c r="P77"/>
      <c r="Q77"/>
      <c r="R77"/>
      <c r="S77"/>
      <c r="T77"/>
      <c r="U77"/>
    </row>
    <row r="78" spans="1:21" s="1" customFormat="1" x14ac:dyDescent="0.25">
      <c r="A78" s="2"/>
      <c r="B78" s="2"/>
      <c r="C78" s="2"/>
      <c r="D78" s="2"/>
      <c r="E78" s="2"/>
      <c r="F78" s="2"/>
      <c r="G78"/>
      <c r="H78"/>
      <c r="I78"/>
      <c r="J78"/>
      <c r="K78"/>
      <c r="L78"/>
      <c r="N78"/>
      <c r="O78"/>
      <c r="P78"/>
      <c r="Q78"/>
      <c r="R78"/>
      <c r="S78"/>
      <c r="T78"/>
      <c r="U78"/>
    </row>
    <row r="79" spans="1:21" s="1" customFormat="1" x14ac:dyDescent="0.25">
      <c r="A79" s="2"/>
      <c r="B79" s="2"/>
      <c r="C79" s="2"/>
      <c r="D79" s="2"/>
      <c r="E79" s="2"/>
      <c r="F79" s="2"/>
      <c r="G79"/>
      <c r="H79"/>
      <c r="I79"/>
      <c r="J79"/>
      <c r="K79"/>
      <c r="L79"/>
      <c r="N79"/>
      <c r="O79"/>
      <c r="P79"/>
      <c r="Q79"/>
      <c r="R79"/>
      <c r="S79"/>
      <c r="T79"/>
      <c r="U79"/>
    </row>
    <row r="80" spans="1:21" s="1" customFormat="1" x14ac:dyDescent="0.25">
      <c r="A80" s="2"/>
      <c r="B80" s="2"/>
      <c r="C80" s="2"/>
      <c r="D80" s="2"/>
      <c r="E80" s="2"/>
      <c r="F80"/>
      <c r="G80"/>
      <c r="H80"/>
      <c r="I80"/>
      <c r="J80"/>
      <c r="K80"/>
      <c r="L80"/>
      <c r="N80"/>
      <c r="O80"/>
      <c r="P80"/>
      <c r="Q80"/>
      <c r="R80"/>
      <c r="S80"/>
      <c r="T80"/>
      <c r="U80"/>
    </row>
    <row r="81" spans="1:25" s="1" customFormat="1" x14ac:dyDescent="0.25">
      <c r="A81" s="2"/>
      <c r="B81" s="2"/>
      <c r="C81" s="2"/>
      <c r="D81" s="2"/>
      <c r="E81" s="2"/>
      <c r="F81"/>
      <c r="G81"/>
      <c r="H81"/>
      <c r="I81"/>
      <c r="J81"/>
      <c r="K81"/>
      <c r="L81"/>
      <c r="M81"/>
      <c r="N81"/>
      <c r="O81"/>
      <c r="P81"/>
      <c r="Q81"/>
      <c r="R81"/>
      <c r="S81"/>
      <c r="T81"/>
      <c r="U81"/>
    </row>
    <row r="82" spans="1:25" s="1" customFormat="1" x14ac:dyDescent="0.25">
      <c r="A82" s="2"/>
      <c r="B82" s="2"/>
      <c r="C82" s="2"/>
      <c r="D82" s="2"/>
      <c r="E82" s="2"/>
      <c r="F82"/>
      <c r="G82"/>
      <c r="H82"/>
      <c r="I82"/>
      <c r="J82"/>
      <c r="K82"/>
      <c r="L82"/>
      <c r="M82"/>
      <c r="N82"/>
      <c r="O82"/>
      <c r="P82"/>
      <c r="Q82"/>
      <c r="R82"/>
      <c r="S82"/>
      <c r="T82"/>
      <c r="U82"/>
    </row>
    <row r="83" spans="1:25" s="1" customFormat="1" x14ac:dyDescent="0.25">
      <c r="A83" s="2"/>
      <c r="B83" s="2"/>
      <c r="C83" s="2"/>
      <c r="D83" s="2"/>
      <c r="E83" s="2"/>
      <c r="F83"/>
      <c r="G83"/>
      <c r="H83"/>
      <c r="I83"/>
      <c r="J83"/>
      <c r="K83"/>
      <c r="L83"/>
      <c r="M83"/>
      <c r="N83"/>
      <c r="O83"/>
      <c r="P83"/>
      <c r="Q83"/>
      <c r="R83"/>
      <c r="S83"/>
      <c r="T83"/>
      <c r="U83"/>
    </row>
    <row r="84" spans="1:25" s="1" customFormat="1" x14ac:dyDescent="0.25">
      <c r="A84" s="2"/>
      <c r="B84" s="2"/>
      <c r="C84" s="2"/>
      <c r="D84" s="2"/>
      <c r="E84" s="2"/>
      <c r="F84"/>
      <c r="G84"/>
      <c r="H84"/>
      <c r="I84"/>
      <c r="J84"/>
      <c r="K84"/>
      <c r="L84"/>
      <c r="M84"/>
      <c r="N84"/>
      <c r="O84"/>
      <c r="P84"/>
      <c r="Q84"/>
      <c r="R84"/>
      <c r="S84"/>
      <c r="T84"/>
      <c r="U84"/>
    </row>
    <row r="85" spans="1:25" s="1" customFormat="1" x14ac:dyDescent="0.25">
      <c r="A85" s="2"/>
      <c r="B85" s="2"/>
      <c r="C85" s="2"/>
      <c r="D85" s="2"/>
      <c r="E85" s="2"/>
      <c r="F85"/>
      <c r="G85"/>
      <c r="H85"/>
      <c r="I85"/>
      <c r="J85"/>
      <c r="K85"/>
      <c r="L85"/>
      <c r="M85"/>
      <c r="N85"/>
      <c r="O85"/>
      <c r="P85"/>
      <c r="Q85"/>
      <c r="R85"/>
      <c r="S85"/>
      <c r="T85"/>
      <c r="U85"/>
    </row>
    <row r="86" spans="1:25" s="1" customFormat="1" x14ac:dyDescent="0.25">
      <c r="A86" s="2"/>
      <c r="B86" s="2"/>
      <c r="C86" s="2"/>
      <c r="D86" s="2"/>
      <c r="E86" s="2"/>
      <c r="F86"/>
      <c r="G86"/>
      <c r="H86"/>
      <c r="I86"/>
      <c r="J86"/>
      <c r="K86"/>
      <c r="L86"/>
      <c r="M86"/>
      <c r="N86"/>
      <c r="O86"/>
      <c r="P86"/>
      <c r="Q86"/>
      <c r="R86"/>
      <c r="S86"/>
      <c r="T86"/>
      <c r="U86"/>
    </row>
    <row r="87" spans="1:25" s="1" customFormat="1" x14ac:dyDescent="0.25">
      <c r="A87" s="2"/>
      <c r="B87" s="2"/>
      <c r="C87" s="2"/>
      <c r="D87" s="2"/>
      <c r="E87" s="2"/>
      <c r="F87"/>
      <c r="G87"/>
      <c r="H87"/>
      <c r="I87"/>
      <c r="J87"/>
      <c r="K87"/>
      <c r="L87"/>
      <c r="M87"/>
      <c r="N87"/>
      <c r="O87"/>
      <c r="P87"/>
      <c r="Q87"/>
      <c r="R87"/>
      <c r="S87"/>
      <c r="T87"/>
      <c r="U87"/>
    </row>
    <row r="88" spans="1:25" s="1" customFormat="1" x14ac:dyDescent="0.25">
      <c r="A88" s="2"/>
      <c r="B88" s="2"/>
      <c r="C88" s="2"/>
      <c r="D88" s="2"/>
      <c r="E88" s="2"/>
      <c r="F88"/>
      <c r="G88"/>
      <c r="H88"/>
      <c r="I88"/>
      <c r="J88"/>
      <c r="K88"/>
      <c r="L88"/>
      <c r="M88"/>
      <c r="N88"/>
      <c r="O88"/>
      <c r="P88"/>
      <c r="Q88"/>
      <c r="R88"/>
      <c r="S88"/>
      <c r="T88"/>
      <c r="U88"/>
      <c r="V88"/>
    </row>
    <row r="89" spans="1:25" s="1" customFormat="1" x14ac:dyDescent="0.25">
      <c r="A89" s="2"/>
      <c r="B89" s="2"/>
      <c r="C89" s="2"/>
      <c r="D89" s="2"/>
      <c r="E89" s="2"/>
      <c r="F89"/>
      <c r="G89"/>
      <c r="H89"/>
      <c r="I89"/>
      <c r="J89"/>
      <c r="K89"/>
      <c r="L89"/>
      <c r="M89"/>
      <c r="N89"/>
      <c r="O89"/>
      <c r="P89"/>
      <c r="Q89"/>
      <c r="R89"/>
      <c r="S89"/>
      <c r="T89"/>
      <c r="U89"/>
      <c r="V89"/>
      <c r="W89"/>
      <c r="X89"/>
      <c r="Y89"/>
    </row>
    <row r="90" spans="1:25" s="1" customFormat="1" x14ac:dyDescent="0.25">
      <c r="A90" s="2"/>
      <c r="B90" s="2"/>
      <c r="C90" s="2"/>
      <c r="D90" s="2"/>
      <c r="E90" s="2"/>
      <c r="F90"/>
      <c r="G90"/>
      <c r="H90"/>
      <c r="I90"/>
      <c r="J90"/>
      <c r="K90"/>
      <c r="L90"/>
      <c r="M90"/>
      <c r="N90"/>
      <c r="O90"/>
      <c r="P90"/>
      <c r="Q90"/>
      <c r="R90"/>
      <c r="S90"/>
      <c r="T90"/>
      <c r="U90"/>
      <c r="V90"/>
      <c r="W90"/>
      <c r="X90"/>
      <c r="Y90"/>
    </row>
    <row r="91" spans="1:25" s="1" customFormat="1" x14ac:dyDescent="0.25">
      <c r="A91" s="2"/>
      <c r="B91" s="2"/>
      <c r="C91" s="2"/>
      <c r="D91" s="2"/>
      <c r="E91" s="2"/>
      <c r="F91"/>
      <c r="G91"/>
      <c r="H91"/>
      <c r="I91"/>
      <c r="J91"/>
      <c r="K91"/>
      <c r="L91"/>
      <c r="M91"/>
      <c r="N91"/>
      <c r="O91"/>
      <c r="P91"/>
      <c r="Q91"/>
      <c r="R91"/>
      <c r="S91"/>
      <c r="T91"/>
      <c r="U91"/>
      <c r="V91"/>
      <c r="W91"/>
      <c r="X91"/>
      <c r="Y91"/>
    </row>
    <row r="92" spans="1:25" s="1" customFormat="1" x14ac:dyDescent="0.25">
      <c r="A92" s="2"/>
      <c r="B92" s="2"/>
      <c r="C92" s="2"/>
      <c r="D92" s="2"/>
      <c r="E92" s="2"/>
      <c r="F92"/>
      <c r="G92"/>
      <c r="H92"/>
      <c r="I92"/>
      <c r="J92"/>
      <c r="K92"/>
      <c r="L92"/>
      <c r="M92"/>
      <c r="N92"/>
      <c r="O92"/>
      <c r="P92"/>
      <c r="Q92"/>
      <c r="R92"/>
      <c r="S92"/>
      <c r="T92"/>
      <c r="U92"/>
      <c r="V92"/>
      <c r="W92"/>
      <c r="X92"/>
      <c r="Y92"/>
    </row>
    <row r="93" spans="1:25" s="1" customFormat="1" x14ac:dyDescent="0.25">
      <c r="A93" s="2"/>
      <c r="B93" s="2"/>
      <c r="C93" s="2"/>
      <c r="D93" s="2"/>
      <c r="E93" s="2"/>
      <c r="F93"/>
      <c r="G93"/>
      <c r="H93"/>
      <c r="I93"/>
      <c r="J93"/>
      <c r="K93"/>
      <c r="L93"/>
      <c r="M93"/>
      <c r="N93"/>
      <c r="O93"/>
      <c r="P93"/>
      <c r="Q93"/>
      <c r="R93"/>
      <c r="S93"/>
      <c r="T93"/>
      <c r="U93"/>
      <c r="V93"/>
      <c r="W93"/>
      <c r="X93"/>
      <c r="Y93"/>
    </row>
    <row r="94" spans="1:25" s="1" customFormat="1" x14ac:dyDescent="0.25">
      <c r="A94" s="2"/>
      <c r="B94" s="2"/>
      <c r="C94" s="2"/>
      <c r="D94" s="2"/>
      <c r="E94" s="2"/>
      <c r="F94"/>
      <c r="G94"/>
      <c r="H94"/>
      <c r="I94"/>
      <c r="J94"/>
      <c r="K94"/>
      <c r="L94"/>
      <c r="M94"/>
      <c r="N94"/>
      <c r="O94"/>
      <c r="P94"/>
      <c r="Q94"/>
      <c r="R94"/>
      <c r="S94"/>
      <c r="T94"/>
      <c r="U94"/>
      <c r="V94"/>
      <c r="W94"/>
      <c r="X94"/>
      <c r="Y94"/>
    </row>
    <row r="95" spans="1:25" s="1" customFormat="1" x14ac:dyDescent="0.25">
      <c r="A95" s="2"/>
      <c r="B95" s="2"/>
      <c r="C95" s="2"/>
      <c r="D95" s="2"/>
      <c r="E95" s="2"/>
      <c r="F95"/>
      <c r="G95"/>
      <c r="H95"/>
      <c r="I95"/>
      <c r="J95"/>
      <c r="K95"/>
      <c r="L95"/>
      <c r="M95"/>
      <c r="N95"/>
      <c r="O95"/>
      <c r="P95"/>
      <c r="Q95"/>
      <c r="R95"/>
      <c r="S95"/>
      <c r="T95"/>
      <c r="U95"/>
      <c r="V95"/>
      <c r="W95"/>
      <c r="X95"/>
      <c r="Y95"/>
    </row>
    <row r="96" spans="1:25" s="1" customFormat="1" x14ac:dyDescent="0.25">
      <c r="A96" s="2"/>
      <c r="B96" s="2"/>
      <c r="C96" s="2"/>
      <c r="D96" s="2"/>
      <c r="E96" s="2"/>
      <c r="F96"/>
      <c r="G96"/>
      <c r="H96"/>
      <c r="I96"/>
      <c r="J96"/>
      <c r="K96"/>
      <c r="L96"/>
      <c r="M96"/>
      <c r="N96"/>
      <c r="O96"/>
      <c r="P96"/>
      <c r="Q96"/>
      <c r="R96"/>
      <c r="S96"/>
      <c r="T96"/>
      <c r="U96"/>
      <c r="V96"/>
      <c r="W96"/>
      <c r="X96"/>
      <c r="Y96"/>
    </row>
    <row r="97" spans="1:25" s="1" customFormat="1" x14ac:dyDescent="0.25">
      <c r="A97" s="2"/>
      <c r="B97" s="2"/>
      <c r="C97" s="2"/>
      <c r="D97" s="2"/>
      <c r="E97"/>
      <c r="F97"/>
      <c r="G97"/>
      <c r="H97"/>
      <c r="I97"/>
      <c r="J97"/>
      <c r="K97"/>
      <c r="L97"/>
      <c r="M97"/>
      <c r="N97"/>
      <c r="O97"/>
      <c r="P97"/>
      <c r="Q97"/>
      <c r="R97"/>
      <c r="S97"/>
      <c r="T97"/>
      <c r="U97"/>
      <c r="V97"/>
      <c r="W97"/>
      <c r="X97"/>
      <c r="Y97"/>
    </row>
    <row r="98" spans="1:25" s="1" customFormat="1" x14ac:dyDescent="0.25">
      <c r="A98" s="2"/>
      <c r="B98" s="2"/>
      <c r="C98" s="2"/>
      <c r="D98" s="2"/>
      <c r="E98"/>
      <c r="F98"/>
      <c r="G98"/>
      <c r="H98"/>
      <c r="I98"/>
      <c r="J98"/>
      <c r="K98"/>
      <c r="L98"/>
      <c r="M98"/>
      <c r="N98"/>
      <c r="O98"/>
      <c r="P98"/>
      <c r="Q98"/>
      <c r="R98"/>
      <c r="S98"/>
      <c r="T98"/>
      <c r="U98"/>
      <c r="V98"/>
      <c r="W98"/>
      <c r="X98"/>
      <c r="Y98"/>
    </row>
    <row r="99" spans="1:25" s="1" customFormat="1" x14ac:dyDescent="0.25">
      <c r="A99" s="2"/>
      <c r="B99" s="2"/>
      <c r="C99" s="2"/>
      <c r="D99" s="2"/>
      <c r="E99"/>
      <c r="F99"/>
      <c r="G99"/>
      <c r="H99"/>
      <c r="I99"/>
      <c r="J99"/>
      <c r="K99"/>
      <c r="L99"/>
      <c r="M99"/>
      <c r="N99"/>
      <c r="O99"/>
      <c r="P99"/>
      <c r="Q99"/>
      <c r="R99"/>
      <c r="S99"/>
      <c r="T99"/>
      <c r="U99"/>
      <c r="V99"/>
      <c r="W99"/>
      <c r="X99"/>
      <c r="Y99"/>
    </row>
    <row r="100" spans="1:25" s="1" customFormat="1" x14ac:dyDescent="0.25">
      <c r="A100" s="2"/>
      <c r="B100" s="2"/>
      <c r="C100" s="2"/>
      <c r="D100" s="2"/>
      <c r="E100"/>
      <c r="F100"/>
      <c r="G100"/>
      <c r="H100"/>
      <c r="I100"/>
      <c r="J100"/>
      <c r="K100"/>
      <c r="L100"/>
      <c r="M100"/>
      <c r="N100"/>
      <c r="O100"/>
      <c r="P100"/>
      <c r="Q100"/>
      <c r="R100"/>
      <c r="S100"/>
      <c r="T100"/>
      <c r="U100"/>
      <c r="V100"/>
      <c r="W100"/>
      <c r="X100"/>
      <c r="Y100"/>
    </row>
    <row r="101" spans="1:25" s="1" customFormat="1" x14ac:dyDescent="0.25">
      <c r="A101"/>
      <c r="B101"/>
      <c r="C101"/>
      <c r="D101"/>
      <c r="E101"/>
      <c r="F101"/>
      <c r="G101"/>
      <c r="H101"/>
      <c r="I101"/>
      <c r="J101"/>
      <c r="K101"/>
      <c r="L101"/>
      <c r="M101"/>
      <c r="N101"/>
      <c r="O101"/>
      <c r="P101"/>
      <c r="Q101"/>
      <c r="R101"/>
      <c r="S101"/>
      <c r="T101"/>
      <c r="U101"/>
      <c r="V101"/>
      <c r="W101"/>
      <c r="X101"/>
      <c r="Y101"/>
    </row>
    <row r="102" spans="1:25" s="1" customFormat="1" x14ac:dyDescent="0.25">
      <c r="A102"/>
      <c r="B102"/>
      <c r="C102"/>
      <c r="D102"/>
      <c r="E102"/>
      <c r="F102"/>
      <c r="G102"/>
      <c r="H102"/>
      <c r="I102"/>
      <c r="J102"/>
      <c r="K102"/>
      <c r="L102"/>
      <c r="M102"/>
      <c r="N102"/>
      <c r="O102"/>
      <c r="P102"/>
      <c r="Q102"/>
      <c r="R102"/>
      <c r="S102"/>
      <c r="T102"/>
      <c r="U102"/>
      <c r="V102"/>
      <c r="W102"/>
      <c r="X102"/>
      <c r="Y102"/>
    </row>
    <row r="103" spans="1:25" s="1" customFormat="1" x14ac:dyDescent="0.25">
      <c r="A103"/>
      <c r="B103"/>
      <c r="C103"/>
      <c r="D103"/>
      <c r="E103"/>
      <c r="F103"/>
      <c r="G103"/>
      <c r="H103"/>
      <c r="I103"/>
      <c r="J103"/>
      <c r="K103"/>
      <c r="L103"/>
      <c r="M103"/>
      <c r="N103"/>
      <c r="O103"/>
      <c r="P103"/>
      <c r="Q103"/>
      <c r="R103"/>
      <c r="S103"/>
      <c r="T103"/>
      <c r="U103"/>
      <c r="V103"/>
      <c r="W103"/>
      <c r="X103"/>
      <c r="Y103"/>
    </row>
    <row r="104" spans="1:25" s="1" customFormat="1" x14ac:dyDescent="0.25">
      <c r="A104"/>
      <c r="B104"/>
      <c r="C104"/>
      <c r="D104"/>
      <c r="E104"/>
      <c r="F104"/>
      <c r="G104"/>
      <c r="H104"/>
      <c r="I104"/>
      <c r="J104"/>
      <c r="K104"/>
      <c r="L104"/>
      <c r="M104"/>
      <c r="N104"/>
      <c r="O104"/>
      <c r="P104"/>
      <c r="Q104"/>
      <c r="R104"/>
      <c r="S104"/>
      <c r="T104"/>
      <c r="U104"/>
      <c r="V104"/>
      <c r="W104"/>
      <c r="X104"/>
      <c r="Y104"/>
    </row>
    <row r="105" spans="1:25" s="1" customFormat="1" x14ac:dyDescent="0.25">
      <c r="A105"/>
      <c r="B105"/>
      <c r="C105"/>
      <c r="D105"/>
      <c r="E105"/>
      <c r="F105"/>
      <c r="G105"/>
      <c r="H105"/>
      <c r="I105"/>
      <c r="J105"/>
      <c r="K105"/>
      <c r="L105"/>
      <c r="M105"/>
      <c r="N105"/>
      <c r="O105"/>
      <c r="P105"/>
      <c r="Q105"/>
      <c r="R105"/>
      <c r="S105"/>
      <c r="T105"/>
      <c r="U105"/>
      <c r="V105"/>
      <c r="W105"/>
      <c r="X105"/>
      <c r="Y105"/>
    </row>
    <row r="106" spans="1:25" s="1" customFormat="1" x14ac:dyDescent="0.25">
      <c r="A106"/>
      <c r="B106"/>
      <c r="C106"/>
      <c r="D106"/>
      <c r="E106"/>
      <c r="F106"/>
      <c r="G106"/>
      <c r="H106"/>
      <c r="I106"/>
      <c r="J106"/>
      <c r="K106"/>
      <c r="L106"/>
      <c r="M106"/>
      <c r="N106"/>
      <c r="O106"/>
      <c r="P106"/>
      <c r="Q106"/>
      <c r="R106"/>
      <c r="S106"/>
      <c r="T106"/>
      <c r="U106"/>
      <c r="V106"/>
      <c r="W106"/>
      <c r="X106"/>
      <c r="Y106"/>
    </row>
    <row r="107" spans="1:25" s="1" customFormat="1" x14ac:dyDescent="0.25">
      <c r="A107"/>
      <c r="B107"/>
      <c r="C107"/>
      <c r="D107"/>
      <c r="E107"/>
      <c r="F107"/>
      <c r="G107"/>
      <c r="H107"/>
      <c r="I107"/>
      <c r="J107"/>
      <c r="K107"/>
      <c r="L107"/>
      <c r="M107"/>
      <c r="N107"/>
      <c r="O107"/>
      <c r="P107"/>
      <c r="Q107"/>
      <c r="R107"/>
      <c r="S107"/>
      <c r="T107"/>
      <c r="U107"/>
      <c r="V107"/>
      <c r="W107"/>
      <c r="X107"/>
      <c r="Y107"/>
    </row>
    <row r="108" spans="1:25" s="1" customFormat="1" x14ac:dyDescent="0.25">
      <c r="A108"/>
      <c r="B108"/>
      <c r="C108"/>
      <c r="D108"/>
      <c r="E108"/>
      <c r="F108"/>
      <c r="G108"/>
      <c r="H108"/>
      <c r="I108"/>
      <c r="J108"/>
      <c r="K108"/>
      <c r="L108"/>
      <c r="M108"/>
      <c r="N108"/>
      <c r="O108"/>
      <c r="P108"/>
      <c r="Q108"/>
      <c r="R108"/>
      <c r="S108"/>
      <c r="T108"/>
      <c r="U108"/>
      <c r="V108"/>
      <c r="W108"/>
      <c r="X108"/>
      <c r="Y108"/>
    </row>
    <row r="109" spans="1:25" s="1" customFormat="1" x14ac:dyDescent="0.25">
      <c r="A109"/>
      <c r="B109"/>
      <c r="C109"/>
      <c r="D109"/>
      <c r="E109"/>
      <c r="F109"/>
      <c r="G109"/>
      <c r="H109"/>
      <c r="I109"/>
      <c r="J109"/>
      <c r="K109"/>
      <c r="L109"/>
      <c r="M109"/>
      <c r="N109"/>
      <c r="O109"/>
      <c r="P109"/>
      <c r="Q109"/>
      <c r="R109"/>
      <c r="S109"/>
      <c r="T109"/>
      <c r="U109"/>
      <c r="V109"/>
      <c r="W109"/>
      <c r="X109"/>
      <c r="Y109"/>
    </row>
    <row r="110" spans="1:25" s="1" customFormat="1" x14ac:dyDescent="0.25">
      <c r="A110"/>
      <c r="B110"/>
      <c r="C110"/>
      <c r="D110"/>
      <c r="E110"/>
      <c r="F110"/>
      <c r="G110"/>
      <c r="H110"/>
      <c r="I110"/>
      <c r="J110"/>
      <c r="K110"/>
      <c r="L110"/>
      <c r="M110"/>
      <c r="N110"/>
      <c r="O110"/>
      <c r="P110"/>
      <c r="Q110"/>
      <c r="R110"/>
      <c r="S110"/>
      <c r="T110"/>
      <c r="U110"/>
      <c r="V110"/>
      <c r="W110"/>
      <c r="X110"/>
      <c r="Y110"/>
    </row>
    <row r="111" spans="1:25" s="1" customFormat="1" x14ac:dyDescent="0.25">
      <c r="A111"/>
      <c r="B111"/>
      <c r="C111"/>
      <c r="D111"/>
      <c r="E111"/>
      <c r="F111"/>
      <c r="G111"/>
      <c r="H111"/>
      <c r="I111"/>
      <c r="J111"/>
      <c r="K111"/>
      <c r="L111"/>
      <c r="M111"/>
      <c r="N111"/>
      <c r="O111"/>
      <c r="P111"/>
      <c r="Q111"/>
      <c r="R111"/>
      <c r="S111"/>
      <c r="T111"/>
      <c r="U111"/>
      <c r="V111"/>
      <c r="W111"/>
      <c r="X111"/>
      <c r="Y111"/>
    </row>
    <row r="112" spans="1:25" s="1" customFormat="1" x14ac:dyDescent="0.25">
      <c r="A112"/>
      <c r="B112"/>
      <c r="C112"/>
      <c r="D112"/>
      <c r="E112"/>
      <c r="F112"/>
      <c r="G112"/>
      <c r="H112"/>
      <c r="I112"/>
      <c r="J112"/>
      <c r="K112"/>
      <c r="L112"/>
      <c r="M112"/>
      <c r="N112"/>
      <c r="O112"/>
      <c r="P112"/>
      <c r="Q112"/>
      <c r="R112"/>
      <c r="S112"/>
      <c r="T112"/>
      <c r="U112"/>
      <c r="V112"/>
      <c r="W112"/>
      <c r="X112"/>
      <c r="Y112"/>
    </row>
    <row r="113" spans="1:25" s="1" customFormat="1" x14ac:dyDescent="0.25">
      <c r="A113"/>
      <c r="B113"/>
      <c r="C113"/>
      <c r="D113"/>
      <c r="E113"/>
      <c r="F113"/>
      <c r="G113"/>
      <c r="H113"/>
      <c r="I113"/>
      <c r="J113"/>
      <c r="K113"/>
      <c r="L113"/>
      <c r="M113"/>
      <c r="N113"/>
      <c r="O113"/>
      <c r="P113"/>
      <c r="Q113"/>
      <c r="R113"/>
      <c r="S113"/>
      <c r="T113"/>
      <c r="U113"/>
      <c r="V113"/>
      <c r="W113"/>
      <c r="X113"/>
      <c r="Y113"/>
    </row>
    <row r="114" spans="1:25" s="1" customFormat="1" x14ac:dyDescent="0.25">
      <c r="A114"/>
      <c r="B114"/>
      <c r="C114"/>
      <c r="D114"/>
      <c r="E114"/>
      <c r="F114"/>
      <c r="G114"/>
      <c r="H114"/>
      <c r="I114"/>
      <c r="J114"/>
      <c r="K114"/>
      <c r="L114"/>
      <c r="M114"/>
      <c r="N114"/>
      <c r="O114"/>
      <c r="P114"/>
      <c r="Q114"/>
      <c r="R114"/>
      <c r="S114"/>
      <c r="T114"/>
      <c r="U114"/>
      <c r="V114"/>
      <c r="W114"/>
      <c r="X114"/>
      <c r="Y114"/>
    </row>
    <row r="115" spans="1:25" s="1" customFormat="1" x14ac:dyDescent="0.25">
      <c r="A115"/>
      <c r="B115"/>
      <c r="C115"/>
      <c r="D115"/>
      <c r="E115"/>
      <c r="F115"/>
      <c r="G115"/>
      <c r="H115"/>
      <c r="I115"/>
      <c r="J115"/>
      <c r="K115"/>
      <c r="L115"/>
      <c r="M115"/>
      <c r="N115"/>
      <c r="O115"/>
      <c r="P115"/>
      <c r="Q115"/>
      <c r="R115"/>
      <c r="S115"/>
      <c r="T115"/>
      <c r="U115"/>
      <c r="V115"/>
      <c r="W115"/>
      <c r="X115"/>
      <c r="Y115"/>
    </row>
    <row r="116" spans="1:25" s="1" customFormat="1" x14ac:dyDescent="0.25">
      <c r="A116"/>
      <c r="B116"/>
      <c r="C116"/>
      <c r="D116"/>
      <c r="E116"/>
      <c r="F116"/>
      <c r="G116"/>
      <c r="H116"/>
      <c r="I116"/>
      <c r="J116"/>
      <c r="K116"/>
      <c r="L116"/>
      <c r="M116"/>
      <c r="N116"/>
      <c r="O116"/>
      <c r="P116"/>
      <c r="Q116"/>
      <c r="R116"/>
      <c r="S116"/>
      <c r="T116"/>
      <c r="U116"/>
      <c r="V116"/>
      <c r="W116"/>
      <c r="X116"/>
      <c r="Y116"/>
    </row>
    <row r="117" spans="1:25" s="1" customFormat="1" x14ac:dyDescent="0.25">
      <c r="A117"/>
      <c r="B117"/>
      <c r="C117"/>
      <c r="D117"/>
      <c r="E117"/>
      <c r="F117"/>
      <c r="G117"/>
      <c r="H117"/>
      <c r="I117"/>
      <c r="J117"/>
      <c r="K117"/>
      <c r="L117"/>
      <c r="M117"/>
      <c r="N117"/>
      <c r="O117"/>
      <c r="P117"/>
      <c r="Q117"/>
      <c r="R117"/>
      <c r="S117"/>
      <c r="T117"/>
      <c r="U117"/>
      <c r="V117"/>
      <c r="W117"/>
      <c r="X117"/>
      <c r="Y117"/>
    </row>
    <row r="118" spans="1:25" s="1" customFormat="1" x14ac:dyDescent="0.25">
      <c r="A118"/>
      <c r="B118"/>
      <c r="C118"/>
      <c r="D118"/>
      <c r="E118"/>
      <c r="F118"/>
      <c r="G118"/>
      <c r="H118"/>
      <c r="I118"/>
      <c r="J118"/>
      <c r="K118"/>
      <c r="L118"/>
      <c r="M118"/>
      <c r="N118"/>
      <c r="O118"/>
      <c r="P118"/>
      <c r="Q118"/>
      <c r="R118"/>
      <c r="S118"/>
      <c r="T118"/>
      <c r="U118"/>
      <c r="V118"/>
      <c r="W118"/>
      <c r="X118"/>
      <c r="Y118"/>
    </row>
    <row r="119" spans="1:25" s="1" customFormat="1" x14ac:dyDescent="0.25">
      <c r="A119"/>
      <c r="B119"/>
      <c r="C119"/>
      <c r="D119"/>
      <c r="E119"/>
      <c r="F119"/>
      <c r="G119"/>
      <c r="H119"/>
      <c r="I119"/>
      <c r="J119"/>
      <c r="K119"/>
      <c r="L119"/>
      <c r="M119"/>
      <c r="N119"/>
      <c r="O119"/>
      <c r="P119"/>
      <c r="Q119"/>
      <c r="R119"/>
      <c r="S119"/>
      <c r="T119"/>
      <c r="U119"/>
      <c r="V119"/>
      <c r="W119"/>
      <c r="X119"/>
      <c r="Y119"/>
    </row>
    <row r="120" spans="1:25" s="1" customFormat="1" x14ac:dyDescent="0.25">
      <c r="A120"/>
      <c r="B120"/>
      <c r="C120"/>
      <c r="D120"/>
      <c r="E120"/>
      <c r="F120"/>
      <c r="G120"/>
      <c r="H120"/>
      <c r="I120"/>
      <c r="J120"/>
      <c r="K120"/>
      <c r="L120"/>
      <c r="M120"/>
      <c r="N120"/>
      <c r="O120"/>
      <c r="P120"/>
      <c r="Q120"/>
      <c r="R120"/>
      <c r="S120"/>
      <c r="T120"/>
      <c r="U120"/>
      <c r="V120"/>
      <c r="W120"/>
      <c r="X120"/>
      <c r="Y120"/>
    </row>
  </sheetData>
  <mergeCells count="127">
    <mergeCell ref="D75:L75"/>
    <mergeCell ref="I52:M52"/>
    <mergeCell ref="I53:M53"/>
    <mergeCell ref="I54:M54"/>
    <mergeCell ref="I55:M55"/>
    <mergeCell ref="I56:M56"/>
    <mergeCell ref="D60:L60"/>
    <mergeCell ref="D61:L61"/>
    <mergeCell ref="D62:L62"/>
    <mergeCell ref="D72:L72"/>
    <mergeCell ref="D73:L73"/>
    <mergeCell ref="D74:L74"/>
    <mergeCell ref="D69:L69"/>
    <mergeCell ref="D70:L70"/>
    <mergeCell ref="D71:L71"/>
    <mergeCell ref="D66:L66"/>
    <mergeCell ref="D67:L67"/>
    <mergeCell ref="D68:L68"/>
    <mergeCell ref="D63:L63"/>
    <mergeCell ref="D64:L64"/>
    <mergeCell ref="D65:L65"/>
    <mergeCell ref="F55:H55"/>
    <mergeCell ref="F56:H56"/>
    <mergeCell ref="A58:B58"/>
    <mergeCell ref="D59:L59"/>
    <mergeCell ref="C53:D53"/>
    <mergeCell ref="F53:H53"/>
    <mergeCell ref="F54:H54"/>
    <mergeCell ref="F51:N51"/>
    <mergeCell ref="C52:D52"/>
    <mergeCell ref="F52:H52"/>
    <mergeCell ref="C50:D50"/>
    <mergeCell ref="C51:D51"/>
    <mergeCell ref="C48:D48"/>
    <mergeCell ref="F48:M48"/>
    <mergeCell ref="Q48:X48"/>
    <mergeCell ref="C49:D49"/>
    <mergeCell ref="F49:M49"/>
    <mergeCell ref="Q49:X49"/>
    <mergeCell ref="C46:D46"/>
    <mergeCell ref="F46:M46"/>
    <mergeCell ref="Q46:X46"/>
    <mergeCell ref="C47:D47"/>
    <mergeCell ref="F47:M47"/>
    <mergeCell ref="Q47:X47"/>
    <mergeCell ref="N44:P44"/>
    <mergeCell ref="Q44:X45"/>
    <mergeCell ref="Y44:Y45"/>
    <mergeCell ref="C45:D45"/>
    <mergeCell ref="A43:B43"/>
    <mergeCell ref="F43:M43"/>
    <mergeCell ref="C44:D44"/>
    <mergeCell ref="F44:M45"/>
    <mergeCell ref="A40:M40"/>
    <mergeCell ref="Q40:X40"/>
    <mergeCell ref="A41:M41"/>
    <mergeCell ref="Q41:X41"/>
    <mergeCell ref="A42:M42"/>
    <mergeCell ref="Q42:Y42"/>
    <mergeCell ref="A36:M36"/>
    <mergeCell ref="P36:X36"/>
    <mergeCell ref="A37:Y37"/>
    <mergeCell ref="A38:M38"/>
    <mergeCell ref="Q38:X38"/>
    <mergeCell ref="A39:M39"/>
    <mergeCell ref="Q39:X39"/>
    <mergeCell ref="A33:M33"/>
    <mergeCell ref="P33:X33"/>
    <mergeCell ref="A34:M34"/>
    <mergeCell ref="P34:X34"/>
    <mergeCell ref="A35:M35"/>
    <mergeCell ref="P35:X35"/>
    <mergeCell ref="A30:M30"/>
    <mergeCell ref="P30:X30"/>
    <mergeCell ref="A31:M31"/>
    <mergeCell ref="P31:X31"/>
    <mergeCell ref="A32:M32"/>
    <mergeCell ref="P32:X32"/>
    <mergeCell ref="A26:M26"/>
    <mergeCell ref="P26:X26"/>
    <mergeCell ref="A27:M27"/>
    <mergeCell ref="P27:X27"/>
    <mergeCell ref="A28:Y28"/>
    <mergeCell ref="A29:M29"/>
    <mergeCell ref="P29:X29"/>
    <mergeCell ref="A23:M23"/>
    <mergeCell ref="P23:X23"/>
    <mergeCell ref="A24:M24"/>
    <mergeCell ref="P24:X24"/>
    <mergeCell ref="A25:M25"/>
    <mergeCell ref="P25:X25"/>
    <mergeCell ref="A19:M19"/>
    <mergeCell ref="A20:M20"/>
    <mergeCell ref="P20:X20"/>
    <mergeCell ref="A21:M21"/>
    <mergeCell ref="P21:X21"/>
    <mergeCell ref="A22:M22"/>
    <mergeCell ref="P22:X22"/>
    <mergeCell ref="A16:M16"/>
    <mergeCell ref="A17:M17"/>
    <mergeCell ref="P17:X17"/>
    <mergeCell ref="A18:Y18"/>
    <mergeCell ref="A12:M12"/>
    <mergeCell ref="P12:X12"/>
    <mergeCell ref="A13:M13"/>
    <mergeCell ref="P13:X13"/>
    <mergeCell ref="A14:M14"/>
    <mergeCell ref="P14:X14"/>
    <mergeCell ref="A11:M11"/>
    <mergeCell ref="P11:X11"/>
    <mergeCell ref="A6:M6"/>
    <mergeCell ref="P6:X6"/>
    <mergeCell ref="A7:M7"/>
    <mergeCell ref="P7:X7"/>
    <mergeCell ref="A8:M8"/>
    <mergeCell ref="P8:X8"/>
    <mergeCell ref="A15:M15"/>
    <mergeCell ref="P15:X15"/>
    <mergeCell ref="B2:Y2"/>
    <mergeCell ref="A3:Y3"/>
    <mergeCell ref="A4:M4"/>
    <mergeCell ref="A5:M5"/>
    <mergeCell ref="P5:X5"/>
    <mergeCell ref="A9:M9"/>
    <mergeCell ref="P9:X9"/>
    <mergeCell ref="A10:M10"/>
    <mergeCell ref="P10:X10"/>
  </mergeCells>
  <dataValidations count="1">
    <dataValidation showInputMessage="1" showErrorMessage="1" sqref="C60:C75" xr:uid="{14F070D1-E129-4FCB-A45D-40471DC03623}"/>
  </dataValidations>
  <printOptions horizontalCentered="1"/>
  <pageMargins left="0.30249999999999999" right="0.5" top="0.51249999999999996" bottom="0.34558823529411797" header="0.3" footer="7.3529411764705899E-2"/>
  <pageSetup scale="63" fitToHeight="3" orientation="landscape" r:id="rId1"/>
  <headerFooter>
    <oddHeader>&amp;L&amp;"-,Bold"&amp;8Digital Realty Operations&amp;C&amp;"-,Bold"&amp;12Method Of Procedure&amp;R&amp;G</oddHeader>
    <oddFooter>&amp;C&amp;8Page &amp;P of &amp;N</oddFooter>
  </headerFooter>
  <rowBreaks count="2" manualBreakCount="2">
    <brk id="27" max="31" man="1"/>
    <brk id="42" max="3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5F457-DBDC-49AA-9746-68858D64E64E}">
  <sheetPr codeName="Config_RTU"/>
  <dimension ref="A1:J199"/>
  <sheetViews>
    <sheetView workbookViewId="0">
      <selection activeCell="D2" sqref="D2"/>
    </sheetView>
  </sheetViews>
  <sheetFormatPr defaultRowHeight="15" x14ac:dyDescent="0.25"/>
  <cols>
    <col min="1" max="1" width="13.28515625" bestFit="1" customWidth="1"/>
    <col min="2" max="2" width="19.140625" bestFit="1" customWidth="1"/>
    <col min="3" max="3" width="14.5703125" bestFit="1" customWidth="1"/>
    <col min="4" max="4" width="15.28515625" bestFit="1" customWidth="1"/>
  </cols>
  <sheetData>
    <row r="1" spans="1:10" x14ac:dyDescent="0.25">
      <c r="A1">
        <v>1</v>
      </c>
      <c r="B1">
        <v>2</v>
      </c>
      <c r="C1">
        <v>3</v>
      </c>
      <c r="D1">
        <v>4</v>
      </c>
      <c r="E1">
        <v>5</v>
      </c>
      <c r="F1">
        <v>6</v>
      </c>
      <c r="G1">
        <v>7</v>
      </c>
      <c r="H1">
        <v>8</v>
      </c>
      <c r="I1">
        <v>9</v>
      </c>
      <c r="J1">
        <v>10</v>
      </c>
    </row>
    <row r="2" spans="1:10" x14ac:dyDescent="0.25">
      <c r="A2" t="str">
        <f>zSelectedEquipment</f>
        <v>G104-Gen-B</v>
      </c>
      <c r="B2" t="str">
        <f>""</f>
        <v/>
      </c>
      <c r="C2" t="e" cm="1">
        <f t="array" ref="C2">NumberofRTUs</f>
        <v>#N/A</v>
      </c>
      <c r="D2" t="e" cm="1">
        <f t="array" ref="D2">NumberofMAUs</f>
        <v>#N/A</v>
      </c>
    </row>
    <row r="3" spans="1:10" x14ac:dyDescent="0.25">
      <c r="A3" t="s">
        <v>104</v>
      </c>
      <c r="B3" t="s">
        <v>105</v>
      </c>
      <c r="C3" t="s">
        <v>106</v>
      </c>
      <c r="D3" t="s">
        <v>107</v>
      </c>
    </row>
    <row r="4" spans="1:10" x14ac:dyDescent="0.25">
      <c r="A4" t="s">
        <v>108</v>
      </c>
      <c r="B4" t="str">
        <f>A4 &amp; " RTU 1"</f>
        <v>G100 RTU 1</v>
      </c>
      <c r="C4">
        <v>6</v>
      </c>
      <c r="D4">
        <v>0</v>
      </c>
    </row>
    <row r="5" spans="1:10" x14ac:dyDescent="0.25">
      <c r="A5" t="s">
        <v>108</v>
      </c>
      <c r="B5" t="str">
        <f>A5 &amp; " RTU 2"</f>
        <v>G100 RTU 2</v>
      </c>
      <c r="C5">
        <v>6</v>
      </c>
      <c r="D5">
        <v>0</v>
      </c>
    </row>
    <row r="6" spans="1:10" x14ac:dyDescent="0.25">
      <c r="A6" t="s">
        <v>108</v>
      </c>
      <c r="B6" t="str">
        <f>A6 &amp; " RTU 3"</f>
        <v>G100 RTU 3</v>
      </c>
      <c r="C6">
        <v>6</v>
      </c>
      <c r="D6">
        <v>0</v>
      </c>
    </row>
    <row r="7" spans="1:10" x14ac:dyDescent="0.25">
      <c r="A7" t="s">
        <v>108</v>
      </c>
      <c r="B7" t="str">
        <f>A7 &amp; " RTU 4"</f>
        <v>G100 RTU 4</v>
      </c>
      <c r="C7">
        <v>6</v>
      </c>
      <c r="D7">
        <v>0</v>
      </c>
    </row>
    <row r="8" spans="1:10" x14ac:dyDescent="0.25">
      <c r="A8" t="s">
        <v>108</v>
      </c>
      <c r="B8" t="str">
        <f>A8 &amp; " RTU 5"</f>
        <v>G100 RTU 5</v>
      </c>
      <c r="C8">
        <v>6</v>
      </c>
      <c r="D8">
        <v>0</v>
      </c>
    </row>
    <row r="9" spans="1:10" x14ac:dyDescent="0.25">
      <c r="A9" t="s">
        <v>108</v>
      </c>
      <c r="B9" t="str">
        <f>A9 &amp; " RTU 6"</f>
        <v>G100 RTU 6</v>
      </c>
      <c r="C9">
        <v>6</v>
      </c>
      <c r="D9">
        <v>0</v>
      </c>
    </row>
    <row r="10" spans="1:10" x14ac:dyDescent="0.25">
      <c r="A10" t="s">
        <v>109</v>
      </c>
      <c r="B10" t="str">
        <f>A10 &amp; " RTU 1"</f>
        <v>G102 RTU 1</v>
      </c>
      <c r="C10">
        <v>6</v>
      </c>
      <c r="D10">
        <v>0</v>
      </c>
    </row>
    <row r="11" spans="1:10" x14ac:dyDescent="0.25">
      <c r="A11" t="s">
        <v>109</v>
      </c>
      <c r="B11" t="str">
        <f>A11 &amp; " RTU 2"</f>
        <v>G102 RTU 2</v>
      </c>
      <c r="C11">
        <v>6</v>
      </c>
      <c r="D11">
        <v>0</v>
      </c>
    </row>
    <row r="12" spans="1:10" x14ac:dyDescent="0.25">
      <c r="A12" t="s">
        <v>109</v>
      </c>
      <c r="B12" t="str">
        <f>A12 &amp; " RTU 3"</f>
        <v>G102 RTU 3</v>
      </c>
      <c r="C12">
        <v>6</v>
      </c>
      <c r="D12">
        <v>0</v>
      </c>
    </row>
    <row r="13" spans="1:10" x14ac:dyDescent="0.25">
      <c r="A13" t="s">
        <v>109</v>
      </c>
      <c r="B13" t="str">
        <f>A13 &amp; " RTU 4"</f>
        <v>G102 RTU 4</v>
      </c>
      <c r="C13">
        <v>6</v>
      </c>
      <c r="D13">
        <v>0</v>
      </c>
    </row>
    <row r="14" spans="1:10" x14ac:dyDescent="0.25">
      <c r="A14" t="s">
        <v>109</v>
      </c>
      <c r="B14" t="str">
        <f>A14 &amp; " RTU 5"</f>
        <v>G102 RTU 5</v>
      </c>
      <c r="C14">
        <v>6</v>
      </c>
      <c r="D14">
        <v>0</v>
      </c>
    </row>
    <row r="15" spans="1:10" x14ac:dyDescent="0.25">
      <c r="A15" t="s">
        <v>109</v>
      </c>
      <c r="B15" t="str">
        <f>A15 &amp; " RTU 6"</f>
        <v>G102 RTU 6</v>
      </c>
      <c r="C15">
        <v>6</v>
      </c>
      <c r="D15">
        <v>0</v>
      </c>
    </row>
    <row r="16" spans="1:10" x14ac:dyDescent="0.25">
      <c r="A16" t="s">
        <v>110</v>
      </c>
      <c r="B16" t="str">
        <f>A16 &amp; " RTU 1"</f>
        <v>G104 RTU 1</v>
      </c>
      <c r="C16">
        <v>6</v>
      </c>
      <c r="D16">
        <v>0</v>
      </c>
    </row>
    <row r="17" spans="1:4" x14ac:dyDescent="0.25">
      <c r="A17" t="s">
        <v>110</v>
      </c>
      <c r="B17" t="str">
        <f>A17 &amp; " RTU 2"</f>
        <v>G104 RTU 2</v>
      </c>
      <c r="C17">
        <v>6</v>
      </c>
      <c r="D17">
        <v>0</v>
      </c>
    </row>
    <row r="18" spans="1:4" x14ac:dyDescent="0.25">
      <c r="A18" t="s">
        <v>110</v>
      </c>
      <c r="B18" t="str">
        <f>A18 &amp; " RTU 3"</f>
        <v>G104 RTU 3</v>
      </c>
      <c r="C18">
        <v>6</v>
      </c>
      <c r="D18">
        <v>0</v>
      </c>
    </row>
    <row r="19" spans="1:4" x14ac:dyDescent="0.25">
      <c r="A19" t="s">
        <v>110</v>
      </c>
      <c r="B19" t="str">
        <f>A19 &amp; " RTU 4"</f>
        <v>G104 RTU 4</v>
      </c>
      <c r="C19">
        <v>6</v>
      </c>
      <c r="D19">
        <v>0</v>
      </c>
    </row>
    <row r="20" spans="1:4" x14ac:dyDescent="0.25">
      <c r="A20" t="s">
        <v>110</v>
      </c>
      <c r="B20" t="str">
        <f>A20 &amp; " RTU 5"</f>
        <v>G104 RTU 5</v>
      </c>
      <c r="C20">
        <v>6</v>
      </c>
      <c r="D20">
        <v>0</v>
      </c>
    </row>
    <row r="21" spans="1:4" x14ac:dyDescent="0.25">
      <c r="A21" t="s">
        <v>110</v>
      </c>
      <c r="B21" t="str">
        <f>A21 &amp; " RTU 6"</f>
        <v>G104 RTU 6</v>
      </c>
      <c r="C21">
        <v>6</v>
      </c>
      <c r="D21">
        <v>0</v>
      </c>
    </row>
    <row r="22" spans="1:4" x14ac:dyDescent="0.25">
      <c r="A22" t="s">
        <v>111</v>
      </c>
      <c r="B22" t="str">
        <f>A22 &amp; " RTU 1"</f>
        <v>G106 RTU 1</v>
      </c>
      <c r="C22">
        <v>6</v>
      </c>
      <c r="D22">
        <v>0</v>
      </c>
    </row>
    <row r="23" spans="1:4" x14ac:dyDescent="0.25">
      <c r="A23" t="s">
        <v>111</v>
      </c>
      <c r="B23" t="str">
        <f>A23 &amp; " RTU 2"</f>
        <v>G106 RTU 2</v>
      </c>
      <c r="C23">
        <v>6</v>
      </c>
      <c r="D23">
        <v>0</v>
      </c>
    </row>
    <row r="24" spans="1:4" x14ac:dyDescent="0.25">
      <c r="A24" t="s">
        <v>111</v>
      </c>
      <c r="B24" t="str">
        <f>A24 &amp; " RTU 3"</f>
        <v>G106 RTU 3</v>
      </c>
      <c r="C24">
        <v>6</v>
      </c>
      <c r="D24">
        <v>0</v>
      </c>
    </row>
    <row r="25" spans="1:4" x14ac:dyDescent="0.25">
      <c r="A25" t="s">
        <v>111</v>
      </c>
      <c r="B25" t="str">
        <f>A25 &amp; " RTU 4"</f>
        <v>G106 RTU 4</v>
      </c>
      <c r="C25">
        <v>6</v>
      </c>
      <c r="D25">
        <v>0</v>
      </c>
    </row>
    <row r="26" spans="1:4" x14ac:dyDescent="0.25">
      <c r="A26" t="s">
        <v>111</v>
      </c>
      <c r="B26" t="str">
        <f>A26 &amp; " RTU 5"</f>
        <v>G106 RTU 5</v>
      </c>
      <c r="C26">
        <v>6</v>
      </c>
      <c r="D26">
        <v>0</v>
      </c>
    </row>
    <row r="27" spans="1:4" x14ac:dyDescent="0.25">
      <c r="A27" t="s">
        <v>111</v>
      </c>
      <c r="B27" t="str">
        <f>A27 &amp; " RTU 6"</f>
        <v>G106 RTU 6</v>
      </c>
      <c r="C27">
        <v>6</v>
      </c>
      <c r="D27">
        <v>0</v>
      </c>
    </row>
    <row r="28" spans="1:4" x14ac:dyDescent="0.25">
      <c r="A28" t="s">
        <v>112</v>
      </c>
      <c r="B28" t="str">
        <f>A28 &amp; " RTU 1"</f>
        <v>G108 RTU 1</v>
      </c>
      <c r="C28">
        <v>6</v>
      </c>
      <c r="D28">
        <v>0</v>
      </c>
    </row>
    <row r="29" spans="1:4" x14ac:dyDescent="0.25">
      <c r="A29" t="s">
        <v>112</v>
      </c>
      <c r="B29" t="str">
        <f>A29 &amp; " RTU 2"</f>
        <v>G108 RTU 2</v>
      </c>
      <c r="C29">
        <v>6</v>
      </c>
      <c r="D29">
        <v>0</v>
      </c>
    </row>
    <row r="30" spans="1:4" x14ac:dyDescent="0.25">
      <c r="A30" t="s">
        <v>112</v>
      </c>
      <c r="B30" t="str">
        <f>A30 &amp; " RTU 3"</f>
        <v>G108 RTU 3</v>
      </c>
      <c r="C30">
        <v>6</v>
      </c>
      <c r="D30">
        <v>0</v>
      </c>
    </row>
    <row r="31" spans="1:4" x14ac:dyDescent="0.25">
      <c r="A31" t="s">
        <v>112</v>
      </c>
      <c r="B31" t="str">
        <f>A31 &amp; " RTU 4"</f>
        <v>G108 RTU 4</v>
      </c>
      <c r="C31">
        <v>6</v>
      </c>
      <c r="D31">
        <v>0</v>
      </c>
    </row>
    <row r="32" spans="1:4" x14ac:dyDescent="0.25">
      <c r="A32" t="s">
        <v>112</v>
      </c>
      <c r="B32" t="str">
        <f>A32 &amp; " RTU 5"</f>
        <v>G108 RTU 5</v>
      </c>
      <c r="C32">
        <v>6</v>
      </c>
      <c r="D32">
        <v>0</v>
      </c>
    </row>
    <row r="33" spans="1:4" x14ac:dyDescent="0.25">
      <c r="A33" t="s">
        <v>112</v>
      </c>
      <c r="B33" t="str">
        <f>A33 &amp; " RTU 6"</f>
        <v>G108 RTU 6</v>
      </c>
      <c r="C33">
        <v>6</v>
      </c>
      <c r="D33">
        <v>0</v>
      </c>
    </row>
    <row r="34" spans="1:4" x14ac:dyDescent="0.25">
      <c r="A34" t="s">
        <v>113</v>
      </c>
      <c r="B34" t="str">
        <f>A34 &amp; " RTU 1"</f>
        <v>G110 RTU 1</v>
      </c>
      <c r="C34">
        <v>4</v>
      </c>
      <c r="D34">
        <v>2</v>
      </c>
    </row>
    <row r="35" spans="1:4" x14ac:dyDescent="0.25">
      <c r="A35" t="s">
        <v>113</v>
      </c>
      <c r="B35" t="str">
        <f>A35 &amp; " RTU 2"</f>
        <v>G110 RTU 2</v>
      </c>
      <c r="C35">
        <v>4</v>
      </c>
      <c r="D35">
        <v>2</v>
      </c>
    </row>
    <row r="36" spans="1:4" x14ac:dyDescent="0.25">
      <c r="A36" t="s">
        <v>113</v>
      </c>
      <c r="B36" t="str">
        <f>A36 &amp; " RTU 3"</f>
        <v>G110 RTU 3</v>
      </c>
      <c r="C36">
        <v>4</v>
      </c>
      <c r="D36">
        <v>2</v>
      </c>
    </row>
    <row r="37" spans="1:4" x14ac:dyDescent="0.25">
      <c r="A37" t="s">
        <v>113</v>
      </c>
      <c r="B37" t="str">
        <f>A37 &amp; " RTU 4"</f>
        <v>G110 RTU 4</v>
      </c>
      <c r="C37">
        <v>4</v>
      </c>
      <c r="D37">
        <v>2</v>
      </c>
    </row>
    <row r="38" spans="1:4" x14ac:dyDescent="0.25">
      <c r="A38" t="s">
        <v>114</v>
      </c>
      <c r="B38" t="str">
        <f>A38 &amp; " RTU 1"</f>
        <v>G114 RTU 1</v>
      </c>
      <c r="C38">
        <v>2</v>
      </c>
      <c r="D38">
        <v>1</v>
      </c>
    </row>
    <row r="39" spans="1:4" x14ac:dyDescent="0.25">
      <c r="A39" t="s">
        <v>114</v>
      </c>
      <c r="B39" t="str">
        <f>A39 &amp; " RTU 2"</f>
        <v>G114 RTU 2</v>
      </c>
      <c r="C39">
        <v>2</v>
      </c>
      <c r="D39">
        <v>1</v>
      </c>
    </row>
    <row r="40" spans="1:4" x14ac:dyDescent="0.25">
      <c r="A40" t="s">
        <v>115</v>
      </c>
      <c r="B40" t="str">
        <f>A40 &amp; " RTU 1"</f>
        <v>G116 RTU 1</v>
      </c>
      <c r="C40">
        <v>2</v>
      </c>
      <c r="D40">
        <v>1</v>
      </c>
    </row>
    <row r="41" spans="1:4" x14ac:dyDescent="0.25">
      <c r="A41" t="s">
        <v>115</v>
      </c>
      <c r="B41" t="str">
        <f>A41 &amp; " RTU 2"</f>
        <v>G116 RTU 2</v>
      </c>
      <c r="C41">
        <v>2</v>
      </c>
      <c r="D41">
        <v>1</v>
      </c>
    </row>
    <row r="42" spans="1:4" x14ac:dyDescent="0.25">
      <c r="A42" t="s">
        <v>116</v>
      </c>
      <c r="B42" t="str">
        <f>A42 &amp; " RTU 1"</f>
        <v>G118 RTU 1</v>
      </c>
      <c r="C42">
        <v>2</v>
      </c>
      <c r="D42">
        <v>1</v>
      </c>
    </row>
    <row r="43" spans="1:4" x14ac:dyDescent="0.25">
      <c r="A43" t="s">
        <v>116</v>
      </c>
      <c r="B43" t="str">
        <f>A43 &amp; " RTU 2"</f>
        <v>G118 RTU 2</v>
      </c>
      <c r="C43">
        <v>2</v>
      </c>
      <c r="D43">
        <v>1</v>
      </c>
    </row>
    <row r="44" spans="1:4" x14ac:dyDescent="0.25">
      <c r="A44" t="s">
        <v>117</v>
      </c>
      <c r="B44" t="str">
        <f>A44 &amp; " RTU 1"</f>
        <v>G120 RTU 1</v>
      </c>
      <c r="C44">
        <v>2</v>
      </c>
      <c r="D44">
        <v>1</v>
      </c>
    </row>
    <row r="45" spans="1:4" x14ac:dyDescent="0.25">
      <c r="A45" t="s">
        <v>117</v>
      </c>
      <c r="B45" t="str">
        <f>A45 &amp; " RTU 2"</f>
        <v>G120 RTU 2</v>
      </c>
      <c r="C45">
        <v>2</v>
      </c>
      <c r="D45">
        <v>1</v>
      </c>
    </row>
    <row r="46" spans="1:4" x14ac:dyDescent="0.25">
      <c r="A46" t="s">
        <v>118</v>
      </c>
      <c r="B46" t="str">
        <f>A46 &amp; " RTU 1"</f>
        <v>G200 RTU 1</v>
      </c>
      <c r="C46">
        <v>6</v>
      </c>
      <c r="D46">
        <v>0</v>
      </c>
    </row>
    <row r="47" spans="1:4" x14ac:dyDescent="0.25">
      <c r="A47" t="s">
        <v>118</v>
      </c>
      <c r="B47" t="str">
        <f>A47 &amp; " RTU 2"</f>
        <v>G200 RTU 2</v>
      </c>
      <c r="C47">
        <v>6</v>
      </c>
      <c r="D47">
        <v>0</v>
      </c>
    </row>
    <row r="48" spans="1:4" x14ac:dyDescent="0.25">
      <c r="A48" t="s">
        <v>118</v>
      </c>
      <c r="B48" t="str">
        <f>A48 &amp; " RTU 3"</f>
        <v>G200 RTU 3</v>
      </c>
      <c r="C48">
        <v>6</v>
      </c>
      <c r="D48">
        <v>0</v>
      </c>
    </row>
    <row r="49" spans="1:4" x14ac:dyDescent="0.25">
      <c r="A49" t="s">
        <v>118</v>
      </c>
      <c r="B49" t="str">
        <f>A49 &amp; " RTU 4"</f>
        <v>G200 RTU 4</v>
      </c>
      <c r="C49">
        <v>6</v>
      </c>
      <c r="D49">
        <v>0</v>
      </c>
    </row>
    <row r="50" spans="1:4" x14ac:dyDescent="0.25">
      <c r="A50" t="s">
        <v>118</v>
      </c>
      <c r="B50" t="str">
        <f>A50 &amp; " RTU 5"</f>
        <v>G200 RTU 5</v>
      </c>
      <c r="C50">
        <v>6</v>
      </c>
      <c r="D50">
        <v>0</v>
      </c>
    </row>
    <row r="51" spans="1:4" x14ac:dyDescent="0.25">
      <c r="A51" t="s">
        <v>118</v>
      </c>
      <c r="B51" t="str">
        <f>A51 &amp; " RTU 6"</f>
        <v>G200 RTU 6</v>
      </c>
      <c r="C51">
        <v>6</v>
      </c>
      <c r="D51">
        <v>0</v>
      </c>
    </row>
    <row r="52" spans="1:4" x14ac:dyDescent="0.25">
      <c r="A52" t="s">
        <v>119</v>
      </c>
      <c r="B52" t="str">
        <f>A52 &amp; " RTU 1"</f>
        <v>G202 RTU 1</v>
      </c>
      <c r="C52">
        <v>6</v>
      </c>
      <c r="D52">
        <v>0</v>
      </c>
    </row>
    <row r="53" spans="1:4" x14ac:dyDescent="0.25">
      <c r="A53" t="s">
        <v>119</v>
      </c>
      <c r="B53" t="str">
        <f>A53 &amp; " RTU 2"</f>
        <v>G202 RTU 2</v>
      </c>
      <c r="C53">
        <v>6</v>
      </c>
      <c r="D53">
        <v>0</v>
      </c>
    </row>
    <row r="54" spans="1:4" x14ac:dyDescent="0.25">
      <c r="A54" t="s">
        <v>119</v>
      </c>
      <c r="B54" t="str">
        <f>A54 &amp; " RTU 3"</f>
        <v>G202 RTU 3</v>
      </c>
      <c r="C54">
        <v>6</v>
      </c>
      <c r="D54">
        <v>0</v>
      </c>
    </row>
    <row r="55" spans="1:4" x14ac:dyDescent="0.25">
      <c r="A55" t="s">
        <v>119</v>
      </c>
      <c r="B55" t="str">
        <f>A55 &amp; " RTU 4"</f>
        <v>G202 RTU 4</v>
      </c>
      <c r="C55">
        <v>6</v>
      </c>
      <c r="D55">
        <v>0</v>
      </c>
    </row>
    <row r="56" spans="1:4" x14ac:dyDescent="0.25">
      <c r="A56" t="s">
        <v>119</v>
      </c>
      <c r="B56" t="str">
        <f>A56 &amp; " RTU 5"</f>
        <v>G202 RTU 5</v>
      </c>
      <c r="C56">
        <v>6</v>
      </c>
      <c r="D56">
        <v>0</v>
      </c>
    </row>
    <row r="57" spans="1:4" x14ac:dyDescent="0.25">
      <c r="A57" t="s">
        <v>119</v>
      </c>
      <c r="B57" t="str">
        <f>A57 &amp; " RTU 6"</f>
        <v>G202 RTU 6</v>
      </c>
      <c r="C57">
        <v>6</v>
      </c>
      <c r="D57">
        <v>0</v>
      </c>
    </row>
    <row r="58" spans="1:4" x14ac:dyDescent="0.25">
      <c r="A58" t="s">
        <v>120</v>
      </c>
      <c r="B58" t="str">
        <f>A58 &amp; " RTU 1"</f>
        <v>G204 RTU 1</v>
      </c>
      <c r="C58">
        <v>6</v>
      </c>
      <c r="D58">
        <v>0</v>
      </c>
    </row>
    <row r="59" spans="1:4" x14ac:dyDescent="0.25">
      <c r="A59" t="s">
        <v>120</v>
      </c>
      <c r="B59" t="str">
        <f>A59 &amp; " RTU 2"</f>
        <v>G204 RTU 2</v>
      </c>
      <c r="C59">
        <v>6</v>
      </c>
      <c r="D59">
        <v>0</v>
      </c>
    </row>
    <row r="60" spans="1:4" x14ac:dyDescent="0.25">
      <c r="A60" t="s">
        <v>120</v>
      </c>
      <c r="B60" t="str">
        <f>A60 &amp; " RTU 3"</f>
        <v>G204 RTU 3</v>
      </c>
      <c r="C60">
        <v>6</v>
      </c>
      <c r="D60">
        <v>0</v>
      </c>
    </row>
    <row r="61" spans="1:4" x14ac:dyDescent="0.25">
      <c r="A61" t="s">
        <v>120</v>
      </c>
      <c r="B61" t="str">
        <f>A61 &amp; " RTU 4"</f>
        <v>G204 RTU 4</v>
      </c>
      <c r="C61">
        <v>6</v>
      </c>
      <c r="D61">
        <v>0</v>
      </c>
    </row>
    <row r="62" spans="1:4" x14ac:dyDescent="0.25">
      <c r="A62" t="s">
        <v>120</v>
      </c>
      <c r="B62" t="str">
        <f>A62 &amp; " RTU 5"</f>
        <v>G204 RTU 5</v>
      </c>
      <c r="C62">
        <v>6</v>
      </c>
      <c r="D62">
        <v>0</v>
      </c>
    </row>
    <row r="63" spans="1:4" x14ac:dyDescent="0.25">
      <c r="A63" t="s">
        <v>120</v>
      </c>
      <c r="B63" t="str">
        <f>A63 &amp; " RTU 6"</f>
        <v>G204 RTU 6</v>
      </c>
      <c r="C63">
        <v>6</v>
      </c>
      <c r="D63">
        <v>0</v>
      </c>
    </row>
    <row r="64" spans="1:4" x14ac:dyDescent="0.25">
      <c r="A64" t="s">
        <v>121</v>
      </c>
      <c r="B64" t="str">
        <f>A64 &amp; " RTU 1"</f>
        <v>G206 RTU 1</v>
      </c>
      <c r="C64">
        <v>6</v>
      </c>
      <c r="D64">
        <v>0</v>
      </c>
    </row>
    <row r="65" spans="1:4" x14ac:dyDescent="0.25">
      <c r="A65" t="s">
        <v>121</v>
      </c>
      <c r="B65" t="str">
        <f>A65 &amp; " RTU 2"</f>
        <v>G206 RTU 2</v>
      </c>
      <c r="C65">
        <v>6</v>
      </c>
      <c r="D65">
        <v>0</v>
      </c>
    </row>
    <row r="66" spans="1:4" x14ac:dyDescent="0.25">
      <c r="A66" t="s">
        <v>121</v>
      </c>
      <c r="B66" t="str">
        <f>A66 &amp; " RTU 3"</f>
        <v>G206 RTU 3</v>
      </c>
      <c r="C66">
        <v>6</v>
      </c>
      <c r="D66">
        <v>0</v>
      </c>
    </row>
    <row r="67" spans="1:4" x14ac:dyDescent="0.25">
      <c r="A67" t="s">
        <v>121</v>
      </c>
      <c r="B67" t="str">
        <f>A67 &amp; " RTU 4"</f>
        <v>G206 RTU 4</v>
      </c>
      <c r="C67">
        <v>6</v>
      </c>
      <c r="D67">
        <v>0</v>
      </c>
    </row>
    <row r="68" spans="1:4" x14ac:dyDescent="0.25">
      <c r="A68" t="s">
        <v>121</v>
      </c>
      <c r="B68" t="str">
        <f>A68 &amp; " RTU 5"</f>
        <v>G206 RTU 5</v>
      </c>
      <c r="C68">
        <v>6</v>
      </c>
      <c r="D68">
        <v>0</v>
      </c>
    </row>
    <row r="69" spans="1:4" x14ac:dyDescent="0.25">
      <c r="A69" t="s">
        <v>121</v>
      </c>
      <c r="B69" t="str">
        <f>A69 &amp; " RTU 6"</f>
        <v>G206 RTU 6</v>
      </c>
      <c r="C69">
        <v>6</v>
      </c>
      <c r="D69">
        <v>0</v>
      </c>
    </row>
    <row r="70" spans="1:4" x14ac:dyDescent="0.25">
      <c r="A70" t="s">
        <v>122</v>
      </c>
      <c r="B70" t="str">
        <f>A70 &amp; " RTU 1"</f>
        <v>G208 RTU 1</v>
      </c>
      <c r="C70">
        <v>6</v>
      </c>
      <c r="D70">
        <v>0</v>
      </c>
    </row>
    <row r="71" spans="1:4" x14ac:dyDescent="0.25">
      <c r="A71" t="s">
        <v>122</v>
      </c>
      <c r="B71" t="str">
        <f>A71 &amp; " RTU 2"</f>
        <v>G208 RTU 2</v>
      </c>
      <c r="C71">
        <v>6</v>
      </c>
      <c r="D71">
        <v>0</v>
      </c>
    </row>
    <row r="72" spans="1:4" x14ac:dyDescent="0.25">
      <c r="A72" t="s">
        <v>122</v>
      </c>
      <c r="B72" t="str">
        <f>A72 &amp; " RTU 3"</f>
        <v>G208 RTU 3</v>
      </c>
      <c r="C72">
        <v>6</v>
      </c>
      <c r="D72">
        <v>0</v>
      </c>
    </row>
    <row r="73" spans="1:4" x14ac:dyDescent="0.25">
      <c r="A73" t="s">
        <v>122</v>
      </c>
      <c r="B73" t="str">
        <f>A73 &amp; " RTU 4"</f>
        <v>G208 RTU 4</v>
      </c>
      <c r="C73">
        <v>6</v>
      </c>
      <c r="D73">
        <v>0</v>
      </c>
    </row>
    <row r="74" spans="1:4" x14ac:dyDescent="0.25">
      <c r="A74" t="s">
        <v>122</v>
      </c>
      <c r="B74" t="str">
        <f>A74 &amp; " RTU 5"</f>
        <v>G208 RTU 5</v>
      </c>
      <c r="C74">
        <v>6</v>
      </c>
      <c r="D74">
        <v>0</v>
      </c>
    </row>
    <row r="75" spans="1:4" x14ac:dyDescent="0.25">
      <c r="A75" t="s">
        <v>122</v>
      </c>
      <c r="B75" t="str">
        <f>A75 &amp; " RTU 6"</f>
        <v>G208 RTU 6</v>
      </c>
      <c r="C75">
        <v>6</v>
      </c>
      <c r="D75">
        <v>0</v>
      </c>
    </row>
    <row r="76" spans="1:4" x14ac:dyDescent="0.25">
      <c r="A76" t="s">
        <v>123</v>
      </c>
      <c r="B76" t="str">
        <f>A76 &amp; " RTU 1"</f>
        <v>G210 RTU 1</v>
      </c>
      <c r="C76">
        <v>2</v>
      </c>
      <c r="D76">
        <v>1</v>
      </c>
    </row>
    <row r="77" spans="1:4" x14ac:dyDescent="0.25">
      <c r="A77" t="s">
        <v>123</v>
      </c>
      <c r="B77" t="str">
        <f>A77 &amp; " RTU 2"</f>
        <v>G210 RTU 2</v>
      </c>
      <c r="C77">
        <v>2</v>
      </c>
      <c r="D77">
        <v>1</v>
      </c>
    </row>
    <row r="78" spans="1:4" x14ac:dyDescent="0.25">
      <c r="A78" t="s">
        <v>124</v>
      </c>
      <c r="B78" t="str">
        <f>A78 &amp; " RTU 1"</f>
        <v>G212 RTU 1</v>
      </c>
      <c r="C78">
        <v>2</v>
      </c>
      <c r="D78">
        <v>1</v>
      </c>
    </row>
    <row r="79" spans="1:4" x14ac:dyDescent="0.25">
      <c r="A79" t="s">
        <v>124</v>
      </c>
      <c r="B79" t="str">
        <f>A79 &amp; " RTU 2"</f>
        <v>G212 RTU 2</v>
      </c>
      <c r="C79">
        <v>2</v>
      </c>
      <c r="D79">
        <v>1</v>
      </c>
    </row>
    <row r="80" spans="1:4" x14ac:dyDescent="0.25">
      <c r="A80" t="s">
        <v>125</v>
      </c>
      <c r="B80" t="str">
        <f>A80 &amp; " RTU 1"</f>
        <v>G214 RTU 1</v>
      </c>
      <c r="C80">
        <v>2</v>
      </c>
      <c r="D80">
        <v>1</v>
      </c>
    </row>
    <row r="81" spans="1:4" x14ac:dyDescent="0.25">
      <c r="A81" t="s">
        <v>125</v>
      </c>
      <c r="B81" t="str">
        <f>A81 &amp; " RTU 2"</f>
        <v>G214 RTU 2</v>
      </c>
      <c r="C81">
        <v>2</v>
      </c>
      <c r="D81">
        <v>1</v>
      </c>
    </row>
    <row r="82" spans="1:4" x14ac:dyDescent="0.25">
      <c r="A82" t="s">
        <v>126</v>
      </c>
      <c r="B82" t="str">
        <f>A82 &amp; " RTU 1"</f>
        <v>G216 RTU 1</v>
      </c>
      <c r="C82">
        <v>2</v>
      </c>
      <c r="D82">
        <v>1</v>
      </c>
    </row>
    <row r="83" spans="1:4" x14ac:dyDescent="0.25">
      <c r="A83" t="s">
        <v>126</v>
      </c>
      <c r="B83" t="str">
        <f>A83 &amp; " RTU 2"</f>
        <v>G216 RTU 2</v>
      </c>
      <c r="C83">
        <v>2</v>
      </c>
      <c r="D83">
        <v>1</v>
      </c>
    </row>
    <row r="84" spans="1:4" x14ac:dyDescent="0.25">
      <c r="A84" t="s">
        <v>127</v>
      </c>
      <c r="B84" t="str">
        <f>A84 &amp; " RTU 1"</f>
        <v>G218 RTU 1</v>
      </c>
      <c r="C84">
        <v>2</v>
      </c>
      <c r="D84">
        <v>1</v>
      </c>
    </row>
    <row r="85" spans="1:4" x14ac:dyDescent="0.25">
      <c r="A85" t="s">
        <v>127</v>
      </c>
      <c r="B85" t="str">
        <f>A85 &amp; " RTU 2"</f>
        <v>G218 RTU 2</v>
      </c>
      <c r="C85">
        <v>2</v>
      </c>
      <c r="D85">
        <v>1</v>
      </c>
    </row>
    <row r="86" spans="1:4" x14ac:dyDescent="0.25">
      <c r="A86" t="s">
        <v>128</v>
      </c>
      <c r="B86" t="str">
        <f>A86 &amp; " RTU 1"</f>
        <v>G220 RTU 1</v>
      </c>
      <c r="C86">
        <v>2</v>
      </c>
      <c r="D86">
        <v>1</v>
      </c>
    </row>
    <row r="87" spans="1:4" x14ac:dyDescent="0.25">
      <c r="A87" t="s">
        <v>128</v>
      </c>
      <c r="B87" t="str">
        <f>A87 &amp; " RTU 2"</f>
        <v>G220 RTU 2</v>
      </c>
      <c r="C87">
        <v>2</v>
      </c>
      <c r="D87">
        <v>1</v>
      </c>
    </row>
    <row r="88" spans="1:4" x14ac:dyDescent="0.25">
      <c r="A88" t="s">
        <v>129</v>
      </c>
      <c r="B88" t="str">
        <f>A88 &amp; " RTU 1"</f>
        <v>K100 RTU 1</v>
      </c>
      <c r="C88">
        <v>2</v>
      </c>
      <c r="D88">
        <v>1</v>
      </c>
    </row>
    <row r="89" spans="1:4" x14ac:dyDescent="0.25">
      <c r="A89" t="s">
        <v>129</v>
      </c>
      <c r="B89" t="str">
        <f>A89 &amp; " RTU 2"</f>
        <v>K100 RTU 2</v>
      </c>
      <c r="C89">
        <v>2</v>
      </c>
      <c r="D89">
        <v>1</v>
      </c>
    </row>
    <row r="90" spans="1:4" x14ac:dyDescent="0.25">
      <c r="A90" t="s">
        <v>130</v>
      </c>
      <c r="B90" t="str">
        <f>A90 &amp; " RTU 1"</f>
        <v>K102 RTU 1</v>
      </c>
      <c r="C90">
        <v>2</v>
      </c>
      <c r="D90">
        <v>1</v>
      </c>
    </row>
    <row r="91" spans="1:4" x14ac:dyDescent="0.25">
      <c r="A91" t="s">
        <v>130</v>
      </c>
      <c r="B91" t="str">
        <f>A91 &amp; " RTU 2"</f>
        <v>K102 RTU 2</v>
      </c>
      <c r="C91">
        <v>2</v>
      </c>
      <c r="D91">
        <v>1</v>
      </c>
    </row>
    <row r="92" spans="1:4" x14ac:dyDescent="0.25">
      <c r="A92" t="s">
        <v>16</v>
      </c>
      <c r="B92" t="str">
        <f>A92 &amp; " RTU 1"</f>
        <v>K200 RTU 1</v>
      </c>
      <c r="C92">
        <v>2</v>
      </c>
      <c r="D92">
        <v>1</v>
      </c>
    </row>
    <row r="93" spans="1:4" x14ac:dyDescent="0.25">
      <c r="A93" t="s">
        <v>16</v>
      </c>
      <c r="B93" t="str">
        <f>A93 &amp; " RTU 2"</f>
        <v>K200 RTU 2</v>
      </c>
      <c r="C93">
        <v>2</v>
      </c>
      <c r="D93">
        <v>1</v>
      </c>
    </row>
    <row r="94" spans="1:4" x14ac:dyDescent="0.25">
      <c r="A94" t="s">
        <v>131</v>
      </c>
      <c r="B94" t="str">
        <f>A94 &amp; " RTU 1"</f>
        <v>K202 RTU 1</v>
      </c>
      <c r="C94">
        <v>2</v>
      </c>
      <c r="D94">
        <v>1</v>
      </c>
    </row>
    <row r="95" spans="1:4" x14ac:dyDescent="0.25">
      <c r="A95" t="s">
        <v>131</v>
      </c>
      <c r="B95" t="str">
        <f>A95 &amp; " RTU 2"</f>
        <v>K202 RTU 2</v>
      </c>
      <c r="C95">
        <v>2</v>
      </c>
      <c r="D95">
        <v>1</v>
      </c>
    </row>
    <row r="96" spans="1:4" x14ac:dyDescent="0.25">
      <c r="A96" t="s">
        <v>132</v>
      </c>
      <c r="D96">
        <v>0</v>
      </c>
    </row>
    <row r="97" spans="1:4" x14ac:dyDescent="0.25">
      <c r="A97" t="s">
        <v>133</v>
      </c>
      <c r="D97">
        <v>0</v>
      </c>
    </row>
    <row r="98" spans="1:4" x14ac:dyDescent="0.25">
      <c r="A98" t="s">
        <v>134</v>
      </c>
      <c r="D98">
        <v>0</v>
      </c>
    </row>
    <row r="99" spans="1:4" x14ac:dyDescent="0.25">
      <c r="A99" t="s">
        <v>135</v>
      </c>
      <c r="D99">
        <v>0</v>
      </c>
    </row>
    <row r="100" spans="1:4" x14ac:dyDescent="0.25">
      <c r="A100" t="s">
        <v>136</v>
      </c>
      <c r="D100">
        <v>0</v>
      </c>
    </row>
    <row r="101" spans="1:4" x14ac:dyDescent="0.25">
      <c r="A101" t="s">
        <v>137</v>
      </c>
      <c r="D101">
        <v>0</v>
      </c>
    </row>
    <row r="102" spans="1:4" x14ac:dyDescent="0.25">
      <c r="A102" t="s">
        <v>138</v>
      </c>
      <c r="D102">
        <v>0</v>
      </c>
    </row>
    <row r="103" spans="1:4" x14ac:dyDescent="0.25">
      <c r="A103" t="s">
        <v>139</v>
      </c>
      <c r="D103">
        <v>0</v>
      </c>
    </row>
    <row r="104" spans="1:4" x14ac:dyDescent="0.25">
      <c r="A104" t="s">
        <v>140</v>
      </c>
      <c r="B104" t="str">
        <f>A104 &amp; " MAU"</f>
        <v>A110 MAU</v>
      </c>
    </row>
    <row r="105" spans="1:4" x14ac:dyDescent="0.25">
      <c r="A105" t="s">
        <v>141</v>
      </c>
      <c r="B105" t="str">
        <f t="shared" ref="B105:B120" si="0">A105 &amp; " MAU"</f>
        <v>A120 MAU</v>
      </c>
    </row>
    <row r="106" spans="1:4" x14ac:dyDescent="0.25">
      <c r="A106" t="s">
        <v>142</v>
      </c>
      <c r="B106" t="str">
        <f t="shared" si="0"/>
        <v>A130 MAU</v>
      </c>
    </row>
    <row r="107" spans="1:4" x14ac:dyDescent="0.25">
      <c r="A107" t="s">
        <v>143</v>
      </c>
      <c r="B107" t="str">
        <f t="shared" si="0"/>
        <v>A140 MAU</v>
      </c>
    </row>
    <row r="108" spans="1:4" x14ac:dyDescent="0.25">
      <c r="A108" t="s">
        <v>144</v>
      </c>
      <c r="B108" t="str">
        <f t="shared" si="0"/>
        <v>A150 MAU</v>
      </c>
    </row>
    <row r="109" spans="1:4" x14ac:dyDescent="0.25">
      <c r="A109" t="s">
        <v>145</v>
      </c>
      <c r="B109" t="str">
        <f t="shared" si="0"/>
        <v>B110 MAU</v>
      </c>
    </row>
    <row r="110" spans="1:4" x14ac:dyDescent="0.25">
      <c r="A110" t="s">
        <v>146</v>
      </c>
      <c r="B110" t="str">
        <f t="shared" si="0"/>
        <v>B120 MAU</v>
      </c>
    </row>
    <row r="111" spans="1:4" x14ac:dyDescent="0.25">
      <c r="A111" t="s">
        <v>147</v>
      </c>
      <c r="B111" t="str">
        <f t="shared" si="0"/>
        <v>B130 MAU</v>
      </c>
    </row>
    <row r="112" spans="1:4" x14ac:dyDescent="0.25">
      <c r="A112" t="s">
        <v>148</v>
      </c>
      <c r="B112" t="str">
        <f t="shared" si="0"/>
        <v>B140 MAU</v>
      </c>
    </row>
    <row r="113" spans="1:4" x14ac:dyDescent="0.25">
      <c r="A113" t="s">
        <v>149</v>
      </c>
      <c r="B113" t="str">
        <f t="shared" si="0"/>
        <v>D110 MAU</v>
      </c>
    </row>
    <row r="114" spans="1:4" x14ac:dyDescent="0.25">
      <c r="A114" t="s">
        <v>150</v>
      </c>
      <c r="B114" t="str">
        <f t="shared" si="0"/>
        <v>D120 MAU</v>
      </c>
    </row>
    <row r="115" spans="1:4" x14ac:dyDescent="0.25">
      <c r="A115" t="s">
        <v>151</v>
      </c>
      <c r="B115" t="str">
        <f t="shared" si="0"/>
        <v>D130 MAU</v>
      </c>
    </row>
    <row r="116" spans="1:4" x14ac:dyDescent="0.25">
      <c r="A116" t="s">
        <v>152</v>
      </c>
      <c r="B116" t="str">
        <f t="shared" si="0"/>
        <v>F130 MAU</v>
      </c>
    </row>
    <row r="117" spans="1:4" x14ac:dyDescent="0.25">
      <c r="A117" t="s">
        <v>153</v>
      </c>
      <c r="B117" t="str">
        <f t="shared" si="0"/>
        <v>F140 MAU</v>
      </c>
    </row>
    <row r="118" spans="1:4" x14ac:dyDescent="0.25">
      <c r="A118" t="s">
        <v>154</v>
      </c>
      <c r="B118" t="str">
        <f t="shared" si="0"/>
        <v>F150 MAU</v>
      </c>
    </row>
    <row r="119" spans="1:4" x14ac:dyDescent="0.25">
      <c r="A119" t="s">
        <v>155</v>
      </c>
      <c r="B119" t="str">
        <f t="shared" si="0"/>
        <v>F160 MAU</v>
      </c>
    </row>
    <row r="120" spans="1:4" x14ac:dyDescent="0.25">
      <c r="A120" t="s">
        <v>156</v>
      </c>
      <c r="B120" t="str">
        <f t="shared" si="0"/>
        <v>F170 MAU</v>
      </c>
    </row>
    <row r="121" spans="1:4" x14ac:dyDescent="0.25">
      <c r="A121" t="s">
        <v>113</v>
      </c>
      <c r="B121" t="str">
        <f>A121 &amp; " RTU 1"</f>
        <v>G110 RTU 1</v>
      </c>
      <c r="C121">
        <v>2</v>
      </c>
      <c r="D121">
        <v>2</v>
      </c>
    </row>
    <row r="122" spans="1:4" x14ac:dyDescent="0.25">
      <c r="A122" t="s">
        <v>113</v>
      </c>
      <c r="B122" t="str">
        <f>A122 &amp; " RTU 2"</f>
        <v>G110 RTU 2</v>
      </c>
      <c r="C122">
        <v>2</v>
      </c>
      <c r="D122">
        <v>2</v>
      </c>
    </row>
    <row r="123" spans="1:4" x14ac:dyDescent="0.25">
      <c r="A123" t="s">
        <v>114</v>
      </c>
      <c r="B123" t="str">
        <f>A123 &amp; " RTU 1"</f>
        <v>G114 RTU 1</v>
      </c>
      <c r="C123">
        <v>2</v>
      </c>
      <c r="D123">
        <v>1</v>
      </c>
    </row>
    <row r="124" spans="1:4" x14ac:dyDescent="0.25">
      <c r="A124" t="s">
        <v>114</v>
      </c>
      <c r="B124" t="str">
        <f>A124 &amp; " RTU 2"</f>
        <v>G114 RTU 2</v>
      </c>
      <c r="C124">
        <v>2</v>
      </c>
      <c r="D124">
        <v>1</v>
      </c>
    </row>
    <row r="125" spans="1:4" x14ac:dyDescent="0.25">
      <c r="A125" t="s">
        <v>115</v>
      </c>
      <c r="B125" t="str">
        <f>A125 &amp; " RTU 1"</f>
        <v>G116 RTU 1</v>
      </c>
      <c r="C125">
        <v>2</v>
      </c>
      <c r="D125">
        <v>1</v>
      </c>
    </row>
    <row r="126" spans="1:4" x14ac:dyDescent="0.25">
      <c r="A126" t="s">
        <v>115</v>
      </c>
      <c r="B126" t="str">
        <f>A126 &amp; " RTU 2"</f>
        <v>G116 RTU 2</v>
      </c>
      <c r="C126">
        <v>2</v>
      </c>
      <c r="D126">
        <v>1</v>
      </c>
    </row>
    <row r="127" spans="1:4" x14ac:dyDescent="0.25">
      <c r="A127" t="s">
        <v>116</v>
      </c>
      <c r="B127" t="str">
        <f>A127 &amp; " RTU 1"</f>
        <v>G118 RTU 1</v>
      </c>
      <c r="C127">
        <v>2</v>
      </c>
      <c r="D127">
        <v>1</v>
      </c>
    </row>
    <row r="128" spans="1:4" x14ac:dyDescent="0.25">
      <c r="A128" t="s">
        <v>116</v>
      </c>
      <c r="B128" t="str">
        <f>A128 &amp; " RTU 2"</f>
        <v>G118 RTU 2</v>
      </c>
      <c r="C128">
        <v>2</v>
      </c>
      <c r="D128">
        <v>1</v>
      </c>
    </row>
    <row r="129" spans="1:4" x14ac:dyDescent="0.25">
      <c r="A129" t="s">
        <v>117</v>
      </c>
      <c r="B129" t="str">
        <f>A129 &amp; " RTU 1"</f>
        <v>G120 RTU 1</v>
      </c>
      <c r="C129">
        <v>2</v>
      </c>
      <c r="D129">
        <v>1</v>
      </c>
    </row>
    <row r="130" spans="1:4" x14ac:dyDescent="0.25">
      <c r="A130" t="s">
        <v>117</v>
      </c>
      <c r="B130" t="str">
        <f>A130 &amp; " RTU 2"</f>
        <v>G120 RTU 2</v>
      </c>
      <c r="C130">
        <v>2</v>
      </c>
      <c r="D130">
        <v>1</v>
      </c>
    </row>
    <row r="131" spans="1:4" x14ac:dyDescent="0.25">
      <c r="A131" t="s">
        <v>123</v>
      </c>
      <c r="B131" t="str">
        <f>A131 &amp; " RTU 1"</f>
        <v>G210 RTU 1</v>
      </c>
      <c r="C131">
        <v>2</v>
      </c>
      <c r="D131">
        <v>1</v>
      </c>
    </row>
    <row r="132" spans="1:4" x14ac:dyDescent="0.25">
      <c r="A132" t="s">
        <v>123</v>
      </c>
      <c r="B132" t="str">
        <f>A132 &amp; " RTU 2"</f>
        <v>G210 RTU 2</v>
      </c>
      <c r="C132">
        <v>2</v>
      </c>
      <c r="D132">
        <v>1</v>
      </c>
    </row>
    <row r="133" spans="1:4" x14ac:dyDescent="0.25">
      <c r="A133" t="s">
        <v>124</v>
      </c>
      <c r="B133" t="str">
        <f>A133 &amp; " RTU 1"</f>
        <v>G212 RTU 1</v>
      </c>
      <c r="C133">
        <v>2</v>
      </c>
      <c r="D133">
        <v>1</v>
      </c>
    </row>
    <row r="134" spans="1:4" x14ac:dyDescent="0.25">
      <c r="A134" t="s">
        <v>124</v>
      </c>
      <c r="B134" t="str">
        <f>A134 &amp; " RTU 2"</f>
        <v>G212 RTU 2</v>
      </c>
      <c r="C134">
        <v>2</v>
      </c>
      <c r="D134">
        <v>1</v>
      </c>
    </row>
    <row r="135" spans="1:4" x14ac:dyDescent="0.25">
      <c r="A135" t="s">
        <v>125</v>
      </c>
      <c r="B135" t="str">
        <f>A135 &amp; " RTU 1"</f>
        <v>G214 RTU 1</v>
      </c>
      <c r="C135">
        <v>2</v>
      </c>
      <c r="D135">
        <v>1</v>
      </c>
    </row>
    <row r="136" spans="1:4" x14ac:dyDescent="0.25">
      <c r="A136" t="s">
        <v>125</v>
      </c>
      <c r="B136" t="str">
        <f>A136 &amp; " RTU 2"</f>
        <v>G214 RTU 2</v>
      </c>
      <c r="C136">
        <v>2</v>
      </c>
      <c r="D136">
        <v>1</v>
      </c>
    </row>
    <row r="137" spans="1:4" x14ac:dyDescent="0.25">
      <c r="A137" t="s">
        <v>126</v>
      </c>
      <c r="B137" t="str">
        <f>A137 &amp; " RTU 1"</f>
        <v>G216 RTU 1</v>
      </c>
      <c r="C137">
        <v>2</v>
      </c>
      <c r="D137">
        <v>1</v>
      </c>
    </row>
    <row r="138" spans="1:4" x14ac:dyDescent="0.25">
      <c r="A138" t="s">
        <v>126</v>
      </c>
      <c r="B138" t="str">
        <f>A138 &amp; " RTU 2"</f>
        <v>G216 RTU 2</v>
      </c>
      <c r="C138">
        <v>2</v>
      </c>
      <c r="D138">
        <v>1</v>
      </c>
    </row>
    <row r="139" spans="1:4" x14ac:dyDescent="0.25">
      <c r="A139" t="s">
        <v>127</v>
      </c>
      <c r="B139" t="str">
        <f>A139 &amp; " RTU 1"</f>
        <v>G218 RTU 1</v>
      </c>
      <c r="C139">
        <v>2</v>
      </c>
      <c r="D139">
        <v>1</v>
      </c>
    </row>
    <row r="140" spans="1:4" x14ac:dyDescent="0.25">
      <c r="A140" t="s">
        <v>127</v>
      </c>
      <c r="B140" t="str">
        <f>A140 &amp; " RTU 2"</f>
        <v>G218 RTU 2</v>
      </c>
      <c r="C140">
        <v>2</v>
      </c>
      <c r="D140">
        <v>1</v>
      </c>
    </row>
    <row r="141" spans="1:4" x14ac:dyDescent="0.25">
      <c r="A141" t="s">
        <v>128</v>
      </c>
      <c r="B141" t="str">
        <f>A141 &amp; " RTU 1"</f>
        <v>G220 RTU 1</v>
      </c>
      <c r="C141">
        <v>2</v>
      </c>
      <c r="D141">
        <v>1</v>
      </c>
    </row>
    <row r="142" spans="1:4" x14ac:dyDescent="0.25">
      <c r="A142" t="s">
        <v>128</v>
      </c>
      <c r="B142" t="str">
        <f>A142 &amp; " RTU 2"</f>
        <v>G220 RTU 2</v>
      </c>
      <c r="C142">
        <v>2</v>
      </c>
      <c r="D142">
        <v>1</v>
      </c>
    </row>
    <row r="143" spans="1:4" x14ac:dyDescent="0.25">
      <c r="A143" t="s">
        <v>129</v>
      </c>
      <c r="B143" t="str">
        <f>A143 &amp; " RTU 1"</f>
        <v>K100 RTU 1</v>
      </c>
      <c r="C143">
        <v>2</v>
      </c>
      <c r="D143">
        <v>1</v>
      </c>
    </row>
    <row r="144" spans="1:4" x14ac:dyDescent="0.25">
      <c r="A144" t="s">
        <v>129</v>
      </c>
      <c r="B144" t="str">
        <f>A144 &amp; " RTU 2"</f>
        <v>K100 RTU 2</v>
      </c>
      <c r="C144">
        <v>2</v>
      </c>
      <c r="D144">
        <v>1</v>
      </c>
    </row>
    <row r="145" spans="1:4" x14ac:dyDescent="0.25">
      <c r="A145" t="s">
        <v>130</v>
      </c>
      <c r="B145" t="str">
        <f>A145 &amp; " RTU 1"</f>
        <v>K102 RTU 1</v>
      </c>
      <c r="C145">
        <v>2</v>
      </c>
      <c r="D145">
        <v>1</v>
      </c>
    </row>
    <row r="146" spans="1:4" x14ac:dyDescent="0.25">
      <c r="A146" t="s">
        <v>130</v>
      </c>
      <c r="B146" t="str">
        <f>A146 &amp; " RTU 2"</f>
        <v>K102 RTU 2</v>
      </c>
      <c r="C146">
        <v>2</v>
      </c>
      <c r="D146">
        <v>1</v>
      </c>
    </row>
    <row r="147" spans="1:4" x14ac:dyDescent="0.25">
      <c r="A147" t="s">
        <v>16</v>
      </c>
      <c r="B147" t="str">
        <f>A147 &amp; " RTU 1"</f>
        <v>K200 RTU 1</v>
      </c>
      <c r="C147">
        <v>2</v>
      </c>
      <c r="D147">
        <v>1</v>
      </c>
    </row>
    <row r="148" spans="1:4" x14ac:dyDescent="0.25">
      <c r="A148" t="s">
        <v>16</v>
      </c>
      <c r="B148" t="str">
        <f>A148 &amp; " RTU 2"</f>
        <v>K200 RTU 2</v>
      </c>
      <c r="C148">
        <v>2</v>
      </c>
      <c r="D148">
        <v>1</v>
      </c>
    </row>
    <row r="149" spans="1:4" x14ac:dyDescent="0.25">
      <c r="A149" t="s">
        <v>131</v>
      </c>
      <c r="B149" t="str">
        <f>A149 &amp; " RTU 1"</f>
        <v>K202 RTU 1</v>
      </c>
      <c r="C149">
        <v>2</v>
      </c>
      <c r="D149">
        <v>1</v>
      </c>
    </row>
    <row r="150" spans="1:4" x14ac:dyDescent="0.25">
      <c r="A150" t="s">
        <v>131</v>
      </c>
      <c r="B150" t="str">
        <f>A150 &amp; " RTU 2"</f>
        <v>K202 RTU 2</v>
      </c>
      <c r="C150">
        <v>2</v>
      </c>
      <c r="D150">
        <v>1</v>
      </c>
    </row>
    <row r="151" spans="1:4" x14ac:dyDescent="0.25">
      <c r="A151" t="s">
        <v>157</v>
      </c>
      <c r="B151" t="str">
        <f>A151 &amp; " MAU 1"</f>
        <v>H100 MAU 1</v>
      </c>
      <c r="C151">
        <v>0</v>
      </c>
      <c r="D151">
        <v>2</v>
      </c>
    </row>
    <row r="152" spans="1:4" x14ac:dyDescent="0.25">
      <c r="A152" t="s">
        <v>157</v>
      </c>
      <c r="B152" t="str">
        <f>A152 &amp; " MAU 2"</f>
        <v>H100 MAU 2</v>
      </c>
      <c r="C152">
        <v>0</v>
      </c>
      <c r="D152">
        <v>2</v>
      </c>
    </row>
    <row r="153" spans="1:4" x14ac:dyDescent="0.25">
      <c r="A153" t="s">
        <v>158</v>
      </c>
      <c r="B153" t="str">
        <f>A153 &amp; " MAU 1"</f>
        <v>H106 MAU 1</v>
      </c>
      <c r="C153">
        <v>0</v>
      </c>
      <c r="D153">
        <v>2</v>
      </c>
    </row>
    <row r="154" spans="1:4" x14ac:dyDescent="0.25">
      <c r="A154" t="s">
        <v>158</v>
      </c>
      <c r="B154" t="str">
        <f>A154 &amp; " MAU 2"</f>
        <v>H106 MAU 2</v>
      </c>
      <c r="C154">
        <v>0</v>
      </c>
      <c r="D154">
        <v>2</v>
      </c>
    </row>
    <row r="155" spans="1:4" x14ac:dyDescent="0.25">
      <c r="A155" t="s">
        <v>159</v>
      </c>
      <c r="B155" t="str">
        <f>A155 &amp; " MAU 1"</f>
        <v>H200 MAU 1</v>
      </c>
      <c r="C155">
        <v>0</v>
      </c>
      <c r="D155">
        <v>2</v>
      </c>
    </row>
    <row r="156" spans="1:4" x14ac:dyDescent="0.25">
      <c r="A156" t="s">
        <v>159</v>
      </c>
      <c r="B156" t="str">
        <f>A156 &amp; " MAU 2"</f>
        <v>H200 MAU 2</v>
      </c>
      <c r="C156">
        <v>0</v>
      </c>
      <c r="D156">
        <v>2</v>
      </c>
    </row>
    <row r="157" spans="1:4" x14ac:dyDescent="0.25">
      <c r="A157" t="s">
        <v>160</v>
      </c>
      <c r="B157" t="str">
        <f>A157 &amp; " MAU 1"</f>
        <v>H206 MAU 1</v>
      </c>
      <c r="C157">
        <v>0</v>
      </c>
      <c r="D157">
        <v>2</v>
      </c>
    </row>
    <row r="158" spans="1:4" x14ac:dyDescent="0.25">
      <c r="A158" t="s">
        <v>160</v>
      </c>
      <c r="B158" t="str">
        <f>A158 &amp; " MAU 2"</f>
        <v>H206 MAU 2</v>
      </c>
      <c r="C158">
        <v>0</v>
      </c>
      <c r="D158">
        <v>2</v>
      </c>
    </row>
    <row r="159" spans="1:4" x14ac:dyDescent="0.25">
      <c r="A159" t="s">
        <v>161</v>
      </c>
      <c r="B159" t="str">
        <f t="shared" ref="B159" si="1">A159 &amp; " MAU 1"</f>
        <v>J100 MAU 1</v>
      </c>
      <c r="C159">
        <v>0</v>
      </c>
      <c r="D159">
        <v>2</v>
      </c>
    </row>
    <row r="160" spans="1:4" x14ac:dyDescent="0.25">
      <c r="A160" t="s">
        <v>161</v>
      </c>
      <c r="B160" t="str">
        <f t="shared" ref="B160" si="2">A160 &amp; " MAU 2"</f>
        <v>J100 MAU 2</v>
      </c>
      <c r="C160">
        <v>0</v>
      </c>
      <c r="D160">
        <v>2</v>
      </c>
    </row>
    <row r="161" spans="1:4" x14ac:dyDescent="0.25">
      <c r="A161" t="s">
        <v>162</v>
      </c>
      <c r="B161" t="str">
        <f t="shared" ref="B161" si="3">A161 &amp; " MAU 1"</f>
        <v>J102 MAU 1</v>
      </c>
      <c r="C161">
        <v>0</v>
      </c>
      <c r="D161">
        <v>2</v>
      </c>
    </row>
    <row r="162" spans="1:4" x14ac:dyDescent="0.25">
      <c r="A162" t="s">
        <v>162</v>
      </c>
      <c r="B162" t="str">
        <f t="shared" ref="B162" si="4">A162 &amp; " MAU 2"</f>
        <v>J102 MAU 2</v>
      </c>
      <c r="C162">
        <v>0</v>
      </c>
      <c r="D162">
        <v>2</v>
      </c>
    </row>
    <row r="163" spans="1:4" x14ac:dyDescent="0.25">
      <c r="A163" t="s">
        <v>163</v>
      </c>
      <c r="B163" t="str">
        <f t="shared" ref="B163" si="5">A163 &amp; " MAU 1"</f>
        <v>J106 MAU 1</v>
      </c>
      <c r="C163">
        <v>0</v>
      </c>
      <c r="D163">
        <v>2</v>
      </c>
    </row>
    <row r="164" spans="1:4" x14ac:dyDescent="0.25">
      <c r="A164" t="s">
        <v>163</v>
      </c>
      <c r="B164" t="str">
        <f t="shared" ref="B164" si="6">A164 &amp; " MAU 2"</f>
        <v>J106 MAU 2</v>
      </c>
      <c r="C164">
        <v>0</v>
      </c>
      <c r="D164">
        <v>2</v>
      </c>
    </row>
    <row r="165" spans="1:4" x14ac:dyDescent="0.25">
      <c r="A165" t="s">
        <v>164</v>
      </c>
      <c r="B165" t="str">
        <f t="shared" ref="B165" si="7">A165 &amp; " MAU 1"</f>
        <v>J200 MAU 1</v>
      </c>
      <c r="C165">
        <v>0</v>
      </c>
      <c r="D165">
        <v>2</v>
      </c>
    </row>
    <row r="166" spans="1:4" x14ac:dyDescent="0.25">
      <c r="A166" t="s">
        <v>164</v>
      </c>
      <c r="B166" t="str">
        <f t="shared" ref="B166" si="8">A166 &amp; " MAU 2"</f>
        <v>J200 MAU 2</v>
      </c>
      <c r="C166">
        <v>0</v>
      </c>
      <c r="D166">
        <v>2</v>
      </c>
    </row>
    <row r="167" spans="1:4" x14ac:dyDescent="0.25">
      <c r="A167" t="s">
        <v>165</v>
      </c>
      <c r="B167" t="str">
        <f t="shared" ref="B167" si="9">A167 &amp; " MAU 1"</f>
        <v>J202 MAU 1</v>
      </c>
      <c r="C167">
        <v>0</v>
      </c>
      <c r="D167">
        <v>2</v>
      </c>
    </row>
    <row r="168" spans="1:4" x14ac:dyDescent="0.25">
      <c r="A168" t="s">
        <v>165</v>
      </c>
      <c r="B168" t="str">
        <f t="shared" ref="B168" si="10">A168 &amp; " MAU 2"</f>
        <v>J202 MAU 2</v>
      </c>
      <c r="C168">
        <v>0</v>
      </c>
      <c r="D168">
        <v>2</v>
      </c>
    </row>
    <row r="169" spans="1:4" x14ac:dyDescent="0.25">
      <c r="A169" t="s">
        <v>166</v>
      </c>
      <c r="B169" t="str">
        <f t="shared" ref="B169" si="11">A169 &amp; " MAU 1"</f>
        <v>J206 MAU 1</v>
      </c>
      <c r="C169">
        <v>0</v>
      </c>
      <c r="D169">
        <v>2</v>
      </c>
    </row>
    <row r="170" spans="1:4" x14ac:dyDescent="0.25">
      <c r="A170" t="s">
        <v>166</v>
      </c>
      <c r="B170" t="str">
        <f t="shared" ref="B170" si="12">A170 &amp; " MAU 2"</f>
        <v>J206 MAU 2</v>
      </c>
      <c r="C170">
        <v>0</v>
      </c>
      <c r="D170">
        <v>2</v>
      </c>
    </row>
    <row r="171" spans="1:4" x14ac:dyDescent="0.25">
      <c r="A171" t="s">
        <v>129</v>
      </c>
      <c r="B171" t="str">
        <f t="shared" ref="B171" si="13">A171 &amp; " MAU 1"</f>
        <v>K100 MAU 1</v>
      </c>
      <c r="C171">
        <v>2</v>
      </c>
      <c r="D171">
        <v>1</v>
      </c>
    </row>
    <row r="172" spans="1:4" x14ac:dyDescent="0.25">
      <c r="A172" t="s">
        <v>129</v>
      </c>
      <c r="B172" t="str">
        <f t="shared" ref="B172" si="14">A172 &amp; " MAU 2"</f>
        <v>K100 MAU 2</v>
      </c>
      <c r="C172">
        <v>2</v>
      </c>
      <c r="D172">
        <v>1</v>
      </c>
    </row>
    <row r="173" spans="1:4" x14ac:dyDescent="0.25">
      <c r="A173" t="s">
        <v>130</v>
      </c>
      <c r="B173" t="str">
        <f t="shared" ref="B173" si="15">A173 &amp; " MAU 1"</f>
        <v>K102 MAU 1</v>
      </c>
      <c r="C173">
        <v>2</v>
      </c>
      <c r="D173">
        <v>1</v>
      </c>
    </row>
    <row r="174" spans="1:4" x14ac:dyDescent="0.25">
      <c r="A174" t="s">
        <v>130</v>
      </c>
      <c r="B174" t="str">
        <f t="shared" ref="B174" si="16">A174 &amp; " MAU 2"</f>
        <v>K102 MAU 2</v>
      </c>
      <c r="C174">
        <v>2</v>
      </c>
      <c r="D174">
        <v>1</v>
      </c>
    </row>
    <row r="175" spans="1:4" x14ac:dyDescent="0.25">
      <c r="A175" t="s">
        <v>167</v>
      </c>
      <c r="B175" t="str">
        <f t="shared" ref="B175" si="17">A175 &amp; " MAU 1"</f>
        <v>K104 MAU 1</v>
      </c>
      <c r="C175">
        <v>0</v>
      </c>
      <c r="D175">
        <v>1</v>
      </c>
    </row>
    <row r="176" spans="1:4" x14ac:dyDescent="0.25">
      <c r="A176" t="s">
        <v>167</v>
      </c>
      <c r="B176" t="str">
        <f t="shared" ref="B176" si="18">A176 &amp; " MAU 2"</f>
        <v>K104 MAU 2</v>
      </c>
      <c r="C176">
        <v>0</v>
      </c>
      <c r="D176">
        <v>1</v>
      </c>
    </row>
    <row r="177" spans="1:4" x14ac:dyDescent="0.25">
      <c r="A177" t="s">
        <v>168</v>
      </c>
      <c r="B177" t="str">
        <f t="shared" ref="B177" si="19">A177 &amp; " MAU 1"</f>
        <v>K106 MAU 1</v>
      </c>
      <c r="C177">
        <v>0</v>
      </c>
      <c r="D177">
        <v>1</v>
      </c>
    </row>
    <row r="178" spans="1:4" x14ac:dyDescent="0.25">
      <c r="A178" t="s">
        <v>168</v>
      </c>
      <c r="B178" t="str">
        <f t="shared" ref="B178" si="20">A178 &amp; " MAU 2"</f>
        <v>K106 MAU 2</v>
      </c>
      <c r="C178">
        <v>0</v>
      </c>
      <c r="D178">
        <v>1</v>
      </c>
    </row>
    <row r="179" spans="1:4" x14ac:dyDescent="0.25">
      <c r="A179" t="s">
        <v>169</v>
      </c>
      <c r="B179" t="str">
        <f t="shared" ref="B179" si="21">A179 &amp; " MAU 1"</f>
        <v>K108 MAU 1</v>
      </c>
      <c r="C179">
        <v>0</v>
      </c>
      <c r="D179">
        <v>1</v>
      </c>
    </row>
    <row r="180" spans="1:4" x14ac:dyDescent="0.25">
      <c r="A180" t="s">
        <v>169</v>
      </c>
      <c r="B180" t="str">
        <f t="shared" ref="B180" si="22">A180 &amp; " MAU 2"</f>
        <v>K108 MAU 2</v>
      </c>
      <c r="C180">
        <v>0</v>
      </c>
      <c r="D180">
        <v>1</v>
      </c>
    </row>
    <row r="181" spans="1:4" x14ac:dyDescent="0.25">
      <c r="A181" t="s">
        <v>170</v>
      </c>
      <c r="B181" t="str">
        <f t="shared" ref="B181" si="23">A181 &amp; " MAU 1"</f>
        <v>K110 MAU 1</v>
      </c>
      <c r="C181">
        <v>0</v>
      </c>
      <c r="D181">
        <v>1</v>
      </c>
    </row>
    <row r="182" spans="1:4" x14ac:dyDescent="0.25">
      <c r="A182" t="s">
        <v>170</v>
      </c>
      <c r="B182" t="str">
        <f t="shared" ref="B182" si="24">A182 &amp; " MAU 2"</f>
        <v>K110 MAU 2</v>
      </c>
      <c r="C182">
        <v>0</v>
      </c>
      <c r="D182">
        <v>1</v>
      </c>
    </row>
    <row r="183" spans="1:4" x14ac:dyDescent="0.25">
      <c r="A183" t="s">
        <v>171</v>
      </c>
      <c r="B183" t="str">
        <f t="shared" ref="B183" si="25">A183 &amp; " MAU 1"</f>
        <v>K112 MAU 1</v>
      </c>
      <c r="C183">
        <v>0</v>
      </c>
      <c r="D183">
        <v>1</v>
      </c>
    </row>
    <row r="184" spans="1:4" x14ac:dyDescent="0.25">
      <c r="A184" t="s">
        <v>171</v>
      </c>
      <c r="B184" t="str">
        <f t="shared" ref="B184" si="26">A184 &amp; " MAU 2"</f>
        <v>K112 MAU 2</v>
      </c>
      <c r="C184">
        <v>0</v>
      </c>
      <c r="D184">
        <v>1</v>
      </c>
    </row>
    <row r="185" spans="1:4" x14ac:dyDescent="0.25">
      <c r="A185" t="s">
        <v>172</v>
      </c>
      <c r="B185" t="str">
        <f t="shared" ref="B185" si="27">A185 &amp; " MAU 1"</f>
        <v>K114 MAU 1</v>
      </c>
      <c r="C185">
        <v>0</v>
      </c>
      <c r="D185">
        <v>2</v>
      </c>
    </row>
    <row r="186" spans="1:4" x14ac:dyDescent="0.25">
      <c r="A186" t="s">
        <v>172</v>
      </c>
      <c r="B186" t="str">
        <f t="shared" ref="B186" si="28">A186 &amp; " MAU 2"</f>
        <v>K114 MAU 2</v>
      </c>
      <c r="C186">
        <v>0</v>
      </c>
      <c r="D186">
        <v>2</v>
      </c>
    </row>
    <row r="187" spans="1:4" x14ac:dyDescent="0.25">
      <c r="A187" t="s">
        <v>16</v>
      </c>
      <c r="B187" t="str">
        <f t="shared" ref="B187" si="29">A187 &amp; " MAU 1"</f>
        <v>K200 MAU 1</v>
      </c>
      <c r="C187">
        <v>2</v>
      </c>
      <c r="D187">
        <v>1</v>
      </c>
    </row>
    <row r="188" spans="1:4" x14ac:dyDescent="0.25">
      <c r="A188" t="s">
        <v>16</v>
      </c>
      <c r="B188" t="str">
        <f t="shared" ref="B188" si="30">A188 &amp; " MAU 2"</f>
        <v>K200 MAU 2</v>
      </c>
      <c r="C188">
        <v>2</v>
      </c>
      <c r="D188">
        <v>1</v>
      </c>
    </row>
    <row r="189" spans="1:4" x14ac:dyDescent="0.25">
      <c r="A189" t="s">
        <v>131</v>
      </c>
      <c r="B189" t="str">
        <f t="shared" ref="B189" si="31">A189 &amp; " MAU 1"</f>
        <v>K202 MAU 1</v>
      </c>
      <c r="C189">
        <v>2</v>
      </c>
      <c r="D189">
        <v>1</v>
      </c>
    </row>
    <row r="190" spans="1:4" x14ac:dyDescent="0.25">
      <c r="A190" t="s">
        <v>131</v>
      </c>
      <c r="B190" t="str">
        <f t="shared" ref="B190" si="32">A190 &amp; " MAU 2"</f>
        <v>K202 MAU 2</v>
      </c>
      <c r="C190">
        <v>0</v>
      </c>
      <c r="D190">
        <v>1</v>
      </c>
    </row>
    <row r="191" spans="1:4" x14ac:dyDescent="0.25">
      <c r="A191" t="s">
        <v>173</v>
      </c>
      <c r="B191" t="str">
        <f t="shared" ref="B191" si="33">A191 &amp; " MAU 1"</f>
        <v>K204 MAU 1</v>
      </c>
      <c r="C191">
        <v>0</v>
      </c>
      <c r="D191">
        <v>1</v>
      </c>
    </row>
    <row r="192" spans="1:4" x14ac:dyDescent="0.25">
      <c r="A192" t="s">
        <v>173</v>
      </c>
      <c r="B192" t="str">
        <f t="shared" ref="B192" si="34">A192 &amp; " MAU 2"</f>
        <v>K204 MAU 2</v>
      </c>
      <c r="C192">
        <v>0</v>
      </c>
      <c r="D192">
        <v>1</v>
      </c>
    </row>
    <row r="193" spans="1:4" x14ac:dyDescent="0.25">
      <c r="A193" t="s">
        <v>174</v>
      </c>
      <c r="B193" t="str">
        <f t="shared" ref="B193" si="35">A193 &amp; " MAU 1"</f>
        <v>K206 MAU 1</v>
      </c>
      <c r="C193">
        <v>0</v>
      </c>
      <c r="D193">
        <v>1</v>
      </c>
    </row>
    <row r="194" spans="1:4" x14ac:dyDescent="0.25">
      <c r="A194" t="s">
        <v>174</v>
      </c>
      <c r="B194" t="str">
        <f t="shared" ref="B194" si="36">A194 &amp; " MAU 2"</f>
        <v>K206 MAU 2</v>
      </c>
      <c r="C194">
        <v>0</v>
      </c>
      <c r="D194">
        <v>1</v>
      </c>
    </row>
    <row r="195" spans="1:4" x14ac:dyDescent="0.25">
      <c r="A195" t="s">
        <v>175</v>
      </c>
      <c r="B195" t="str">
        <f t="shared" ref="B195" si="37">A195 &amp; " MAU 1"</f>
        <v>K208 MAU 1</v>
      </c>
      <c r="C195">
        <v>0</v>
      </c>
      <c r="D195">
        <v>1</v>
      </c>
    </row>
    <row r="196" spans="1:4" x14ac:dyDescent="0.25">
      <c r="A196" t="s">
        <v>175</v>
      </c>
      <c r="B196" t="str">
        <f t="shared" ref="B196" si="38">A196 &amp; " MAU 2"</f>
        <v>K208 MAU 2</v>
      </c>
      <c r="C196">
        <v>0</v>
      </c>
      <c r="D196">
        <v>1</v>
      </c>
    </row>
    <row r="197" spans="1:4" x14ac:dyDescent="0.25">
      <c r="A197" t="s">
        <v>176</v>
      </c>
      <c r="B197" t="str">
        <f t="shared" ref="B197" si="39">A197 &amp; " MAU 1"</f>
        <v>K210 MAU 1</v>
      </c>
      <c r="C197">
        <v>0</v>
      </c>
      <c r="D197">
        <v>1</v>
      </c>
    </row>
    <row r="198" spans="1:4" x14ac:dyDescent="0.25">
      <c r="A198" t="s">
        <v>176</v>
      </c>
      <c r="B198" t="str">
        <f t="shared" ref="B198" si="40">A198 &amp; " MAU 2"</f>
        <v>K210 MAU 2</v>
      </c>
      <c r="C198">
        <v>0</v>
      </c>
      <c r="D198">
        <v>1</v>
      </c>
    </row>
    <row r="199" spans="1:4" x14ac:dyDescent="0.25">
      <c r="A199" t="s">
        <v>177</v>
      </c>
      <c r="B199" t="str">
        <f t="shared" ref="B199" si="41">A199 &amp; " MAU 1"</f>
        <v>K212 MAU 1</v>
      </c>
      <c r="C199">
        <v>0</v>
      </c>
      <c r="D199">
        <v>1</v>
      </c>
    </row>
  </sheetData>
  <phoneticPr fontId="4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3CB4-24F5-4565-9B18-DE71C81ADF8E}">
  <sheetPr codeName="Config_All"/>
  <dimension ref="A1:AM71"/>
  <sheetViews>
    <sheetView workbookViewId="0">
      <selection activeCell="M16" sqref="M16"/>
    </sheetView>
  </sheetViews>
  <sheetFormatPr defaultRowHeight="15" x14ac:dyDescent="0.25"/>
  <cols>
    <col min="1" max="1" width="24" customWidth="1"/>
    <col min="2" max="2" width="22.7109375" customWidth="1"/>
    <col min="3" max="3" width="15.140625" customWidth="1"/>
    <col min="4" max="4" width="9.5703125" customWidth="1"/>
    <col min="5" max="5" width="15.5703125" customWidth="1"/>
    <col min="6" max="6" width="6.5703125" customWidth="1"/>
    <col min="7" max="7" width="5.28515625" customWidth="1"/>
    <col min="8" max="8" width="8" customWidth="1"/>
    <col min="9" max="9" width="7.28515625" customWidth="1"/>
    <col min="10" max="10" width="8.28515625" customWidth="1"/>
    <col min="11" max="11" width="7.28515625" customWidth="1"/>
    <col min="12" max="12" width="6.85546875" customWidth="1"/>
    <col min="13" max="13" width="13.28515625" customWidth="1"/>
    <col min="14" max="14" width="12.28515625" customWidth="1"/>
    <col min="15" max="15" width="9.28515625" customWidth="1"/>
    <col min="16" max="16" width="4.42578125" customWidth="1"/>
    <col min="17" max="17" width="67.28515625" customWidth="1"/>
    <col min="18" max="18" width="13.42578125" customWidth="1"/>
    <col min="19" max="19" width="9.140625" customWidth="1"/>
    <col min="20" max="20" width="23" customWidth="1"/>
    <col min="21" max="21" width="16.28515625" customWidth="1"/>
    <col min="22" max="22" width="15.28515625" customWidth="1"/>
    <col min="23" max="23" width="19.5703125" customWidth="1"/>
    <col min="24" max="24" width="18.5703125" customWidth="1"/>
    <col min="25" max="25" width="11.5703125" bestFit="1" customWidth="1"/>
    <col min="31" max="31" width="9.7109375" bestFit="1" customWidth="1"/>
    <col min="32" max="32" width="10.7109375" bestFit="1" customWidth="1"/>
    <col min="36" max="36" width="13.7109375" bestFit="1" customWidth="1"/>
  </cols>
  <sheetData>
    <row r="1" spans="1:39" ht="15.75" thickBot="1" x14ac:dyDescent="0.3">
      <c r="B1" s="79" t="str">
        <f>VLOOKUP(zTaskName, 'Config-All'!A4:B37, 2, FALSE)</f>
        <v>zzGenRunNL</v>
      </c>
      <c r="Q1" t="str">
        <f>VLOOKUP(zTaskNameIdentifier, 'Config-All'!$B$4:$AE$36, 16, FALSE)</f>
        <v>IAD35-G104-CMOP-No Load Gen Run WO9999999</v>
      </c>
      <c r="AK1" s="107"/>
      <c r="AL1" s="107"/>
      <c r="AM1" s="107"/>
    </row>
    <row r="2" spans="1:39" x14ac:dyDescent="0.25">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AL2" s="107"/>
    </row>
    <row r="3" spans="1:39" x14ac:dyDescent="0.25">
      <c r="A3" t="s">
        <v>42</v>
      </c>
      <c r="B3" s="88" t="s">
        <v>178</v>
      </c>
      <c r="C3" s="88" t="s">
        <v>179</v>
      </c>
      <c r="D3" s="88" t="s">
        <v>38</v>
      </c>
      <c r="E3" s="88" t="s">
        <v>8</v>
      </c>
      <c r="F3" s="88" t="s">
        <v>104</v>
      </c>
      <c r="G3" s="88" t="s">
        <v>180</v>
      </c>
      <c r="H3" s="88" t="s">
        <v>181</v>
      </c>
      <c r="I3" s="88" t="s">
        <v>182</v>
      </c>
      <c r="J3" s="88" t="s">
        <v>183</v>
      </c>
      <c r="K3" s="88" t="s">
        <v>184</v>
      </c>
      <c r="L3" s="88" t="s">
        <v>185</v>
      </c>
      <c r="M3" s="88" t="s">
        <v>186</v>
      </c>
      <c r="N3" s="88" t="s">
        <v>187</v>
      </c>
      <c r="O3" s="88" t="s">
        <v>188</v>
      </c>
      <c r="P3" s="88" t="s">
        <v>189</v>
      </c>
      <c r="Q3" s="88" t="s">
        <v>190</v>
      </c>
      <c r="R3" s="88" t="s">
        <v>191</v>
      </c>
      <c r="S3" s="88" t="s">
        <v>192</v>
      </c>
      <c r="T3" s="88" t="s">
        <v>193</v>
      </c>
      <c r="U3" s="88" t="s">
        <v>194</v>
      </c>
      <c r="V3" s="88" t="s">
        <v>195</v>
      </c>
      <c r="W3" s="88" t="s">
        <v>196</v>
      </c>
      <c r="X3" s="88" t="s">
        <v>197</v>
      </c>
      <c r="Y3" s="88" t="s">
        <v>198</v>
      </c>
      <c r="AL3" s="107"/>
    </row>
    <row r="4" spans="1:39" ht="30" x14ac:dyDescent="0.25">
      <c r="A4" s="109" t="s">
        <v>199</v>
      </c>
      <c r="B4" s="47" t="s">
        <v>200</v>
      </c>
      <c r="C4" s="47" t="s">
        <v>201</v>
      </c>
      <c r="D4" s="47" t="s">
        <v>202</v>
      </c>
      <c r="E4" s="47" t="str">
        <f>IADNumber &amp; " Generator Yard"</f>
        <v>IAD35 Generator Yard</v>
      </c>
      <c r="F4" s="47" t="str">
        <f>IF(RIGHT(LEFT(zSelectedEquipment, 7), 5)="House", "PBB", LEFT(zSelectedEquipment, 4))</f>
        <v>G104</v>
      </c>
      <c r="G4" s="47">
        <f>IFERROR(VLOOKUP(zSelectedEquipment, 'Config-Gen'!$A$4:$R$143, 3, FALSE), "ERROR")</f>
        <v>2</v>
      </c>
      <c r="H4" s="47" t="s">
        <v>203</v>
      </c>
      <c r="I4" s="47" t="s">
        <v>203</v>
      </c>
      <c r="J4" s="47" t="s">
        <v>203</v>
      </c>
      <c r="K4" s="47" t="s">
        <v>203</v>
      </c>
      <c r="L4" s="47" t="s">
        <v>203</v>
      </c>
      <c r="M4" s="47" t="s">
        <v>203</v>
      </c>
      <c r="N4" s="47" t="s">
        <v>203</v>
      </c>
      <c r="O4" s="47" t="s">
        <v>203</v>
      </c>
      <c r="P4" s="47" t="str">
        <f t="shared" ref="P4:P28" si="0">LEFT(zSelectedEquipment, 1)</f>
        <v>G</v>
      </c>
      <c r="Q4" s="124" t="str" cm="1">
        <f t="array" ref="Q4">IADNumber &amp; "-" &amp; Suite &amp;  "-" &amp; "CMOP"&amp;  "-" &amp; "No Load Gen Run " &amp; WOorCHG</f>
        <v>IAD35-G104-CMOP-No Load Gen Run WO9999999</v>
      </c>
      <c r="R4">
        <f>VLOOKUP(zSelectedEquipment, 'Config-Gen'!$A$4:$P$143, 5, FALSE)</f>
        <v>0</v>
      </c>
      <c r="S4">
        <f>VLOOKUP(zSelectedEquipment, 'Config-Gen'!$A$4:$P$143, 4, FALSE)</f>
        <v>0</v>
      </c>
      <c r="T4" s="47" t="s">
        <v>203</v>
      </c>
      <c r="U4" s="47" t="s">
        <v>204</v>
      </c>
      <c r="V4" s="116">
        <v>43906</v>
      </c>
      <c r="W4" s="47" t="s">
        <v>201</v>
      </c>
      <c r="X4" s="116">
        <v>43906</v>
      </c>
      <c r="Y4" s="6" t="s">
        <v>205</v>
      </c>
      <c r="AL4" s="107"/>
    </row>
    <row r="5" spans="1:39" ht="45" x14ac:dyDescent="0.25">
      <c r="A5" s="109" t="s">
        <v>206</v>
      </c>
      <c r="B5" s="47" t="s">
        <v>207</v>
      </c>
      <c r="C5" s="47" t="s">
        <v>201</v>
      </c>
      <c r="D5" s="47" t="s">
        <v>202</v>
      </c>
      <c r="E5" s="47" t="str">
        <f>IADNumber &amp; " Generator Yard"</f>
        <v>IAD35 Generator Yard</v>
      </c>
      <c r="F5" s="47" t="str">
        <f>IF(RIGHT(LEFT(zSelectedEquipment, 7), 5)="House", "PBB", LEFT(zSelectedEquipment, 4))</f>
        <v>G104</v>
      </c>
      <c r="G5" s="47">
        <f>IFERROR(VLOOKUP(zSelectedEquipment, 'Config-Gen'!$A$4:$R$143, 3, FALSE), "ERROR")</f>
        <v>2</v>
      </c>
      <c r="H5" s="47" t="s">
        <v>203</v>
      </c>
      <c r="I5" s="47" t="s">
        <v>203</v>
      </c>
      <c r="J5" s="47" t="s">
        <v>203</v>
      </c>
      <c r="K5" s="47" t="s">
        <v>203</v>
      </c>
      <c r="L5" s="47" t="s">
        <v>203</v>
      </c>
      <c r="M5" s="47" t="s">
        <v>203</v>
      </c>
      <c r="N5" s="47" t="s">
        <v>203</v>
      </c>
      <c r="O5" s="47" t="s">
        <v>203</v>
      </c>
      <c r="P5" s="47" t="str">
        <f t="shared" si="0"/>
        <v>G</v>
      </c>
      <c r="Q5" s="124" t="str" cm="1">
        <f t="array" ref="Q5">IADNumber &amp; "-" &amp; Suite &amp;  "-" &amp; "CMOP"&amp;  "-" &amp; "Loaded Gen Run " &amp; WOorCHG</f>
        <v>IAD35-G104-CMOP-Loaded Gen Run WO9999999</v>
      </c>
      <c r="R5">
        <f>VLOOKUP(zSelectedEquipment, 'Config-Gen'!$A$4:$P$143, 5, FALSE)</f>
        <v>0</v>
      </c>
      <c r="S5">
        <f>VLOOKUP(zSelectedEquipment, 'Config-Gen'!$A$4:$P$143, 4, FALSE)</f>
        <v>0</v>
      </c>
      <c r="T5" s="47" t="s">
        <v>203</v>
      </c>
      <c r="U5" s="47" t="s">
        <v>204</v>
      </c>
      <c r="V5" s="116">
        <v>43906</v>
      </c>
      <c r="W5" s="47" t="s">
        <v>201</v>
      </c>
      <c r="X5" s="116">
        <v>43906</v>
      </c>
      <c r="Y5" s="6" t="s">
        <v>205</v>
      </c>
      <c r="AL5" s="107"/>
    </row>
    <row r="6" spans="1:39" x14ac:dyDescent="0.25">
      <c r="A6" s="10" t="s">
        <v>208</v>
      </c>
      <c r="B6" s="47" t="s">
        <v>209</v>
      </c>
      <c r="C6" s="47" t="s">
        <v>204</v>
      </c>
      <c r="D6" s="47" t="s">
        <v>39</v>
      </c>
      <c r="E6" s="47" t="str">
        <f>IADNumber &amp; " Generator Yard"</f>
        <v>IAD35 Generator Yard</v>
      </c>
      <c r="F6" s="47" t="str">
        <f>IF(OR(RIGHT(LEFT(zSelectedEquipment, 7), 5)="House", RIGHT(zSelectedEquipment, 7)="Roll-up"), "PBB", LEFT(zSelectedEquipment, 4))</f>
        <v>G104</v>
      </c>
      <c r="G6" s="47">
        <f>IFERROR(VLOOKUP(zSelectedEquipment, 'Config-Gen'!$A$4:$R$143, 3, FALSE), "ERROR")</f>
        <v>2</v>
      </c>
      <c r="H6" s="47" t="s">
        <v>203</v>
      </c>
      <c r="I6" s="47" t="s">
        <v>203</v>
      </c>
      <c r="J6" s="47" t="s">
        <v>203</v>
      </c>
      <c r="K6" s="47" t="s">
        <v>203</v>
      </c>
      <c r="L6" s="47" t="s">
        <v>203</v>
      </c>
      <c r="M6" s="47" t="s">
        <v>203</v>
      </c>
      <c r="N6" s="47" t="s">
        <v>203</v>
      </c>
      <c r="O6" s="47" t="s">
        <v>203</v>
      </c>
      <c r="P6" s="47" t="str">
        <f t="shared" si="0"/>
        <v>G</v>
      </c>
      <c r="Q6" s="124" t="str" cm="1">
        <f t="array" ref="Q6">IADNumber &amp; "-" &amp; Suite &amp;  "-" &amp; "CMOP"&amp;  "-" &amp; "Generator Major PM " &amp; WOorCHG</f>
        <v>IAD35-G104-CMOP-Generator Major PM WO9999999</v>
      </c>
      <c r="R6" s="47" t="s">
        <v>203</v>
      </c>
      <c r="S6" s="47" t="s">
        <v>203</v>
      </c>
      <c r="T6" s="47" t="s">
        <v>203</v>
      </c>
      <c r="U6" s="47" t="s">
        <v>204</v>
      </c>
      <c r="V6" s="116">
        <v>44000</v>
      </c>
      <c r="W6" s="47" t="s">
        <v>201</v>
      </c>
      <c r="X6" s="116">
        <v>44000</v>
      </c>
      <c r="Y6" s="6" t="s">
        <v>50</v>
      </c>
      <c r="AL6" s="107"/>
    </row>
    <row r="7" spans="1:39" x14ac:dyDescent="0.25">
      <c r="A7" s="108" t="s">
        <v>35</v>
      </c>
      <c r="B7" s="47" t="s">
        <v>210</v>
      </c>
      <c r="C7" s="47" t="s">
        <v>204</v>
      </c>
      <c r="D7" s="47" t="s">
        <v>39</v>
      </c>
      <c r="E7" s="47" t="str">
        <f>IADNumber &amp; " Generator Yard"</f>
        <v>IAD35 Generator Yard</v>
      </c>
      <c r="F7" s="47" t="str">
        <f>IF(OR(RIGHT(LEFT(zSelectedEquipment, 7), 5)="House", RIGHT(zSelectedEquipment, 7)="Roll-up"), "PBB", LEFT(zSelectedEquipment, 4))</f>
        <v>G104</v>
      </c>
      <c r="G7" s="47">
        <f>IFERROR(VLOOKUP(zSelectedEquipment, 'Config-Gen'!$A$4:$R$143, 3, FALSE), "ERROR")</f>
        <v>2</v>
      </c>
      <c r="H7" s="47" t="s">
        <v>203</v>
      </c>
      <c r="I7" s="47" t="s">
        <v>203</v>
      </c>
      <c r="J7" s="47" t="s">
        <v>203</v>
      </c>
      <c r="K7" s="47" t="s">
        <v>203</v>
      </c>
      <c r="L7" s="47" t="s">
        <v>203</v>
      </c>
      <c r="M7" s="47" t="s">
        <v>203</v>
      </c>
      <c r="N7" s="47" t="s">
        <v>203</v>
      </c>
      <c r="O7" s="47" t="s">
        <v>203</v>
      </c>
      <c r="P7" s="47" t="str">
        <f t="shared" si="0"/>
        <v>G</v>
      </c>
      <c r="Q7" s="124" t="str" cm="1">
        <f t="array" ref="Q7">IADNumber &amp; "-" &amp; Suite &amp;  "-" &amp; "CMOP"&amp;  "-" &amp; "Generator Minor PM " &amp; WOorCHG</f>
        <v>IAD35-G104-CMOP-Generator Minor PM WO9999999</v>
      </c>
      <c r="R7" s="47" t="s">
        <v>203</v>
      </c>
      <c r="S7" s="47" t="s">
        <v>203</v>
      </c>
      <c r="T7" s="47" t="s">
        <v>203</v>
      </c>
      <c r="U7" s="47" t="s">
        <v>204</v>
      </c>
      <c r="V7" s="116">
        <v>44000</v>
      </c>
      <c r="W7" s="47" t="s">
        <v>201</v>
      </c>
      <c r="X7" s="116">
        <v>44000</v>
      </c>
      <c r="Y7" s="6" t="s">
        <v>50</v>
      </c>
      <c r="AL7" s="107"/>
    </row>
    <row r="8" spans="1:39" ht="45" x14ac:dyDescent="0.25">
      <c r="A8" s="108" t="s">
        <v>211</v>
      </c>
      <c r="B8" s="47" t="s">
        <v>212</v>
      </c>
      <c r="C8" s="47" t="s">
        <v>213</v>
      </c>
      <c r="D8" s="47" t="s">
        <v>202</v>
      </c>
      <c r="E8" s="387" t="str">
        <f>Suite&amp;" Electrical Rooms"</f>
        <v>G104 Electrical Rooms</v>
      </c>
      <c r="F8" s="47" t="str">
        <f>LEFT(zSelectedEquipment, 4)</f>
        <v>G104</v>
      </c>
      <c r="G8" s="47" t="s">
        <v>203</v>
      </c>
      <c r="H8" s="47" t="str">
        <f>'Config-Batt'!$O$5</f>
        <v>A</v>
      </c>
      <c r="I8" s="47" t="str">
        <f>'Config-Batt'!$P$5</f>
        <v>B</v>
      </c>
      <c r="J8" s="47">
        <f>'Config-Batt'!$Q$5</f>
        <v>0</v>
      </c>
      <c r="K8" s="47">
        <f>'Config-Batt'!$R$5</f>
        <v>0</v>
      </c>
      <c r="L8" s="47">
        <f>'Config-Batt'!$S$5</f>
        <v>0</v>
      </c>
      <c r="M8" s="47">
        <f>'Config-Batt'!$N$8</f>
        <v>3</v>
      </c>
      <c r="N8" s="47">
        <f>'Config-Batt'!M8</f>
        <v>2</v>
      </c>
      <c r="O8" s="47" t="s">
        <v>203</v>
      </c>
      <c r="P8" s="47" t="str">
        <f t="shared" si="0"/>
        <v>G</v>
      </c>
      <c r="Q8" s="124" t="str" cm="1">
        <f t="array" ref="Q8">IADNumber &amp; "-" &amp; Suite &amp;  "-" &amp; "CMOP"&amp;  "-" &amp; "Battery QPM " &amp; WOorCHG</f>
        <v>IAD35-G104-CMOP-Battery QPM WO9999999</v>
      </c>
      <c r="R8" t="s">
        <v>203</v>
      </c>
      <c r="S8" s="47" t="s">
        <v>203</v>
      </c>
      <c r="T8" s="47" t="s">
        <v>203</v>
      </c>
      <c r="U8" s="47" t="s">
        <v>214</v>
      </c>
      <c r="V8" s="116">
        <v>44043</v>
      </c>
      <c r="W8" s="47" t="s">
        <v>201</v>
      </c>
      <c r="X8" s="116">
        <v>44043</v>
      </c>
      <c r="Y8" s="6" t="s">
        <v>50</v>
      </c>
      <c r="AL8" s="107"/>
    </row>
    <row r="9" spans="1:39" ht="45" x14ac:dyDescent="0.25">
      <c r="A9" s="108" t="s">
        <v>215</v>
      </c>
      <c r="B9" s="47" t="s">
        <v>216</v>
      </c>
      <c r="C9" s="47" t="s">
        <v>201</v>
      </c>
      <c r="D9" s="47" t="s">
        <v>202</v>
      </c>
      <c r="E9" s="387" t="str">
        <f>Suite&amp;" Electrical Rooms"</f>
        <v>G104 Electrical Rooms</v>
      </c>
      <c r="F9" s="47" t="str">
        <f>LEFT(zSelectedEquipment, 4)</f>
        <v>G104</v>
      </c>
      <c r="G9" s="47" t="s">
        <v>203</v>
      </c>
      <c r="H9" s="47" t="str">
        <f>'Config-Batt'!$O$5</f>
        <v>A</v>
      </c>
      <c r="I9" s="47" t="str">
        <f>'Config-Batt'!$P$5</f>
        <v>B</v>
      </c>
      <c r="J9" s="47">
        <f>'Config-Batt'!$Q$5</f>
        <v>0</v>
      </c>
      <c r="K9" s="47">
        <f>'Config-Batt'!$R$5</f>
        <v>0</v>
      </c>
      <c r="L9" s="47">
        <f>'Config-Batt'!$S$5</f>
        <v>0</v>
      </c>
      <c r="M9" s="47">
        <f>'Config-Batt'!$N$8</f>
        <v>3</v>
      </c>
      <c r="N9" s="47" t="s">
        <v>203</v>
      </c>
      <c r="O9" s="47" t="s">
        <v>203</v>
      </c>
      <c r="P9" s="47" t="str">
        <f t="shared" si="0"/>
        <v>G</v>
      </c>
      <c r="Q9" s="124" t="str" cm="1">
        <f t="array" ref="Q9">IADNumber &amp; "-" &amp; Suite &amp;  "-" &amp; "CMOP"&amp;  "-" &amp; "Battery APM " &amp; WOorCHG</f>
        <v>IAD35-G104-CMOP-Battery APM WO9999999</v>
      </c>
      <c r="R9" t="s">
        <v>203</v>
      </c>
      <c r="S9" t="s">
        <v>203</v>
      </c>
      <c r="T9" s="47" t="s">
        <v>203</v>
      </c>
      <c r="U9" s="47" t="s">
        <v>204</v>
      </c>
      <c r="V9" s="116">
        <v>43864</v>
      </c>
      <c r="W9" s="47" t="s">
        <v>201</v>
      </c>
      <c r="X9" s="116">
        <v>43864</v>
      </c>
      <c r="Y9" s="6" t="s">
        <v>50</v>
      </c>
      <c r="AL9" s="107"/>
    </row>
    <row r="10" spans="1:39" x14ac:dyDescent="0.25">
      <c r="A10" s="47" t="s">
        <v>217</v>
      </c>
      <c r="B10" s="47" t="s">
        <v>218</v>
      </c>
      <c r="C10" s="47" t="s">
        <v>201</v>
      </c>
      <c r="D10" s="47" t="s">
        <v>202</v>
      </c>
      <c r="E10" s="387" t="str" cm="1">
        <f t="array" ref="E10">IF(RIGHT(LEFT(zSelectedEquipment, 5), 3)="POP", zSelectedEquipment, Suite&amp;" CRAC Galleries")</f>
        <v>G104 CRAC Galleries</v>
      </c>
      <c r="F10" s="47" t="str">
        <f>zSelectedEquipment</f>
        <v>G104-Gen-B</v>
      </c>
      <c r="G10" s="47" t="s">
        <v>203</v>
      </c>
      <c r="H10" s="47" t="s">
        <v>203</v>
      </c>
      <c r="I10" s="47" t="s">
        <v>203</v>
      </c>
      <c r="J10" s="47" t="s">
        <v>203</v>
      </c>
      <c r="K10" s="47" t="s">
        <v>203</v>
      </c>
      <c r="L10" s="47" t="s">
        <v>203</v>
      </c>
      <c r="M10" s="47" t="s">
        <v>203</v>
      </c>
      <c r="N10" s="47" t="s">
        <v>203</v>
      </c>
      <c r="O10" s="47" t="s">
        <v>203</v>
      </c>
      <c r="P10" s="47" t="str">
        <f t="shared" si="0"/>
        <v>G</v>
      </c>
      <c r="Q10" s="124" t="str" cm="1">
        <f t="array" ref="Q10">IADNumber &amp; "-" &amp; Suite &amp;  "-" &amp; "CMOP"&amp;  "-" &amp; "CRAC SAPM " &amp; WOorCHG</f>
        <v>IAD35-G104-CMOP-CRAC SAPM WO9999999</v>
      </c>
      <c r="R10" s="6" t="s">
        <v>203</v>
      </c>
      <c r="S10" s="6" t="s">
        <v>203</v>
      </c>
      <c r="T10" s="47" t="s">
        <v>203</v>
      </c>
      <c r="U10" s="47" t="s">
        <v>219</v>
      </c>
      <c r="V10" s="116">
        <v>43871</v>
      </c>
      <c r="W10" s="47" t="s">
        <v>201</v>
      </c>
      <c r="X10" s="116">
        <v>43871</v>
      </c>
      <c r="Y10" t="s">
        <v>50</v>
      </c>
      <c r="AL10" s="107"/>
    </row>
    <row r="11" spans="1:39" x14ac:dyDescent="0.25">
      <c r="A11" s="108" t="s">
        <v>220</v>
      </c>
      <c r="B11" s="47" t="s">
        <v>221</v>
      </c>
      <c r="C11" s="47" t="s">
        <v>201</v>
      </c>
      <c r="D11" s="47" t="s">
        <v>202</v>
      </c>
      <c r="E11" s="387" t="str">
        <f>Suite &amp; " " &amp; VLOOKUP(Suite, 'Config-Humidifier'!$A$1:$C$63, 3, FALSE)</f>
        <v>G104 Humidifier Closets</v>
      </c>
      <c r="F11" s="47" t="str">
        <f>LEFT(zSelectedEquipment, 4)</f>
        <v>G104</v>
      </c>
      <c r="G11" s="47" t="s">
        <v>203</v>
      </c>
      <c r="H11" s="47" t="s">
        <v>203</v>
      </c>
      <c r="I11" s="47" t="s">
        <v>203</v>
      </c>
      <c r="J11" s="47" t="s">
        <v>203</v>
      </c>
      <c r="K11" s="47" t="s">
        <v>203</v>
      </c>
      <c r="L11" s="47" t="s">
        <v>203</v>
      </c>
      <c r="M11" s="47" t="s">
        <v>203</v>
      </c>
      <c r="N11" s="47" t="s">
        <v>203</v>
      </c>
      <c r="O11" s="47" t="s">
        <v>203</v>
      </c>
      <c r="P11" s="47" t="str">
        <f t="shared" si="0"/>
        <v>G</v>
      </c>
      <c r="Q11" s="124" t="str" cm="1">
        <f t="array" ref="Q11">IADNumber &amp; "-" &amp; Suite &amp;  "-" &amp; "CMOP"&amp;  "-" &amp; "Humidifier SAPM " &amp; WOorCHG</f>
        <v>IAD35-G104-CMOP-Humidifier SAPM WO9999999</v>
      </c>
      <c r="R11" s="47" t="s">
        <v>203</v>
      </c>
      <c r="S11" s="47" t="s">
        <v>203</v>
      </c>
      <c r="T11" s="47" t="s">
        <v>203</v>
      </c>
      <c r="U11" s="47" t="s">
        <v>219</v>
      </c>
      <c r="V11" s="116">
        <v>43866</v>
      </c>
      <c r="W11" s="47" t="s">
        <v>201</v>
      </c>
      <c r="X11" s="116">
        <v>43866</v>
      </c>
      <c r="Y11" s="47" t="s">
        <v>50</v>
      </c>
      <c r="AL11" s="107"/>
    </row>
    <row r="12" spans="1:39" ht="30" x14ac:dyDescent="0.25">
      <c r="A12" s="108" t="s">
        <v>222</v>
      </c>
      <c r="B12" s="47" t="s">
        <v>223</v>
      </c>
      <c r="C12" s="47" t="s">
        <v>201</v>
      </c>
      <c r="D12" s="47" t="s">
        <v>202</v>
      </c>
      <c r="E12" s="387" t="str">
        <f>IF(ISNUMBER(SEARCH("PBB", zSelectedEquipment))=TRUE, IADNumber&amp; " Roof &amp; "&amp;Suite, IADNumber&amp; " Roof &amp; "&amp;Suite&amp;" Battery Rooms")</f>
        <v>IAD35 Roof &amp; G104 Battery Rooms</v>
      </c>
      <c r="F12" s="47" t="str">
        <f>IFERROR(LEFT(zSelectedEquipment, SEARCH(" ", zSelectedEquipment)-1), zSelectedEquipment)</f>
        <v>G104-Gen-B</v>
      </c>
      <c r="G12" s="47" t="s">
        <v>203</v>
      </c>
      <c r="H12" s="47" t="s">
        <v>203</v>
      </c>
      <c r="I12" s="47" t="s">
        <v>203</v>
      </c>
      <c r="J12" s="47" t="s">
        <v>203</v>
      </c>
      <c r="K12" s="47" t="s">
        <v>203</v>
      </c>
      <c r="L12" s="47" t="s">
        <v>203</v>
      </c>
      <c r="M12" s="47" t="s">
        <v>203</v>
      </c>
      <c r="N12" s="47" t="s">
        <v>203</v>
      </c>
      <c r="O12" s="47" t="s">
        <v>203</v>
      </c>
      <c r="P12" s="47" t="str">
        <f t="shared" si="0"/>
        <v>G</v>
      </c>
      <c r="Q12" s="124" t="str" cm="1">
        <f t="array" ref="Q12">IADNumber &amp; "-" &amp; Suite &amp;  "-" &amp; "CMOP"&amp;  "-" &amp; "Split System SAPM " &amp; WOorCHG</f>
        <v>IAD35-G104-CMOP-Split System SAPM WO9999999</v>
      </c>
      <c r="R12" s="47" t="s">
        <v>203</v>
      </c>
      <c r="S12" s="47" t="s">
        <v>203</v>
      </c>
      <c r="T12" s="47">
        <f>VLOOKUP(Suite, 'Config-Split Sys'!$A$6:$C$42,3,FALSE)</f>
        <v>2</v>
      </c>
      <c r="U12" s="47" t="s">
        <v>219</v>
      </c>
      <c r="V12" s="116">
        <v>43866</v>
      </c>
      <c r="W12" s="47" t="s">
        <v>201</v>
      </c>
      <c r="X12" s="116">
        <v>43866</v>
      </c>
      <c r="Y12" s="6" t="s">
        <v>50</v>
      </c>
      <c r="AL12" s="107"/>
    </row>
    <row r="13" spans="1:39" x14ac:dyDescent="0.25">
      <c r="A13" s="108" t="s">
        <v>224</v>
      </c>
      <c r="B13" s="47" t="s">
        <v>225</v>
      </c>
      <c r="C13" s="47" t="s">
        <v>201</v>
      </c>
      <c r="D13" s="47" t="s">
        <v>202</v>
      </c>
      <c r="E13" s="387" t="str" cm="1">
        <f t="array" ref="E13">IF(RIGHT(LEFT(zSelectedEquipment, 5), 3)="POP", zSelectedEquipment, Suite &amp; " Data Center, Electrical Rooms &amp; PA Closets")</f>
        <v>G104 Data Center, Electrical Rooms &amp; PA Closets</v>
      </c>
      <c r="F13" s="47" t="str">
        <f>IF(RIGHT(zSelectedEquipment, 9)="POP Rooms", "PBB", zSelectedEquipment)</f>
        <v>G104-Gen-B</v>
      </c>
      <c r="G13" s="47" t="s">
        <v>203</v>
      </c>
      <c r="H13" s="47" t="s">
        <v>203</v>
      </c>
      <c r="I13" s="47" t="s">
        <v>203</v>
      </c>
      <c r="J13" s="47" t="s">
        <v>203</v>
      </c>
      <c r="K13" s="47" t="s">
        <v>203</v>
      </c>
      <c r="L13" s="47" t="s">
        <v>203</v>
      </c>
      <c r="M13" s="47" t="s">
        <v>203</v>
      </c>
      <c r="N13" s="47" t="s">
        <v>203</v>
      </c>
      <c r="O13" s="47" t="s">
        <v>203</v>
      </c>
      <c r="P13" s="47" t="str">
        <f t="shared" si="0"/>
        <v>G</v>
      </c>
      <c r="Q13" s="124" t="str" cm="1">
        <f t="array" ref="Q13">IADNumber &amp; "-" &amp; Suite &amp;  "-" &amp; "CMOP"&amp;  "-" &amp; "Pre-Action QPM " &amp; WOorCHG</f>
        <v>IAD35-G104-CMOP-Pre-Action QPM WO9999999</v>
      </c>
      <c r="R13" s="47" t="s">
        <v>203</v>
      </c>
      <c r="S13" s="47" t="s">
        <v>203</v>
      </c>
      <c r="T13" s="47" t="s">
        <v>203</v>
      </c>
      <c r="U13" s="47" t="s">
        <v>214</v>
      </c>
      <c r="V13" s="116">
        <v>44005</v>
      </c>
      <c r="W13" s="47" t="s">
        <v>201</v>
      </c>
      <c r="X13" s="116">
        <v>44005</v>
      </c>
      <c r="Y13" s="6" t="s">
        <v>50</v>
      </c>
      <c r="AL13" s="107"/>
    </row>
    <row r="14" spans="1:39" x14ac:dyDescent="0.25">
      <c r="A14" s="108" t="s">
        <v>226</v>
      </c>
      <c r="B14" s="47" t="s">
        <v>227</v>
      </c>
      <c r="C14" s="47" t="s">
        <v>214</v>
      </c>
      <c r="D14" s="47" t="s">
        <v>228</v>
      </c>
      <c r="E14" s="387" t="str">
        <f>IADNumber &amp; " Sprinkler Rooms"</f>
        <v>IAD35 Sprinkler Rooms</v>
      </c>
      <c r="F14" s="47" t="s">
        <v>229</v>
      </c>
      <c r="G14" s="47" t="s">
        <v>203</v>
      </c>
      <c r="H14" s="47" t="s">
        <v>203</v>
      </c>
      <c r="I14" s="47" t="s">
        <v>203</v>
      </c>
      <c r="J14" s="47" t="s">
        <v>203</v>
      </c>
      <c r="K14" s="47" t="s">
        <v>203</v>
      </c>
      <c r="L14" s="47" t="s">
        <v>203</v>
      </c>
      <c r="M14" s="47" t="s">
        <v>203</v>
      </c>
      <c r="N14" s="47" t="s">
        <v>203</v>
      </c>
      <c r="O14" s="47" t="s">
        <v>203</v>
      </c>
      <c r="P14" s="47" t="str">
        <f t="shared" si="0"/>
        <v>G</v>
      </c>
      <c r="Q14" s="124" t="str" cm="1">
        <f t="array" ref="Q14">IADNumber &amp; "-" &amp; Suite &amp;  "-" &amp; "CMOP"&amp;  "-" &amp; "PBB" &amp; " Wet Sprinkler QPM " &amp; WOorCHG</f>
        <v>IAD35-G104-CMOP-PBB Wet Sprinkler QPM WO9999999</v>
      </c>
      <c r="R14" s="47" t="s">
        <v>203</v>
      </c>
      <c r="S14" s="47" t="s">
        <v>203</v>
      </c>
      <c r="T14" s="47" t="s">
        <v>203</v>
      </c>
      <c r="U14" s="47" t="s">
        <v>214</v>
      </c>
      <c r="V14" s="116">
        <v>44005</v>
      </c>
      <c r="W14" s="47" t="s">
        <v>201</v>
      </c>
      <c r="X14" s="116">
        <v>44005</v>
      </c>
      <c r="Y14" s="47" t="s">
        <v>230</v>
      </c>
      <c r="AL14" s="107"/>
    </row>
    <row r="15" spans="1:39" ht="30" x14ac:dyDescent="0.25">
      <c r="A15" s="109" t="s">
        <v>231</v>
      </c>
      <c r="B15" s="47" t="s">
        <v>232</v>
      </c>
      <c r="C15" s="47" t="str">
        <f>IF('Config-Variables'!$B$6="PBB", "George Panait", "Dan Vanderplas")</f>
        <v>Dan Vanderplas</v>
      </c>
      <c r="D15" s="47" t="str">
        <f>IF('Config-Variables'!$B$6="PBB", "Manager - Facility Engineering", "Manager - Facility Engineering")</f>
        <v>Manager - Facility Engineering</v>
      </c>
      <c r="E15" s="387" t="str">
        <f>IF(RIGHT(zSelectedEquipment, 3)="PBB", "Building " &amp; Building &amp; " Common Areas &amp; Sprinkler Rooms", Suite &amp; " Data Center, Electrical Rooms &amp; PA Closets")</f>
        <v>G104 Data Center, Electrical Rooms &amp; PA Closets</v>
      </c>
      <c r="F15" s="47" t="str">
        <f>IF(RIGHT(zSelectedEquipment, 3)="PBB", "PBB", zSelectedEquipment)</f>
        <v>G104-Gen-B</v>
      </c>
      <c r="G15" s="47" t="s">
        <v>203</v>
      </c>
      <c r="H15" s="47" t="s">
        <v>203</v>
      </c>
      <c r="I15" s="47" t="s">
        <v>203</v>
      </c>
      <c r="J15" s="47" t="s">
        <v>203</v>
      </c>
      <c r="K15" s="47" t="s">
        <v>203</v>
      </c>
      <c r="L15" s="47" t="s">
        <v>203</v>
      </c>
      <c r="M15" s="47" t="s">
        <v>203</v>
      </c>
      <c r="N15" s="47" t="s">
        <v>203</v>
      </c>
      <c r="O15" s="47" t="s">
        <v>203</v>
      </c>
      <c r="P15" s="47" t="str">
        <f t="shared" si="0"/>
        <v>G</v>
      </c>
      <c r="Q15" s="124" t="str" cm="1">
        <f t="array" ref="Q15">IADNumber &amp; "-" &amp; Suite &amp;  "-" &amp; "CMOP"&amp;  "-" &amp; "Fire Alarm APM " &amp; WOorCHG</f>
        <v>IAD35-G104-CMOP-Fire Alarm APM WO9999999</v>
      </c>
      <c r="R15" s="47" t="s">
        <v>203</v>
      </c>
      <c r="S15" s="47" t="s">
        <v>203</v>
      </c>
      <c r="T15" s="47" t="s">
        <v>203</v>
      </c>
      <c r="U15" s="47" t="s">
        <v>214</v>
      </c>
      <c r="V15" s="116">
        <v>44007</v>
      </c>
      <c r="W15" s="47" t="s">
        <v>201</v>
      </c>
      <c r="X15" s="116">
        <v>44007</v>
      </c>
      <c r="Y15" s="47" t="s">
        <v>230</v>
      </c>
      <c r="AL15" s="107"/>
    </row>
    <row r="16" spans="1:39" ht="45" x14ac:dyDescent="0.25">
      <c r="A16" s="108" t="s">
        <v>233</v>
      </c>
      <c r="B16" s="47" t="s">
        <v>234</v>
      </c>
      <c r="C16" s="47" t="str">
        <f>IF('Config-UPS'!$N$5 = "eXL", "David DeBoever", "Dan Vanderplas")</f>
        <v>Dan Vanderplas</v>
      </c>
      <c r="D16" s="47" t="str">
        <f>IF('Config-UPS'!$N$5 = "eXL", "Lead Engineer", "Manager - Facility Engineering")</f>
        <v>Manager - Facility Engineering</v>
      </c>
      <c r="E16" s="387" t="str">
        <f>Suite&amp;" Electrical Rooms"</f>
        <v>G104 Electrical Rooms</v>
      </c>
      <c r="F16" s="47" t="str">
        <f>LEFT(zSelectedEquipment, 4)</f>
        <v>G104</v>
      </c>
      <c r="G16" s="47" t="str">
        <f>'Config-UPS'!$N$2</f>
        <v>Two</v>
      </c>
      <c r="H16" s="47" t="str">
        <f>'Config-UPS'!$P$5</f>
        <v>A</v>
      </c>
      <c r="I16" s="47" t="str">
        <f>'Config-UPS'!$Q$5</f>
        <v>B</v>
      </c>
      <c r="J16" s="47">
        <f>'Config-UPS'!$R$5</f>
        <v>0</v>
      </c>
      <c r="K16" s="47">
        <f>'Config-UPS'!$S$5</f>
        <v>0</v>
      </c>
      <c r="L16" s="47">
        <f>'Config-UPS'!$T$5</f>
        <v>0</v>
      </c>
      <c r="M16" s="47">
        <f>'Config-UPS'!$O$8</f>
        <v>0</v>
      </c>
      <c r="N16" s="47">
        <f>'Config-UPS'!$N$8</f>
        <v>2</v>
      </c>
      <c r="O16" s="47" t="str">
        <f>'Config-UPS'!$O$5</f>
        <v>AB</v>
      </c>
      <c r="P16" s="47" t="str">
        <f t="shared" si="0"/>
        <v>G</v>
      </c>
      <c r="Q16" s="124" t="str" cm="1">
        <f t="array" ref="Q16">IADNumber &amp; "-" &amp; Suite &amp;  "-" &amp; "CMOP"&amp;  "-" &amp; "UPS APM " &amp; WOorCHG</f>
        <v>IAD35-G104-CMOP-UPS APM WO9999999</v>
      </c>
      <c r="R16" t="s">
        <v>203</v>
      </c>
      <c r="S16" t="s">
        <v>203</v>
      </c>
      <c r="T16" s="47" t="s">
        <v>203</v>
      </c>
      <c r="U16" s="47" t="str">
        <f>IF(UPSModel="eXL", "Dan Vanderplas", "Renzo Giovannini")</f>
        <v>Renzo Giovannini</v>
      </c>
      <c r="V16" s="116">
        <f>IF(UPSModel="eXL", 44455, 43864)</f>
        <v>43864</v>
      </c>
      <c r="W16" s="47" t="str">
        <f>IF(UPSModel="eXL", "Darryl Hoelscher", "Dan Vanderplas")</f>
        <v>Dan Vanderplas</v>
      </c>
      <c r="X16" s="116">
        <f>IF(UPSModel="eXL", 44455, 43864)</f>
        <v>43864</v>
      </c>
      <c r="Y16" t="s">
        <v>235</v>
      </c>
      <c r="AE16" s="521"/>
      <c r="AF16" s="522"/>
      <c r="AL16" s="107"/>
    </row>
    <row r="17" spans="1:38" ht="60" x14ac:dyDescent="0.25">
      <c r="A17" s="108" t="s">
        <v>236</v>
      </c>
      <c r="B17" s="47" t="s">
        <v>237</v>
      </c>
      <c r="C17" s="47" t="str">
        <f>IF('Config-UPS'!$N$5 = "eXL", "David DeBoever", "Dan Vanderplas")</f>
        <v>Dan Vanderplas</v>
      </c>
      <c r="D17" s="47" t="str">
        <f>IF('Config-UPS'!$N$5 = "eXL", "Lead Engineer", "Manager - Facility Engineering")</f>
        <v>Manager - Facility Engineering</v>
      </c>
      <c r="E17" s="123" t="str">
        <f>Suite&amp;" Electrical Rooms"</f>
        <v>G104 Electrical Rooms</v>
      </c>
      <c r="F17" t="str">
        <f>LEFT(zSelectedEquipment, 4)</f>
        <v>G104</v>
      </c>
      <c r="G17" t="str">
        <f>'Config-UPS'!$N$2</f>
        <v>Two</v>
      </c>
      <c r="H17" s="47" t="str">
        <f>'Config-UPS'!$P$5</f>
        <v>A</v>
      </c>
      <c r="I17" s="47" t="str">
        <f>'Config-UPS'!$Q$5</f>
        <v>B</v>
      </c>
      <c r="J17" s="47">
        <f>'Config-UPS'!$R$5</f>
        <v>0</v>
      </c>
      <c r="K17" s="47">
        <f>'Config-UPS'!$S$5</f>
        <v>0</v>
      </c>
      <c r="L17" s="47">
        <f>'Config-UPS'!$T$5</f>
        <v>0</v>
      </c>
      <c r="M17" s="47">
        <f>'Config-UPS'!$O$8</f>
        <v>0</v>
      </c>
      <c r="N17" s="47">
        <f>'Config-UPS'!$N$8</f>
        <v>2</v>
      </c>
      <c r="O17" t="str">
        <f>'Config-UPS'!$O$5</f>
        <v>AB</v>
      </c>
      <c r="P17" t="str">
        <f t="shared" si="0"/>
        <v>G</v>
      </c>
      <c r="Q17" s="124" t="str" cm="1">
        <f t="array" ref="Q17">IADNumber &amp; "-" &amp; Suite &amp;  "-" &amp; "CMOP"&amp;  "-" &amp; "UPS TSR " &amp; WOorCHG</f>
        <v>IAD35-G104-CMOP-UPS TSR WO9999999</v>
      </c>
      <c r="R17" t="s">
        <v>203</v>
      </c>
      <c r="S17" t="s">
        <v>203</v>
      </c>
      <c r="T17" s="47" t="s">
        <v>203</v>
      </c>
      <c r="U17" s="47" t="str">
        <f>IF(UPSModel="eXL", "Dan Vanderplas", "Renzo Giovannini")</f>
        <v>Renzo Giovannini</v>
      </c>
      <c r="V17" s="116">
        <f>IF(UPSModel="eXL", 44455, 43864)</f>
        <v>43864</v>
      </c>
      <c r="W17" s="47" t="str">
        <f>IF(UPSModel="eXL", "Darryl Hoelscher", "Dan Vanderplas")</f>
        <v>Dan Vanderplas</v>
      </c>
      <c r="X17" s="116">
        <f>IF(UPSModel="eXL", 44455, 43864)</f>
        <v>43864</v>
      </c>
      <c r="Y17" t="s">
        <v>235</v>
      </c>
      <c r="AE17" s="520"/>
      <c r="AL17" s="107"/>
    </row>
    <row r="18" spans="1:38" x14ac:dyDescent="0.25">
      <c r="A18" s="47" t="s">
        <v>238</v>
      </c>
      <c r="B18" s="47" t="s">
        <v>239</v>
      </c>
      <c r="C18" s="47" t="s">
        <v>240</v>
      </c>
      <c r="D18" s="47" t="s">
        <v>228</v>
      </c>
      <c r="E18" s="387" t="str" cm="1">
        <f t="array" ref="E18">IF(RIGHT(LEFT(zSelectedEquipment, 5), 3)="POP", zSelectedEquipment, Suite&amp;" CRAC Galleries")</f>
        <v>G104 CRAC Galleries</v>
      </c>
      <c r="F18" s="47" t="str">
        <f>LEFT(zSelectedEquipment, 4)</f>
        <v>G104</v>
      </c>
      <c r="G18" s="47" t="s">
        <v>203</v>
      </c>
      <c r="H18" s="47" t="s">
        <v>203</v>
      </c>
      <c r="I18" s="47" t="s">
        <v>203</v>
      </c>
      <c r="J18" s="47" t="s">
        <v>203</v>
      </c>
      <c r="K18" s="47" t="s">
        <v>203</v>
      </c>
      <c r="L18" s="47" t="s">
        <v>203</v>
      </c>
      <c r="M18" s="47" t="s">
        <v>203</v>
      </c>
      <c r="N18" s="47" t="s">
        <v>203</v>
      </c>
      <c r="O18" s="47" t="s">
        <v>203</v>
      </c>
      <c r="P18" s="47" t="str">
        <f t="shared" si="0"/>
        <v>G</v>
      </c>
      <c r="Q18" s="124" t="str" cm="1">
        <f t="array" ref="Q18">IADNumber &amp; "-" &amp; Suite &amp;  "-" &amp; "CMOP"&amp;  "-" &amp; "CRAC TSR Without Brazing " &amp; WOorCHG</f>
        <v>IAD35-G104-CMOP-CRAC TSR Without Brazing WO9999999</v>
      </c>
      <c r="R18" s="6" t="s">
        <v>203</v>
      </c>
      <c r="S18" s="6" t="s">
        <v>203</v>
      </c>
      <c r="T18" s="47" t="s">
        <v>203</v>
      </c>
      <c r="U18" s="47" t="s">
        <v>219</v>
      </c>
      <c r="V18" s="116">
        <v>44187</v>
      </c>
      <c r="W18" s="47" t="s">
        <v>201</v>
      </c>
      <c r="X18" s="116">
        <v>44187</v>
      </c>
      <c r="Y18" t="s">
        <v>50</v>
      </c>
      <c r="AL18" s="107"/>
    </row>
    <row r="19" spans="1:38" x14ac:dyDescent="0.25">
      <c r="A19" s="47" t="s">
        <v>241</v>
      </c>
      <c r="B19" s="47" t="s">
        <v>242</v>
      </c>
      <c r="C19" s="47" t="s">
        <v>240</v>
      </c>
      <c r="D19" s="47" t="s">
        <v>228</v>
      </c>
      <c r="E19" s="387" t="str" cm="1">
        <f t="array" ref="E19">IF(RIGHT(LEFT(zSelectedEquipment, 5), 3)="POP", zSelectedEquipment, Suite&amp;" CRAC Galleries")</f>
        <v>G104 CRAC Galleries</v>
      </c>
      <c r="F19" s="47" t="str">
        <f>LEFT(zSelectedEquipment, 4)</f>
        <v>G104</v>
      </c>
      <c r="G19" s="47" t="s">
        <v>203</v>
      </c>
      <c r="H19" s="47" t="s">
        <v>203</v>
      </c>
      <c r="I19" s="47" t="s">
        <v>203</v>
      </c>
      <c r="J19" s="47" t="s">
        <v>203</v>
      </c>
      <c r="K19" s="47" t="s">
        <v>203</v>
      </c>
      <c r="L19" s="47" t="s">
        <v>203</v>
      </c>
      <c r="M19" s="47" t="s">
        <v>203</v>
      </c>
      <c r="N19" s="47" t="s">
        <v>203</v>
      </c>
      <c r="O19" s="47" t="s">
        <v>203</v>
      </c>
      <c r="P19" s="47" t="str">
        <f t="shared" si="0"/>
        <v>G</v>
      </c>
      <c r="Q19" s="124" t="str" cm="1">
        <f t="array" ref="Q19">IADNumber &amp; "-" &amp; Suite &amp;  "-" &amp; "CMOP"&amp;  "-" &amp; "CRAC TSR With Brazing " &amp; WOorCHG</f>
        <v>IAD35-G104-CMOP-CRAC TSR With Brazing WO9999999</v>
      </c>
      <c r="R19" s="6" t="s">
        <v>203</v>
      </c>
      <c r="S19" s="6" t="s">
        <v>203</v>
      </c>
      <c r="T19" s="47" t="s">
        <v>203</v>
      </c>
      <c r="U19" s="47" t="s">
        <v>219</v>
      </c>
      <c r="V19" s="116">
        <v>44187</v>
      </c>
      <c r="W19" s="47" t="s">
        <v>201</v>
      </c>
      <c r="X19" s="116">
        <v>44187</v>
      </c>
      <c r="Y19" t="s">
        <v>50</v>
      </c>
      <c r="AL19" s="107"/>
    </row>
    <row r="20" spans="1:38" ht="60" x14ac:dyDescent="0.25">
      <c r="A20" s="10" t="s">
        <v>243</v>
      </c>
      <c r="B20" s="47" t="s">
        <v>244</v>
      </c>
      <c r="C20" s="47" t="s">
        <v>201</v>
      </c>
      <c r="D20" s="47" t="s">
        <v>202</v>
      </c>
      <c r="E20" s="387" t="str">
        <f>IADNumber &amp; " Generator Yard &amp; Electrical Rooms"</f>
        <v>IAD35 Generator Yard &amp; Electrical Rooms</v>
      </c>
      <c r="F20" s="47" t="s">
        <v>203</v>
      </c>
      <c r="G20" s="47" t="s">
        <v>203</v>
      </c>
      <c r="H20" s="47" t="s">
        <v>203</v>
      </c>
      <c r="I20" s="47" t="s">
        <v>203</v>
      </c>
      <c r="J20" s="47" t="s">
        <v>203</v>
      </c>
      <c r="K20" s="47" t="s">
        <v>203</v>
      </c>
      <c r="L20" s="47" t="s">
        <v>203</v>
      </c>
      <c r="M20" s="47" t="s">
        <v>203</v>
      </c>
      <c r="N20" s="47" t="s">
        <v>203</v>
      </c>
      <c r="O20" s="47" t="s">
        <v>203</v>
      </c>
      <c r="P20" s="47" t="str">
        <f t="shared" si="0"/>
        <v>G</v>
      </c>
      <c r="Q20" s="124" t="str" cm="1">
        <f t="array" ref="Q20">IADNumber &amp; "-" &amp; Suite &amp;  "-" &amp; "CMOP"&amp;  "-" &amp; "De-energized Electrical Maintenance " &amp; WOorCHG</f>
        <v>IAD35-G104-CMOP-De-energized Electrical Maintenance WO9999999</v>
      </c>
      <c r="R20" s="47" t="s">
        <v>203</v>
      </c>
      <c r="S20" s="47" t="s">
        <v>203</v>
      </c>
      <c r="T20" s="47" t="s">
        <v>203</v>
      </c>
      <c r="U20" s="47" t="s">
        <v>214</v>
      </c>
      <c r="V20" s="116">
        <v>44019</v>
      </c>
      <c r="W20" s="47" t="s">
        <v>201</v>
      </c>
      <c r="X20" s="116">
        <v>44019</v>
      </c>
      <c r="Y20" s="47" t="s">
        <v>245</v>
      </c>
      <c r="AL20" s="107"/>
    </row>
    <row r="21" spans="1:38" x14ac:dyDescent="0.25">
      <c r="A21" s="10" t="s">
        <v>246</v>
      </c>
      <c r="B21" s="47" t="s">
        <v>247</v>
      </c>
      <c r="C21" s="47" t="s">
        <v>248</v>
      </c>
      <c r="D21" s="47" t="s">
        <v>228</v>
      </c>
      <c r="E21" s="47" t="str">
        <f>IFERROR(VLOOKUP(zSelectedEquipment, 'Config-Chiller'!$A$3:$G$17, 7, FALSE), "ERROR")</f>
        <v>ERROR</v>
      </c>
      <c r="F21" s="47" t="str">
        <f>zSelectedEquipment</f>
        <v>G104-Gen-B</v>
      </c>
      <c r="G21" s="47" t="s">
        <v>203</v>
      </c>
      <c r="H21" s="47" t="s">
        <v>203</v>
      </c>
      <c r="I21" s="47" t="s">
        <v>203</v>
      </c>
      <c r="J21" s="47" t="s">
        <v>203</v>
      </c>
      <c r="K21" s="47" t="s">
        <v>203</v>
      </c>
      <c r="L21" s="47" t="s">
        <v>203</v>
      </c>
      <c r="M21" s="47" t="s">
        <v>203</v>
      </c>
      <c r="N21" s="47" t="s">
        <v>203</v>
      </c>
      <c r="O21" s="47" t="s">
        <v>203</v>
      </c>
      <c r="P21" s="47" t="str">
        <f>LEFT(zSelectedEquipment, 1)</f>
        <v>G</v>
      </c>
      <c r="Q21" t="str" cm="1">
        <f t="array" ref="Q21">IADNumber &amp; "-" &amp; Suite &amp;  "-" &amp; "CMOP"&amp;  "-" &amp; "CHW Pump SAPM " &amp; WOorCHG</f>
        <v>IAD35-G104-CMOP-CHW Pump SAPM WO9999999</v>
      </c>
      <c r="R21" s="47" t="s">
        <v>203</v>
      </c>
      <c r="S21" s="47" t="s">
        <v>203</v>
      </c>
      <c r="T21" s="47" t="s">
        <v>203</v>
      </c>
      <c r="U21" s="47" t="s">
        <v>248</v>
      </c>
      <c r="V21" s="116">
        <v>44385</v>
      </c>
      <c r="W21" s="47" t="s">
        <v>249</v>
      </c>
      <c r="X21" s="116">
        <v>44385</v>
      </c>
      <c r="Y21" s="47" t="s">
        <v>50</v>
      </c>
      <c r="AL21" s="107"/>
    </row>
    <row r="22" spans="1:38" x14ac:dyDescent="0.25">
      <c r="A22" s="109" t="s">
        <v>250</v>
      </c>
      <c r="B22" s="47" t="s">
        <v>251</v>
      </c>
      <c r="C22" s="47" t="s">
        <v>248</v>
      </c>
      <c r="D22" s="47" t="s">
        <v>228</v>
      </c>
      <c r="E22" s="47" t="str">
        <f>IFERROR(VLOOKUP(zSelectedEquipment, 'Config-Chiller'!$A$3:$F$17, 6, FALSE), "ERROR")</f>
        <v>ERROR</v>
      </c>
      <c r="F22" s="47" t="str">
        <f>LEFT(zSelectedEquipment, 4)</f>
        <v>G104</v>
      </c>
      <c r="G22" s="47" t="s">
        <v>203</v>
      </c>
      <c r="H22" s="47" t="s">
        <v>203</v>
      </c>
      <c r="I22" s="47" t="s">
        <v>203</v>
      </c>
      <c r="J22" s="47" t="s">
        <v>203</v>
      </c>
      <c r="K22" s="47" t="s">
        <v>203</v>
      </c>
      <c r="L22" s="47" t="s">
        <v>203</v>
      </c>
      <c r="M22" s="47" t="s">
        <v>203</v>
      </c>
      <c r="N22" s="47" t="s">
        <v>203</v>
      </c>
      <c r="O22" s="47" t="s">
        <v>203</v>
      </c>
      <c r="P22" s="47" t="str">
        <f t="shared" si="0"/>
        <v>G</v>
      </c>
      <c r="Q22" s="124" t="str" cm="1">
        <f t="array" ref="Q22">IADNumber &amp; "-" &amp; Suite &amp;  "-" &amp; "CMOP"&amp;  "-" &amp; "Chiller SAPM " &amp; WOorCHG</f>
        <v>IAD35-G104-CMOP-Chiller SAPM WO9999999</v>
      </c>
      <c r="R22" s="47" t="s">
        <v>203</v>
      </c>
      <c r="S22" s="47" t="s">
        <v>203</v>
      </c>
      <c r="T22" s="47" t="s">
        <v>203</v>
      </c>
      <c r="U22" s="47" t="s">
        <v>248</v>
      </c>
      <c r="V22" s="116">
        <v>44378</v>
      </c>
      <c r="W22" s="47" t="s">
        <v>252</v>
      </c>
      <c r="X22" s="116">
        <v>44378</v>
      </c>
      <c r="Y22" s="47" t="s">
        <v>50</v>
      </c>
      <c r="AL22" s="107"/>
    </row>
    <row r="23" spans="1:38" ht="30" x14ac:dyDescent="0.25">
      <c r="A23" s="10" t="s">
        <v>256</v>
      </c>
      <c r="B23" s="47" t="s">
        <v>257</v>
      </c>
      <c r="C23" s="47" t="s">
        <v>249</v>
      </c>
      <c r="D23" s="47" t="s">
        <v>228</v>
      </c>
      <c r="E23" s="47" t="str">
        <f>IADNumber &amp; " Generator Yard"</f>
        <v>IAD35 Generator Yard</v>
      </c>
      <c r="F23" s="47" t="s">
        <v>203</v>
      </c>
      <c r="G23" s="47">
        <f>IFERROR(VLOOKUP(zSelectedEquipment, 'Config-Gen'!$A$4:$R$143, 3, FALSE), "ERROR")</f>
        <v>2</v>
      </c>
      <c r="H23" s="47" t="s">
        <v>203</v>
      </c>
      <c r="I23" s="47" t="s">
        <v>203</v>
      </c>
      <c r="J23" s="47" t="s">
        <v>203</v>
      </c>
      <c r="K23" s="47" t="s">
        <v>203</v>
      </c>
      <c r="L23" s="47" t="s">
        <v>203</v>
      </c>
      <c r="M23" s="47" t="s">
        <v>203</v>
      </c>
      <c r="N23" s="47" t="s">
        <v>203</v>
      </c>
      <c r="O23" s="47" t="s">
        <v>203</v>
      </c>
      <c r="P23" s="47" t="str">
        <f t="shared" si="0"/>
        <v>G</v>
      </c>
      <c r="Q23" s="124" t="str" cm="1">
        <f t="array" ref="Q23">IADNumber &amp; "-" &amp; Suite &amp;  "-" &amp; "CMOP"&amp;  "-" &amp; "Generator Hose Repair " &amp; WOorCHG</f>
        <v>IAD35-G104-CMOP-Generator Hose Repair WO9999999</v>
      </c>
      <c r="R23" s="47" t="s">
        <v>203</v>
      </c>
      <c r="S23" s="47" t="s">
        <v>203</v>
      </c>
      <c r="T23" s="47" t="s">
        <v>203</v>
      </c>
      <c r="U23" s="47" t="s">
        <v>204</v>
      </c>
      <c r="V23" s="116">
        <v>44000</v>
      </c>
      <c r="W23" s="47" t="s">
        <v>201</v>
      </c>
      <c r="X23" s="116">
        <v>44000</v>
      </c>
      <c r="Y23" s="6" t="s">
        <v>50</v>
      </c>
      <c r="AL23" s="107"/>
    </row>
    <row r="24" spans="1:38" ht="30" x14ac:dyDescent="0.25">
      <c r="A24" s="108" t="s">
        <v>15</v>
      </c>
      <c r="B24" s="47" t="s">
        <v>253</v>
      </c>
      <c r="C24" s="47" t="str">
        <f>""</f>
        <v/>
      </c>
      <c r="D24" s="47" t="str">
        <f>""</f>
        <v/>
      </c>
      <c r="E24" s="387" t="str">
        <f>IADNumber &amp; " Roof"</f>
        <v>IAD35 Roof</v>
      </c>
      <c r="F24" s="47" t="str">
        <f>LEFT(zSelectedEquipment, 4)</f>
        <v>G104</v>
      </c>
      <c r="G24" s="47" t="s">
        <v>203</v>
      </c>
      <c r="H24" s="47" t="s">
        <v>203</v>
      </c>
      <c r="I24" s="47" t="s">
        <v>203</v>
      </c>
      <c r="J24" s="47" t="s">
        <v>203</v>
      </c>
      <c r="K24" s="47" t="s">
        <v>203</v>
      </c>
      <c r="L24" s="47" t="s">
        <v>203</v>
      </c>
      <c r="M24" s="47" t="s">
        <v>203</v>
      </c>
      <c r="N24" s="47" t="s">
        <v>203</v>
      </c>
      <c r="O24" s="47" t="s">
        <v>203</v>
      </c>
      <c r="P24" s="47" t="str">
        <f t="shared" si="0"/>
        <v>G</v>
      </c>
      <c r="Q24" s="124" t="str" cm="1">
        <f t="array" ref="Q24">IADNumber &amp; "-" &amp; Suite &amp;  "-" &amp; "CMOP"&amp;  "-" &amp; "Non-Critical RTU/MAU/AHU QPM " &amp; WOorCHG</f>
        <v>IAD35-G104-CMOP-Non-Critical RTU/MAU/AHU QPM WO9999999</v>
      </c>
      <c r="R24" s="47" t="s">
        <v>203</v>
      </c>
      <c r="S24" s="47" t="s">
        <v>203</v>
      </c>
      <c r="T24" s="47" t="s">
        <v>203</v>
      </c>
      <c r="U24" s="47"/>
      <c r="V24" s="116"/>
      <c r="W24" s="47"/>
      <c r="X24" s="116"/>
      <c r="Y24" s="47"/>
      <c r="AL24" s="107"/>
    </row>
    <row r="25" spans="1:38" x14ac:dyDescent="0.25">
      <c r="A25" s="108" t="s">
        <v>254</v>
      </c>
      <c r="B25" s="47" t="s">
        <v>255</v>
      </c>
      <c r="C25" s="47" t="str">
        <f>""</f>
        <v/>
      </c>
      <c r="D25" s="47" t="str">
        <f>""</f>
        <v/>
      </c>
      <c r="E25" s="387" t="str">
        <f>IADNumber &amp; " Roof"</f>
        <v>IAD35 Roof</v>
      </c>
      <c r="F25" s="47" t="str">
        <f>LEFT(zSelectedEquipment, 4)</f>
        <v>G104</v>
      </c>
      <c r="G25" s="47" t="s">
        <v>203</v>
      </c>
      <c r="H25" s="47" t="s">
        <v>203</v>
      </c>
      <c r="I25" s="47" t="s">
        <v>203</v>
      </c>
      <c r="J25" s="47" t="s">
        <v>203</v>
      </c>
      <c r="K25" s="47" t="s">
        <v>203</v>
      </c>
      <c r="L25" s="47" t="s">
        <v>203</v>
      </c>
      <c r="M25" s="47" t="s">
        <v>203</v>
      </c>
      <c r="N25" s="47" t="s">
        <v>203</v>
      </c>
      <c r="O25" s="47" t="s">
        <v>203</v>
      </c>
      <c r="P25" s="47" t="str">
        <f t="shared" si="0"/>
        <v>G</v>
      </c>
      <c r="Q25" s="124" t="str" cm="1">
        <f t="array" ref="Q25">IADNumber &amp; "-" &amp; Suite &amp;  "-" &amp; "CMOP"&amp;  "-" &amp; "Critical RTU QPM " &amp; WOorCHG</f>
        <v>IAD35-G104-CMOP-Critical RTU QPM WO9999999</v>
      </c>
      <c r="R25" s="47" t="s">
        <v>203</v>
      </c>
      <c r="S25" s="47" t="s">
        <v>203</v>
      </c>
      <c r="T25" s="47" t="s">
        <v>203</v>
      </c>
      <c r="U25" s="47"/>
      <c r="V25" s="116"/>
      <c r="W25" s="47"/>
      <c r="X25" s="116"/>
      <c r="Y25" s="47"/>
      <c r="AL25" s="107"/>
    </row>
    <row r="26" spans="1:38" x14ac:dyDescent="0.25">
      <c r="A26" s="109" t="s">
        <v>268</v>
      </c>
      <c r="B26" s="47" t="s">
        <v>269</v>
      </c>
      <c r="C26" s="47" t="s">
        <v>249</v>
      </c>
      <c r="D26" s="47" t="s">
        <v>228</v>
      </c>
      <c r="E26" s="387" t="str" cm="1">
        <f t="array" ref="E26">Suite&amp;" Data Center"</f>
        <v>G104 Data Center</v>
      </c>
      <c r="F26" s="47" t="str">
        <f>LEFT(zSelectedEquipment, 4)</f>
        <v>G104</v>
      </c>
      <c r="G26" s="47" t="s">
        <v>203</v>
      </c>
      <c r="H26" s="47" t="s">
        <v>203</v>
      </c>
      <c r="I26" s="47" t="s">
        <v>203</v>
      </c>
      <c r="J26" s="47" t="s">
        <v>203</v>
      </c>
      <c r="K26" s="47" t="s">
        <v>203</v>
      </c>
      <c r="L26" s="47" t="s">
        <v>203</v>
      </c>
      <c r="M26" s="47" t="s">
        <v>203</v>
      </c>
      <c r="N26" s="47" t="s">
        <v>203</v>
      </c>
      <c r="O26" s="47" t="s">
        <v>203</v>
      </c>
      <c r="P26" s="47" t="str">
        <f t="shared" si="0"/>
        <v>G</v>
      </c>
      <c r="Q26" s="124"/>
      <c r="R26" s="47"/>
      <c r="S26" s="47"/>
      <c r="T26" s="47"/>
      <c r="U26" s="47"/>
      <c r="V26" s="116"/>
      <c r="W26" s="47"/>
      <c r="X26" s="116"/>
      <c r="Y26" s="47"/>
      <c r="AL26" s="107"/>
    </row>
    <row r="27" spans="1:38" x14ac:dyDescent="0.25">
      <c r="A27" s="109" t="s">
        <v>270</v>
      </c>
      <c r="B27" s="47" t="s">
        <v>4620</v>
      </c>
      <c r="C27" s="47" t="s">
        <v>249</v>
      </c>
      <c r="D27" s="47" t="s">
        <v>228</v>
      </c>
      <c r="E27" s="387" t="str" cm="1">
        <f t="array" ref="E27">Suite&amp;" Data Center"</f>
        <v>G104 Data Center</v>
      </c>
      <c r="F27" s="47" t="str">
        <f>LEFT(zSelectedEquipment, 4)</f>
        <v>G104</v>
      </c>
      <c r="G27" s="47" t="s">
        <v>203</v>
      </c>
      <c r="H27" s="47" t="s">
        <v>203</v>
      </c>
      <c r="I27" s="47" t="s">
        <v>203</v>
      </c>
      <c r="J27" s="47" t="s">
        <v>203</v>
      </c>
      <c r="K27" s="47" t="s">
        <v>203</v>
      </c>
      <c r="L27" s="47" t="s">
        <v>203</v>
      </c>
      <c r="M27" s="47" t="s">
        <v>203</v>
      </c>
      <c r="N27" s="47" t="s">
        <v>203</v>
      </c>
      <c r="O27" s="47" t="s">
        <v>203</v>
      </c>
      <c r="P27" s="47" t="str">
        <f t="shared" si="0"/>
        <v>G</v>
      </c>
      <c r="Q27" s="124"/>
      <c r="R27" s="47" t="s">
        <v>203</v>
      </c>
      <c r="S27" s="47" t="s">
        <v>203</v>
      </c>
      <c r="T27" s="47" t="s">
        <v>203</v>
      </c>
      <c r="U27" s="47"/>
      <c r="V27" s="116"/>
      <c r="W27" s="47"/>
      <c r="X27" s="116"/>
      <c r="Y27" s="47"/>
      <c r="AL27" s="107"/>
    </row>
    <row r="28" spans="1:38" ht="30" x14ac:dyDescent="0.25">
      <c r="A28" s="108" t="s">
        <v>258</v>
      </c>
      <c r="B28" s="47" t="s">
        <v>259</v>
      </c>
      <c r="C28" s="47"/>
      <c r="D28" s="47"/>
      <c r="E28" s="47" t="str">
        <f>IADNumber &amp; " Hallways, Office Spaces, Data Centers &amp; Critical Infrastructure Spaces"</f>
        <v>IAD35 Hallways, Office Spaces, Data Centers &amp; Critical Infrastructure Spaces</v>
      </c>
      <c r="F28" s="47" t="s">
        <v>203</v>
      </c>
      <c r="G28" s="47"/>
      <c r="H28" s="47"/>
      <c r="I28" s="47"/>
      <c r="J28" s="47"/>
      <c r="K28" s="47"/>
      <c r="L28" s="47"/>
      <c r="M28" s="47"/>
      <c r="N28" s="47"/>
      <c r="O28" s="47"/>
      <c r="P28" s="47" t="str">
        <f t="shared" si="0"/>
        <v>G</v>
      </c>
      <c r="R28" s="47"/>
      <c r="S28" s="47"/>
      <c r="T28" s="47"/>
      <c r="Y28" s="47" t="s">
        <v>260</v>
      </c>
      <c r="AL28" s="107"/>
    </row>
    <row r="29" spans="1:38" x14ac:dyDescent="0.25">
      <c r="A29" s="14" t="s">
        <v>261</v>
      </c>
      <c r="B29" s="47" t="s">
        <v>262</v>
      </c>
      <c r="C29" s="47"/>
      <c r="D29" s="47"/>
      <c r="E29" s="47"/>
      <c r="F29" s="47"/>
      <c r="G29" s="47"/>
      <c r="H29" s="47"/>
      <c r="I29" s="47"/>
      <c r="J29" s="47"/>
      <c r="K29" s="47"/>
      <c r="L29" s="47"/>
      <c r="M29" s="47"/>
      <c r="N29" s="47"/>
      <c r="O29" s="47"/>
      <c r="P29" s="47"/>
      <c r="Y29" s="47" t="s">
        <v>260</v>
      </c>
      <c r="AL29" s="107"/>
    </row>
    <row r="30" spans="1:38" ht="30" x14ac:dyDescent="0.25">
      <c r="A30" s="108" t="s">
        <v>263</v>
      </c>
      <c r="B30" s="47" t="s">
        <v>264</v>
      </c>
      <c r="C30" s="47"/>
      <c r="D30" s="47"/>
      <c r="E30" s="47"/>
      <c r="F30" s="47"/>
      <c r="G30" s="47"/>
      <c r="H30" s="47"/>
      <c r="I30" s="47"/>
      <c r="J30" s="47"/>
      <c r="K30" s="47"/>
      <c r="L30" s="47"/>
      <c r="M30" s="47"/>
      <c r="N30" s="47"/>
      <c r="O30" s="47"/>
      <c r="P30" s="47"/>
      <c r="Y30" s="47" t="s">
        <v>265</v>
      </c>
      <c r="AL30" s="107"/>
    </row>
    <row r="31" spans="1:38" ht="45" x14ac:dyDescent="0.25">
      <c r="A31" s="10" t="s">
        <v>266</v>
      </c>
      <c r="B31" s="108" t="s">
        <v>267</v>
      </c>
      <c r="C31" s="47"/>
      <c r="D31" s="47"/>
      <c r="E31" s="108"/>
      <c r="F31" s="47"/>
      <c r="G31" s="47"/>
      <c r="H31" s="47"/>
      <c r="I31" s="47"/>
      <c r="J31" s="47"/>
      <c r="K31" s="47"/>
      <c r="L31" s="47"/>
      <c r="M31" s="47"/>
      <c r="N31" s="47"/>
      <c r="O31" s="47"/>
      <c r="P31" s="47"/>
      <c r="Y31" s="47" t="s">
        <v>260</v>
      </c>
      <c r="AL31" s="107"/>
    </row>
    <row r="32" spans="1:38" x14ac:dyDescent="0.25">
      <c r="A32" s="109" t="s">
        <v>268</v>
      </c>
      <c r="B32" s="47" t="s">
        <v>269</v>
      </c>
      <c r="C32" s="47"/>
      <c r="D32" s="47"/>
      <c r="E32" s="47"/>
      <c r="F32" s="47"/>
      <c r="G32" s="47"/>
      <c r="H32" s="47"/>
      <c r="I32" s="47"/>
      <c r="J32" s="47"/>
      <c r="K32" s="47"/>
      <c r="L32" s="47"/>
      <c r="M32" s="47"/>
      <c r="N32" s="47"/>
      <c r="O32" s="47"/>
      <c r="P32" s="47"/>
      <c r="Y32" s="47" t="s">
        <v>260</v>
      </c>
      <c r="AL32" s="107"/>
    </row>
    <row r="33" spans="1:38" x14ac:dyDescent="0.25">
      <c r="A33" s="109" t="s">
        <v>270</v>
      </c>
      <c r="B33" s="47" t="s">
        <v>271</v>
      </c>
      <c r="C33" s="47"/>
      <c r="D33" s="47"/>
      <c r="E33" s="47"/>
      <c r="F33" s="47"/>
      <c r="G33" s="47"/>
      <c r="H33" s="47"/>
      <c r="I33" s="47"/>
      <c r="J33" s="47"/>
      <c r="K33" s="47"/>
      <c r="L33" s="47"/>
      <c r="M33" s="47"/>
      <c r="N33" s="47"/>
      <c r="O33" s="47"/>
      <c r="P33" s="47"/>
      <c r="Y33" s="47" t="s">
        <v>260</v>
      </c>
      <c r="AL33" s="107"/>
    </row>
    <row r="34" spans="1:38" x14ac:dyDescent="0.25">
      <c r="A34" s="109" t="s">
        <v>272</v>
      </c>
      <c r="B34" s="47" t="s">
        <v>273</v>
      </c>
      <c r="C34" s="47"/>
      <c r="D34" s="47"/>
      <c r="E34" s="47"/>
      <c r="F34" s="47"/>
      <c r="G34" s="47"/>
      <c r="H34" s="47"/>
      <c r="I34" s="47"/>
      <c r="J34" s="47"/>
      <c r="K34" s="47"/>
      <c r="L34" s="47"/>
      <c r="M34" s="47"/>
      <c r="N34" s="47"/>
      <c r="O34" s="47"/>
      <c r="P34" s="47"/>
      <c r="Y34" s="47" t="s">
        <v>260</v>
      </c>
      <c r="AL34" s="107"/>
    </row>
    <row r="35" spans="1:38" x14ac:dyDescent="0.25">
      <c r="A35" s="10" t="s">
        <v>274</v>
      </c>
      <c r="B35" s="47" t="s">
        <v>275</v>
      </c>
      <c r="C35" s="47"/>
      <c r="D35" s="47"/>
      <c r="Y35" s="47" t="s">
        <v>260</v>
      </c>
    </row>
    <row r="36" spans="1:38" ht="30" x14ac:dyDescent="0.25">
      <c r="A36" s="108" t="s">
        <v>15</v>
      </c>
      <c r="B36" s="47" t="s">
        <v>253</v>
      </c>
      <c r="C36" s="47"/>
      <c r="D36" s="47"/>
      <c r="Y36" s="47" t="s">
        <v>276</v>
      </c>
      <c r="AL36" s="107"/>
    </row>
    <row r="37" spans="1:38" x14ac:dyDescent="0.25">
      <c r="A37" s="108" t="s">
        <v>254</v>
      </c>
      <c r="B37" s="47" t="s">
        <v>255</v>
      </c>
      <c r="C37" s="47"/>
      <c r="D37" s="47"/>
      <c r="Y37" s="47" t="s">
        <v>276</v>
      </c>
      <c r="AJ37" s="107"/>
      <c r="AL37" s="107"/>
    </row>
    <row r="38" spans="1:38" x14ac:dyDescent="0.25">
      <c r="A38" s="47"/>
      <c r="B38" s="47"/>
      <c r="C38" s="47"/>
      <c r="D38" s="47"/>
    </row>
    <row r="39" spans="1:38" x14ac:dyDescent="0.25">
      <c r="A39" s="47"/>
      <c r="B39" s="47"/>
      <c r="C39" s="47"/>
      <c r="D39" s="47"/>
    </row>
    <row r="47" spans="1:38" x14ac:dyDescent="0.25">
      <c r="A47" s="107"/>
    </row>
    <row r="48" spans="1:38" x14ac:dyDescent="0.25">
      <c r="A48" s="107"/>
    </row>
    <row r="49" spans="1:1" x14ac:dyDescent="0.25">
      <c r="A49" s="107"/>
    </row>
    <row r="50" spans="1:1" x14ac:dyDescent="0.25">
      <c r="A50" s="107"/>
    </row>
    <row r="51" spans="1:1" x14ac:dyDescent="0.25">
      <c r="A51" s="107"/>
    </row>
    <row r="52" spans="1:1" x14ac:dyDescent="0.25">
      <c r="A52" s="107"/>
    </row>
    <row r="53" spans="1:1" x14ac:dyDescent="0.25">
      <c r="A53" s="107"/>
    </row>
    <row r="54" spans="1:1" x14ac:dyDescent="0.25">
      <c r="A54" s="107"/>
    </row>
    <row r="55" spans="1:1" x14ac:dyDescent="0.25">
      <c r="A55" s="107"/>
    </row>
    <row r="56" spans="1:1" x14ac:dyDescent="0.25">
      <c r="A56" s="107"/>
    </row>
    <row r="57" spans="1:1" x14ac:dyDescent="0.25">
      <c r="A57" s="107"/>
    </row>
    <row r="58" spans="1:1" x14ac:dyDescent="0.25">
      <c r="A58" s="107"/>
    </row>
    <row r="59" spans="1:1" x14ac:dyDescent="0.25">
      <c r="A59" s="107"/>
    </row>
    <row r="60" spans="1:1" x14ac:dyDescent="0.25">
      <c r="A60" s="107"/>
    </row>
    <row r="61" spans="1:1" x14ac:dyDescent="0.25">
      <c r="A61" s="107"/>
    </row>
    <row r="62" spans="1:1" x14ac:dyDescent="0.25">
      <c r="A62" s="107"/>
    </row>
    <row r="63" spans="1:1" x14ac:dyDescent="0.25">
      <c r="A63" s="107"/>
    </row>
    <row r="64" spans="1:1" x14ac:dyDescent="0.25">
      <c r="A64" s="107"/>
    </row>
    <row r="65" spans="1:1" x14ac:dyDescent="0.25">
      <c r="A65" s="107"/>
    </row>
    <row r="66" spans="1:1" x14ac:dyDescent="0.25">
      <c r="A66" s="107"/>
    </row>
    <row r="67" spans="1:1" x14ac:dyDescent="0.25">
      <c r="A67" s="107"/>
    </row>
    <row r="68" spans="1:1" x14ac:dyDescent="0.25">
      <c r="A68" s="107"/>
    </row>
    <row r="69" spans="1:1" x14ac:dyDescent="0.25">
      <c r="A69" s="107"/>
    </row>
    <row r="70" spans="1:1" x14ac:dyDescent="0.25">
      <c r="A70" s="107"/>
    </row>
    <row r="71" spans="1:1" x14ac:dyDescent="0.25">
      <c r="A71" s="107"/>
    </row>
  </sheetData>
  <sheetProtection selectLockedCells="1" selectUnlockedCells="1"/>
  <pageMargins left="0.7" right="0.7" top="0.75" bottom="0.75" header="0.3" footer="0.3"/>
  <pageSetup orientation="portrait" r:id="rId1"/>
  <ignoredErrors>
    <ignoredError sqref="G10:O10 E9 G9:O9"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B703-3BD6-4019-A212-8254C743F25C}">
  <sheetPr codeName="Config_Title_Page"/>
  <dimension ref="A1:AG28"/>
  <sheetViews>
    <sheetView workbookViewId="0">
      <selection activeCell="B2" sqref="B2"/>
    </sheetView>
  </sheetViews>
  <sheetFormatPr defaultRowHeight="15" x14ac:dyDescent="0.25"/>
  <cols>
    <col min="1" max="1" width="25.7109375" customWidth="1"/>
    <col min="2" max="2" width="29.7109375" bestFit="1" customWidth="1"/>
    <col min="3" max="12" width="7.7109375" customWidth="1"/>
    <col min="13" max="13" width="17.85546875" customWidth="1"/>
    <col min="14" max="15" width="29.42578125" customWidth="1"/>
    <col min="16" max="16" width="24.28515625" customWidth="1"/>
    <col min="17" max="17" width="14.7109375" customWidth="1"/>
    <col min="18" max="19" width="12.7109375" customWidth="1"/>
    <col min="20" max="21" width="17.7109375" customWidth="1"/>
    <col min="22" max="22" width="10.28515625" customWidth="1"/>
    <col min="23" max="32" width="7.7109375" customWidth="1"/>
    <col min="33" max="33" width="10" bestFit="1" customWidth="1"/>
  </cols>
  <sheetData>
    <row r="1" spans="1:33" x14ac:dyDescent="0.25">
      <c r="B1" s="72">
        <v>1</v>
      </c>
      <c r="C1" s="72">
        <v>2</v>
      </c>
      <c r="D1" s="72">
        <v>3</v>
      </c>
      <c r="E1" s="72">
        <v>4</v>
      </c>
      <c r="F1" s="72">
        <v>5</v>
      </c>
      <c r="G1" s="72">
        <v>6</v>
      </c>
      <c r="H1" s="72">
        <v>7</v>
      </c>
      <c r="I1" s="72">
        <v>8</v>
      </c>
      <c r="J1" s="72">
        <v>9</v>
      </c>
      <c r="K1" s="72">
        <v>10</v>
      </c>
      <c r="L1" s="72">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row>
    <row r="2" spans="1:33" x14ac:dyDescent="0.25">
      <c r="C2" t="s">
        <v>277</v>
      </c>
      <c r="D2" t="s">
        <v>278</v>
      </c>
      <c r="E2" t="s">
        <v>279</v>
      </c>
      <c r="F2" t="s">
        <v>280</v>
      </c>
      <c r="G2" t="s">
        <v>281</v>
      </c>
      <c r="H2" t="s">
        <v>282</v>
      </c>
      <c r="I2" t="s">
        <v>283</v>
      </c>
      <c r="J2" t="s">
        <v>284</v>
      </c>
      <c r="K2" t="s">
        <v>285</v>
      </c>
      <c r="L2" t="s">
        <v>286</v>
      </c>
      <c r="M2" t="s">
        <v>287</v>
      </c>
      <c r="N2" t="s">
        <v>288</v>
      </c>
      <c r="O2" t="s">
        <v>289</v>
      </c>
      <c r="P2" t="s">
        <v>290</v>
      </c>
      <c r="Q2" t="s">
        <v>291</v>
      </c>
      <c r="R2" t="s">
        <v>292</v>
      </c>
      <c r="S2" t="s">
        <v>293</v>
      </c>
      <c r="T2" t="s">
        <v>294</v>
      </c>
      <c r="U2" t="s">
        <v>295</v>
      </c>
      <c r="V2" t="s">
        <v>296</v>
      </c>
      <c r="W2" t="s">
        <v>297</v>
      </c>
      <c r="X2" t="s">
        <v>298</v>
      </c>
      <c r="Y2" t="s">
        <v>299</v>
      </c>
      <c r="Z2" t="s">
        <v>300</v>
      </c>
      <c r="AA2" t="s">
        <v>301</v>
      </c>
      <c r="AB2" t="s">
        <v>302</v>
      </c>
      <c r="AC2" t="s">
        <v>303</v>
      </c>
      <c r="AD2" t="s">
        <v>304</v>
      </c>
      <c r="AE2" t="s">
        <v>305</v>
      </c>
      <c r="AF2" t="s">
        <v>306</v>
      </c>
      <c r="AG2" t="s">
        <v>307</v>
      </c>
    </row>
    <row r="3" spans="1:33" x14ac:dyDescent="0.25">
      <c r="A3" t="s">
        <v>233</v>
      </c>
      <c r="B3" s="47" t="s">
        <v>234</v>
      </c>
      <c r="C3" t="str">
        <f>" "</f>
        <v xml:space="preserve"> </v>
      </c>
      <c r="D3" t="str">
        <f t="shared" ref="D3:G4" si="0">" "</f>
        <v xml:space="preserve"> </v>
      </c>
      <c r="E3" t="str">
        <f t="shared" si="0"/>
        <v xml:space="preserve"> </v>
      </c>
      <c r="F3" t="str">
        <f t="shared" si="0"/>
        <v xml:space="preserve"> </v>
      </c>
      <c r="G3" t="str">
        <f t="shared" si="0"/>
        <v xml:space="preserve"> </v>
      </c>
      <c r="H3" t="str">
        <f>Location</f>
        <v>IAD35 Generator Yard</v>
      </c>
      <c r="I3" t="str">
        <f>Location</f>
        <v>IAD35 Generator Yard</v>
      </c>
      <c r="J3" t="s">
        <v>308</v>
      </c>
      <c r="K3" t="str">
        <f>Location</f>
        <v>IAD35 Generator Yard</v>
      </c>
      <c r="L3" t="str">
        <f t="shared" ref="C3:V28" si="1">" "</f>
        <v xml:space="preserve"> </v>
      </c>
      <c r="M3" t="s">
        <v>25</v>
      </c>
      <c r="N3" t="s">
        <v>26</v>
      </c>
      <c r="O3" t="s">
        <v>309</v>
      </c>
      <c r="P3" t="s">
        <v>310</v>
      </c>
      <c r="Q3" t="str">
        <f t="shared" si="1"/>
        <v xml:space="preserve"> </v>
      </c>
      <c r="R3" t="s">
        <v>311</v>
      </c>
      <c r="S3" t="s">
        <v>311</v>
      </c>
      <c r="T3" t="s">
        <v>311</v>
      </c>
      <c r="U3" t="s">
        <v>312</v>
      </c>
      <c r="V3" t="str">
        <f t="shared" si="1"/>
        <v xml:space="preserve"> </v>
      </c>
      <c r="W3" t="s">
        <v>313</v>
      </c>
      <c r="X3" t="s">
        <v>313</v>
      </c>
      <c r="Y3" t="s">
        <v>313</v>
      </c>
      <c r="Z3" t="str">
        <f t="shared" ref="Z3:Z28" si="2">" "</f>
        <v xml:space="preserve"> </v>
      </c>
      <c r="AA3" t="str">
        <f t="shared" ref="AA3:AA28" si="3">" "</f>
        <v xml:space="preserve"> </v>
      </c>
      <c r="AB3" t="s">
        <v>314</v>
      </c>
      <c r="AC3" t="s">
        <v>314</v>
      </c>
      <c r="AD3" t="s">
        <v>314</v>
      </c>
      <c r="AE3" t="str">
        <f t="shared" ref="AE3:AE28" si="4">" "</f>
        <v xml:space="preserve"> </v>
      </c>
      <c r="AF3" t="str">
        <f t="shared" ref="AF3:AF28" si="5">" "</f>
        <v xml:space="preserve"> </v>
      </c>
      <c r="AG3" t="s">
        <v>50</v>
      </c>
    </row>
    <row r="4" spans="1:33" x14ac:dyDescent="0.25">
      <c r="A4" s="47" t="s">
        <v>236</v>
      </c>
      <c r="B4" s="47" t="s">
        <v>237</v>
      </c>
      <c r="C4" t="str">
        <f>" "</f>
        <v xml:space="preserve"> </v>
      </c>
      <c r="D4" t="str">
        <f t="shared" si="0"/>
        <v xml:space="preserve"> </v>
      </c>
      <c r="E4" t="str">
        <f t="shared" si="0"/>
        <v xml:space="preserve"> </v>
      </c>
      <c r="F4" t="str">
        <f t="shared" si="0"/>
        <v xml:space="preserve"> </v>
      </c>
      <c r="G4" t="str">
        <f t="shared" si="0"/>
        <v xml:space="preserve"> </v>
      </c>
      <c r="H4" t="str">
        <f>Location</f>
        <v>IAD35 Generator Yard</v>
      </c>
      <c r="I4" t="str">
        <f>Location</f>
        <v>IAD35 Generator Yard</v>
      </c>
      <c r="J4" t="s">
        <v>308</v>
      </c>
      <c r="K4" t="str">
        <f>Location</f>
        <v>IAD35 Generator Yard</v>
      </c>
      <c r="L4" t="str">
        <f t="shared" si="1"/>
        <v xml:space="preserve"> </v>
      </c>
      <c r="M4" t="s">
        <v>25</v>
      </c>
      <c r="N4" t="s">
        <v>26</v>
      </c>
      <c r="O4" t="s">
        <v>309</v>
      </c>
      <c r="P4" t="s">
        <v>310</v>
      </c>
      <c r="Q4" t="str">
        <f t="shared" si="1"/>
        <v xml:space="preserve"> </v>
      </c>
      <c r="R4" t="s">
        <v>311</v>
      </c>
      <c r="S4" t="s">
        <v>311</v>
      </c>
      <c r="T4" t="s">
        <v>311</v>
      </c>
      <c r="U4" t="s">
        <v>312</v>
      </c>
      <c r="V4" t="str">
        <f t="shared" si="1"/>
        <v xml:space="preserve"> </v>
      </c>
      <c r="W4" t="s">
        <v>313</v>
      </c>
      <c r="X4" t="s">
        <v>313</v>
      </c>
      <c r="Y4" t="s">
        <v>313</v>
      </c>
      <c r="Z4" t="str">
        <f t="shared" si="2"/>
        <v xml:space="preserve"> </v>
      </c>
      <c r="AA4" t="str">
        <f t="shared" si="3"/>
        <v xml:space="preserve"> </v>
      </c>
      <c r="AB4" t="s">
        <v>314</v>
      </c>
      <c r="AC4" t="s">
        <v>314</v>
      </c>
      <c r="AD4" t="s">
        <v>314</v>
      </c>
      <c r="AE4" t="str">
        <f t="shared" si="4"/>
        <v xml:space="preserve"> </v>
      </c>
      <c r="AF4" t="str">
        <f t="shared" si="5"/>
        <v xml:space="preserve"> </v>
      </c>
      <c r="AG4" t="s">
        <v>50</v>
      </c>
    </row>
    <row r="5" spans="1:33" x14ac:dyDescent="0.25">
      <c r="A5" t="s">
        <v>211</v>
      </c>
      <c r="B5" s="47" t="s">
        <v>212</v>
      </c>
      <c r="C5" t="str">
        <f t="shared" si="1"/>
        <v xml:space="preserve"> </v>
      </c>
      <c r="D5" t="str">
        <f t="shared" si="1"/>
        <v xml:space="preserve"> </v>
      </c>
      <c r="E5" t="str">
        <f t="shared" si="1"/>
        <v xml:space="preserve"> </v>
      </c>
      <c r="F5" t="str">
        <f t="shared" si="1"/>
        <v xml:space="preserve"> </v>
      </c>
      <c r="G5" t="str">
        <f t="shared" si="1"/>
        <v xml:space="preserve"> </v>
      </c>
      <c r="H5" t="str">
        <f>Location</f>
        <v>IAD35 Generator Yard</v>
      </c>
      <c r="I5" t="s">
        <v>308</v>
      </c>
      <c r="J5" t="str">
        <f>Location</f>
        <v>IAD35 Generator Yard</v>
      </c>
      <c r="K5" t="str">
        <f t="shared" si="1"/>
        <v xml:space="preserve"> </v>
      </c>
      <c r="L5" t="str">
        <f t="shared" si="1"/>
        <v xml:space="preserve"> </v>
      </c>
      <c r="M5" t="s">
        <v>315</v>
      </c>
      <c r="N5" t="s">
        <v>309</v>
      </c>
      <c r="O5" t="s">
        <v>316</v>
      </c>
      <c r="P5" t="str">
        <f t="shared" si="1"/>
        <v xml:space="preserve"> </v>
      </c>
      <c r="Q5" t="str">
        <f t="shared" si="1"/>
        <v xml:space="preserve"> </v>
      </c>
      <c r="R5" t="s">
        <v>311</v>
      </c>
      <c r="S5" t="s">
        <v>311</v>
      </c>
      <c r="T5" t="s">
        <v>312</v>
      </c>
      <c r="U5" t="str">
        <f t="shared" si="1"/>
        <v xml:space="preserve"> </v>
      </c>
      <c r="V5" t="str">
        <f t="shared" si="1"/>
        <v xml:space="preserve"> </v>
      </c>
      <c r="W5" t="s">
        <v>313</v>
      </c>
      <c r="X5" t="s">
        <v>313</v>
      </c>
      <c r="Y5" t="str">
        <f t="shared" ref="Y5:Y13" si="6">" "</f>
        <v xml:space="preserve"> </v>
      </c>
      <c r="Z5" t="str">
        <f t="shared" si="2"/>
        <v xml:space="preserve"> </v>
      </c>
      <c r="AA5" t="str">
        <f t="shared" si="3"/>
        <v xml:space="preserve"> </v>
      </c>
      <c r="AB5" t="s">
        <v>314</v>
      </c>
      <c r="AC5" t="s">
        <v>314</v>
      </c>
      <c r="AD5" t="str">
        <f t="shared" ref="AD5:AD8" si="7">" "</f>
        <v xml:space="preserve"> </v>
      </c>
      <c r="AE5" t="str">
        <f t="shared" si="4"/>
        <v xml:space="preserve"> </v>
      </c>
      <c r="AF5" t="str">
        <f t="shared" si="5"/>
        <v xml:space="preserve"> </v>
      </c>
      <c r="AG5" t="s">
        <v>50</v>
      </c>
    </row>
    <row r="6" spans="1:33" x14ac:dyDescent="0.25">
      <c r="A6" t="s">
        <v>215</v>
      </c>
      <c r="B6" s="47" t="s">
        <v>216</v>
      </c>
      <c r="C6" t="str">
        <f t="shared" si="1"/>
        <v xml:space="preserve"> </v>
      </c>
      <c r="D6" t="str">
        <f t="shared" si="1"/>
        <v xml:space="preserve"> </v>
      </c>
      <c r="E6" t="str">
        <f t="shared" si="1"/>
        <v xml:space="preserve"> </v>
      </c>
      <c r="F6" t="str">
        <f t="shared" si="1"/>
        <v xml:space="preserve"> </v>
      </c>
      <c r="G6" t="str">
        <f t="shared" si="1"/>
        <v xml:space="preserve"> </v>
      </c>
      <c r="H6" t="str">
        <f>Location</f>
        <v>IAD35 Generator Yard</v>
      </c>
      <c r="I6" t="s">
        <v>308</v>
      </c>
      <c r="J6" t="str">
        <f>Location</f>
        <v>IAD35 Generator Yard</v>
      </c>
      <c r="K6" t="str">
        <f t="shared" si="1"/>
        <v xml:space="preserve"> </v>
      </c>
      <c r="L6" t="str">
        <f t="shared" si="1"/>
        <v xml:space="preserve"> </v>
      </c>
      <c r="M6" t="s">
        <v>315</v>
      </c>
      <c r="N6" t="s">
        <v>309</v>
      </c>
      <c r="O6" t="s">
        <v>317</v>
      </c>
      <c r="P6" t="str">
        <f t="shared" si="1"/>
        <v xml:space="preserve"> </v>
      </c>
      <c r="Q6" t="str">
        <f t="shared" si="1"/>
        <v xml:space="preserve"> </v>
      </c>
      <c r="R6" t="s">
        <v>311</v>
      </c>
      <c r="S6" t="s">
        <v>311</v>
      </c>
      <c r="T6" t="s">
        <v>312</v>
      </c>
      <c r="U6" t="str">
        <f t="shared" si="1"/>
        <v xml:space="preserve"> </v>
      </c>
      <c r="V6" t="str">
        <f t="shared" si="1"/>
        <v xml:space="preserve"> </v>
      </c>
      <c r="W6" t="s">
        <v>313</v>
      </c>
      <c r="X6" t="s">
        <v>313</v>
      </c>
      <c r="Y6" t="str">
        <f t="shared" si="6"/>
        <v xml:space="preserve"> </v>
      </c>
      <c r="Z6" t="str">
        <f t="shared" si="2"/>
        <v xml:space="preserve"> </v>
      </c>
      <c r="AA6" t="str">
        <f t="shared" si="3"/>
        <v xml:space="preserve"> </v>
      </c>
      <c r="AB6" t="s">
        <v>314</v>
      </c>
      <c r="AC6" t="s">
        <v>314</v>
      </c>
      <c r="AD6" t="str">
        <f t="shared" si="7"/>
        <v xml:space="preserve"> </v>
      </c>
      <c r="AE6" t="str">
        <f t="shared" si="4"/>
        <v xml:space="preserve"> </v>
      </c>
      <c r="AF6" t="str">
        <f t="shared" si="5"/>
        <v xml:space="preserve"> </v>
      </c>
      <c r="AG6" t="s">
        <v>50</v>
      </c>
    </row>
    <row r="7" spans="1:33" x14ac:dyDescent="0.25">
      <c r="A7" t="s">
        <v>217</v>
      </c>
      <c r="B7" s="47" t="s">
        <v>218</v>
      </c>
      <c r="C7" t="str">
        <f t="shared" si="1"/>
        <v xml:space="preserve"> </v>
      </c>
      <c r="D7" t="str">
        <f t="shared" si="1"/>
        <v xml:space="preserve"> </v>
      </c>
      <c r="E7" t="str">
        <f t="shared" si="1"/>
        <v xml:space="preserve"> </v>
      </c>
      <c r="F7" t="str">
        <f t="shared" si="1"/>
        <v xml:space="preserve"> </v>
      </c>
      <c r="G7" t="str">
        <f t="shared" si="1"/>
        <v xml:space="preserve"> </v>
      </c>
      <c r="H7" t="str">
        <f>Location</f>
        <v>IAD35 Generator Yard</v>
      </c>
      <c r="I7" t="s">
        <v>308</v>
      </c>
      <c r="J7" t="str">
        <f>Location</f>
        <v>IAD35 Generator Yard</v>
      </c>
      <c r="K7" t="str">
        <f t="shared" si="1"/>
        <v xml:space="preserve"> </v>
      </c>
      <c r="L7" t="str">
        <f t="shared" si="1"/>
        <v xml:space="preserve"> </v>
      </c>
      <c r="M7" t="s">
        <v>315</v>
      </c>
      <c r="N7" t="s">
        <v>309</v>
      </c>
      <c r="O7" t="s">
        <v>318</v>
      </c>
      <c r="P7" t="str">
        <f t="shared" si="1"/>
        <v xml:space="preserve"> </v>
      </c>
      <c r="Q7" t="str">
        <f t="shared" si="1"/>
        <v xml:space="preserve"> </v>
      </c>
      <c r="R7" t="s">
        <v>311</v>
      </c>
      <c r="S7" t="s">
        <v>311</v>
      </c>
      <c r="T7" t="s">
        <v>319</v>
      </c>
      <c r="U7" t="str">
        <f t="shared" si="1"/>
        <v xml:space="preserve"> </v>
      </c>
      <c r="V7" t="str">
        <f t="shared" si="1"/>
        <v xml:space="preserve"> </v>
      </c>
      <c r="W7" t="s">
        <v>313</v>
      </c>
      <c r="X7" t="s">
        <v>313</v>
      </c>
      <c r="Y7" t="str">
        <f t="shared" si="6"/>
        <v xml:space="preserve"> </v>
      </c>
      <c r="Z7" t="str">
        <f t="shared" si="2"/>
        <v xml:space="preserve"> </v>
      </c>
      <c r="AA7" t="str">
        <f t="shared" si="3"/>
        <v xml:space="preserve"> </v>
      </c>
      <c r="AB7" t="s">
        <v>314</v>
      </c>
      <c r="AC7" t="s">
        <v>314</v>
      </c>
      <c r="AD7" t="str">
        <f t="shared" si="7"/>
        <v xml:space="preserve"> </v>
      </c>
      <c r="AE7" t="str">
        <f t="shared" si="4"/>
        <v xml:space="preserve"> </v>
      </c>
      <c r="AF7" t="str">
        <f t="shared" si="5"/>
        <v xml:space="preserve"> </v>
      </c>
      <c r="AG7" t="s">
        <v>50</v>
      </c>
    </row>
    <row r="8" spans="1:33" x14ac:dyDescent="0.25">
      <c r="A8" t="s">
        <v>199</v>
      </c>
      <c r="B8" s="47" t="s">
        <v>200</v>
      </c>
      <c r="C8" t="str">
        <f t="shared" si="1"/>
        <v xml:space="preserve"> </v>
      </c>
      <c r="D8" t="str">
        <f t="shared" si="1"/>
        <v xml:space="preserve"> </v>
      </c>
      <c r="E8" t="str">
        <f t="shared" si="1"/>
        <v xml:space="preserve"> </v>
      </c>
      <c r="F8" t="str">
        <f t="shared" si="1"/>
        <v xml:space="preserve"> </v>
      </c>
      <c r="G8" t="str">
        <f t="shared" si="1"/>
        <v xml:space="preserve"> </v>
      </c>
      <c r="H8" t="str">
        <f>Location</f>
        <v>IAD35 Generator Yard</v>
      </c>
      <c r="I8" t="s">
        <v>308</v>
      </c>
      <c r="J8" t="str">
        <f t="shared" si="1"/>
        <v xml:space="preserve"> </v>
      </c>
      <c r="K8" t="str">
        <f t="shared" si="1"/>
        <v xml:space="preserve"> </v>
      </c>
      <c r="L8" t="str">
        <f t="shared" si="1"/>
        <v xml:space="preserve"> </v>
      </c>
      <c r="M8" t="s">
        <v>315</v>
      </c>
      <c r="N8" t="s">
        <v>309</v>
      </c>
      <c r="O8" t="str">
        <f t="shared" si="1"/>
        <v xml:space="preserve"> </v>
      </c>
      <c r="P8" t="str">
        <f t="shared" si="1"/>
        <v xml:space="preserve"> </v>
      </c>
      <c r="Q8" t="str">
        <f t="shared" si="1"/>
        <v xml:space="preserve"> </v>
      </c>
      <c r="R8" t="s">
        <v>311</v>
      </c>
      <c r="S8" t="s">
        <v>311</v>
      </c>
      <c r="T8" t="str">
        <f t="shared" ref="T8" si="8">" "</f>
        <v xml:space="preserve"> </v>
      </c>
      <c r="U8" t="str">
        <f t="shared" si="1"/>
        <v xml:space="preserve"> </v>
      </c>
      <c r="V8" t="str">
        <f t="shared" si="1"/>
        <v xml:space="preserve"> </v>
      </c>
      <c r="W8" t="s">
        <v>313</v>
      </c>
      <c r="X8" t="s">
        <v>313</v>
      </c>
      <c r="Y8" t="str">
        <f t="shared" si="6"/>
        <v xml:space="preserve"> </v>
      </c>
      <c r="Z8" t="str">
        <f t="shared" si="2"/>
        <v xml:space="preserve"> </v>
      </c>
      <c r="AA8" t="str">
        <f t="shared" si="3"/>
        <v xml:space="preserve"> </v>
      </c>
      <c r="AB8" t="s">
        <v>314</v>
      </c>
      <c r="AC8" t="s">
        <v>314</v>
      </c>
      <c r="AD8" t="str">
        <f t="shared" si="7"/>
        <v xml:space="preserve"> </v>
      </c>
      <c r="AE8" t="str">
        <f t="shared" si="4"/>
        <v xml:space="preserve"> </v>
      </c>
      <c r="AF8" t="str">
        <f t="shared" si="5"/>
        <v xml:space="preserve"> </v>
      </c>
      <c r="AG8" t="s">
        <v>50</v>
      </c>
    </row>
    <row r="9" spans="1:33" x14ac:dyDescent="0.25">
      <c r="A9" t="s">
        <v>206</v>
      </c>
      <c r="B9" s="47" t="s">
        <v>207</v>
      </c>
      <c r="C9" t="str">
        <f t="shared" si="1"/>
        <v xml:space="preserve"> </v>
      </c>
      <c r="D9" t="str">
        <f t="shared" si="1"/>
        <v xml:space="preserve"> </v>
      </c>
      <c r="E9" t="str">
        <f t="shared" si="1"/>
        <v xml:space="preserve"> </v>
      </c>
      <c r="F9" t="str">
        <f t="shared" si="1"/>
        <v xml:space="preserve"> </v>
      </c>
      <c r="G9" t="str">
        <f t="shared" si="1"/>
        <v xml:space="preserve"> </v>
      </c>
      <c r="H9" t="str">
        <f>Location</f>
        <v>IAD35 Generator Yard</v>
      </c>
      <c r="I9" t="str">
        <f>Location</f>
        <v>IAD35 Generator Yard</v>
      </c>
      <c r="J9" t="s">
        <v>308</v>
      </c>
      <c r="K9" t="str">
        <f t="shared" si="1"/>
        <v xml:space="preserve"> </v>
      </c>
      <c r="L9" t="str">
        <f t="shared" si="1"/>
        <v xml:space="preserve"> </v>
      </c>
      <c r="M9" t="s">
        <v>25</v>
      </c>
      <c r="N9" t="s">
        <v>26</v>
      </c>
      <c r="O9" t="s">
        <v>309</v>
      </c>
      <c r="P9" t="str">
        <f t="shared" si="1"/>
        <v xml:space="preserve"> </v>
      </c>
      <c r="Q9" t="str">
        <f t="shared" si="1"/>
        <v xml:space="preserve"> </v>
      </c>
      <c r="R9" t="s">
        <v>311</v>
      </c>
      <c r="S9" t="s">
        <v>311</v>
      </c>
      <c r="T9" t="s">
        <v>311</v>
      </c>
      <c r="U9" t="str">
        <f t="shared" si="1"/>
        <v xml:space="preserve"> </v>
      </c>
      <c r="V9" t="str">
        <f t="shared" si="1"/>
        <v xml:space="preserve"> </v>
      </c>
      <c r="W9" t="s">
        <v>313</v>
      </c>
      <c r="X9" t="s">
        <v>313</v>
      </c>
      <c r="Y9" t="s">
        <v>313</v>
      </c>
      <c r="Z9" t="str">
        <f t="shared" si="2"/>
        <v xml:space="preserve"> </v>
      </c>
      <c r="AA9" t="str">
        <f t="shared" si="3"/>
        <v xml:space="preserve"> </v>
      </c>
      <c r="AB9" t="s">
        <v>314</v>
      </c>
      <c r="AC9" t="s">
        <v>314</v>
      </c>
      <c r="AD9" t="s">
        <v>314</v>
      </c>
      <c r="AE9" t="str">
        <f t="shared" si="4"/>
        <v xml:space="preserve"> </v>
      </c>
      <c r="AF9" t="str">
        <f t="shared" si="5"/>
        <v xml:space="preserve"> </v>
      </c>
      <c r="AG9" t="s">
        <v>50</v>
      </c>
    </row>
    <row r="10" spans="1:33" x14ac:dyDescent="0.25">
      <c r="A10" t="s">
        <v>220</v>
      </c>
      <c r="B10" s="47" t="s">
        <v>221</v>
      </c>
      <c r="C10" t="str">
        <f t="shared" si="1"/>
        <v xml:space="preserve"> </v>
      </c>
      <c r="D10" t="str">
        <f t="shared" si="1"/>
        <v xml:space="preserve"> </v>
      </c>
      <c r="E10" t="str">
        <f t="shared" si="1"/>
        <v xml:space="preserve"> </v>
      </c>
      <c r="F10" t="str">
        <f t="shared" si="1"/>
        <v xml:space="preserve"> </v>
      </c>
      <c r="G10" t="str">
        <f t="shared" si="1"/>
        <v xml:space="preserve"> </v>
      </c>
      <c r="H10" t="str">
        <f>Location</f>
        <v>IAD35 Generator Yard</v>
      </c>
      <c r="I10" t="s">
        <v>308</v>
      </c>
      <c r="J10" t="str">
        <f t="shared" si="1"/>
        <v xml:space="preserve"> </v>
      </c>
      <c r="K10" t="str">
        <f t="shared" si="1"/>
        <v xml:space="preserve"> </v>
      </c>
      <c r="L10" t="str">
        <f t="shared" si="1"/>
        <v xml:space="preserve"> </v>
      </c>
      <c r="M10" t="s">
        <v>315</v>
      </c>
      <c r="N10" t="s">
        <v>309</v>
      </c>
      <c r="O10" t="str">
        <f t="shared" si="1"/>
        <v xml:space="preserve"> </v>
      </c>
      <c r="P10" t="str">
        <f t="shared" si="1"/>
        <v xml:space="preserve"> </v>
      </c>
      <c r="Q10" t="str">
        <f t="shared" si="1"/>
        <v xml:space="preserve"> </v>
      </c>
      <c r="R10" t="s">
        <v>311</v>
      </c>
      <c r="S10" t="s">
        <v>311</v>
      </c>
      <c r="T10" t="str">
        <f t="shared" ref="T10" si="9">" "</f>
        <v xml:space="preserve"> </v>
      </c>
      <c r="U10" t="str">
        <f t="shared" si="1"/>
        <v xml:space="preserve"> </v>
      </c>
      <c r="V10" t="str">
        <f t="shared" si="1"/>
        <v xml:space="preserve"> </v>
      </c>
      <c r="W10" t="s">
        <v>313</v>
      </c>
      <c r="X10" t="s">
        <v>313</v>
      </c>
      <c r="Y10" t="str">
        <f t="shared" si="6"/>
        <v xml:space="preserve"> </v>
      </c>
      <c r="Z10" t="str">
        <f t="shared" si="2"/>
        <v xml:space="preserve"> </v>
      </c>
      <c r="AA10" t="str">
        <f t="shared" si="3"/>
        <v xml:space="preserve"> </v>
      </c>
      <c r="AB10" t="s">
        <v>314</v>
      </c>
      <c r="AC10" t="s">
        <v>314</v>
      </c>
      <c r="AD10" t="str">
        <f t="shared" ref="AD10:AD13" si="10">" "</f>
        <v xml:space="preserve"> </v>
      </c>
      <c r="AE10" t="str">
        <f t="shared" si="4"/>
        <v xml:space="preserve"> </v>
      </c>
      <c r="AF10" t="str">
        <f t="shared" si="5"/>
        <v xml:space="preserve"> </v>
      </c>
      <c r="AG10" t="s">
        <v>50</v>
      </c>
    </row>
    <row r="11" spans="1:33" x14ac:dyDescent="0.25">
      <c r="A11" t="s">
        <v>222</v>
      </c>
      <c r="B11" s="47" t="s">
        <v>223</v>
      </c>
      <c r="C11" t="str">
        <f t="shared" si="1"/>
        <v xml:space="preserve"> </v>
      </c>
      <c r="D11" t="str">
        <f t="shared" si="1"/>
        <v xml:space="preserve"> </v>
      </c>
      <c r="E11" t="str">
        <f t="shared" si="1"/>
        <v xml:space="preserve"> </v>
      </c>
      <c r="F11" t="str">
        <f t="shared" si="1"/>
        <v xml:space="preserve"> </v>
      </c>
      <c r="G11" t="str">
        <f t="shared" si="1"/>
        <v xml:space="preserve"> </v>
      </c>
      <c r="H11" t="str">
        <f>Location</f>
        <v>IAD35 Generator Yard</v>
      </c>
      <c r="I11" t="s">
        <v>308</v>
      </c>
      <c r="J11" t="str">
        <f>Location</f>
        <v>IAD35 Generator Yard</v>
      </c>
      <c r="K11" t="str">
        <f t="shared" si="1"/>
        <v xml:space="preserve"> </v>
      </c>
      <c r="L11" t="str">
        <f t="shared" si="1"/>
        <v xml:space="preserve"> </v>
      </c>
      <c r="M11" t="s">
        <v>315</v>
      </c>
      <c r="N11" t="s">
        <v>309</v>
      </c>
      <c r="O11" t="s">
        <v>320</v>
      </c>
      <c r="P11" t="str">
        <f t="shared" si="1"/>
        <v xml:space="preserve"> </v>
      </c>
      <c r="Q11" t="str">
        <f t="shared" si="1"/>
        <v xml:space="preserve"> </v>
      </c>
      <c r="R11" t="s">
        <v>311</v>
      </c>
      <c r="S11" t="s">
        <v>311</v>
      </c>
      <c r="T11" t="s">
        <v>319</v>
      </c>
      <c r="U11" t="str">
        <f t="shared" si="1"/>
        <v xml:space="preserve"> </v>
      </c>
      <c r="V11" t="str">
        <f t="shared" si="1"/>
        <v xml:space="preserve"> </v>
      </c>
      <c r="W11" t="s">
        <v>313</v>
      </c>
      <c r="X11" t="s">
        <v>313</v>
      </c>
      <c r="Y11" t="str">
        <f t="shared" si="6"/>
        <v xml:space="preserve"> </v>
      </c>
      <c r="Z11" t="str">
        <f t="shared" si="2"/>
        <v xml:space="preserve"> </v>
      </c>
      <c r="AA11" t="str">
        <f t="shared" si="3"/>
        <v xml:space="preserve"> </v>
      </c>
      <c r="AB11" t="s">
        <v>314</v>
      </c>
      <c r="AC11" t="s">
        <v>314</v>
      </c>
      <c r="AD11" t="str">
        <f t="shared" si="10"/>
        <v xml:space="preserve"> </v>
      </c>
      <c r="AE11" t="str">
        <f t="shared" si="4"/>
        <v xml:space="preserve"> </v>
      </c>
      <c r="AF11" t="str">
        <f t="shared" si="5"/>
        <v xml:space="preserve"> </v>
      </c>
      <c r="AG11" t="s">
        <v>50</v>
      </c>
    </row>
    <row r="12" spans="1:33" x14ac:dyDescent="0.25">
      <c r="A12" t="s">
        <v>208</v>
      </c>
      <c r="B12" s="47" t="s">
        <v>209</v>
      </c>
      <c r="C12" t="str">
        <f t="shared" si="1"/>
        <v xml:space="preserve"> </v>
      </c>
      <c r="D12" t="str">
        <f t="shared" si="1"/>
        <v xml:space="preserve"> </v>
      </c>
      <c r="E12" t="str">
        <f t="shared" si="1"/>
        <v xml:space="preserve"> </v>
      </c>
      <c r="F12" t="str">
        <f t="shared" si="1"/>
        <v xml:space="preserve"> </v>
      </c>
      <c r="G12" t="str">
        <f t="shared" si="1"/>
        <v xml:space="preserve"> </v>
      </c>
      <c r="H12" t="str">
        <f>Location</f>
        <v>IAD35 Generator Yard</v>
      </c>
      <c r="I12" t="s">
        <v>308</v>
      </c>
      <c r="J12" t="str">
        <f>Location</f>
        <v>IAD35 Generator Yard</v>
      </c>
      <c r="K12" t="str">
        <f t="shared" si="1"/>
        <v xml:space="preserve"> </v>
      </c>
      <c r="L12" t="str">
        <f t="shared" si="1"/>
        <v xml:space="preserve"> </v>
      </c>
      <c r="M12" t="s">
        <v>315</v>
      </c>
      <c r="N12" t="s">
        <v>309</v>
      </c>
      <c r="O12" t="s">
        <v>321</v>
      </c>
      <c r="P12" t="str">
        <f t="shared" si="1"/>
        <v xml:space="preserve"> </v>
      </c>
      <c r="Q12" t="str">
        <f t="shared" si="1"/>
        <v xml:space="preserve"> </v>
      </c>
      <c r="R12" t="s">
        <v>311</v>
      </c>
      <c r="S12" t="s">
        <v>311</v>
      </c>
      <c r="T12" t="str">
        <f>VLOOKUP(zSelectedEquipment, 'Config-Gen'!A4:B143, 2, FALSE)</f>
        <v>CAT</v>
      </c>
      <c r="U12" t="str">
        <f t="shared" si="1"/>
        <v xml:space="preserve"> </v>
      </c>
      <c r="V12" t="str">
        <f t="shared" si="1"/>
        <v xml:space="preserve"> </v>
      </c>
      <c r="W12" t="s">
        <v>313</v>
      </c>
      <c r="X12" t="s">
        <v>313</v>
      </c>
      <c r="Y12" t="str">
        <f t="shared" si="6"/>
        <v xml:space="preserve"> </v>
      </c>
      <c r="Z12" t="str">
        <f t="shared" si="2"/>
        <v xml:space="preserve"> </v>
      </c>
      <c r="AA12" t="str">
        <f t="shared" si="3"/>
        <v xml:space="preserve"> </v>
      </c>
      <c r="AB12" t="s">
        <v>314</v>
      </c>
      <c r="AC12" t="s">
        <v>314</v>
      </c>
      <c r="AD12" t="str">
        <f t="shared" si="10"/>
        <v xml:space="preserve"> </v>
      </c>
      <c r="AE12" t="str">
        <f t="shared" si="4"/>
        <v xml:space="preserve"> </v>
      </c>
      <c r="AF12" t="str">
        <f t="shared" si="5"/>
        <v xml:space="preserve"> </v>
      </c>
      <c r="AG12" t="s">
        <v>50</v>
      </c>
    </row>
    <row r="13" spans="1:33" x14ac:dyDescent="0.25">
      <c r="A13" t="s">
        <v>35</v>
      </c>
      <c r="B13" s="47" t="s">
        <v>210</v>
      </c>
      <c r="C13" t="str">
        <f t="shared" si="1"/>
        <v xml:space="preserve"> </v>
      </c>
      <c r="D13" t="str">
        <f t="shared" si="1"/>
        <v xml:space="preserve"> </v>
      </c>
      <c r="E13" t="str">
        <f t="shared" si="1"/>
        <v xml:space="preserve"> </v>
      </c>
      <c r="F13" t="str">
        <f t="shared" si="1"/>
        <v xml:space="preserve"> </v>
      </c>
      <c r="G13" t="str">
        <f t="shared" si="1"/>
        <v xml:space="preserve"> </v>
      </c>
      <c r="H13" t="str">
        <f>Location</f>
        <v>IAD35 Generator Yard</v>
      </c>
      <c r="I13" t="s">
        <v>308</v>
      </c>
      <c r="J13" t="str">
        <f t="shared" si="1"/>
        <v xml:space="preserve"> </v>
      </c>
      <c r="K13" t="str">
        <f t="shared" si="1"/>
        <v xml:space="preserve"> </v>
      </c>
      <c r="L13" t="str">
        <f t="shared" si="1"/>
        <v xml:space="preserve"> </v>
      </c>
      <c r="M13" t="s">
        <v>315</v>
      </c>
      <c r="N13" t="s">
        <v>309</v>
      </c>
      <c r="O13" t="str">
        <f t="shared" si="1"/>
        <v xml:space="preserve"> </v>
      </c>
      <c r="P13" t="str">
        <f t="shared" si="1"/>
        <v xml:space="preserve"> </v>
      </c>
      <c r="Q13" t="str">
        <f t="shared" si="1"/>
        <v xml:space="preserve"> </v>
      </c>
      <c r="R13" t="s">
        <v>311</v>
      </c>
      <c r="S13" t="s">
        <v>311</v>
      </c>
      <c r="T13" t="str">
        <f t="shared" ref="T13" si="11">" "</f>
        <v xml:space="preserve"> </v>
      </c>
      <c r="U13" t="str">
        <f t="shared" si="1"/>
        <v xml:space="preserve"> </v>
      </c>
      <c r="V13" t="str">
        <f t="shared" si="1"/>
        <v xml:space="preserve"> </v>
      </c>
      <c r="W13" t="s">
        <v>313</v>
      </c>
      <c r="X13" t="s">
        <v>313</v>
      </c>
      <c r="Y13" t="str">
        <f t="shared" si="6"/>
        <v xml:space="preserve"> </v>
      </c>
      <c r="Z13" t="str">
        <f t="shared" si="2"/>
        <v xml:space="preserve"> </v>
      </c>
      <c r="AA13" t="str">
        <f t="shared" si="3"/>
        <v xml:space="preserve"> </v>
      </c>
      <c r="AB13" t="s">
        <v>314</v>
      </c>
      <c r="AC13" t="s">
        <v>314</v>
      </c>
      <c r="AD13" t="str">
        <f t="shared" si="10"/>
        <v xml:space="preserve"> </v>
      </c>
      <c r="AE13" t="str">
        <f t="shared" si="4"/>
        <v xml:space="preserve"> </v>
      </c>
      <c r="AF13" t="str">
        <f t="shared" si="5"/>
        <v xml:space="preserve"> </v>
      </c>
      <c r="AG13" t="s">
        <v>50</v>
      </c>
    </row>
    <row r="14" spans="1:33" x14ac:dyDescent="0.25">
      <c r="A14" t="s">
        <v>224</v>
      </c>
      <c r="B14" s="47" t="s">
        <v>225</v>
      </c>
      <c r="C14" t="str">
        <f t="shared" si="1"/>
        <v xml:space="preserve"> </v>
      </c>
      <c r="D14" t="str">
        <f t="shared" si="1"/>
        <v xml:space="preserve"> </v>
      </c>
      <c r="E14" t="str">
        <f t="shared" si="1"/>
        <v xml:space="preserve"> </v>
      </c>
      <c r="F14" t="str">
        <f t="shared" si="1"/>
        <v xml:space="preserve"> </v>
      </c>
      <c r="G14" t="str">
        <f t="shared" si="1"/>
        <v xml:space="preserve"> </v>
      </c>
      <c r="H14" t="str">
        <f>Location</f>
        <v>IAD35 Generator Yard</v>
      </c>
      <c r="I14" t="str">
        <f>Location</f>
        <v>IAD35 Generator Yard</v>
      </c>
      <c r="J14" t="s">
        <v>308</v>
      </c>
      <c r="K14" t="str">
        <f>Location</f>
        <v>IAD35 Generator Yard</v>
      </c>
      <c r="L14" t="str">
        <f t="shared" si="1"/>
        <v xml:space="preserve"> </v>
      </c>
      <c r="M14" t="s">
        <v>25</v>
      </c>
      <c r="N14" t="s">
        <v>26</v>
      </c>
      <c r="O14" t="s">
        <v>309</v>
      </c>
      <c r="P14" t="s">
        <v>322</v>
      </c>
      <c r="Q14" t="str">
        <f t="shared" si="1"/>
        <v xml:space="preserve"> </v>
      </c>
      <c r="R14" t="s">
        <v>311</v>
      </c>
      <c r="S14" t="s">
        <v>311</v>
      </c>
      <c r="T14" t="s">
        <v>311</v>
      </c>
      <c r="U14" t="s">
        <v>323</v>
      </c>
      <c r="V14" t="str">
        <f t="shared" si="1"/>
        <v xml:space="preserve"> </v>
      </c>
      <c r="W14" t="s">
        <v>313</v>
      </c>
      <c r="X14" t="s">
        <v>313</v>
      </c>
      <c r="Y14" t="s">
        <v>313</v>
      </c>
      <c r="Z14" t="str">
        <f t="shared" si="2"/>
        <v xml:space="preserve"> </v>
      </c>
      <c r="AA14" t="str">
        <f t="shared" si="3"/>
        <v xml:space="preserve"> </v>
      </c>
      <c r="AB14" t="s">
        <v>314</v>
      </c>
      <c r="AC14" t="s">
        <v>314</v>
      </c>
      <c r="AD14" t="s">
        <v>314</v>
      </c>
      <c r="AE14" t="str">
        <f t="shared" si="4"/>
        <v xml:space="preserve"> </v>
      </c>
      <c r="AF14" t="str">
        <f t="shared" si="5"/>
        <v xml:space="preserve"> </v>
      </c>
      <c r="AG14" t="s">
        <v>50</v>
      </c>
    </row>
    <row r="15" spans="1:33" x14ac:dyDescent="0.25">
      <c r="A15" t="s">
        <v>226</v>
      </c>
      <c r="B15" s="47" t="s">
        <v>227</v>
      </c>
      <c r="C15" t="str">
        <f t="shared" si="1"/>
        <v xml:space="preserve"> </v>
      </c>
      <c r="D15" t="str">
        <f t="shared" si="1"/>
        <v xml:space="preserve"> </v>
      </c>
      <c r="E15" t="str">
        <f t="shared" si="1"/>
        <v xml:space="preserve"> </v>
      </c>
      <c r="F15" t="str">
        <f t="shared" si="1"/>
        <v xml:space="preserve"> </v>
      </c>
      <c r="G15" t="str">
        <f t="shared" si="1"/>
        <v xml:space="preserve"> </v>
      </c>
      <c r="H15" t="str">
        <f>Location</f>
        <v>IAD35 Generator Yard</v>
      </c>
      <c r="I15" t="s">
        <v>308</v>
      </c>
      <c r="J15" t="str">
        <f>Location</f>
        <v>IAD35 Generator Yard</v>
      </c>
      <c r="K15" t="str">
        <f t="shared" si="1"/>
        <v xml:space="preserve"> </v>
      </c>
      <c r="L15" t="str">
        <f t="shared" si="1"/>
        <v xml:space="preserve"> </v>
      </c>
      <c r="M15" t="s">
        <v>315</v>
      </c>
      <c r="N15" t="s">
        <v>309</v>
      </c>
      <c r="O15" t="s">
        <v>324</v>
      </c>
      <c r="P15" t="str">
        <f t="shared" si="1"/>
        <v xml:space="preserve"> </v>
      </c>
      <c r="Q15" t="str">
        <f t="shared" si="1"/>
        <v xml:space="preserve"> </v>
      </c>
      <c r="R15" t="s">
        <v>311</v>
      </c>
      <c r="S15" t="s">
        <v>311</v>
      </c>
      <c r="T15" t="s">
        <v>323</v>
      </c>
      <c r="U15" t="str">
        <f t="shared" si="1"/>
        <v xml:space="preserve"> </v>
      </c>
      <c r="V15" t="str">
        <f t="shared" si="1"/>
        <v xml:space="preserve"> </v>
      </c>
      <c r="W15" t="s">
        <v>313</v>
      </c>
      <c r="X15" t="s">
        <v>313</v>
      </c>
      <c r="Y15" t="str">
        <f t="shared" ref="Y15" si="12">" "</f>
        <v xml:space="preserve"> </v>
      </c>
      <c r="Z15" t="str">
        <f t="shared" si="2"/>
        <v xml:space="preserve"> </v>
      </c>
      <c r="AA15" t="str">
        <f t="shared" si="3"/>
        <v xml:space="preserve"> </v>
      </c>
      <c r="AB15" t="s">
        <v>314</v>
      </c>
      <c r="AC15" t="s">
        <v>314</v>
      </c>
      <c r="AD15" t="str">
        <f t="shared" ref="AD15" si="13">" "</f>
        <v xml:space="preserve"> </v>
      </c>
      <c r="AE15" t="str">
        <f t="shared" si="4"/>
        <v xml:space="preserve"> </v>
      </c>
      <c r="AF15" t="str">
        <f t="shared" si="5"/>
        <v xml:space="preserve"> </v>
      </c>
      <c r="AG15" t="s">
        <v>50</v>
      </c>
    </row>
    <row r="16" spans="1:33" x14ac:dyDescent="0.25">
      <c r="A16" t="s">
        <v>231</v>
      </c>
      <c r="B16" s="47" t="s">
        <v>232</v>
      </c>
      <c r="C16" t="str">
        <f t="shared" si="1"/>
        <v xml:space="preserve"> </v>
      </c>
      <c r="D16" t="str">
        <f t="shared" si="1"/>
        <v xml:space="preserve"> </v>
      </c>
      <c r="E16" t="str">
        <f t="shared" si="1"/>
        <v xml:space="preserve"> </v>
      </c>
      <c r="F16" t="str">
        <f t="shared" si="1"/>
        <v xml:space="preserve"> </v>
      </c>
      <c r="G16" t="str">
        <f t="shared" si="1"/>
        <v xml:space="preserve"> </v>
      </c>
      <c r="H16" t="str">
        <f>Location</f>
        <v>IAD35 Generator Yard</v>
      </c>
      <c r="I16" t="str">
        <f>Location</f>
        <v>IAD35 Generator Yard</v>
      </c>
      <c r="J16" t="s">
        <v>308</v>
      </c>
      <c r="K16" t="str">
        <f>Location</f>
        <v>IAD35 Generator Yard</v>
      </c>
      <c r="L16" t="str">
        <f t="shared" si="1"/>
        <v xml:space="preserve"> </v>
      </c>
      <c r="M16" t="s">
        <v>25</v>
      </c>
      <c r="N16" t="s">
        <v>26</v>
      </c>
      <c r="O16" t="s">
        <v>309</v>
      </c>
      <c r="P16" t="s">
        <v>325</v>
      </c>
      <c r="Q16" t="str">
        <f t="shared" si="1"/>
        <v xml:space="preserve"> </v>
      </c>
      <c r="R16" t="s">
        <v>311</v>
      </c>
      <c r="S16" t="s">
        <v>311</v>
      </c>
      <c r="T16" t="s">
        <v>311</v>
      </c>
      <c r="U16" t="s">
        <v>323</v>
      </c>
      <c r="V16" t="str">
        <f t="shared" si="1"/>
        <v xml:space="preserve"> </v>
      </c>
      <c r="W16" t="s">
        <v>313</v>
      </c>
      <c r="X16" t="s">
        <v>313</v>
      </c>
      <c r="Y16" t="s">
        <v>313</v>
      </c>
      <c r="Z16" t="str">
        <f t="shared" si="2"/>
        <v xml:space="preserve"> </v>
      </c>
      <c r="AA16" t="str">
        <f t="shared" si="3"/>
        <v xml:space="preserve"> </v>
      </c>
      <c r="AB16" t="s">
        <v>314</v>
      </c>
      <c r="AC16" t="s">
        <v>314</v>
      </c>
      <c r="AD16" t="s">
        <v>314</v>
      </c>
      <c r="AE16" t="str">
        <f t="shared" si="4"/>
        <v xml:space="preserve"> </v>
      </c>
      <c r="AF16" t="str">
        <f t="shared" si="5"/>
        <v xml:space="preserve"> </v>
      </c>
      <c r="AG16" t="s">
        <v>50</v>
      </c>
    </row>
    <row r="17" spans="1:33" x14ac:dyDescent="0.25">
      <c r="A17" t="s">
        <v>243</v>
      </c>
      <c r="B17" s="47" t="s">
        <v>244</v>
      </c>
      <c r="C17" t="str">
        <f t="shared" si="1"/>
        <v xml:space="preserve"> </v>
      </c>
      <c r="D17" t="str">
        <f t="shared" si="1"/>
        <v xml:space="preserve"> </v>
      </c>
      <c r="E17" t="str">
        <f t="shared" si="1"/>
        <v xml:space="preserve"> </v>
      </c>
      <c r="F17" t="str">
        <f t="shared" si="1"/>
        <v xml:space="preserve"> </v>
      </c>
      <c r="G17" t="str">
        <f t="shared" si="1"/>
        <v xml:space="preserve"> </v>
      </c>
      <c r="H17" t="str">
        <f>Location</f>
        <v>IAD35 Generator Yard</v>
      </c>
      <c r="I17" t="str">
        <f>Location</f>
        <v>IAD35 Generator Yard</v>
      </c>
      <c r="J17" t="s">
        <v>308</v>
      </c>
      <c r="K17" t="str">
        <f>Location</f>
        <v>IAD35 Generator Yard</v>
      </c>
      <c r="L17" t="str">
        <f t="shared" si="1"/>
        <v xml:space="preserve"> </v>
      </c>
      <c r="M17" t="s">
        <v>25</v>
      </c>
      <c r="N17" t="s">
        <v>26</v>
      </c>
      <c r="O17" t="s">
        <v>309</v>
      </c>
      <c r="P17" t="s">
        <v>326</v>
      </c>
      <c r="Q17" t="str">
        <f t="shared" si="1"/>
        <v xml:space="preserve"> </v>
      </c>
      <c r="R17" t="s">
        <v>311</v>
      </c>
      <c r="S17" t="s">
        <v>311</v>
      </c>
      <c r="T17" t="s">
        <v>311</v>
      </c>
      <c r="U17" t="s">
        <v>327</v>
      </c>
      <c r="V17" t="str">
        <f t="shared" si="1"/>
        <v xml:space="preserve"> </v>
      </c>
      <c r="W17" t="s">
        <v>313</v>
      </c>
      <c r="X17" t="s">
        <v>313</v>
      </c>
      <c r="Y17" t="s">
        <v>313</v>
      </c>
      <c r="Z17" t="str">
        <f t="shared" si="2"/>
        <v xml:space="preserve"> </v>
      </c>
      <c r="AA17" t="str">
        <f t="shared" si="3"/>
        <v xml:space="preserve"> </v>
      </c>
      <c r="AB17" t="s">
        <v>314</v>
      </c>
      <c r="AC17" t="s">
        <v>314</v>
      </c>
      <c r="AD17" t="s">
        <v>314</v>
      </c>
      <c r="AE17" t="str">
        <f t="shared" si="4"/>
        <v xml:space="preserve"> </v>
      </c>
      <c r="AF17" t="str">
        <f t="shared" si="5"/>
        <v xml:space="preserve"> </v>
      </c>
      <c r="AG17" t="s">
        <v>51</v>
      </c>
    </row>
    <row r="18" spans="1:33" x14ac:dyDescent="0.25">
      <c r="A18" t="s">
        <v>258</v>
      </c>
      <c r="B18" s="47" t="s">
        <v>259</v>
      </c>
      <c r="C18" t="str">
        <f t="shared" si="1"/>
        <v xml:space="preserve"> </v>
      </c>
      <c r="D18" t="str">
        <f t="shared" si="1"/>
        <v xml:space="preserve"> </v>
      </c>
      <c r="E18" t="str">
        <f t="shared" si="1"/>
        <v xml:space="preserve"> </v>
      </c>
      <c r="F18" t="str">
        <f t="shared" si="1"/>
        <v xml:space="preserve"> </v>
      </c>
      <c r="G18" t="str">
        <f t="shared" si="1"/>
        <v xml:space="preserve"> </v>
      </c>
      <c r="H18" t="str">
        <f>Location</f>
        <v>IAD35 Generator Yard</v>
      </c>
      <c r="I18" t="str">
        <f>Location</f>
        <v>IAD35 Generator Yard</v>
      </c>
      <c r="J18" t="str">
        <f>Location</f>
        <v>IAD35 Generator Yard</v>
      </c>
      <c r="K18" t="str">
        <f t="shared" si="1"/>
        <v xml:space="preserve"> </v>
      </c>
      <c r="L18" t="str">
        <f t="shared" si="1"/>
        <v xml:space="preserve"> </v>
      </c>
      <c r="M18" t="s">
        <v>25</v>
      </c>
      <c r="N18" t="s">
        <v>26</v>
      </c>
      <c r="O18" t="s">
        <v>328</v>
      </c>
      <c r="P18" t="str">
        <f t="shared" si="1"/>
        <v xml:space="preserve"> </v>
      </c>
      <c r="Q18" t="str">
        <f t="shared" si="1"/>
        <v xml:space="preserve"> </v>
      </c>
      <c r="R18" t="s">
        <v>311</v>
      </c>
      <c r="S18" t="s">
        <v>311</v>
      </c>
      <c r="T18" t="s">
        <v>323</v>
      </c>
      <c r="U18" t="str">
        <f t="shared" si="1"/>
        <v xml:space="preserve"> </v>
      </c>
      <c r="V18" t="str">
        <f t="shared" si="1"/>
        <v xml:space="preserve"> </v>
      </c>
      <c r="W18" t="s">
        <v>313</v>
      </c>
      <c r="X18" t="s">
        <v>313</v>
      </c>
      <c r="Y18" t="str">
        <f t="shared" ref="Y18:Y20" si="14">" "</f>
        <v xml:space="preserve"> </v>
      </c>
      <c r="Z18" t="str">
        <f t="shared" si="2"/>
        <v xml:space="preserve"> </v>
      </c>
      <c r="AA18" t="str">
        <f t="shared" si="3"/>
        <v xml:space="preserve"> </v>
      </c>
      <c r="AB18" t="s">
        <v>314</v>
      </c>
      <c r="AC18" t="s">
        <v>314</v>
      </c>
      <c r="AD18" t="str">
        <f t="shared" ref="AD18:AD20" si="15">" "</f>
        <v xml:space="preserve"> </v>
      </c>
      <c r="AE18" t="str">
        <f t="shared" si="4"/>
        <v xml:space="preserve"> </v>
      </c>
      <c r="AF18" t="str">
        <f t="shared" si="5"/>
        <v xml:space="preserve"> </v>
      </c>
      <c r="AG18" t="s">
        <v>51</v>
      </c>
    </row>
    <row r="19" spans="1:33" x14ac:dyDescent="0.25">
      <c r="A19" t="s">
        <v>261</v>
      </c>
      <c r="B19" s="47" t="s">
        <v>262</v>
      </c>
      <c r="C19" t="str">
        <f t="shared" si="1"/>
        <v xml:space="preserve"> </v>
      </c>
      <c r="D19" t="str">
        <f t="shared" si="1"/>
        <v xml:space="preserve"> </v>
      </c>
      <c r="E19" t="str">
        <f t="shared" si="1"/>
        <v xml:space="preserve"> </v>
      </c>
      <c r="F19" t="str">
        <f t="shared" si="1"/>
        <v xml:space="preserve"> </v>
      </c>
      <c r="G19" t="str">
        <f t="shared" si="1"/>
        <v xml:space="preserve"> </v>
      </c>
      <c r="H19" t="str">
        <f>Location</f>
        <v>IAD35 Generator Yard</v>
      </c>
      <c r="I19" t="str">
        <f t="shared" si="1"/>
        <v xml:space="preserve"> </v>
      </c>
      <c r="J19" t="str">
        <f t="shared" si="1"/>
        <v xml:space="preserve"> </v>
      </c>
      <c r="K19" t="str">
        <f t="shared" si="1"/>
        <v xml:space="preserve"> </v>
      </c>
      <c r="L19" t="str">
        <f t="shared" si="1"/>
        <v xml:space="preserve"> </v>
      </c>
      <c r="M19" t="s">
        <v>315</v>
      </c>
      <c r="N19" t="str">
        <f t="shared" si="1"/>
        <v xml:space="preserve"> </v>
      </c>
      <c r="O19" t="str">
        <f t="shared" si="1"/>
        <v xml:space="preserve"> </v>
      </c>
      <c r="P19" t="str">
        <f t="shared" si="1"/>
        <v xml:space="preserve"> </v>
      </c>
      <c r="Q19" t="str">
        <f t="shared" si="1"/>
        <v xml:space="preserve"> </v>
      </c>
      <c r="R19" t="s">
        <v>311</v>
      </c>
      <c r="S19" t="str">
        <f t="shared" si="1"/>
        <v xml:space="preserve"> </v>
      </c>
      <c r="T19" t="str">
        <f t="shared" ref="T19" si="16">" "</f>
        <v xml:space="preserve"> </v>
      </c>
      <c r="U19" t="str">
        <f t="shared" si="1"/>
        <v xml:space="preserve"> </v>
      </c>
      <c r="V19" t="str">
        <f t="shared" si="1"/>
        <v xml:space="preserve"> </v>
      </c>
      <c r="W19" t="s">
        <v>313</v>
      </c>
      <c r="X19" t="str">
        <f t="shared" ref="X19" si="17">" "</f>
        <v xml:space="preserve"> </v>
      </c>
      <c r="Y19" t="str">
        <f t="shared" si="14"/>
        <v xml:space="preserve"> </v>
      </c>
      <c r="Z19" t="str">
        <f t="shared" si="2"/>
        <v xml:space="preserve"> </v>
      </c>
      <c r="AA19" t="str">
        <f t="shared" si="3"/>
        <v xml:space="preserve"> </v>
      </c>
      <c r="AB19" t="s">
        <v>314</v>
      </c>
      <c r="AC19" t="str">
        <f t="shared" ref="AC19" si="18">" "</f>
        <v xml:space="preserve"> </v>
      </c>
      <c r="AD19" t="str">
        <f t="shared" si="15"/>
        <v xml:space="preserve"> </v>
      </c>
      <c r="AE19" t="str">
        <f t="shared" si="4"/>
        <v xml:space="preserve"> </v>
      </c>
      <c r="AF19" t="str">
        <f t="shared" si="5"/>
        <v xml:space="preserve"> </v>
      </c>
      <c r="AG19" t="s">
        <v>51</v>
      </c>
    </row>
    <row r="20" spans="1:33" x14ac:dyDescent="0.25">
      <c r="A20" t="s">
        <v>15</v>
      </c>
      <c r="B20" s="47" t="s">
        <v>253</v>
      </c>
      <c r="C20" t="str">
        <f t="shared" si="1"/>
        <v xml:space="preserve"> </v>
      </c>
      <c r="D20" t="str">
        <f t="shared" si="1"/>
        <v xml:space="preserve"> </v>
      </c>
      <c r="E20" t="str">
        <f t="shared" si="1"/>
        <v xml:space="preserve"> </v>
      </c>
      <c r="F20" t="str">
        <f t="shared" si="1"/>
        <v xml:space="preserve"> </v>
      </c>
      <c r="G20" t="str">
        <f t="shared" si="1"/>
        <v xml:space="preserve"> </v>
      </c>
      <c r="H20" t="str">
        <f>Location</f>
        <v>IAD35 Generator Yard</v>
      </c>
      <c r="I20" t="s">
        <v>308</v>
      </c>
      <c r="J20" t="str">
        <f>Location</f>
        <v>IAD35 Generator Yard</v>
      </c>
      <c r="K20" t="str">
        <f t="shared" si="1"/>
        <v xml:space="preserve"> </v>
      </c>
      <c r="L20" t="str">
        <f t="shared" si="1"/>
        <v xml:space="preserve"> </v>
      </c>
      <c r="M20" t="s">
        <v>315</v>
      </c>
      <c r="N20" t="s">
        <v>309</v>
      </c>
      <c r="O20" t="s">
        <v>329</v>
      </c>
      <c r="P20" t="str">
        <f t="shared" si="1"/>
        <v xml:space="preserve"> </v>
      </c>
      <c r="Q20" t="str">
        <f t="shared" si="1"/>
        <v xml:space="preserve"> </v>
      </c>
      <c r="R20" t="s">
        <v>311</v>
      </c>
      <c r="S20" t="s">
        <v>311</v>
      </c>
      <c r="T20" t="s">
        <v>330</v>
      </c>
      <c r="U20" t="str">
        <f t="shared" si="1"/>
        <v xml:space="preserve"> </v>
      </c>
      <c r="V20" t="str">
        <f t="shared" si="1"/>
        <v xml:space="preserve"> </v>
      </c>
      <c r="W20" t="s">
        <v>313</v>
      </c>
      <c r="X20" t="s">
        <v>313</v>
      </c>
      <c r="Y20" t="str">
        <f t="shared" si="14"/>
        <v xml:space="preserve"> </v>
      </c>
      <c r="Z20" t="str">
        <f t="shared" si="2"/>
        <v xml:space="preserve"> </v>
      </c>
      <c r="AA20" t="str">
        <f t="shared" si="3"/>
        <v xml:space="preserve"> </v>
      </c>
      <c r="AB20" t="s">
        <v>314</v>
      </c>
      <c r="AC20" t="s">
        <v>314</v>
      </c>
      <c r="AD20" t="str">
        <f t="shared" si="15"/>
        <v xml:space="preserve"> </v>
      </c>
      <c r="AE20" t="str">
        <f t="shared" si="4"/>
        <v xml:space="preserve"> </v>
      </c>
      <c r="AF20" t="str">
        <f t="shared" si="5"/>
        <v xml:space="preserve"> </v>
      </c>
      <c r="AG20" t="s">
        <v>50</v>
      </c>
    </row>
    <row r="21" spans="1:33" x14ac:dyDescent="0.25">
      <c r="A21" t="s">
        <v>254</v>
      </c>
      <c r="B21" s="47" t="s">
        <v>255</v>
      </c>
      <c r="C21" t="str">
        <f t="shared" si="1"/>
        <v xml:space="preserve"> </v>
      </c>
      <c r="D21" t="str">
        <f t="shared" si="1"/>
        <v xml:space="preserve"> </v>
      </c>
      <c r="E21" t="str">
        <f t="shared" si="1"/>
        <v xml:space="preserve"> </v>
      </c>
      <c r="F21" t="str">
        <f t="shared" si="1"/>
        <v xml:space="preserve"> </v>
      </c>
      <c r="G21" t="str">
        <f t="shared" si="1"/>
        <v xml:space="preserve"> </v>
      </c>
      <c r="H21" t="str">
        <f>Location</f>
        <v>IAD35 Generator Yard</v>
      </c>
      <c r="I21" t="str">
        <f>Location</f>
        <v>IAD35 Generator Yard</v>
      </c>
      <c r="J21" t="s">
        <v>308</v>
      </c>
      <c r="K21" t="str">
        <f>Location</f>
        <v>IAD35 Generator Yard</v>
      </c>
      <c r="L21" t="str">
        <f t="shared" si="1"/>
        <v xml:space="preserve"> </v>
      </c>
      <c r="M21" t="s">
        <v>25</v>
      </c>
      <c r="N21" t="s">
        <v>26</v>
      </c>
      <c r="O21" t="s">
        <v>309</v>
      </c>
      <c r="P21" t="s">
        <v>331</v>
      </c>
      <c r="Q21" t="str">
        <f t="shared" si="1"/>
        <v xml:space="preserve"> </v>
      </c>
      <c r="R21" t="s">
        <v>311</v>
      </c>
      <c r="S21" t="s">
        <v>311</v>
      </c>
      <c r="T21" t="s">
        <v>311</v>
      </c>
      <c r="U21" t="s">
        <v>330</v>
      </c>
      <c r="V21" t="str">
        <f t="shared" si="1"/>
        <v xml:space="preserve"> </v>
      </c>
      <c r="W21" t="s">
        <v>313</v>
      </c>
      <c r="X21" t="s">
        <v>313</v>
      </c>
      <c r="Y21" t="s">
        <v>313</v>
      </c>
      <c r="Z21" t="str">
        <f t="shared" si="2"/>
        <v xml:space="preserve"> </v>
      </c>
      <c r="AA21" t="str">
        <f t="shared" si="3"/>
        <v xml:space="preserve"> </v>
      </c>
      <c r="AB21" t="s">
        <v>314</v>
      </c>
      <c r="AC21" t="s">
        <v>314</v>
      </c>
      <c r="AD21" t="s">
        <v>314</v>
      </c>
      <c r="AE21" t="str">
        <f t="shared" si="4"/>
        <v xml:space="preserve"> </v>
      </c>
      <c r="AF21" t="str">
        <f t="shared" si="5"/>
        <v xml:space="preserve"> </v>
      </c>
      <c r="AG21" t="s">
        <v>50</v>
      </c>
    </row>
    <row r="22" spans="1:33" x14ac:dyDescent="0.25">
      <c r="A22" s="47" t="s">
        <v>238</v>
      </c>
      <c r="B22" s="47" t="s">
        <v>239</v>
      </c>
      <c r="C22" t="str">
        <f t="shared" si="1"/>
        <v xml:space="preserve"> </v>
      </c>
      <c r="D22" t="str">
        <f t="shared" si="1"/>
        <v xml:space="preserve"> </v>
      </c>
      <c r="E22" t="str">
        <f t="shared" si="1"/>
        <v xml:space="preserve"> </v>
      </c>
      <c r="F22" t="str">
        <f t="shared" si="1"/>
        <v xml:space="preserve"> </v>
      </c>
      <c r="G22" t="str">
        <f t="shared" si="1"/>
        <v xml:space="preserve"> </v>
      </c>
      <c r="H22" t="str">
        <f>Location</f>
        <v>IAD35 Generator Yard</v>
      </c>
      <c r="I22" t="s">
        <v>308</v>
      </c>
      <c r="J22" t="str">
        <f>Location</f>
        <v>IAD35 Generator Yard</v>
      </c>
      <c r="K22" t="str">
        <f t="shared" si="1"/>
        <v xml:space="preserve"> </v>
      </c>
      <c r="L22" t="str">
        <f t="shared" si="1"/>
        <v xml:space="preserve"> </v>
      </c>
      <c r="M22" t="s">
        <v>315</v>
      </c>
      <c r="N22" t="s">
        <v>309</v>
      </c>
      <c r="O22" t="s">
        <v>332</v>
      </c>
      <c r="P22" t="str">
        <f t="shared" si="1"/>
        <v xml:space="preserve"> </v>
      </c>
      <c r="Q22" t="str">
        <f t="shared" si="1"/>
        <v xml:space="preserve"> </v>
      </c>
      <c r="R22" t="s">
        <v>311</v>
      </c>
      <c r="S22" t="s">
        <v>311</v>
      </c>
      <c r="T22" t="s">
        <v>319</v>
      </c>
      <c r="U22" t="str">
        <f t="shared" si="1"/>
        <v xml:space="preserve"> </v>
      </c>
      <c r="V22" t="str">
        <f t="shared" si="1"/>
        <v xml:space="preserve"> </v>
      </c>
      <c r="W22" t="s">
        <v>313</v>
      </c>
      <c r="X22" t="s">
        <v>313</v>
      </c>
      <c r="Y22" t="str">
        <f t="shared" ref="Y22" si="19">" "</f>
        <v xml:space="preserve"> </v>
      </c>
      <c r="Z22" t="str">
        <f t="shared" si="2"/>
        <v xml:space="preserve"> </v>
      </c>
      <c r="AA22" t="str">
        <f t="shared" si="3"/>
        <v xml:space="preserve"> </v>
      </c>
      <c r="AB22" t="s">
        <v>314</v>
      </c>
      <c r="AC22" t="s">
        <v>314</v>
      </c>
      <c r="AD22" t="str">
        <f t="shared" ref="AD22" si="20">" "</f>
        <v xml:space="preserve"> </v>
      </c>
      <c r="AE22" t="str">
        <f t="shared" si="4"/>
        <v xml:space="preserve"> </v>
      </c>
      <c r="AF22" t="str">
        <f t="shared" si="5"/>
        <v xml:space="preserve"> </v>
      </c>
      <c r="AG22" t="s">
        <v>50</v>
      </c>
    </row>
    <row r="23" spans="1:33" x14ac:dyDescent="0.25">
      <c r="A23" s="47" t="s">
        <v>241</v>
      </c>
      <c r="B23" s="47" t="s">
        <v>242</v>
      </c>
      <c r="C23" t="str">
        <f t="shared" si="1"/>
        <v xml:space="preserve"> </v>
      </c>
      <c r="D23" t="str">
        <f t="shared" si="1"/>
        <v xml:space="preserve"> </v>
      </c>
      <c r="E23" t="str">
        <f t="shared" si="1"/>
        <v xml:space="preserve"> </v>
      </c>
      <c r="F23" t="str">
        <f t="shared" si="1"/>
        <v xml:space="preserve"> </v>
      </c>
      <c r="G23" t="str">
        <f t="shared" si="1"/>
        <v xml:space="preserve"> </v>
      </c>
      <c r="H23" t="str">
        <f>Location</f>
        <v>IAD35 Generator Yard</v>
      </c>
      <c r="I23" t="str">
        <f>Location</f>
        <v>IAD35 Generator Yard</v>
      </c>
      <c r="J23" t="s">
        <v>308</v>
      </c>
      <c r="K23" t="str">
        <f>Location</f>
        <v>IAD35 Generator Yard</v>
      </c>
      <c r="L23" t="str">
        <f t="shared" si="1"/>
        <v xml:space="preserve"> </v>
      </c>
      <c r="M23" t="s">
        <v>25</v>
      </c>
      <c r="N23" t="s">
        <v>26</v>
      </c>
      <c r="O23" t="s">
        <v>309</v>
      </c>
      <c r="P23" t="s">
        <v>332</v>
      </c>
      <c r="Q23" t="str">
        <f t="shared" si="1"/>
        <v xml:space="preserve"> </v>
      </c>
      <c r="R23" t="s">
        <v>311</v>
      </c>
      <c r="S23" t="s">
        <v>311</v>
      </c>
      <c r="T23" t="s">
        <v>311</v>
      </c>
      <c r="U23" t="s">
        <v>319</v>
      </c>
      <c r="V23" t="str">
        <f t="shared" si="1"/>
        <v xml:space="preserve"> </v>
      </c>
      <c r="W23" t="s">
        <v>313</v>
      </c>
      <c r="X23" t="s">
        <v>313</v>
      </c>
      <c r="Y23" t="s">
        <v>313</v>
      </c>
      <c r="Z23" t="str">
        <f t="shared" si="2"/>
        <v xml:space="preserve"> </v>
      </c>
      <c r="AA23" t="str">
        <f t="shared" si="3"/>
        <v xml:space="preserve"> </v>
      </c>
      <c r="AB23" t="s">
        <v>314</v>
      </c>
      <c r="AC23" t="s">
        <v>314</v>
      </c>
      <c r="AD23" t="s">
        <v>314</v>
      </c>
      <c r="AE23" t="str">
        <f t="shared" si="4"/>
        <v xml:space="preserve"> </v>
      </c>
      <c r="AF23" t="str">
        <f t="shared" si="5"/>
        <v xml:space="preserve"> </v>
      </c>
      <c r="AG23" t="s">
        <v>50</v>
      </c>
    </row>
    <row r="24" spans="1:33" x14ac:dyDescent="0.25">
      <c r="A24" s="10" t="s">
        <v>246</v>
      </c>
      <c r="B24" s="47" t="s">
        <v>247</v>
      </c>
      <c r="C24" t="str">
        <f t="shared" si="1"/>
        <v xml:space="preserve"> </v>
      </c>
      <c r="D24" t="str">
        <f t="shared" si="1"/>
        <v xml:space="preserve"> </v>
      </c>
      <c r="E24" t="str">
        <f t="shared" si="1"/>
        <v xml:space="preserve"> </v>
      </c>
      <c r="F24" t="str">
        <f t="shared" si="1"/>
        <v xml:space="preserve"> </v>
      </c>
      <c r="G24" t="str">
        <f t="shared" si="1"/>
        <v xml:space="preserve"> </v>
      </c>
      <c r="H24" t="str">
        <f>Location</f>
        <v>IAD35 Generator Yard</v>
      </c>
      <c r="I24" t="s">
        <v>308</v>
      </c>
      <c r="J24" t="str">
        <f>Location</f>
        <v>IAD35 Generator Yard</v>
      </c>
      <c r="K24" t="str">
        <f t="shared" ref="J24:V27" si="21">" "</f>
        <v xml:space="preserve"> </v>
      </c>
      <c r="L24" t="str">
        <f t="shared" si="21"/>
        <v xml:space="preserve"> </v>
      </c>
      <c r="M24" t="s">
        <v>315</v>
      </c>
      <c r="N24" t="s">
        <v>309</v>
      </c>
      <c r="O24" t="s">
        <v>333</v>
      </c>
      <c r="P24" t="str">
        <f t="shared" si="21"/>
        <v xml:space="preserve"> </v>
      </c>
      <c r="Q24" t="str">
        <f t="shared" si="21"/>
        <v xml:space="preserve"> </v>
      </c>
      <c r="R24" t="s">
        <v>311</v>
      </c>
      <c r="S24" t="s">
        <v>311</v>
      </c>
      <c r="T24" t="s">
        <v>319</v>
      </c>
      <c r="U24" t="str">
        <f t="shared" si="21"/>
        <v xml:space="preserve"> </v>
      </c>
      <c r="V24" t="str">
        <f t="shared" si="21"/>
        <v xml:space="preserve"> </v>
      </c>
      <c r="W24" t="s">
        <v>313</v>
      </c>
      <c r="X24" t="s">
        <v>313</v>
      </c>
      <c r="Y24" t="str">
        <f t="shared" ref="Y24" si="22">" "</f>
        <v xml:space="preserve"> </v>
      </c>
      <c r="Z24" t="str">
        <f t="shared" si="2"/>
        <v xml:space="preserve"> </v>
      </c>
      <c r="AA24" t="str">
        <f t="shared" si="3"/>
        <v xml:space="preserve"> </v>
      </c>
      <c r="AB24" t="s">
        <v>314</v>
      </c>
      <c r="AC24" t="s">
        <v>314</v>
      </c>
      <c r="AD24" t="str">
        <f>" "</f>
        <v xml:space="preserve"> </v>
      </c>
      <c r="AE24" t="str">
        <f t="shared" si="4"/>
        <v xml:space="preserve"> </v>
      </c>
      <c r="AF24" t="str">
        <f t="shared" si="5"/>
        <v xml:space="preserve"> </v>
      </c>
      <c r="AG24" t="s">
        <v>50</v>
      </c>
    </row>
    <row r="25" spans="1:33" x14ac:dyDescent="0.25">
      <c r="A25" s="47" t="s">
        <v>250</v>
      </c>
      <c r="B25" s="47" t="s">
        <v>251</v>
      </c>
      <c r="C25" t="str">
        <f t="shared" si="1"/>
        <v xml:space="preserve"> </v>
      </c>
      <c r="D25" t="str">
        <f t="shared" si="1"/>
        <v xml:space="preserve"> </v>
      </c>
      <c r="E25" t="str">
        <f t="shared" si="1"/>
        <v xml:space="preserve"> </v>
      </c>
      <c r="F25" t="str">
        <f t="shared" si="1"/>
        <v xml:space="preserve"> </v>
      </c>
      <c r="G25" t="str">
        <f t="shared" si="1"/>
        <v xml:space="preserve"> </v>
      </c>
      <c r="H25" t="str">
        <f>Location</f>
        <v>IAD35 Generator Yard</v>
      </c>
      <c r="I25" t="str">
        <f>Location</f>
        <v>IAD35 Generator Yard</v>
      </c>
      <c r="J25" t="s">
        <v>308</v>
      </c>
      <c r="K25" t="str">
        <f>Location</f>
        <v>IAD35 Generator Yard</v>
      </c>
      <c r="L25" t="str">
        <f t="shared" si="21"/>
        <v xml:space="preserve"> </v>
      </c>
      <c r="M25" t="s">
        <v>25</v>
      </c>
      <c r="N25" t="s">
        <v>26</v>
      </c>
      <c r="O25" t="s">
        <v>309</v>
      </c>
      <c r="P25" t="s">
        <v>334</v>
      </c>
      <c r="Q25" t="str">
        <f t="shared" si="1"/>
        <v xml:space="preserve"> </v>
      </c>
      <c r="R25" t="s">
        <v>311</v>
      </c>
      <c r="S25" t="s">
        <v>311</v>
      </c>
      <c r="T25" t="s">
        <v>311</v>
      </c>
      <c r="U25" t="s">
        <v>319</v>
      </c>
      <c r="V25" t="str">
        <f t="shared" si="1"/>
        <v xml:space="preserve"> </v>
      </c>
      <c r="W25" t="s">
        <v>313</v>
      </c>
      <c r="X25" t="s">
        <v>313</v>
      </c>
      <c r="Y25" t="s">
        <v>313</v>
      </c>
      <c r="Z25" t="str">
        <f t="shared" si="2"/>
        <v xml:space="preserve"> </v>
      </c>
      <c r="AA25" t="str">
        <f t="shared" si="3"/>
        <v xml:space="preserve"> </v>
      </c>
      <c r="AB25" t="s">
        <v>314</v>
      </c>
      <c r="AC25" t="s">
        <v>314</v>
      </c>
      <c r="AD25" t="s">
        <v>314</v>
      </c>
      <c r="AE25" t="str">
        <f t="shared" si="4"/>
        <v xml:space="preserve"> </v>
      </c>
      <c r="AF25" t="str">
        <f t="shared" si="5"/>
        <v xml:space="preserve"> </v>
      </c>
      <c r="AG25" t="s">
        <v>50</v>
      </c>
    </row>
    <row r="26" spans="1:33" x14ac:dyDescent="0.25">
      <c r="A26" s="109" t="s">
        <v>270</v>
      </c>
      <c r="B26" s="47" t="s">
        <v>4620</v>
      </c>
      <c r="C26" t="str">
        <f t="shared" si="1"/>
        <v xml:space="preserve"> </v>
      </c>
      <c r="D26" t="str">
        <f t="shared" si="1"/>
        <v xml:space="preserve"> </v>
      </c>
      <c r="E26" t="str">
        <f t="shared" si="1"/>
        <v xml:space="preserve"> </v>
      </c>
      <c r="F26" t="str">
        <f t="shared" si="1"/>
        <v xml:space="preserve"> </v>
      </c>
      <c r="G26" t="str">
        <f t="shared" si="1"/>
        <v xml:space="preserve"> </v>
      </c>
      <c r="H26" t="str">
        <f>Location</f>
        <v>IAD35 Generator Yard</v>
      </c>
      <c r="I26" t="str">
        <f>Location</f>
        <v>IAD35 Generator Yard</v>
      </c>
      <c r="J26" t="str">
        <f t="shared" si="21"/>
        <v xml:space="preserve"> </v>
      </c>
      <c r="K26" t="str">
        <f t="shared" si="21"/>
        <v xml:space="preserve"> </v>
      </c>
      <c r="L26" t="str">
        <f t="shared" si="21"/>
        <v xml:space="preserve"> </v>
      </c>
    </row>
    <row r="27" spans="1:33" x14ac:dyDescent="0.25">
      <c r="A27" s="109" t="s">
        <v>268</v>
      </c>
      <c r="B27" s="47" t="s">
        <v>269</v>
      </c>
      <c r="C27" t="str">
        <f t="shared" si="1"/>
        <v xml:space="preserve"> </v>
      </c>
      <c r="D27" t="str">
        <f t="shared" si="1"/>
        <v xml:space="preserve"> </v>
      </c>
      <c r="E27" t="str">
        <f t="shared" si="1"/>
        <v xml:space="preserve"> </v>
      </c>
      <c r="F27" t="str">
        <f t="shared" si="1"/>
        <v xml:space="preserve"> </v>
      </c>
      <c r="G27" t="str">
        <f t="shared" si="1"/>
        <v xml:space="preserve"> </v>
      </c>
      <c r="H27" t="str">
        <f>Location</f>
        <v>IAD35 Generator Yard</v>
      </c>
      <c r="I27" t="str">
        <f>Location</f>
        <v>IAD35 Generator Yard</v>
      </c>
      <c r="J27" t="str">
        <f t="shared" si="21"/>
        <v xml:space="preserve"> </v>
      </c>
      <c r="K27" t="str">
        <f t="shared" si="21"/>
        <v xml:space="preserve"> </v>
      </c>
      <c r="L27" t="str">
        <f t="shared" si="21"/>
        <v xml:space="preserve"> </v>
      </c>
    </row>
    <row r="28" spans="1:33" x14ac:dyDescent="0.25">
      <c r="A28" s="262" t="s">
        <v>256</v>
      </c>
      <c r="B28" s="47" t="s">
        <v>257</v>
      </c>
      <c r="C28" t="str">
        <f t="shared" si="1"/>
        <v xml:space="preserve"> </v>
      </c>
      <c r="D28" t="str">
        <f t="shared" si="1"/>
        <v xml:space="preserve"> </v>
      </c>
      <c r="E28" t="str">
        <f t="shared" si="1"/>
        <v xml:space="preserve"> </v>
      </c>
      <c r="F28" t="str">
        <f t="shared" si="1"/>
        <v xml:space="preserve"> </v>
      </c>
      <c r="G28" t="str">
        <f t="shared" si="1"/>
        <v xml:space="preserve"> </v>
      </c>
      <c r="H28" t="str">
        <f>Location</f>
        <v>IAD35 Generator Yard</v>
      </c>
      <c r="I28" t="str">
        <f>Location</f>
        <v>IAD35 Generator Yard</v>
      </c>
      <c r="J28" t="s">
        <v>308</v>
      </c>
      <c r="K28" t="str">
        <f t="shared" si="1"/>
        <v xml:space="preserve"> </v>
      </c>
      <c r="L28" t="str">
        <f t="shared" si="1"/>
        <v xml:space="preserve"> </v>
      </c>
      <c r="M28" t="s">
        <v>315</v>
      </c>
      <c r="N28" t="s">
        <v>335</v>
      </c>
      <c r="O28" t="s">
        <v>309</v>
      </c>
      <c r="P28" t="str">
        <f t="shared" si="1"/>
        <v xml:space="preserve"> </v>
      </c>
      <c r="Q28" t="str">
        <f t="shared" si="1"/>
        <v xml:space="preserve"> </v>
      </c>
      <c r="R28" t="s">
        <v>311</v>
      </c>
      <c r="S28" t="s">
        <v>311</v>
      </c>
      <c r="T28" t="s">
        <v>311</v>
      </c>
      <c r="U28" t="str">
        <f t="shared" si="1"/>
        <v xml:space="preserve"> </v>
      </c>
      <c r="V28" t="str">
        <f t="shared" si="1"/>
        <v xml:space="preserve"> </v>
      </c>
      <c r="W28" t="s">
        <v>313</v>
      </c>
      <c r="X28" t="s">
        <v>313</v>
      </c>
      <c r="Y28" t="s">
        <v>313</v>
      </c>
      <c r="Z28" t="str">
        <f t="shared" si="2"/>
        <v xml:space="preserve"> </v>
      </c>
      <c r="AA28" t="str">
        <f t="shared" si="3"/>
        <v xml:space="preserve"> </v>
      </c>
      <c r="AB28" t="s">
        <v>314</v>
      </c>
      <c r="AC28" t="s">
        <v>314</v>
      </c>
      <c r="AD28" t="s">
        <v>314</v>
      </c>
      <c r="AE28" t="str">
        <f t="shared" si="4"/>
        <v xml:space="preserve"> </v>
      </c>
      <c r="AF28" t="str">
        <f t="shared" si="5"/>
        <v xml:space="preserve"> </v>
      </c>
      <c r="AG28" t="s">
        <v>51</v>
      </c>
    </row>
  </sheetData>
  <sheetProtection selectLockedCells="1" selectUnlockedCells="1"/>
  <phoneticPr fontId="42" type="noConversion"/>
  <pageMargins left="0.7" right="0.7" top="0.75" bottom="0.75" header="0.3" footer="0.3"/>
  <pageSetup orientation="portrait" horizontalDpi="1200" verticalDpi="1200" r:id="rId1"/>
  <ignoredErrors>
    <ignoredError sqref="H14:K19"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D24E9-13AF-4095-A36A-F081DF82D0FC}">
  <sheetPr codeName="Config_Variables"/>
  <dimension ref="A1:O36"/>
  <sheetViews>
    <sheetView workbookViewId="0">
      <selection activeCell="E19" sqref="E19"/>
    </sheetView>
  </sheetViews>
  <sheetFormatPr defaultRowHeight="15" x14ac:dyDescent="0.25"/>
  <cols>
    <col min="1" max="1" width="24.5703125" customWidth="1"/>
    <col min="2" max="2" width="24" customWidth="1"/>
  </cols>
  <sheetData>
    <row r="1" spans="1:15" x14ac:dyDescent="0.25">
      <c r="A1" s="88" t="s">
        <v>336</v>
      </c>
      <c r="B1" s="88" t="s">
        <v>337</v>
      </c>
    </row>
    <row r="2" spans="1:15" x14ac:dyDescent="0.25">
      <c r="A2" t="s">
        <v>338</v>
      </c>
      <c r="B2" s="47" t="str">
        <f>zTaskNameIdentifier</f>
        <v>zzGenRunNL</v>
      </c>
    </row>
    <row r="3" spans="1:15" x14ac:dyDescent="0.25">
      <c r="A3" t="s">
        <v>37</v>
      </c>
      <c r="B3" s="47" t="str" cm="1">
        <f t="array" ref="B3">Risk</f>
        <v>Low</v>
      </c>
    </row>
    <row r="4" spans="1:15" x14ac:dyDescent="0.25">
      <c r="A4" t="s">
        <v>339</v>
      </c>
      <c r="B4" s="47" t="str" cm="1">
        <f t="array" ref="B4">Building</f>
        <v>G</v>
      </c>
    </row>
    <row r="5" spans="1:15" x14ac:dyDescent="0.25">
      <c r="A5" t="s">
        <v>340</v>
      </c>
      <c r="B5" s="47">
        <f>PreActCabQuantity</f>
        <v>2</v>
      </c>
    </row>
    <row r="6" spans="1:15" x14ac:dyDescent="0.25">
      <c r="A6" t="s">
        <v>341</v>
      </c>
      <c r="B6" s="47" t="str" cm="1">
        <f t="array" ref="B6">IFERROR(IF(RIGHT(Suite, 3)="PBB", "PBB", "Suite"), "Error")</f>
        <v>Suite</v>
      </c>
    </row>
    <row r="7" spans="1:15" x14ac:dyDescent="0.25">
      <c r="A7" t="s">
        <v>342</v>
      </c>
      <c r="B7" s="47" t="str" cm="1">
        <f t="array" ref="B7">IFERROR(IF(RIGHT(Suite, 9)="POP Rooms", "POP", "Suite"), "Error")</f>
        <v>Suite</v>
      </c>
    </row>
    <row r="8" spans="1:15" x14ac:dyDescent="0.25">
      <c r="A8" t="s">
        <v>186</v>
      </c>
      <c r="B8" s="47" t="str" cm="1">
        <f t="array" ref="B8">NumberOfICDs</f>
        <v>XXX</v>
      </c>
    </row>
    <row r="9" spans="1:15" x14ac:dyDescent="0.25">
      <c r="A9" t="s">
        <v>187</v>
      </c>
      <c r="B9" s="47" t="str" cm="1">
        <f t="array" ref="B9">NumberOfSW</f>
        <v>XXX</v>
      </c>
    </row>
    <row r="10" spans="1:15" x14ac:dyDescent="0.25">
      <c r="A10" t="s">
        <v>180</v>
      </c>
      <c r="B10" s="46" cm="1">
        <f t="array" ref="B10">POD</f>
        <v>2</v>
      </c>
      <c r="C10" s="25"/>
      <c r="D10" s="25"/>
      <c r="E10" s="25"/>
      <c r="F10" s="25"/>
      <c r="G10" s="25"/>
      <c r="H10" s="25"/>
      <c r="I10" s="25"/>
      <c r="J10" s="25"/>
      <c r="K10" s="25"/>
      <c r="L10" s="25"/>
      <c r="M10" s="25"/>
      <c r="N10" s="25"/>
    </row>
    <row r="11" spans="1:15" x14ac:dyDescent="0.25">
      <c r="A11" t="s">
        <v>343</v>
      </c>
      <c r="B11" s="46" t="str" cm="1">
        <f t="array" ref="B11">GenType</f>
        <v>CAT</v>
      </c>
      <c r="C11" s="25"/>
      <c r="D11" s="25"/>
      <c r="E11" s="25"/>
      <c r="F11" s="25"/>
      <c r="G11" s="25"/>
      <c r="H11" s="25"/>
      <c r="I11" s="25"/>
      <c r="J11" s="25"/>
      <c r="K11" s="25"/>
      <c r="L11" s="25"/>
      <c r="M11" s="25"/>
      <c r="N11" s="25"/>
    </row>
    <row r="12" spans="1:15" x14ac:dyDescent="0.25">
      <c r="A12" t="s">
        <v>344</v>
      </c>
      <c r="B12" s="46" t="str" cm="1">
        <f t="array" ref="B12">PowerCommand</f>
        <v>XXX</v>
      </c>
      <c r="C12" s="25"/>
      <c r="D12" s="25"/>
      <c r="E12" s="25"/>
      <c r="F12" s="25"/>
      <c r="G12" s="25"/>
      <c r="H12" s="25"/>
      <c r="I12" s="25"/>
      <c r="J12" s="25"/>
      <c r="K12" s="25"/>
      <c r="L12" s="25"/>
      <c r="M12" s="25"/>
      <c r="N12" s="25"/>
    </row>
    <row r="13" spans="1:15" x14ac:dyDescent="0.25">
      <c r="A13" t="s">
        <v>345</v>
      </c>
      <c r="B13" s="46" t="str">
        <f>IFERROR(LEFT(DEEMOutsideGear, 3), "ERROR")</f>
        <v>ERROR</v>
      </c>
      <c r="C13" s="25"/>
      <c r="D13" s="25"/>
      <c r="E13" s="25"/>
      <c r="F13" s="25"/>
      <c r="G13" s="25"/>
      <c r="H13" s="25"/>
      <c r="I13" s="25"/>
      <c r="J13" s="25"/>
      <c r="K13" s="25"/>
      <c r="L13" s="25"/>
      <c r="M13" s="25"/>
      <c r="N13" s="25"/>
    </row>
    <row r="14" spans="1:15" x14ac:dyDescent="0.25">
      <c r="A14" t="s">
        <v>346</v>
      </c>
      <c r="B14" s="46" t="str" cm="1">
        <f t="array" ref="B14">IFERROR(DEEMSuite4, "ERROR")</f>
        <v>ERROR</v>
      </c>
      <c r="C14" s="25"/>
      <c r="D14" s="25"/>
      <c r="E14" s="25"/>
      <c r="F14" s="25"/>
      <c r="G14" s="25"/>
      <c r="H14" s="25"/>
      <c r="I14" s="25"/>
      <c r="J14" s="25"/>
      <c r="K14" s="25"/>
      <c r="L14" s="25"/>
      <c r="M14" s="25"/>
      <c r="N14" s="25"/>
    </row>
    <row r="15" spans="1:15" x14ac:dyDescent="0.25">
      <c r="A15" t="s">
        <v>347</v>
      </c>
      <c r="B15" s="6" t="str">
        <f>IFERROR(VLOOKUP(References!$A5, 'Config-References'!$A$37:$C$41, 3, FALSE), "g.co")</f>
        <v>https://digitalrealty.sharepoint.com/sites/og/Lists/Ops%20Guide/AllItems.aspx?id=%2Fsites%2Fog%2FLists%2FOps%20Guide%2FChapter%2016%20-%20Technical%20Operations%20%26%20Maintenance</v>
      </c>
      <c r="C15" s="267"/>
      <c r="D15" s="267"/>
      <c r="E15" s="267"/>
      <c r="F15" s="267"/>
      <c r="G15" s="267"/>
      <c r="H15" s="267"/>
      <c r="I15" s="267"/>
      <c r="J15" s="267"/>
      <c r="K15" s="267"/>
      <c r="L15" s="267"/>
      <c r="M15" s="267"/>
      <c r="N15" s="25"/>
      <c r="O15" s="4"/>
    </row>
    <row r="16" spans="1:15" x14ac:dyDescent="0.25">
      <c r="A16" t="s">
        <v>348</v>
      </c>
      <c r="B16" s="6" t="str">
        <f>IFERROR(VLOOKUP(References!$A6, 'Config-References'!$A$37:$C$41, 3, FALSE), "g.co")</f>
        <v>https://digitalrealty.sharepoint.com/sites/og/Templates%20%20Forms/Chapter%2016%20Technical%20Operations%20and%20Maintenance/Maintenance%20and%20Operations%20Standards%20v5.7.pdf</v>
      </c>
      <c r="C16" s="267"/>
      <c r="D16" s="267"/>
      <c r="E16" s="267"/>
      <c r="F16" s="267"/>
      <c r="G16" s="267"/>
      <c r="H16" s="267"/>
      <c r="I16" s="267"/>
      <c r="J16" s="267"/>
      <c r="K16" s="267"/>
      <c r="L16" s="267"/>
      <c r="M16" s="267"/>
      <c r="N16" s="25"/>
      <c r="O16" s="4"/>
    </row>
    <row r="17" spans="1:15" x14ac:dyDescent="0.25">
      <c r="A17" t="s">
        <v>349</v>
      </c>
      <c r="B17" s="6" t="str">
        <f>IFERROR(VLOOKUP(References!$A7, 'Config-References'!$A$37:$C$41, 3, FALSE), "g.co")</f>
        <v>g.co</v>
      </c>
      <c r="C17" s="267"/>
      <c r="D17" s="267"/>
      <c r="E17" s="267"/>
      <c r="F17" s="267"/>
      <c r="G17" s="267"/>
      <c r="H17" s="267"/>
      <c r="I17" s="267"/>
      <c r="J17" s="267"/>
      <c r="K17" s="267"/>
      <c r="L17" s="267"/>
      <c r="M17" s="267"/>
      <c r="N17" s="25"/>
      <c r="O17" s="4"/>
    </row>
    <row r="18" spans="1:15" x14ac:dyDescent="0.25">
      <c r="A18" t="s">
        <v>350</v>
      </c>
      <c r="B18" s="6" t="str">
        <f>IFERROR(VLOOKUP(References!$A8, 'Config-References'!$A$37:$C$41, 3, FALSE), "g.co")</f>
        <v>g.co</v>
      </c>
      <c r="C18" s="267"/>
      <c r="D18" s="267"/>
      <c r="E18" s="267"/>
      <c r="F18" s="267"/>
      <c r="G18" s="267"/>
      <c r="H18" s="267"/>
      <c r="I18" s="267"/>
      <c r="J18" s="267"/>
      <c r="K18" s="267"/>
      <c r="L18" s="267"/>
      <c r="M18" s="267"/>
      <c r="N18" s="25"/>
      <c r="O18" s="4"/>
    </row>
    <row r="19" spans="1:15" x14ac:dyDescent="0.25">
      <c r="A19" t="s">
        <v>351</v>
      </c>
      <c r="B19" s="6" t="str">
        <f>IFERROR(VLOOKUP(References!$A9, 'Config-References'!$A$37:$C$41, 3, FALSE), "g.co")</f>
        <v>g.co</v>
      </c>
      <c r="C19" s="267"/>
      <c r="D19" s="267"/>
      <c r="E19" s="267"/>
      <c r="F19" s="267"/>
      <c r="G19" s="267"/>
      <c r="H19" s="267"/>
      <c r="I19" s="267"/>
      <c r="J19" s="267"/>
      <c r="K19" s="267"/>
      <c r="L19" s="267"/>
      <c r="M19" s="267"/>
      <c r="N19" s="25"/>
      <c r="O19" s="4"/>
    </row>
    <row r="20" spans="1:15" x14ac:dyDescent="0.25">
      <c r="A20" t="s">
        <v>352</v>
      </c>
      <c r="B20" s="6" t="str">
        <f>IFERROR(VLOOKUP(References!$A10, 'Config-References'!$A$37:$C$41, 3, FALSE), "g.co")</f>
        <v>g.co</v>
      </c>
      <c r="C20" s="267"/>
      <c r="D20" s="267"/>
      <c r="E20" s="267"/>
      <c r="F20" s="267"/>
      <c r="G20" s="267"/>
      <c r="H20" s="267"/>
      <c r="I20" s="267"/>
      <c r="J20" s="267"/>
      <c r="K20" s="267"/>
      <c r="L20" s="267"/>
      <c r="M20" s="267"/>
      <c r="N20" s="25"/>
      <c r="O20" s="4"/>
    </row>
    <row r="21" spans="1:15" x14ac:dyDescent="0.25">
      <c r="A21" t="s">
        <v>353</v>
      </c>
      <c r="B21" s="6" t="str">
        <f>IFERROR(VLOOKUP(References!$A11, 'Config-References'!$A$37:$C$41, 3, FALSE), "g.co")</f>
        <v>g.co</v>
      </c>
      <c r="C21" s="267"/>
      <c r="D21" s="267"/>
      <c r="E21" s="267"/>
      <c r="F21" s="267"/>
      <c r="G21" s="267"/>
      <c r="H21" s="267"/>
      <c r="I21" s="267"/>
      <c r="J21" s="267"/>
      <c r="K21" s="267"/>
      <c r="L21" s="267"/>
      <c r="M21" s="267"/>
      <c r="N21" s="25"/>
      <c r="O21" s="4"/>
    </row>
    <row r="22" spans="1:15" x14ac:dyDescent="0.25">
      <c r="A22" t="s">
        <v>354</v>
      </c>
      <c r="B22" s="6" t="str">
        <f>IFERROR(VLOOKUP(References!$A12, 'Config-References'!$A$37:$C$41, 3, FALSE), "g.co")</f>
        <v>g.co</v>
      </c>
      <c r="C22" s="267"/>
      <c r="D22" s="267"/>
      <c r="E22" s="267"/>
      <c r="F22" s="267"/>
      <c r="G22" s="267"/>
      <c r="H22" s="267"/>
      <c r="I22" s="267"/>
      <c r="J22" s="267"/>
      <c r="K22" s="267"/>
      <c r="L22" s="267"/>
      <c r="M22" s="267"/>
      <c r="N22" s="25"/>
      <c r="O22" s="4"/>
    </row>
    <row r="23" spans="1:15" x14ac:dyDescent="0.25">
      <c r="A23" t="s">
        <v>355</v>
      </c>
      <c r="B23" s="25" t="str" cm="1">
        <f t="array" ref="B23">NumberOfChillers</f>
        <v>ERROR</v>
      </c>
      <c r="C23" s="25"/>
      <c r="D23" s="25"/>
      <c r="E23" s="25"/>
      <c r="F23" s="25"/>
      <c r="G23" s="25"/>
      <c r="H23" s="25"/>
      <c r="I23" s="25"/>
      <c r="J23" s="25"/>
      <c r="K23" s="25"/>
      <c r="L23" s="25"/>
      <c r="M23" s="25"/>
      <c r="N23" s="25"/>
      <c r="O23" s="4"/>
    </row>
    <row r="24" spans="1:15" x14ac:dyDescent="0.25">
      <c r="A24" t="s">
        <v>4609</v>
      </c>
      <c r="B24" s="25" t="str" cm="1">
        <f t="array" ref="B24">IFERROR(NumberofRTUs, "ERROR")</f>
        <v>ERROR</v>
      </c>
      <c r="C24" s="25"/>
      <c r="D24" s="25"/>
      <c r="E24" s="25"/>
      <c r="F24" s="25"/>
      <c r="G24" s="25"/>
      <c r="H24" s="25"/>
      <c r="I24" s="25"/>
      <c r="J24" s="25"/>
      <c r="K24" s="25"/>
      <c r="L24" s="25"/>
      <c r="M24" s="25"/>
      <c r="N24" s="25"/>
      <c r="O24" s="4"/>
    </row>
    <row r="25" spans="1:15" x14ac:dyDescent="0.25">
      <c r="A25" t="s">
        <v>4610</v>
      </c>
      <c r="B25" s="25" t="str" cm="1">
        <f t="array" ref="B25">IFERROR(NumberofMAUs, "ERROR")</f>
        <v>ERROR</v>
      </c>
      <c r="C25" s="25"/>
      <c r="D25" s="25"/>
      <c r="E25" s="25"/>
      <c r="F25" s="25"/>
      <c r="G25" s="25"/>
      <c r="H25" s="25"/>
      <c r="I25" s="25"/>
      <c r="J25" s="25"/>
      <c r="K25" s="25"/>
      <c r="L25" s="25"/>
      <c r="M25" s="25"/>
      <c r="N25" s="25"/>
    </row>
    <row r="26" spans="1:15" x14ac:dyDescent="0.25">
      <c r="A26" t="s">
        <v>4611</v>
      </c>
      <c r="B26" s="25" t="str">
        <f>IFERROR('Config-UPS'!$N$5, "ERROR")</f>
        <v>MGE</v>
      </c>
      <c r="C26" s="25"/>
      <c r="D26" s="25"/>
      <c r="E26" s="25"/>
      <c r="F26" s="25"/>
      <c r="G26" s="25"/>
      <c r="H26" s="25"/>
      <c r="I26" s="25"/>
      <c r="J26" s="25"/>
      <c r="K26" s="25"/>
      <c r="L26" s="25"/>
      <c r="M26" s="25"/>
      <c r="N26" s="25"/>
    </row>
    <row r="27" spans="1:15" x14ac:dyDescent="0.25">
      <c r="A27" t="s">
        <v>4615</v>
      </c>
      <c r="B27" s="25" t="str">
        <f>IFERROR('Config-UPS'!$P$2, "ERROR")</f>
        <v>Visible</v>
      </c>
      <c r="C27" s="25"/>
      <c r="D27" s="25"/>
      <c r="E27" s="25"/>
      <c r="F27" s="25"/>
      <c r="G27" s="25"/>
      <c r="H27" s="25"/>
      <c r="I27" s="25"/>
      <c r="J27" s="25"/>
      <c r="K27" s="25"/>
      <c r="L27" s="25"/>
      <c r="M27" s="25"/>
      <c r="N27" s="25"/>
    </row>
    <row r="28" spans="1:15" x14ac:dyDescent="0.25">
      <c r="A28" t="s">
        <v>4616</v>
      </c>
      <c r="B28" s="25" t="str">
        <f>IFERROR('Config-UPS'!$Q$2, "ERROR")</f>
        <v>Visible</v>
      </c>
      <c r="C28" s="25"/>
      <c r="D28" s="25"/>
      <c r="E28" s="25"/>
      <c r="F28" s="25"/>
      <c r="G28" s="25"/>
      <c r="H28" s="25"/>
      <c r="I28" s="25"/>
      <c r="J28" s="25"/>
      <c r="K28" s="25"/>
      <c r="L28" s="25"/>
      <c r="M28" s="25"/>
      <c r="N28" s="25"/>
    </row>
    <row r="29" spans="1:15" x14ac:dyDescent="0.25">
      <c r="A29" t="s">
        <v>4612</v>
      </c>
      <c r="B29" s="25" t="str">
        <f>IFERROR('Config-UPS'!$R$2, "ERROR")</f>
        <v>Hidden</v>
      </c>
      <c r="C29" s="25"/>
      <c r="D29" s="25"/>
      <c r="E29" s="25"/>
      <c r="F29" s="25"/>
      <c r="G29" s="25"/>
      <c r="H29" s="25"/>
      <c r="I29" s="25"/>
      <c r="J29" s="25"/>
      <c r="K29" s="25"/>
      <c r="L29" s="25"/>
      <c r="M29" s="25"/>
      <c r="N29" s="25"/>
    </row>
    <row r="30" spans="1:15" x14ac:dyDescent="0.25">
      <c r="A30" t="s">
        <v>4613</v>
      </c>
      <c r="B30" s="25" t="str">
        <f>IFERROR('Config-UPS'!$S$2, "ERROR")</f>
        <v>Hidden</v>
      </c>
      <c r="C30" s="25"/>
      <c r="D30" s="25"/>
      <c r="E30" s="25"/>
      <c r="F30" s="25"/>
      <c r="G30" s="25"/>
      <c r="H30" s="25"/>
      <c r="I30" s="25"/>
      <c r="J30" s="25"/>
      <c r="K30" s="25"/>
      <c r="L30" s="25"/>
      <c r="M30" s="25"/>
      <c r="N30" s="25"/>
    </row>
    <row r="31" spans="1:15" x14ac:dyDescent="0.25">
      <c r="A31" t="s">
        <v>4614</v>
      </c>
      <c r="B31" s="25" t="str">
        <f>IFERROR('Config-UPS'!$T$2, "ERROR")</f>
        <v>Hidden</v>
      </c>
      <c r="C31" s="25"/>
      <c r="D31" s="25"/>
      <c r="E31" s="25"/>
      <c r="F31" s="25"/>
      <c r="G31" s="25"/>
      <c r="H31" s="25"/>
      <c r="I31" s="25"/>
      <c r="J31" s="25"/>
      <c r="K31" s="25"/>
      <c r="L31" s="25"/>
      <c r="M31" s="25"/>
      <c r="N31" s="25"/>
    </row>
    <row r="32" spans="1:15" x14ac:dyDescent="0.25">
      <c r="A32" t="s">
        <v>104</v>
      </c>
      <c r="B32" s="25" t="str">
        <f>Suite</f>
        <v>G104</v>
      </c>
      <c r="C32" s="25"/>
      <c r="D32" s="25"/>
      <c r="E32" s="25"/>
      <c r="F32" s="25"/>
      <c r="G32" s="25"/>
      <c r="H32" s="25"/>
      <c r="I32" s="25"/>
      <c r="J32" s="25"/>
      <c r="K32" s="25"/>
      <c r="L32" s="25"/>
      <c r="M32" s="25"/>
      <c r="N32" s="25"/>
    </row>
    <row r="33" spans="1:14" x14ac:dyDescent="0.25">
      <c r="A33" t="s">
        <v>4617</v>
      </c>
      <c r="B33" s="527">
        <f>IFERROR('Config-CRAC SAPM'!I2, 0)</f>
        <v>0</v>
      </c>
      <c r="C33" s="25"/>
      <c r="D33" s="25"/>
      <c r="E33" s="25"/>
      <c r="F33" s="25"/>
      <c r="G33" s="25"/>
      <c r="H33" s="25"/>
      <c r="I33" s="25"/>
      <c r="J33" s="25"/>
      <c r="K33" s="25"/>
      <c r="L33" s="25"/>
      <c r="M33" s="25"/>
      <c r="N33" s="25"/>
    </row>
    <row r="34" spans="1:14" x14ac:dyDescent="0.25">
      <c r="A34" t="s">
        <v>188</v>
      </c>
      <c r="B34" s="46" t="str">
        <f>IFERROR('Config-UPS'!$O$5, "ERROR")</f>
        <v>AB</v>
      </c>
      <c r="C34" s="25"/>
      <c r="D34" s="25"/>
      <c r="E34" s="25"/>
      <c r="F34" s="25"/>
      <c r="G34" s="25"/>
      <c r="H34" s="25"/>
      <c r="I34" s="25"/>
      <c r="J34" s="25"/>
      <c r="K34" s="25"/>
      <c r="L34" s="25"/>
      <c r="M34" s="25"/>
      <c r="N34" s="25"/>
    </row>
    <row r="35" spans="1:14" x14ac:dyDescent="0.25">
      <c r="A35" t="s">
        <v>4619</v>
      </c>
      <c r="B35" s="46" cm="1">
        <f t="array" ref="B35">IFERROR(VLOOKUP( Suite, 'Config-UPS'!A2:M61, 13, FALSE), "ERROR")</f>
        <v>562.5</v>
      </c>
      <c r="C35" s="25"/>
      <c r="D35" s="25"/>
      <c r="E35" s="25"/>
      <c r="F35" s="25"/>
      <c r="G35" s="25"/>
      <c r="H35" s="25"/>
      <c r="I35" s="25"/>
      <c r="J35" s="25"/>
      <c r="K35" s="25"/>
      <c r="L35" s="25"/>
      <c r="M35" s="25"/>
      <c r="N35" s="25"/>
    </row>
    <row r="36" spans="1:14" x14ac:dyDescent="0.25">
      <c r="B36" s="25"/>
      <c r="C36" s="25"/>
      <c r="D36" s="25"/>
      <c r="E36" s="25"/>
      <c r="F36" s="25"/>
      <c r="G36" s="25"/>
      <c r="H36" s="25"/>
      <c r="I36" s="25"/>
      <c r="J36" s="25"/>
      <c r="K36" s="25"/>
      <c r="L36" s="25"/>
      <c r="M36" s="25"/>
      <c r="N36" s="25"/>
    </row>
  </sheetData>
  <phoneticPr fontId="42" type="noConversion"/>
  <dataValidations count="1">
    <dataValidation showInputMessage="1" showErrorMessage="1" sqref="C15:M22" xr:uid="{BDE01FF0-1FB6-4D91-9325-C76BBEFDDD9D}"/>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D7430-35C4-4E3F-AE53-71C48E8F56E1}">
  <sheetPr codeName="Config_References"/>
  <dimension ref="A1:L76"/>
  <sheetViews>
    <sheetView workbookViewId="0">
      <selection activeCell="C43" sqref="C43"/>
    </sheetView>
  </sheetViews>
  <sheetFormatPr defaultRowHeight="15" x14ac:dyDescent="0.25"/>
  <cols>
    <col min="1" max="1" width="29.140625" customWidth="1"/>
    <col min="2" max="2" width="22.85546875" bestFit="1" customWidth="1"/>
    <col min="3" max="4" width="12" customWidth="1"/>
    <col min="5" max="5" width="12" bestFit="1" customWidth="1"/>
    <col min="6" max="11" width="12" customWidth="1"/>
    <col min="12" max="12" width="13.140625" customWidth="1"/>
  </cols>
  <sheetData>
    <row r="1" spans="1:12" x14ac:dyDescent="0.25">
      <c r="B1" s="72">
        <v>1</v>
      </c>
      <c r="C1" s="72">
        <v>2</v>
      </c>
      <c r="D1" s="72">
        <v>3</v>
      </c>
      <c r="E1" s="72">
        <v>4</v>
      </c>
      <c r="F1" s="72">
        <v>5</v>
      </c>
      <c r="G1" s="72">
        <v>6</v>
      </c>
      <c r="H1" s="72">
        <v>7</v>
      </c>
      <c r="I1" s="72">
        <v>8</v>
      </c>
      <c r="J1" s="72">
        <v>9</v>
      </c>
      <c r="K1" s="72">
        <v>10</v>
      </c>
      <c r="L1" s="72">
        <v>11</v>
      </c>
    </row>
    <row r="2" spans="1:12" x14ac:dyDescent="0.25">
      <c r="C2" t="s">
        <v>356</v>
      </c>
      <c r="D2" t="s">
        <v>357</v>
      </c>
      <c r="E2" t="s">
        <v>358</v>
      </c>
      <c r="F2" t="s">
        <v>359</v>
      </c>
      <c r="G2" t="s">
        <v>360</v>
      </c>
      <c r="H2" t="s">
        <v>361</v>
      </c>
      <c r="I2" t="s">
        <v>362</v>
      </c>
      <c r="J2" t="s">
        <v>363</v>
      </c>
      <c r="K2" t="s">
        <v>364</v>
      </c>
      <c r="L2" t="s">
        <v>365</v>
      </c>
    </row>
    <row r="3" spans="1:12" x14ac:dyDescent="0.25">
      <c r="A3" t="s">
        <v>366</v>
      </c>
      <c r="B3" s="47" t="s">
        <v>234</v>
      </c>
      <c r="C3" s="529" t="s">
        <v>370</v>
      </c>
      <c r="D3" t="s">
        <v>367</v>
      </c>
      <c r="E3" t="s">
        <v>369</v>
      </c>
      <c r="F3" t="s">
        <v>368</v>
      </c>
      <c r="G3" t="str">
        <f>""</f>
        <v/>
      </c>
      <c r="H3" t="str">
        <f>""</f>
        <v/>
      </c>
      <c r="I3" t="str">
        <f>""</f>
        <v/>
      </c>
      <c r="J3" t="str">
        <f>""</f>
        <v/>
      </c>
      <c r="K3" t="str">
        <f>""</f>
        <v/>
      </c>
      <c r="L3" t="str">
        <f>""</f>
        <v/>
      </c>
    </row>
    <row r="4" spans="1:12" x14ac:dyDescent="0.25">
      <c r="A4" s="47" t="s">
        <v>236</v>
      </c>
      <c r="B4" s="47" t="s">
        <v>237</v>
      </c>
      <c r="C4" s="529" t="s">
        <v>370</v>
      </c>
      <c r="D4" t="s">
        <v>367</v>
      </c>
      <c r="E4" t="s">
        <v>369</v>
      </c>
      <c r="F4" t="s">
        <v>368</v>
      </c>
      <c r="G4" t="str">
        <f>""</f>
        <v/>
      </c>
      <c r="H4" t="str">
        <f>""</f>
        <v/>
      </c>
      <c r="I4" t="str">
        <f>""</f>
        <v/>
      </c>
      <c r="J4" t="str">
        <f>""</f>
        <v/>
      </c>
      <c r="K4" t="str">
        <f>""</f>
        <v/>
      </c>
      <c r="L4" t="str">
        <f>""</f>
        <v/>
      </c>
    </row>
    <row r="5" spans="1:12" x14ac:dyDescent="0.25">
      <c r="A5" t="s">
        <v>211</v>
      </c>
      <c r="B5" s="47" t="s">
        <v>212</v>
      </c>
      <c r="C5" s="529" t="s">
        <v>370</v>
      </c>
      <c r="D5" t="s">
        <v>367</v>
      </c>
      <c r="E5" t="s">
        <v>369</v>
      </c>
      <c r="F5" t="s">
        <v>368</v>
      </c>
      <c r="G5" t="str">
        <f>""</f>
        <v/>
      </c>
      <c r="H5" t="str">
        <f>""</f>
        <v/>
      </c>
      <c r="I5" t="str">
        <f>""</f>
        <v/>
      </c>
      <c r="J5" t="str">
        <f>""</f>
        <v/>
      </c>
      <c r="K5" t="str">
        <f>""</f>
        <v/>
      </c>
      <c r="L5" t="str">
        <f>""</f>
        <v/>
      </c>
    </row>
    <row r="6" spans="1:12" x14ac:dyDescent="0.25">
      <c r="A6" t="s">
        <v>215</v>
      </c>
      <c r="B6" s="47" t="s">
        <v>216</v>
      </c>
      <c r="C6" s="529" t="s">
        <v>370</v>
      </c>
      <c r="D6" t="s">
        <v>367</v>
      </c>
      <c r="E6" t="s">
        <v>369</v>
      </c>
      <c r="F6" t="s">
        <v>368</v>
      </c>
      <c r="G6" t="str">
        <f>""</f>
        <v/>
      </c>
      <c r="H6" t="str">
        <f>""</f>
        <v/>
      </c>
      <c r="I6" t="str">
        <f>""</f>
        <v/>
      </c>
      <c r="J6" t="str">
        <f>""</f>
        <v/>
      </c>
      <c r="K6" t="str">
        <f>""</f>
        <v/>
      </c>
      <c r="L6" t="str">
        <f>""</f>
        <v/>
      </c>
    </row>
    <row r="7" spans="1:12" x14ac:dyDescent="0.25">
      <c r="A7" t="s">
        <v>217</v>
      </c>
      <c r="B7" s="47" t="s">
        <v>218</v>
      </c>
      <c r="C7" s="529" t="s">
        <v>370</v>
      </c>
      <c r="D7" t="s">
        <v>367</v>
      </c>
      <c r="E7" t="s">
        <v>369</v>
      </c>
      <c r="F7" t="str">
        <f>""</f>
        <v/>
      </c>
      <c r="G7" t="str">
        <f>""</f>
        <v/>
      </c>
      <c r="H7" t="str">
        <f>""</f>
        <v/>
      </c>
      <c r="I7" t="str">
        <f>""</f>
        <v/>
      </c>
      <c r="J7" t="str">
        <f>""</f>
        <v/>
      </c>
      <c r="K7" t="str">
        <f>""</f>
        <v/>
      </c>
      <c r="L7" t="str">
        <f>""</f>
        <v/>
      </c>
    </row>
    <row r="8" spans="1:12" x14ac:dyDescent="0.25">
      <c r="A8" t="s">
        <v>199</v>
      </c>
      <c r="B8" s="47" t="s">
        <v>200</v>
      </c>
      <c r="C8" s="529" t="s">
        <v>370</v>
      </c>
      <c r="D8" t="s">
        <v>367</v>
      </c>
      <c r="E8" t="str">
        <f>""</f>
        <v/>
      </c>
      <c r="F8" t="str">
        <f>""</f>
        <v/>
      </c>
      <c r="G8" t="str">
        <f>""</f>
        <v/>
      </c>
      <c r="H8" t="str">
        <f>""</f>
        <v/>
      </c>
      <c r="I8" t="str">
        <f>""</f>
        <v/>
      </c>
      <c r="J8" t="str">
        <f>""</f>
        <v/>
      </c>
      <c r="K8" t="str">
        <f>""</f>
        <v/>
      </c>
      <c r="L8" t="str">
        <f>""</f>
        <v/>
      </c>
    </row>
    <row r="9" spans="1:12" x14ac:dyDescent="0.25">
      <c r="A9" t="s">
        <v>206</v>
      </c>
      <c r="B9" s="47" t="s">
        <v>207</v>
      </c>
      <c r="C9" s="529" t="s">
        <v>370</v>
      </c>
      <c r="D9" t="s">
        <v>367</v>
      </c>
      <c r="E9" t="str">
        <f>""</f>
        <v/>
      </c>
      <c r="F9" t="str">
        <f>""</f>
        <v/>
      </c>
      <c r="G9" t="str">
        <f>""</f>
        <v/>
      </c>
      <c r="H9" t="str">
        <f>""</f>
        <v/>
      </c>
      <c r="I9" t="str">
        <f>""</f>
        <v/>
      </c>
      <c r="J9" t="str">
        <f>""</f>
        <v/>
      </c>
      <c r="K9" t="str">
        <f>""</f>
        <v/>
      </c>
      <c r="L9" t="str">
        <f>""</f>
        <v/>
      </c>
    </row>
    <row r="10" spans="1:12" x14ac:dyDescent="0.25">
      <c r="A10" t="s">
        <v>220</v>
      </c>
      <c r="B10" s="47" t="s">
        <v>221</v>
      </c>
      <c r="C10" s="529" t="s">
        <v>370</v>
      </c>
      <c r="D10" t="s">
        <v>367</v>
      </c>
      <c r="E10" t="s">
        <v>369</v>
      </c>
      <c r="F10" t="str">
        <f>""</f>
        <v/>
      </c>
      <c r="G10" t="str">
        <f>""</f>
        <v/>
      </c>
      <c r="H10" t="str">
        <f>""</f>
        <v/>
      </c>
      <c r="I10" t="str">
        <f>""</f>
        <v/>
      </c>
      <c r="J10" t="str">
        <f>""</f>
        <v/>
      </c>
      <c r="K10" t="str">
        <f>""</f>
        <v/>
      </c>
      <c r="L10" t="str">
        <f>""</f>
        <v/>
      </c>
    </row>
    <row r="11" spans="1:12" x14ac:dyDescent="0.25">
      <c r="A11" t="s">
        <v>222</v>
      </c>
      <c r="B11" s="47" t="s">
        <v>223</v>
      </c>
      <c r="C11" s="529" t="s">
        <v>370</v>
      </c>
      <c r="D11" t="s">
        <v>367</v>
      </c>
      <c r="E11" t="s">
        <v>369</v>
      </c>
      <c r="F11" t="str">
        <f>""</f>
        <v/>
      </c>
      <c r="G11" t="str">
        <f>""</f>
        <v/>
      </c>
      <c r="H11" t="str">
        <f>""</f>
        <v/>
      </c>
      <c r="I11" t="str">
        <f>""</f>
        <v/>
      </c>
      <c r="J11" t="str">
        <f>""</f>
        <v/>
      </c>
      <c r="K11" t="str">
        <f>""</f>
        <v/>
      </c>
      <c r="L11" t="str">
        <f>""</f>
        <v/>
      </c>
    </row>
    <row r="12" spans="1:12" x14ac:dyDescent="0.25">
      <c r="A12" t="s">
        <v>208</v>
      </c>
      <c r="B12" s="47" t="s">
        <v>209</v>
      </c>
      <c r="C12" s="529" t="s">
        <v>370</v>
      </c>
      <c r="D12" t="s">
        <v>367</v>
      </c>
      <c r="E12" t="s">
        <v>369</v>
      </c>
      <c r="F12" t="str">
        <f>""</f>
        <v/>
      </c>
      <c r="G12" t="str">
        <f>""</f>
        <v/>
      </c>
      <c r="H12" t="str">
        <f>""</f>
        <v/>
      </c>
      <c r="I12" t="str">
        <f>""</f>
        <v/>
      </c>
      <c r="J12" t="str">
        <f>""</f>
        <v/>
      </c>
      <c r="K12" t="str">
        <f>""</f>
        <v/>
      </c>
      <c r="L12" t="str">
        <f>""</f>
        <v/>
      </c>
    </row>
    <row r="13" spans="1:12" x14ac:dyDescent="0.25">
      <c r="A13" t="s">
        <v>35</v>
      </c>
      <c r="B13" s="47" t="s">
        <v>210</v>
      </c>
      <c r="C13" s="529" t="s">
        <v>370</v>
      </c>
      <c r="D13" t="s">
        <v>367</v>
      </c>
      <c r="E13" t="s">
        <v>369</v>
      </c>
      <c r="F13" t="str">
        <f>""</f>
        <v/>
      </c>
      <c r="G13" t="str">
        <f>""</f>
        <v/>
      </c>
      <c r="H13" t="str">
        <f>""</f>
        <v/>
      </c>
      <c r="I13" t="str">
        <f>""</f>
        <v/>
      </c>
      <c r="J13" t="str">
        <f>""</f>
        <v/>
      </c>
      <c r="K13" t="str">
        <f>""</f>
        <v/>
      </c>
      <c r="L13" t="str">
        <f>""</f>
        <v/>
      </c>
    </row>
    <row r="14" spans="1:12" x14ac:dyDescent="0.25">
      <c r="A14" t="s">
        <v>224</v>
      </c>
      <c r="B14" s="47" t="s">
        <v>225</v>
      </c>
      <c r="C14" s="529" t="s">
        <v>370</v>
      </c>
      <c r="D14" t="s">
        <v>367</v>
      </c>
      <c r="E14" t="s">
        <v>369</v>
      </c>
      <c r="F14" t="str">
        <f>""</f>
        <v/>
      </c>
      <c r="G14" t="str">
        <f>""</f>
        <v/>
      </c>
      <c r="H14" t="str">
        <f>""</f>
        <v/>
      </c>
      <c r="I14" t="str">
        <f>""</f>
        <v/>
      </c>
      <c r="J14" t="str">
        <f>""</f>
        <v/>
      </c>
      <c r="K14" t="str">
        <f>""</f>
        <v/>
      </c>
      <c r="L14" t="str">
        <f>""</f>
        <v/>
      </c>
    </row>
    <row r="15" spans="1:12" x14ac:dyDescent="0.25">
      <c r="A15" t="s">
        <v>226</v>
      </c>
      <c r="B15" s="47" t="s">
        <v>227</v>
      </c>
      <c r="C15" s="529" t="s">
        <v>370</v>
      </c>
      <c r="D15" t="s">
        <v>367</v>
      </c>
      <c r="E15" t="s">
        <v>369</v>
      </c>
      <c r="F15" t="str">
        <f>""</f>
        <v/>
      </c>
      <c r="G15" t="str">
        <f>""</f>
        <v/>
      </c>
      <c r="H15" t="str">
        <f>""</f>
        <v/>
      </c>
      <c r="I15" t="str">
        <f>""</f>
        <v/>
      </c>
      <c r="J15" t="str">
        <f>""</f>
        <v/>
      </c>
      <c r="K15" t="str">
        <f>""</f>
        <v/>
      </c>
      <c r="L15" t="str">
        <f>""</f>
        <v/>
      </c>
    </row>
    <row r="16" spans="1:12" x14ac:dyDescent="0.25">
      <c r="A16" t="s">
        <v>231</v>
      </c>
      <c r="B16" s="47" t="s">
        <v>232</v>
      </c>
      <c r="C16" s="529" t="s">
        <v>370</v>
      </c>
      <c r="D16" t="s">
        <v>367</v>
      </c>
      <c r="E16" t="s">
        <v>369</v>
      </c>
      <c r="F16" t="str">
        <f>""</f>
        <v/>
      </c>
      <c r="G16" t="str">
        <f>""</f>
        <v/>
      </c>
      <c r="H16" t="str">
        <f>""</f>
        <v/>
      </c>
      <c r="I16" t="str">
        <f>""</f>
        <v/>
      </c>
      <c r="J16" t="str">
        <f>""</f>
        <v/>
      </c>
      <c r="K16" t="str">
        <f>""</f>
        <v/>
      </c>
      <c r="L16" t="str">
        <f>""</f>
        <v/>
      </c>
    </row>
    <row r="17" spans="1:12" x14ac:dyDescent="0.25">
      <c r="A17" t="s">
        <v>243</v>
      </c>
      <c r="B17" s="47" t="s">
        <v>244</v>
      </c>
      <c r="C17" s="529" t="s">
        <v>370</v>
      </c>
      <c r="D17" t="s">
        <v>367</v>
      </c>
      <c r="E17" t="s">
        <v>369</v>
      </c>
      <c r="F17" t="s">
        <v>368</v>
      </c>
      <c r="G17" t="str">
        <f>""</f>
        <v/>
      </c>
      <c r="H17" t="str">
        <f>""</f>
        <v/>
      </c>
      <c r="I17" t="str">
        <f>""</f>
        <v/>
      </c>
      <c r="J17" t="str">
        <f>""</f>
        <v/>
      </c>
      <c r="K17" t="str">
        <f>""</f>
        <v/>
      </c>
      <c r="L17" t="str">
        <f>""</f>
        <v/>
      </c>
    </row>
    <row r="18" spans="1:12" x14ac:dyDescent="0.25">
      <c r="A18" t="s">
        <v>258</v>
      </c>
      <c r="B18" s="47" t="s">
        <v>259</v>
      </c>
      <c r="C18" s="529" t="s">
        <v>370</v>
      </c>
      <c r="D18" t="s">
        <v>367</v>
      </c>
      <c r="E18" t="s">
        <v>369</v>
      </c>
      <c r="F18" t="str">
        <f>""</f>
        <v/>
      </c>
      <c r="G18" t="str">
        <f>""</f>
        <v/>
      </c>
      <c r="H18" t="str">
        <f>""</f>
        <v/>
      </c>
      <c r="I18" t="str">
        <f>""</f>
        <v/>
      </c>
      <c r="J18" t="str">
        <f>""</f>
        <v/>
      </c>
      <c r="K18" t="str">
        <f>""</f>
        <v/>
      </c>
      <c r="L18" t="str">
        <f>""</f>
        <v/>
      </c>
    </row>
    <row r="19" spans="1:12" x14ac:dyDescent="0.25">
      <c r="A19" t="s">
        <v>261</v>
      </c>
      <c r="B19" s="47" t="s">
        <v>262</v>
      </c>
      <c r="C19" s="529" t="s">
        <v>370</v>
      </c>
      <c r="D19" t="s">
        <v>367</v>
      </c>
      <c r="E19" t="str">
        <f>""</f>
        <v/>
      </c>
      <c r="F19" t="str">
        <f>""</f>
        <v/>
      </c>
      <c r="G19" t="str">
        <f>""</f>
        <v/>
      </c>
      <c r="H19" t="str">
        <f>""</f>
        <v/>
      </c>
      <c r="I19" t="str">
        <f>""</f>
        <v/>
      </c>
      <c r="J19" t="str">
        <f>""</f>
        <v/>
      </c>
      <c r="K19" t="str">
        <f>""</f>
        <v/>
      </c>
      <c r="L19" t="str">
        <f>""</f>
        <v/>
      </c>
    </row>
    <row r="20" spans="1:12" x14ac:dyDescent="0.25">
      <c r="A20" t="s">
        <v>15</v>
      </c>
      <c r="B20" s="47" t="s">
        <v>253</v>
      </c>
      <c r="C20" s="529" t="s">
        <v>370</v>
      </c>
      <c r="D20" t="s">
        <v>367</v>
      </c>
      <c r="E20" t="s">
        <v>369</v>
      </c>
      <c r="F20" t="str">
        <f>""</f>
        <v/>
      </c>
      <c r="G20" t="str">
        <f>""</f>
        <v/>
      </c>
      <c r="H20" t="str">
        <f>""</f>
        <v/>
      </c>
      <c r="I20" t="str">
        <f>""</f>
        <v/>
      </c>
      <c r="J20" t="str">
        <f>""</f>
        <v/>
      </c>
      <c r="K20" t="str">
        <f>""</f>
        <v/>
      </c>
      <c r="L20" t="str">
        <f>""</f>
        <v/>
      </c>
    </row>
    <row r="21" spans="1:12" x14ac:dyDescent="0.25">
      <c r="A21" t="s">
        <v>254</v>
      </c>
      <c r="B21" s="47" t="s">
        <v>255</v>
      </c>
      <c r="C21" s="529" t="s">
        <v>370</v>
      </c>
      <c r="D21" t="s">
        <v>367</v>
      </c>
      <c r="E21" t="s">
        <v>369</v>
      </c>
      <c r="F21" t="str">
        <f>""</f>
        <v/>
      </c>
      <c r="G21" t="str">
        <f>""</f>
        <v/>
      </c>
      <c r="H21" t="str">
        <f>""</f>
        <v/>
      </c>
      <c r="I21" t="str">
        <f>""</f>
        <v/>
      </c>
      <c r="J21" t="str">
        <f>""</f>
        <v/>
      </c>
      <c r="K21" t="str">
        <f>""</f>
        <v/>
      </c>
      <c r="L21" t="str">
        <f>""</f>
        <v/>
      </c>
    </row>
    <row r="22" spans="1:12" x14ac:dyDescent="0.25">
      <c r="A22" s="47" t="s">
        <v>238</v>
      </c>
      <c r="B22" s="47" t="s">
        <v>239</v>
      </c>
      <c r="C22" s="529" t="s">
        <v>370</v>
      </c>
      <c r="D22" t="s">
        <v>367</v>
      </c>
      <c r="E22" t="str">
        <f>""</f>
        <v/>
      </c>
      <c r="F22" t="str">
        <f>""</f>
        <v/>
      </c>
      <c r="G22" t="str">
        <f>""</f>
        <v/>
      </c>
      <c r="H22" t="str">
        <f>""</f>
        <v/>
      </c>
      <c r="I22" t="str">
        <f>""</f>
        <v/>
      </c>
      <c r="J22" t="str">
        <f>""</f>
        <v/>
      </c>
      <c r="K22" t="str">
        <f>""</f>
        <v/>
      </c>
      <c r="L22" t="str">
        <f>""</f>
        <v/>
      </c>
    </row>
    <row r="23" spans="1:12" x14ac:dyDescent="0.25">
      <c r="A23" s="47" t="s">
        <v>241</v>
      </c>
      <c r="B23" s="47" t="s">
        <v>242</v>
      </c>
      <c r="C23" s="529" t="s">
        <v>370</v>
      </c>
      <c r="D23" t="s">
        <v>367</v>
      </c>
      <c r="E23" t="str">
        <f>""</f>
        <v/>
      </c>
      <c r="F23" t="str">
        <f>""</f>
        <v/>
      </c>
      <c r="G23" t="str">
        <f>""</f>
        <v/>
      </c>
      <c r="H23" t="str">
        <f>""</f>
        <v/>
      </c>
      <c r="I23" t="str">
        <f>""</f>
        <v/>
      </c>
      <c r="J23" t="str">
        <f>""</f>
        <v/>
      </c>
      <c r="K23" t="str">
        <f>""</f>
        <v/>
      </c>
      <c r="L23" t="str">
        <f>""</f>
        <v/>
      </c>
    </row>
    <row r="24" spans="1:12" x14ac:dyDescent="0.25">
      <c r="A24" s="10" t="s">
        <v>246</v>
      </c>
      <c r="B24" s="47" t="s">
        <v>247</v>
      </c>
      <c r="C24" s="529" t="s">
        <v>370</v>
      </c>
      <c r="D24" t="s">
        <v>367</v>
      </c>
      <c r="E24" t="s">
        <v>369</v>
      </c>
      <c r="F24" t="str">
        <f>""</f>
        <v/>
      </c>
      <c r="G24" t="str">
        <f>""</f>
        <v/>
      </c>
      <c r="H24" t="str">
        <f>""</f>
        <v/>
      </c>
      <c r="I24" t="str">
        <f>""</f>
        <v/>
      </c>
      <c r="J24" t="str">
        <f>""</f>
        <v/>
      </c>
      <c r="K24" t="str">
        <f>""</f>
        <v/>
      </c>
      <c r="L24" t="str">
        <f>""</f>
        <v/>
      </c>
    </row>
    <row r="25" spans="1:12" x14ac:dyDescent="0.25">
      <c r="A25" s="47" t="s">
        <v>250</v>
      </c>
      <c r="B25" s="47" t="s">
        <v>251</v>
      </c>
      <c r="C25" s="529" t="s">
        <v>370</v>
      </c>
      <c r="D25" t="s">
        <v>367</v>
      </c>
      <c r="E25" t="s">
        <v>369</v>
      </c>
      <c r="F25" t="str">
        <f>""</f>
        <v/>
      </c>
      <c r="G25" t="str">
        <f>""</f>
        <v/>
      </c>
      <c r="H25" t="str">
        <f>""</f>
        <v/>
      </c>
      <c r="I25" t="str">
        <f>""</f>
        <v/>
      </c>
      <c r="J25" t="str">
        <f>""</f>
        <v/>
      </c>
      <c r="K25" t="str">
        <f>""</f>
        <v/>
      </c>
      <c r="L25" t="str">
        <f>""</f>
        <v/>
      </c>
    </row>
    <row r="26" spans="1:12" ht="30" x14ac:dyDescent="0.25">
      <c r="A26" s="108" t="s">
        <v>15</v>
      </c>
      <c r="B26" s="47" t="s">
        <v>253</v>
      </c>
      <c r="C26" s="529" t="s">
        <v>370</v>
      </c>
      <c r="D26" t="s">
        <v>367</v>
      </c>
      <c r="E26" t="str">
        <f>""</f>
        <v/>
      </c>
      <c r="F26" t="str">
        <f>""</f>
        <v/>
      </c>
    </row>
    <row r="27" spans="1:12" x14ac:dyDescent="0.25">
      <c r="A27" s="108" t="s">
        <v>254</v>
      </c>
      <c r="B27" s="47" t="s">
        <v>255</v>
      </c>
      <c r="C27" s="529" t="s">
        <v>370</v>
      </c>
      <c r="D27" t="s">
        <v>367</v>
      </c>
      <c r="E27" t="str">
        <f>""</f>
        <v/>
      </c>
      <c r="F27" t="str">
        <f>""</f>
        <v/>
      </c>
    </row>
    <row r="28" spans="1:12" x14ac:dyDescent="0.25">
      <c r="A28" s="109" t="s">
        <v>268</v>
      </c>
      <c r="B28" s="47" t="s">
        <v>269</v>
      </c>
      <c r="C28" s="529" t="s">
        <v>370</v>
      </c>
      <c r="D28" t="s">
        <v>367</v>
      </c>
      <c r="E28" t="str">
        <f>""</f>
        <v/>
      </c>
      <c r="F28" t="str">
        <f>""</f>
        <v/>
      </c>
    </row>
    <row r="29" spans="1:12" x14ac:dyDescent="0.25">
      <c r="A29" s="109" t="s">
        <v>270</v>
      </c>
      <c r="B29" s="47" t="s">
        <v>271</v>
      </c>
      <c r="C29" s="529" t="s">
        <v>370</v>
      </c>
      <c r="D29" t="s">
        <v>367</v>
      </c>
      <c r="E29" t="str">
        <f>""</f>
        <v/>
      </c>
      <c r="F29" t="str">
        <f>""</f>
        <v/>
      </c>
    </row>
    <row r="30" spans="1:12" x14ac:dyDescent="0.25">
      <c r="A30" s="262" t="s">
        <v>256</v>
      </c>
      <c r="B30" s="47" t="s">
        <v>257</v>
      </c>
      <c r="C30" s="529" t="s">
        <v>370</v>
      </c>
      <c r="D30" t="s">
        <v>367</v>
      </c>
      <c r="E30" t="str">
        <f>""</f>
        <v/>
      </c>
      <c r="F30" t="str">
        <f>""</f>
        <v/>
      </c>
      <c r="G30" t="str">
        <f>""</f>
        <v/>
      </c>
      <c r="H30" t="str">
        <f>""</f>
        <v/>
      </c>
      <c r="I30" t="str">
        <f>""</f>
        <v/>
      </c>
      <c r="J30" t="str">
        <f>""</f>
        <v/>
      </c>
      <c r="K30" t="str">
        <f>""</f>
        <v/>
      </c>
      <c r="L30" t="str">
        <f>""</f>
        <v/>
      </c>
    </row>
    <row r="36" spans="1:3" x14ac:dyDescent="0.25">
      <c r="A36" t="s">
        <v>4676</v>
      </c>
      <c r="B36" t="s">
        <v>4677</v>
      </c>
      <c r="C36" t="s">
        <v>4678</v>
      </c>
    </row>
    <row r="37" spans="1:3" x14ac:dyDescent="0.25">
      <c r="A37" s="529" t="s">
        <v>370</v>
      </c>
      <c r="B37" s="529" t="s">
        <v>4933</v>
      </c>
      <c r="C37" s="529" t="s">
        <v>4934</v>
      </c>
    </row>
    <row r="38" spans="1:3" x14ac:dyDescent="0.25">
      <c r="A38" s="529" t="s">
        <v>367</v>
      </c>
      <c r="B38" t="s">
        <v>371</v>
      </c>
      <c r="C38" s="529" t="s">
        <v>373</v>
      </c>
    </row>
    <row r="39" spans="1:3" x14ac:dyDescent="0.25">
      <c r="A39" t="s">
        <v>368</v>
      </c>
      <c r="B39" t="str" cm="1">
        <f t="array" ref="B39">Suite &amp; " Electrical One-Line Drawing"</f>
        <v>G104 Electrical One-Line Drawing</v>
      </c>
      <c r="C39" s="123" t="str" cm="1">
        <f t="array" ref="C39">"https://digitalrealty.sharepoint.com/sites/Southeast/VA5/Technical%20Documentation/Electrical%20One%20Line%20Drawings/"&amp;Building&amp;"%20Building/"&amp;Suite&amp;"%20Electrical%20One%20Line.pdf?"</f>
        <v>https://digitalrealty.sharepoint.com/sites/Southeast/VA5/Technical%20Documentation/Electrical%20One%20Line%20Drawings/G%20Building/G104%20Electrical%20One%20Line.pdf?</v>
      </c>
    </row>
    <row r="40" spans="1:3" x14ac:dyDescent="0.25">
      <c r="A40" t="s">
        <v>369</v>
      </c>
      <c r="B40" t="str" cm="1">
        <f t="array" ref="B40">SOW</f>
        <v>ERROR</v>
      </c>
      <c r="C40" s="123" t="str" cm="1">
        <f t="array" ref="C40">SOW_URL</f>
        <v>ERROR</v>
      </c>
    </row>
    <row r="41" spans="1:3" x14ac:dyDescent="0.25">
      <c r="C41" s="123"/>
    </row>
    <row r="46" spans="1:3" x14ac:dyDescent="0.25">
      <c r="A46" s="47" t="s">
        <v>234</v>
      </c>
      <c r="B46" t="s">
        <v>372</v>
      </c>
    </row>
    <row r="47" spans="1:3" x14ac:dyDescent="0.25">
      <c r="A47" s="47" t="s">
        <v>237</v>
      </c>
      <c r="B47" t="s">
        <v>372</v>
      </c>
    </row>
    <row r="48" spans="1:3" x14ac:dyDescent="0.25">
      <c r="A48" s="47" t="s">
        <v>212</v>
      </c>
      <c r="B48" t="s">
        <v>374</v>
      </c>
    </row>
    <row r="49" spans="1:2" x14ac:dyDescent="0.25">
      <c r="A49" s="47" t="s">
        <v>216</v>
      </c>
      <c r="B49" t="s">
        <v>374</v>
      </c>
    </row>
    <row r="50" spans="1:2" x14ac:dyDescent="0.25">
      <c r="A50" s="47" t="s">
        <v>218</v>
      </c>
      <c r="B50" t="s">
        <v>375</v>
      </c>
    </row>
    <row r="51" spans="1:2" x14ac:dyDescent="0.25">
      <c r="A51" s="47" t="s">
        <v>221</v>
      </c>
      <c r="B51" t="s">
        <v>375</v>
      </c>
    </row>
    <row r="52" spans="1:2" x14ac:dyDescent="0.25">
      <c r="A52" s="47" t="s">
        <v>223</v>
      </c>
      <c r="B52" t="s">
        <v>375</v>
      </c>
    </row>
    <row r="53" spans="1:2" x14ac:dyDescent="0.25">
      <c r="A53" s="47" t="s">
        <v>209</v>
      </c>
      <c r="B53" t="str">
        <f>"Generator Scope of Work"</f>
        <v>Generator Scope of Work</v>
      </c>
    </row>
    <row r="54" spans="1:2" x14ac:dyDescent="0.25">
      <c r="A54" s="47" t="s">
        <v>210</v>
      </c>
      <c r="B54" t="str">
        <f>"Generator Scope of Work"</f>
        <v>Generator Scope of Work</v>
      </c>
    </row>
    <row r="55" spans="1:2" x14ac:dyDescent="0.25">
      <c r="A55" s="47" t="s">
        <v>225</v>
      </c>
      <c r="B55" t="s">
        <v>4680</v>
      </c>
    </row>
    <row r="56" spans="1:2" x14ac:dyDescent="0.25">
      <c r="A56" s="47" t="s">
        <v>227</v>
      </c>
      <c r="B56" t="s">
        <v>4680</v>
      </c>
    </row>
    <row r="57" spans="1:2" x14ac:dyDescent="0.25">
      <c r="A57" s="47" t="s">
        <v>232</v>
      </c>
      <c r="B57" t="s">
        <v>4681</v>
      </c>
    </row>
    <row r="58" spans="1:2" x14ac:dyDescent="0.25">
      <c r="A58" s="47" t="s">
        <v>244</v>
      </c>
      <c r="B58" t="s">
        <v>376</v>
      </c>
    </row>
    <row r="59" spans="1:2" x14ac:dyDescent="0.25">
      <c r="A59" s="47" t="s">
        <v>259</v>
      </c>
      <c r="B59" t="s">
        <v>4682</v>
      </c>
    </row>
    <row r="60" spans="1:2" x14ac:dyDescent="0.25">
      <c r="A60" s="47" t="s">
        <v>253</v>
      </c>
      <c r="B60" t="s">
        <v>375</v>
      </c>
    </row>
    <row r="61" spans="1:2" x14ac:dyDescent="0.25">
      <c r="A61" s="47" t="s">
        <v>255</v>
      </c>
      <c r="B61" t="s">
        <v>375</v>
      </c>
    </row>
    <row r="62" spans="1:2" x14ac:dyDescent="0.25">
      <c r="A62" s="47" t="s">
        <v>247</v>
      </c>
      <c r="B62" t="s">
        <v>375</v>
      </c>
    </row>
    <row r="63" spans="1:2" x14ac:dyDescent="0.25">
      <c r="A63" s="47" t="s">
        <v>251</v>
      </c>
      <c r="B63" t="s">
        <v>375</v>
      </c>
    </row>
    <row r="69" spans="1:2" x14ac:dyDescent="0.25">
      <c r="A69" t="s">
        <v>372</v>
      </c>
      <c r="B69" t="s">
        <v>4688</v>
      </c>
    </row>
    <row r="70" spans="1:2" x14ac:dyDescent="0.25">
      <c r="A70" t="s">
        <v>374</v>
      </c>
      <c r="B70" t="s">
        <v>4687</v>
      </c>
    </row>
    <row r="71" spans="1:2" x14ac:dyDescent="0.25">
      <c r="A71" t="s">
        <v>375</v>
      </c>
      <c r="B71" t="s">
        <v>4685</v>
      </c>
    </row>
    <row r="72" spans="1:2" x14ac:dyDescent="0.25">
      <c r="A72" t="s">
        <v>4679</v>
      </c>
      <c r="B72" t="s">
        <v>4686</v>
      </c>
    </row>
    <row r="73" spans="1:2" x14ac:dyDescent="0.25">
      <c r="A73" t="s">
        <v>4680</v>
      </c>
      <c r="B73" t="s">
        <v>4684</v>
      </c>
    </row>
    <row r="74" spans="1:2" x14ac:dyDescent="0.25">
      <c r="A74" t="s">
        <v>4681</v>
      </c>
      <c r="B74" t="s">
        <v>4689</v>
      </c>
    </row>
    <row r="75" spans="1:2" x14ac:dyDescent="0.25">
      <c r="A75" t="s">
        <v>4682</v>
      </c>
      <c r="B75" t="s">
        <v>4690</v>
      </c>
    </row>
    <row r="76" spans="1:2" x14ac:dyDescent="0.25">
      <c r="A76" t="s">
        <v>376</v>
      </c>
      <c r="B76" t="s">
        <v>4683</v>
      </c>
    </row>
  </sheetData>
  <phoneticPr fontId="4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890CB-A61C-470C-9B20-DF7164BE445C}">
  <sheetPr codeName="Config_PreWork"/>
  <dimension ref="A1:AR26"/>
  <sheetViews>
    <sheetView workbookViewId="0"/>
  </sheetViews>
  <sheetFormatPr defaultRowHeight="15" x14ac:dyDescent="0.25"/>
  <cols>
    <col min="1" max="1" width="24.85546875" customWidth="1"/>
    <col min="2" max="2" width="22.85546875" bestFit="1" customWidth="1"/>
    <col min="3" max="3" width="12" customWidth="1"/>
    <col min="4" max="11" width="11.7109375" bestFit="1" customWidth="1"/>
    <col min="12" max="12" width="12.7109375" bestFit="1" customWidth="1"/>
    <col min="13" max="21" width="6.5703125" bestFit="1" customWidth="1"/>
    <col min="22" max="22" width="7.5703125" bestFit="1" customWidth="1"/>
    <col min="23" max="31" width="11.5703125" bestFit="1" customWidth="1"/>
    <col min="32" max="32" width="12.5703125" bestFit="1" customWidth="1"/>
    <col min="33" max="33" width="12.28515625" bestFit="1" customWidth="1"/>
    <col min="34" max="34" width="12.7109375" bestFit="1" customWidth="1"/>
  </cols>
  <sheetData>
    <row r="1" spans="1:44" x14ac:dyDescent="0.25">
      <c r="B1" s="72">
        <v>1</v>
      </c>
      <c r="C1" s="72">
        <v>2</v>
      </c>
      <c r="D1" s="72">
        <v>3</v>
      </c>
      <c r="E1" s="72">
        <v>4</v>
      </c>
      <c r="F1" s="72">
        <v>5</v>
      </c>
      <c r="G1" s="72">
        <v>6</v>
      </c>
      <c r="H1" s="72">
        <v>7</v>
      </c>
      <c r="I1" s="72">
        <v>8</v>
      </c>
      <c r="J1" s="72">
        <v>9</v>
      </c>
      <c r="K1" s="72">
        <v>10</v>
      </c>
      <c r="L1" s="72">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c r="AJ1" s="72"/>
      <c r="AK1" s="72"/>
      <c r="AL1" s="72"/>
      <c r="AM1" s="72"/>
      <c r="AN1" s="72"/>
      <c r="AO1" s="72"/>
      <c r="AP1" s="72"/>
      <c r="AQ1" s="72"/>
      <c r="AR1" s="72"/>
    </row>
    <row r="2" spans="1:44" x14ac:dyDescent="0.25">
      <c r="C2" t="s">
        <v>377</v>
      </c>
      <c r="D2" t="s">
        <v>378</v>
      </c>
      <c r="E2" t="s">
        <v>379</v>
      </c>
      <c r="F2" t="s">
        <v>380</v>
      </c>
      <c r="G2" t="s">
        <v>381</v>
      </c>
      <c r="H2" t="s">
        <v>382</v>
      </c>
      <c r="I2" t="s">
        <v>383</v>
      </c>
      <c r="J2" t="s">
        <v>384</v>
      </c>
      <c r="K2" t="s">
        <v>385</v>
      </c>
      <c r="L2" t="s">
        <v>386</v>
      </c>
      <c r="M2" t="s">
        <v>387</v>
      </c>
      <c r="N2" t="s">
        <v>388</v>
      </c>
      <c r="O2" t="s">
        <v>389</v>
      </c>
      <c r="P2" t="s">
        <v>390</v>
      </c>
      <c r="Q2" t="s">
        <v>391</v>
      </c>
      <c r="R2" t="s">
        <v>392</v>
      </c>
      <c r="S2" t="s">
        <v>393</v>
      </c>
      <c r="T2" t="s">
        <v>394</v>
      </c>
      <c r="U2" t="s">
        <v>395</v>
      </c>
      <c r="V2" t="s">
        <v>396</v>
      </c>
      <c r="W2" t="s">
        <v>397</v>
      </c>
      <c r="X2" t="s">
        <v>398</v>
      </c>
      <c r="Y2" t="s">
        <v>399</v>
      </c>
      <c r="Z2" t="s">
        <v>400</v>
      </c>
      <c r="AA2" t="s">
        <v>401</v>
      </c>
      <c r="AB2" t="s">
        <v>402</v>
      </c>
      <c r="AC2" t="s">
        <v>403</v>
      </c>
      <c r="AD2" t="s">
        <v>404</v>
      </c>
      <c r="AE2" t="s">
        <v>405</v>
      </c>
      <c r="AF2" t="s">
        <v>406</v>
      </c>
      <c r="AG2" t="s">
        <v>407</v>
      </c>
      <c r="AH2" t="s">
        <v>408</v>
      </c>
    </row>
    <row r="3" spans="1:44" x14ac:dyDescent="0.25">
      <c r="A3" t="s">
        <v>366</v>
      </c>
      <c r="B3" s="47" t="s">
        <v>234</v>
      </c>
      <c r="C3" t="str" cm="1">
        <f t="array" ref="C3">IF('Config-UPS'!$P$2 = "Visible", "UP" &amp; SWOne &amp; " Load", " ")</f>
        <v>UPXXX Load</v>
      </c>
      <c r="D3" t="str" cm="1">
        <f t="array" ref="D3">IF('Config-UPS'!$Q$2 = "Visible", "UP" &amp; SWTwo &amp; " Load", " ")</f>
        <v>UPXXX Load</v>
      </c>
      <c r="E3" t="str" cm="1">
        <f t="array" ref="E3">IF('Config-UPS'!$R$2 = "Visible", "UP" &amp; SWThree &amp; " Load", " ")</f>
        <v xml:space="preserve"> </v>
      </c>
      <c r="F3" t="str" cm="1">
        <f t="array" ref="F3">IF('Config-UPS'!$S$2 = "Visible", "UP" &amp; SWFour &amp; " Load", " ")</f>
        <v xml:space="preserve"> </v>
      </c>
      <c r="G3" t="str" cm="1">
        <f t="array" ref="G3">IF('Config-UPS'!$T$2 = "Visible", "UP" &amp; SWFive &amp; " Load", " ")</f>
        <v xml:space="preserve"> </v>
      </c>
      <c r="H3" t="str">
        <f t="shared" ref="H3:S4" si="0">" "</f>
        <v xml:space="preserve"> </v>
      </c>
      <c r="I3" t="str">
        <f t="shared" si="0"/>
        <v xml:space="preserve"> </v>
      </c>
      <c r="J3" t="str">
        <f t="shared" si="0"/>
        <v xml:space="preserve"> </v>
      </c>
      <c r="K3" t="str">
        <f t="shared" si="0"/>
        <v xml:space="preserve"> </v>
      </c>
      <c r="L3" t="str">
        <f t="shared" si="0"/>
        <v xml:space="preserve"> </v>
      </c>
      <c r="M3" t="str">
        <f>IF('Config-UPS'!$P$2 = "Visible", "kW", " ")</f>
        <v>kW</v>
      </c>
      <c r="N3" t="str">
        <f>IF('Config-UPS'!$Q$2 = "Visible", "kW", " ")</f>
        <v>kW</v>
      </c>
      <c r="O3" t="str">
        <f>IF('Config-UPS'!$R$2 = "Visible", "kW", " ")</f>
        <v xml:space="preserve"> </v>
      </c>
      <c r="P3" t="str">
        <f>IF('Config-UPS'!$S$2 = "Visible", "kW", " ")</f>
        <v xml:space="preserve"> </v>
      </c>
      <c r="Q3" t="str">
        <f>IF('Config-UPS'!$T$2 = "Visible", "kW", " ")</f>
        <v xml:space="preserve"> </v>
      </c>
      <c r="R3" t="str">
        <f t="shared" si="0"/>
        <v xml:space="preserve"> </v>
      </c>
      <c r="S3" t="str">
        <f t="shared" si="0"/>
        <v xml:space="preserve"> </v>
      </c>
      <c r="T3" t="str">
        <f t="shared" ref="T3:AE18" si="1">" "</f>
        <v xml:space="preserve"> </v>
      </c>
      <c r="U3" t="str">
        <f t="shared" si="1"/>
        <v xml:space="preserve"> </v>
      </c>
      <c r="V3" t="str">
        <f t="shared" si="1"/>
        <v xml:space="preserve"> </v>
      </c>
      <c r="W3" t="str">
        <f t="shared" si="1"/>
        <v xml:space="preserve"> </v>
      </c>
      <c r="X3" t="str">
        <f t="shared" si="1"/>
        <v xml:space="preserve"> </v>
      </c>
      <c r="Y3" t="str">
        <f t="shared" si="1"/>
        <v xml:space="preserve"> </v>
      </c>
      <c r="Z3" t="str">
        <f t="shared" si="1"/>
        <v xml:space="preserve"> </v>
      </c>
      <c r="AA3" t="str">
        <f t="shared" si="1"/>
        <v xml:space="preserve"> </v>
      </c>
      <c r="AB3" t="str">
        <f t="shared" si="1"/>
        <v xml:space="preserve"> </v>
      </c>
      <c r="AC3" t="str">
        <f t="shared" si="1"/>
        <v xml:space="preserve"> </v>
      </c>
      <c r="AD3" t="str">
        <f t="shared" si="1"/>
        <v xml:space="preserve"> </v>
      </c>
      <c r="AE3" t="str">
        <f t="shared" si="1"/>
        <v xml:space="preserve"> </v>
      </c>
      <c r="AF3" t="str">
        <f t="shared" ref="AF3:AF26" si="2">" "</f>
        <v xml:space="preserve"> </v>
      </c>
      <c r="AG3" t="s">
        <v>84</v>
      </c>
      <c r="AH3" t="str">
        <f>" "</f>
        <v xml:space="preserve"> </v>
      </c>
    </row>
    <row r="4" spans="1:44" x14ac:dyDescent="0.25">
      <c r="A4" s="47" t="s">
        <v>236</v>
      </c>
      <c r="B4" s="47" t="s">
        <v>237</v>
      </c>
      <c r="C4" t="str" cm="1">
        <f t="array" ref="C4">IF('Config-UPS'!$P$2 = "Visible", "UP" &amp; SWOne &amp; " Load", " ")</f>
        <v>UPXXX Load</v>
      </c>
      <c r="D4" t="str" cm="1">
        <f t="array" ref="D4">IF('Config-UPS'!$Q$2 = "Visible", "UP" &amp; SWTwo &amp; " Load", " ")</f>
        <v>UPXXX Load</v>
      </c>
      <c r="E4" t="str" cm="1">
        <f t="array" ref="E4">IF('Config-UPS'!$R$2 = "Visible", "UP" &amp; SWThree &amp; " Load", " ")</f>
        <v xml:space="preserve"> </v>
      </c>
      <c r="F4" t="str" cm="1">
        <f t="array" ref="F4">IF('Config-UPS'!$S$2 = "Visible", "UP" &amp; SWFour &amp; " Load", " ")</f>
        <v xml:space="preserve"> </v>
      </c>
      <c r="G4" t="str" cm="1">
        <f t="array" ref="G4">IF('Config-UPS'!$T$2 = "Visible", "UP" &amp; SWFive &amp; " Load", " ")</f>
        <v xml:space="preserve"> </v>
      </c>
      <c r="H4" t="str">
        <f t="shared" si="0"/>
        <v xml:space="preserve"> </v>
      </c>
      <c r="I4" t="str">
        <f t="shared" si="0"/>
        <v xml:space="preserve"> </v>
      </c>
      <c r="J4" t="str">
        <f t="shared" si="0"/>
        <v xml:space="preserve"> </v>
      </c>
      <c r="K4" t="str">
        <f t="shared" si="0"/>
        <v xml:space="preserve"> </v>
      </c>
      <c r="L4" t="str">
        <f t="shared" si="0"/>
        <v xml:space="preserve"> </v>
      </c>
      <c r="M4" t="str">
        <f>IF('Config-UPS'!$P$2 = "Visible", "kW", " ")</f>
        <v>kW</v>
      </c>
      <c r="N4" t="str">
        <f>IF('Config-UPS'!$Q$2 = "Visible", "kW", " ")</f>
        <v>kW</v>
      </c>
      <c r="O4" t="str">
        <f>IF('Config-UPS'!$R$2 = "Visible", "kW", " ")</f>
        <v xml:space="preserve"> </v>
      </c>
      <c r="P4" t="str">
        <f>IF('Config-UPS'!$S$2 = "Visible", "kW", " ")</f>
        <v xml:space="preserve"> </v>
      </c>
      <c r="Q4" t="str">
        <f>IF('Config-UPS'!$T$2 = "Visible", "kW", " ")</f>
        <v xml:space="preserve"> </v>
      </c>
      <c r="R4" t="str">
        <f t="shared" si="0"/>
        <v xml:space="preserve"> </v>
      </c>
      <c r="S4" t="str">
        <f t="shared" si="0"/>
        <v xml:space="preserve"> </v>
      </c>
      <c r="T4" t="str">
        <f t="shared" ref="T4:AE4" si="3">" "</f>
        <v xml:space="preserve"> </v>
      </c>
      <c r="U4" t="str">
        <f t="shared" si="3"/>
        <v xml:space="preserve"> </v>
      </c>
      <c r="V4" t="str">
        <f t="shared" si="1"/>
        <v xml:space="preserve"> </v>
      </c>
      <c r="W4" t="str">
        <f t="shared" si="3"/>
        <v xml:space="preserve"> </v>
      </c>
      <c r="X4" t="str">
        <f t="shared" si="3"/>
        <v xml:space="preserve"> </v>
      </c>
      <c r="Y4" t="str">
        <f t="shared" si="3"/>
        <v xml:space="preserve"> </v>
      </c>
      <c r="Z4" t="str">
        <f t="shared" si="3"/>
        <v xml:space="preserve"> </v>
      </c>
      <c r="AA4" t="str">
        <f t="shared" si="3"/>
        <v xml:space="preserve"> </v>
      </c>
      <c r="AB4" t="str">
        <f t="shared" si="3"/>
        <v xml:space="preserve"> </v>
      </c>
      <c r="AC4" t="str">
        <f t="shared" si="3"/>
        <v xml:space="preserve"> </v>
      </c>
      <c r="AD4" t="str">
        <f t="shared" si="3"/>
        <v xml:space="preserve"> </v>
      </c>
      <c r="AE4" t="str">
        <f t="shared" si="3"/>
        <v xml:space="preserve"> </v>
      </c>
      <c r="AF4" t="str">
        <f t="shared" si="2"/>
        <v xml:space="preserve"> </v>
      </c>
      <c r="AG4" t="s">
        <v>84</v>
      </c>
      <c r="AH4" t="str">
        <f>" "</f>
        <v xml:space="preserve"> </v>
      </c>
    </row>
    <row r="5" spans="1:44" x14ac:dyDescent="0.25">
      <c r="A5" t="s">
        <v>211</v>
      </c>
      <c r="B5" s="47" t="s">
        <v>212</v>
      </c>
      <c r="C5" t="str" cm="1">
        <f t="array" ref="C5">IF('Config-UPS'!$P$2 = "Visible", "UPS " &amp; SWOne &amp; "1 Battery Voltage", " ")</f>
        <v>UPS XXX1 Battery Voltage</v>
      </c>
      <c r="D5" t="str" cm="1">
        <f t="array" ref="D5">IF('Config-UPS'!$P$2 = "Visible", "UPS " &amp; SWOne &amp; "2 Battery Voltage", " ")</f>
        <v>UPS XXX2 Battery Voltage</v>
      </c>
      <c r="E5" t="str" cm="1">
        <f t="array" ref="E5">IF('Config-UPS'!$Q$2 = "Visible", "UPS " &amp; SWTwo &amp; "1 Battery Voltage", " ")</f>
        <v>UPS XXX1 Battery Voltage</v>
      </c>
      <c r="F5" t="str" cm="1">
        <f t="array" ref="F5">IF('Config-UPS'!$Q$2 = "Visible", "UPS " &amp; SWTwo &amp; "2 Battery Voltage", " ")</f>
        <v>UPS XXX2 Battery Voltage</v>
      </c>
      <c r="G5" t="str" cm="1">
        <f t="array" ref="G5">IF('Config-UPS'!$R$2 = "Visible", "UPS " &amp; SWThree &amp; "1 Battery Voltage", " ")</f>
        <v xml:space="preserve"> </v>
      </c>
      <c r="H5" t="str" cm="1">
        <f t="array" ref="H5">IF('Config-UPS'!$R$2 = "Visible", "UPS " &amp; SWThree &amp; "2 Battery Voltage", " ")</f>
        <v xml:space="preserve"> </v>
      </c>
      <c r="I5" t="str" cm="1">
        <f t="array" ref="I5">IF('Config-UPS'!$S$2 = "Visible", "UPS " &amp; SWFour &amp; "1 Battery Voltage", " ")</f>
        <v xml:space="preserve"> </v>
      </c>
      <c r="J5" t="str" cm="1">
        <f t="array" ref="J5">IF('Config-UPS'!$S$2 = "Visible", "UPS " &amp; SWFour &amp; "2 Battery Voltage", " ")</f>
        <v xml:space="preserve"> </v>
      </c>
      <c r="K5" t="str" cm="1">
        <f t="array" ref="K5">IF('Config-UPS'!$T$2 = "Visible", "UPS " &amp; SWFive &amp; "1 Battery Voltage", " ")</f>
        <v xml:space="preserve"> </v>
      </c>
      <c r="L5" t="str" cm="1">
        <f t="array" ref="L5">IF('Config-UPS'!$T$2 = "Visible", "UPS " &amp; SWFive &amp; "2 Battery Voltage", " ")</f>
        <v xml:space="preserve"> </v>
      </c>
      <c r="M5" t="str">
        <f>IF('Config-UPS'!$P$2 = "Visible", "VDC", " ")</f>
        <v>VDC</v>
      </c>
      <c r="N5" t="str">
        <f>IF('Config-UPS'!$P$2 = "Visible", "VDC", " ")</f>
        <v>VDC</v>
      </c>
      <c r="O5" t="str">
        <f>IF('Config-UPS'!$Q$2 = "Visible", "VDC", " ")</f>
        <v>VDC</v>
      </c>
      <c r="P5" t="str">
        <f>IF('Config-UPS'!$Q$2 = "Visible", "VDC", " ")</f>
        <v>VDC</v>
      </c>
      <c r="Q5" t="str">
        <f>IF('Config-UPS'!$R$2 = "Visible", "VDC", " ")</f>
        <v xml:space="preserve"> </v>
      </c>
      <c r="R5" t="str">
        <f>IF('Config-UPS'!$R$2 = "Visible", "VDC", " ")</f>
        <v xml:space="preserve"> </v>
      </c>
      <c r="S5" t="str">
        <f>IF('Config-UPS'!$S$2 = "Visible", "VDC", " ")</f>
        <v xml:space="preserve"> </v>
      </c>
      <c r="T5" t="str">
        <f>IF('Config-UPS'!$S$2 = "Visible", "VDC", " ")</f>
        <v xml:space="preserve"> </v>
      </c>
      <c r="U5" t="str">
        <f>IF('Config-UPS'!$T$2 = "Visible", "VDC", " ")</f>
        <v xml:space="preserve"> </v>
      </c>
      <c r="V5" t="str">
        <f>IF('Config-UPS'!$T$2 = "Visible", "VDC", " ")</f>
        <v xml:space="preserve"> </v>
      </c>
      <c r="W5" t="str">
        <f t="shared" si="1"/>
        <v xml:space="preserve"> </v>
      </c>
      <c r="X5" t="str">
        <f t="shared" si="1"/>
        <v xml:space="preserve"> </v>
      </c>
      <c r="Y5" t="str">
        <f t="shared" si="1"/>
        <v xml:space="preserve"> </v>
      </c>
      <c r="Z5" t="str">
        <f t="shared" si="1"/>
        <v xml:space="preserve"> </v>
      </c>
      <c r="AA5" t="str">
        <f t="shared" si="1"/>
        <v xml:space="preserve"> </v>
      </c>
      <c r="AB5" t="str">
        <f t="shared" si="1"/>
        <v xml:space="preserve"> </v>
      </c>
      <c r="AC5" t="str">
        <f t="shared" si="1"/>
        <v xml:space="preserve"> </v>
      </c>
      <c r="AD5" t="str">
        <f t="shared" si="1"/>
        <v xml:space="preserve"> </v>
      </c>
      <c r="AE5" t="str">
        <f t="shared" si="1"/>
        <v xml:space="preserve"> </v>
      </c>
      <c r="AF5" t="str">
        <f t="shared" si="2"/>
        <v xml:space="preserve"> </v>
      </c>
      <c r="AG5" t="s">
        <v>84</v>
      </c>
      <c r="AH5" t="str">
        <f>" "</f>
        <v xml:space="preserve"> </v>
      </c>
    </row>
    <row r="6" spans="1:44" x14ac:dyDescent="0.25">
      <c r="A6" t="s">
        <v>215</v>
      </c>
      <c r="B6" s="47" t="s">
        <v>216</v>
      </c>
      <c r="C6" t="str" cm="1">
        <f t="array" ref="C6">IF('Config-UPS'!$P$2 = "Visible", "UPS " &amp; SWOne &amp; "1 Battery Voltage", " ")</f>
        <v>UPS XXX1 Battery Voltage</v>
      </c>
      <c r="D6" t="str" cm="1">
        <f t="array" ref="D6">IF('Config-UPS'!$P$2 = "Visible", "UPS " &amp; SWOne &amp; "2 Battery Voltage", " ")</f>
        <v>UPS XXX2 Battery Voltage</v>
      </c>
      <c r="E6" t="str" cm="1">
        <f t="array" ref="E6">IF('Config-UPS'!$Q$2 = "Visible", "UPS " &amp; SWTwo &amp; "1 Battery Voltage", " ")</f>
        <v>UPS XXX1 Battery Voltage</v>
      </c>
      <c r="F6" t="str" cm="1">
        <f t="array" ref="F6">IF('Config-UPS'!$Q$2 = "Visible", "UPS " &amp; SWTwo &amp; "2 Battery Voltage", " ")</f>
        <v>UPS XXX2 Battery Voltage</v>
      </c>
      <c r="G6" t="str" cm="1">
        <f t="array" ref="G6">IF('Config-UPS'!$R$2 = "Visible", "UPS " &amp; SWThree &amp; "1 Battery Voltage", " ")</f>
        <v xml:space="preserve"> </v>
      </c>
      <c r="H6" t="str" cm="1">
        <f t="array" ref="H6">IF('Config-UPS'!$R$2 = "Visible", "UPS " &amp; SWThree &amp; "2 Battery Voltage", " ")</f>
        <v xml:space="preserve"> </v>
      </c>
      <c r="I6" t="str" cm="1">
        <f t="array" ref="I6">IF('Config-UPS'!$S$2 = "Visible", "UPS " &amp; SWFour &amp; "1 Battery Voltage", " ")</f>
        <v xml:space="preserve"> </v>
      </c>
      <c r="J6" t="str" cm="1">
        <f t="array" ref="J6">IF('Config-UPS'!$S$2 = "Visible", "UPS " &amp; SWFour &amp; "2 Battery Voltage", " ")</f>
        <v xml:space="preserve"> </v>
      </c>
      <c r="K6" t="str" cm="1">
        <f t="array" ref="K6">IF('Config-UPS'!$T$2 = "Visible", "UPS " &amp; SWFive &amp; "1 Battery Voltage", " ")</f>
        <v xml:space="preserve"> </v>
      </c>
      <c r="L6" t="str" cm="1">
        <f t="array" ref="L6">IF('Config-UPS'!$T$2 = "Visible", "UPS " &amp; SWFive &amp; "2 Battery Voltage", " ")</f>
        <v xml:space="preserve"> </v>
      </c>
      <c r="M6" t="str">
        <f>IF('Config-UPS'!$P$2 = "Visible", "VDC", " ")</f>
        <v>VDC</v>
      </c>
      <c r="N6" t="str">
        <f>IF('Config-UPS'!$P$2 = "Visible", "VDC", " ")</f>
        <v>VDC</v>
      </c>
      <c r="O6" t="str">
        <f>IF('Config-UPS'!$Q$2 = "Visible", "VDC", " ")</f>
        <v>VDC</v>
      </c>
      <c r="P6" t="str">
        <f>IF('Config-UPS'!$Q$2 = "Visible", "VDC", " ")</f>
        <v>VDC</v>
      </c>
      <c r="Q6" t="str">
        <f>IF('Config-UPS'!$R$2 = "Visible", "VDC", " ")</f>
        <v xml:space="preserve"> </v>
      </c>
      <c r="R6" t="str">
        <f>IF('Config-UPS'!$R$2 = "Visible", "VDC", " ")</f>
        <v xml:space="preserve"> </v>
      </c>
      <c r="S6" t="str">
        <f>IF('Config-UPS'!$S$2 = "Visible", "VDC", " ")</f>
        <v xml:space="preserve"> </v>
      </c>
      <c r="T6" t="str">
        <f>IF('Config-UPS'!$S$2 = "Visible", "VDC", " ")</f>
        <v xml:space="preserve"> </v>
      </c>
      <c r="U6" t="str">
        <f>IF('Config-UPS'!$T$2 = "Visible", "VDC", " ")</f>
        <v xml:space="preserve"> </v>
      </c>
      <c r="V6" t="str">
        <f>IF('Config-UPS'!$T$2 = "Visible", "VDC", " ")</f>
        <v xml:space="preserve"> </v>
      </c>
      <c r="W6" t="str">
        <f t="shared" ref="W6:AE6" si="4">" "</f>
        <v xml:space="preserve"> </v>
      </c>
      <c r="X6" t="str">
        <f t="shared" si="4"/>
        <v xml:space="preserve"> </v>
      </c>
      <c r="Y6" t="str">
        <f t="shared" si="4"/>
        <v xml:space="preserve"> </v>
      </c>
      <c r="Z6" t="str">
        <f t="shared" si="4"/>
        <v xml:space="preserve"> </v>
      </c>
      <c r="AA6" t="str">
        <f t="shared" si="4"/>
        <v xml:space="preserve"> </v>
      </c>
      <c r="AB6" t="str">
        <f t="shared" si="4"/>
        <v xml:space="preserve"> </v>
      </c>
      <c r="AC6" t="str">
        <f t="shared" si="4"/>
        <v xml:space="preserve"> </v>
      </c>
      <c r="AD6" t="str">
        <f t="shared" si="4"/>
        <v xml:space="preserve"> </v>
      </c>
      <c r="AE6" t="str">
        <f t="shared" si="4"/>
        <v xml:space="preserve"> </v>
      </c>
      <c r="AF6" t="str">
        <f t="shared" si="2"/>
        <v xml:space="preserve"> </v>
      </c>
      <c r="AG6" t="s">
        <v>84</v>
      </c>
      <c r="AH6" t="str">
        <f>" "</f>
        <v xml:space="preserve"> </v>
      </c>
    </row>
    <row r="7" spans="1:44" x14ac:dyDescent="0.25">
      <c r="A7" t="s">
        <v>217</v>
      </c>
      <c r="B7" s="47" t="s">
        <v>218</v>
      </c>
      <c r="C7" t="str">
        <f>"N/A"</f>
        <v>N/A</v>
      </c>
      <c r="D7" t="str">
        <f t="shared" ref="D7:N19" si="5">" "</f>
        <v xml:space="preserve"> </v>
      </c>
      <c r="E7" t="str">
        <f t="shared" si="5"/>
        <v xml:space="preserve"> </v>
      </c>
      <c r="F7" t="str">
        <f t="shared" si="5"/>
        <v xml:space="preserve"> </v>
      </c>
      <c r="G7" t="str">
        <f t="shared" si="5"/>
        <v xml:space="preserve"> </v>
      </c>
      <c r="H7" t="str">
        <f t="shared" si="5"/>
        <v xml:space="preserve"> </v>
      </c>
      <c r="I7" t="str">
        <f t="shared" si="5"/>
        <v xml:space="preserve"> </v>
      </c>
      <c r="J7" t="str">
        <f t="shared" si="5"/>
        <v xml:space="preserve"> </v>
      </c>
      <c r="K7" t="str">
        <f t="shared" si="5"/>
        <v xml:space="preserve"> </v>
      </c>
      <c r="L7" t="str">
        <f t="shared" si="5"/>
        <v xml:space="preserve"> </v>
      </c>
      <c r="M7" t="str">
        <f>" "</f>
        <v xml:space="preserve"> </v>
      </c>
      <c r="N7" t="str">
        <f t="shared" ref="M7:AE12" si="6">" "</f>
        <v xml:space="preserve"> </v>
      </c>
      <c r="O7" t="str">
        <f t="shared" si="6"/>
        <v xml:space="preserve"> </v>
      </c>
      <c r="P7" t="str">
        <f t="shared" si="6"/>
        <v xml:space="preserve"> </v>
      </c>
      <c r="Q7" t="str">
        <f t="shared" si="6"/>
        <v xml:space="preserve"> </v>
      </c>
      <c r="R7" t="str">
        <f t="shared" si="6"/>
        <v xml:space="preserve"> </v>
      </c>
      <c r="S7" t="str">
        <f t="shared" si="6"/>
        <v xml:space="preserve"> </v>
      </c>
      <c r="T7" t="str">
        <f t="shared" si="6"/>
        <v xml:space="preserve"> </v>
      </c>
      <c r="U7" t="str">
        <f t="shared" si="6"/>
        <v xml:space="preserve"> </v>
      </c>
      <c r="V7" t="str">
        <f t="shared" si="1"/>
        <v xml:space="preserve"> </v>
      </c>
      <c r="W7" t="str">
        <f>" "</f>
        <v xml:space="preserve"> </v>
      </c>
      <c r="X7" t="str">
        <f t="shared" si="6"/>
        <v xml:space="preserve"> </v>
      </c>
      <c r="Y7" t="str">
        <f t="shared" si="6"/>
        <v xml:space="preserve"> </v>
      </c>
      <c r="Z7" t="str">
        <f t="shared" si="6"/>
        <v xml:space="preserve"> </v>
      </c>
      <c r="AA7" t="str">
        <f t="shared" si="6"/>
        <v xml:space="preserve"> </v>
      </c>
      <c r="AB7" t="str">
        <f t="shared" si="6"/>
        <v xml:space="preserve"> </v>
      </c>
      <c r="AC7" t="str">
        <f t="shared" si="6"/>
        <v xml:space="preserve"> </v>
      </c>
      <c r="AD7" t="str">
        <f t="shared" si="6"/>
        <v xml:space="preserve"> </v>
      </c>
      <c r="AE7" t="str">
        <f t="shared" si="6"/>
        <v xml:space="preserve"> </v>
      </c>
      <c r="AF7" t="str">
        <f t="shared" si="2"/>
        <v xml:space="preserve"> </v>
      </c>
      <c r="AG7" t="s">
        <v>84</v>
      </c>
      <c r="AH7" t="str">
        <f>" "</f>
        <v xml:space="preserve"> </v>
      </c>
    </row>
    <row r="8" spans="1:44" x14ac:dyDescent="0.25">
      <c r="A8" t="s">
        <v>199</v>
      </c>
      <c r="B8" s="47" t="s">
        <v>200</v>
      </c>
      <c r="C8" t="str">
        <f>"See Gen Pre/Post-Checks Sheet"</f>
        <v>See Gen Pre/Post-Checks Sheet</v>
      </c>
      <c r="D8" t="str">
        <f t="shared" si="5"/>
        <v xml:space="preserve"> </v>
      </c>
      <c r="E8" t="str">
        <f t="shared" si="5"/>
        <v xml:space="preserve"> </v>
      </c>
      <c r="F8" t="str">
        <f t="shared" si="5"/>
        <v xml:space="preserve"> </v>
      </c>
      <c r="G8" t="str">
        <f t="shared" si="5"/>
        <v xml:space="preserve"> </v>
      </c>
      <c r="H8" t="str">
        <f t="shared" si="5"/>
        <v xml:space="preserve"> </v>
      </c>
      <c r="I8" t="str">
        <f t="shared" si="5"/>
        <v xml:space="preserve"> </v>
      </c>
      <c r="J8" t="str">
        <f t="shared" si="5"/>
        <v xml:space="preserve"> </v>
      </c>
      <c r="K8" t="str">
        <f t="shared" si="5"/>
        <v xml:space="preserve"> </v>
      </c>
      <c r="L8" t="str">
        <f t="shared" si="5"/>
        <v xml:space="preserve"> </v>
      </c>
      <c r="M8" t="str">
        <f t="shared" si="6"/>
        <v xml:space="preserve"> </v>
      </c>
      <c r="N8" t="str">
        <f t="shared" si="6"/>
        <v xml:space="preserve"> </v>
      </c>
      <c r="O8" t="str">
        <f t="shared" si="6"/>
        <v xml:space="preserve"> </v>
      </c>
      <c r="P8" t="str">
        <f t="shared" si="6"/>
        <v xml:space="preserve"> </v>
      </c>
      <c r="Q8" t="str">
        <f t="shared" si="6"/>
        <v xml:space="preserve"> </v>
      </c>
      <c r="R8" t="str">
        <f t="shared" si="6"/>
        <v xml:space="preserve"> </v>
      </c>
      <c r="S8" t="str">
        <f t="shared" si="6"/>
        <v xml:space="preserve"> </v>
      </c>
      <c r="T8" t="str">
        <f t="shared" si="6"/>
        <v xml:space="preserve"> </v>
      </c>
      <c r="U8" t="str">
        <f t="shared" si="6"/>
        <v xml:space="preserve"> </v>
      </c>
      <c r="V8" t="str">
        <f t="shared" si="1"/>
        <v xml:space="preserve"> </v>
      </c>
      <c r="W8" t="str">
        <f t="shared" si="6"/>
        <v xml:space="preserve"> </v>
      </c>
      <c r="X8" t="str">
        <f t="shared" si="6"/>
        <v xml:space="preserve"> </v>
      </c>
      <c r="Y8" t="str">
        <f t="shared" si="6"/>
        <v xml:space="preserve"> </v>
      </c>
      <c r="Z8" t="str">
        <f t="shared" si="6"/>
        <v xml:space="preserve"> </v>
      </c>
      <c r="AA8" t="str">
        <f t="shared" si="6"/>
        <v xml:space="preserve"> </v>
      </c>
      <c r="AB8" t="str">
        <f t="shared" si="6"/>
        <v xml:space="preserve"> </v>
      </c>
      <c r="AC8" t="str">
        <f t="shared" si="6"/>
        <v xml:space="preserve"> </v>
      </c>
      <c r="AD8" t="str">
        <f t="shared" si="6"/>
        <v xml:space="preserve"> </v>
      </c>
      <c r="AE8" t="str">
        <f t="shared" si="6"/>
        <v xml:space="preserve"> </v>
      </c>
      <c r="AF8" t="str">
        <f t="shared" si="2"/>
        <v xml:space="preserve"> </v>
      </c>
      <c r="AG8" t="str">
        <f>zSelectedEquipment</f>
        <v>G104-Gen-B</v>
      </c>
      <c r="AH8" t="str">
        <f>VLOOKUP(zSelectedEquipment, 'Config-Gen'!$A$4:$J$143, 10, FALSE)</f>
        <v>4000 gal</v>
      </c>
    </row>
    <row r="9" spans="1:44" x14ac:dyDescent="0.25">
      <c r="A9" t="s">
        <v>206</v>
      </c>
      <c r="B9" s="47" t="s">
        <v>207</v>
      </c>
      <c r="C9" t="str">
        <f>"See Gen Pre/Post-Checks Sheet"</f>
        <v>See Gen Pre/Post-Checks Sheet</v>
      </c>
      <c r="D9" t="str">
        <f t="shared" si="5"/>
        <v xml:space="preserve"> </v>
      </c>
      <c r="E9" t="str">
        <f t="shared" si="5"/>
        <v xml:space="preserve"> </v>
      </c>
      <c r="F9" t="str">
        <f t="shared" si="5"/>
        <v xml:space="preserve"> </v>
      </c>
      <c r="G9" t="str">
        <f t="shared" si="5"/>
        <v xml:space="preserve"> </v>
      </c>
      <c r="H9" t="str">
        <f t="shared" si="5"/>
        <v xml:space="preserve"> </v>
      </c>
      <c r="I9" t="str">
        <f t="shared" si="5"/>
        <v xml:space="preserve"> </v>
      </c>
      <c r="J9" t="str">
        <f t="shared" si="5"/>
        <v xml:space="preserve"> </v>
      </c>
      <c r="K9" t="str">
        <f t="shared" si="5"/>
        <v xml:space="preserve"> </v>
      </c>
      <c r="L9" t="str">
        <f t="shared" si="5"/>
        <v xml:space="preserve"> </v>
      </c>
      <c r="M9" t="str">
        <f t="shared" si="6"/>
        <v xml:space="preserve"> </v>
      </c>
      <c r="N9" t="str">
        <f t="shared" si="6"/>
        <v xml:space="preserve"> </v>
      </c>
      <c r="O9" t="str">
        <f t="shared" si="6"/>
        <v xml:space="preserve"> </v>
      </c>
      <c r="P9" t="str">
        <f t="shared" si="6"/>
        <v xml:space="preserve"> </v>
      </c>
      <c r="Q9" t="str">
        <f t="shared" si="6"/>
        <v xml:space="preserve"> </v>
      </c>
      <c r="R9" t="str">
        <f t="shared" si="6"/>
        <v xml:space="preserve"> </v>
      </c>
      <c r="S9" t="str">
        <f t="shared" si="6"/>
        <v xml:space="preserve"> </v>
      </c>
      <c r="T9" t="str">
        <f t="shared" si="6"/>
        <v xml:space="preserve"> </v>
      </c>
      <c r="U9" t="str">
        <f t="shared" si="6"/>
        <v xml:space="preserve"> </v>
      </c>
      <c r="V9" t="str">
        <f t="shared" si="1"/>
        <v xml:space="preserve"> </v>
      </c>
      <c r="W9" t="str">
        <f t="shared" si="6"/>
        <v xml:space="preserve"> </v>
      </c>
      <c r="X9" t="str">
        <f t="shared" si="6"/>
        <v xml:space="preserve"> </v>
      </c>
      <c r="Y9" t="str">
        <f t="shared" si="6"/>
        <v xml:space="preserve"> </v>
      </c>
      <c r="Z9" t="str">
        <f t="shared" si="6"/>
        <v xml:space="preserve"> </v>
      </c>
      <c r="AA9" t="str">
        <f t="shared" si="6"/>
        <v xml:space="preserve"> </v>
      </c>
      <c r="AB9" t="str">
        <f t="shared" si="6"/>
        <v xml:space="preserve"> </v>
      </c>
      <c r="AC9" t="str">
        <f t="shared" si="6"/>
        <v xml:space="preserve"> </v>
      </c>
      <c r="AD9" t="str">
        <f t="shared" si="6"/>
        <v xml:space="preserve"> </v>
      </c>
      <c r="AE9" t="str">
        <f t="shared" si="6"/>
        <v xml:space="preserve"> </v>
      </c>
      <c r="AF9" t="str">
        <f t="shared" si="2"/>
        <v xml:space="preserve"> </v>
      </c>
      <c r="AG9" t="str">
        <f>zSelectedEquipment</f>
        <v>G104-Gen-B</v>
      </c>
      <c r="AH9" t="str">
        <f>VLOOKUP(zSelectedEquipment, 'Config-Gen'!$A$4:$J$143, 10, FALSE)</f>
        <v>4000 gal</v>
      </c>
    </row>
    <row r="10" spans="1:44" x14ac:dyDescent="0.25">
      <c r="A10" t="s">
        <v>220</v>
      </c>
      <c r="B10" s="47" t="s">
        <v>221</v>
      </c>
      <c r="C10" t="str">
        <f>"N/A"</f>
        <v>N/A</v>
      </c>
      <c r="D10" t="str">
        <f t="shared" si="5"/>
        <v xml:space="preserve"> </v>
      </c>
      <c r="E10" t="str">
        <f t="shared" si="5"/>
        <v xml:space="preserve"> </v>
      </c>
      <c r="F10" t="str">
        <f t="shared" si="5"/>
        <v xml:space="preserve"> </v>
      </c>
      <c r="G10" t="str">
        <f t="shared" si="5"/>
        <v xml:space="preserve"> </v>
      </c>
      <c r="H10" t="str">
        <f t="shared" si="5"/>
        <v xml:space="preserve"> </v>
      </c>
      <c r="I10" t="str">
        <f t="shared" si="5"/>
        <v xml:space="preserve"> </v>
      </c>
      <c r="J10" t="str">
        <f t="shared" si="5"/>
        <v xml:space="preserve"> </v>
      </c>
      <c r="K10" t="str">
        <f t="shared" si="5"/>
        <v xml:space="preserve"> </v>
      </c>
      <c r="L10" t="str">
        <f t="shared" si="5"/>
        <v xml:space="preserve"> </v>
      </c>
      <c r="M10" t="str">
        <f>" "</f>
        <v xml:space="preserve"> </v>
      </c>
      <c r="N10" t="str">
        <f t="shared" si="6"/>
        <v xml:space="preserve"> </v>
      </c>
      <c r="O10" t="str">
        <f t="shared" si="6"/>
        <v xml:space="preserve"> </v>
      </c>
      <c r="P10" t="str">
        <f t="shared" si="6"/>
        <v xml:space="preserve"> </v>
      </c>
      <c r="Q10" t="str">
        <f t="shared" si="6"/>
        <v xml:space="preserve"> </v>
      </c>
      <c r="R10" t="str">
        <f t="shared" si="6"/>
        <v xml:space="preserve"> </v>
      </c>
      <c r="S10" t="str">
        <f t="shared" si="6"/>
        <v xml:space="preserve"> </v>
      </c>
      <c r="T10" t="str">
        <f t="shared" si="6"/>
        <v xml:space="preserve"> </v>
      </c>
      <c r="U10" t="str">
        <f t="shared" si="6"/>
        <v xml:space="preserve"> </v>
      </c>
      <c r="V10" t="str">
        <f t="shared" si="1"/>
        <v xml:space="preserve"> </v>
      </c>
      <c r="W10" t="str">
        <f>" "</f>
        <v xml:space="preserve"> </v>
      </c>
      <c r="X10" t="str">
        <f t="shared" si="6"/>
        <v xml:space="preserve"> </v>
      </c>
      <c r="Y10" t="str">
        <f t="shared" si="6"/>
        <v xml:space="preserve"> </v>
      </c>
      <c r="Z10" t="str">
        <f t="shared" si="6"/>
        <v xml:space="preserve"> </v>
      </c>
      <c r="AA10" t="str">
        <f t="shared" si="6"/>
        <v xml:space="preserve"> </v>
      </c>
      <c r="AB10" t="str">
        <f t="shared" si="6"/>
        <v xml:space="preserve"> </v>
      </c>
      <c r="AC10" t="str">
        <f t="shared" si="6"/>
        <v xml:space="preserve"> </v>
      </c>
      <c r="AD10" t="str">
        <f t="shared" si="6"/>
        <v xml:space="preserve"> </v>
      </c>
      <c r="AE10" t="str">
        <f t="shared" si="6"/>
        <v xml:space="preserve"> </v>
      </c>
      <c r="AF10" t="str">
        <f t="shared" si="2"/>
        <v xml:space="preserve"> </v>
      </c>
      <c r="AG10" t="s">
        <v>84</v>
      </c>
      <c r="AH10" t="str">
        <f>" "</f>
        <v xml:space="preserve"> </v>
      </c>
    </row>
    <row r="11" spans="1:44" x14ac:dyDescent="0.25">
      <c r="A11" t="s">
        <v>222</v>
      </c>
      <c r="B11" s="47" t="s">
        <v>223</v>
      </c>
      <c r="C11" t="str">
        <f>"N/A"</f>
        <v>N/A</v>
      </c>
      <c r="D11" t="str">
        <f t="shared" si="5"/>
        <v xml:space="preserve"> </v>
      </c>
      <c r="E11" t="str">
        <f t="shared" si="5"/>
        <v xml:space="preserve"> </v>
      </c>
      <c r="F11" t="str">
        <f t="shared" si="5"/>
        <v xml:space="preserve"> </v>
      </c>
      <c r="G11" t="str">
        <f t="shared" si="5"/>
        <v xml:space="preserve"> </v>
      </c>
      <c r="H11" t="str">
        <f t="shared" si="5"/>
        <v xml:space="preserve"> </v>
      </c>
      <c r="I11" t="str">
        <f t="shared" si="5"/>
        <v xml:space="preserve"> </v>
      </c>
      <c r="J11" t="str">
        <f t="shared" si="5"/>
        <v xml:space="preserve"> </v>
      </c>
      <c r="K11" t="str">
        <f t="shared" si="5"/>
        <v xml:space="preserve"> </v>
      </c>
      <c r="L11" t="str">
        <f t="shared" si="5"/>
        <v xml:space="preserve"> </v>
      </c>
      <c r="M11" t="str">
        <f>" "</f>
        <v xml:space="preserve"> </v>
      </c>
      <c r="N11" t="str">
        <f t="shared" si="6"/>
        <v xml:space="preserve"> </v>
      </c>
      <c r="O11" t="str">
        <f t="shared" si="6"/>
        <v xml:space="preserve"> </v>
      </c>
      <c r="P11" t="str">
        <f t="shared" si="6"/>
        <v xml:space="preserve"> </v>
      </c>
      <c r="Q11" t="str">
        <f t="shared" si="6"/>
        <v xml:space="preserve"> </v>
      </c>
      <c r="R11" t="str">
        <f t="shared" si="6"/>
        <v xml:space="preserve"> </v>
      </c>
      <c r="S11" t="str">
        <f t="shared" si="6"/>
        <v xml:space="preserve"> </v>
      </c>
      <c r="T11" t="str">
        <f t="shared" si="6"/>
        <v xml:space="preserve"> </v>
      </c>
      <c r="U11" t="str">
        <f t="shared" si="6"/>
        <v xml:space="preserve"> </v>
      </c>
      <c r="V11" t="str">
        <f t="shared" si="1"/>
        <v xml:space="preserve"> </v>
      </c>
      <c r="W11" t="str">
        <f>" "</f>
        <v xml:space="preserve"> </v>
      </c>
      <c r="X11" t="str">
        <f t="shared" si="6"/>
        <v xml:space="preserve"> </v>
      </c>
      <c r="Y11" t="str">
        <f t="shared" si="6"/>
        <v xml:space="preserve"> </v>
      </c>
      <c r="Z11" t="str">
        <f t="shared" si="6"/>
        <v xml:space="preserve"> </v>
      </c>
      <c r="AA11" t="str">
        <f t="shared" si="6"/>
        <v xml:space="preserve"> </v>
      </c>
      <c r="AB11" t="str">
        <f t="shared" si="6"/>
        <v xml:space="preserve"> </v>
      </c>
      <c r="AC11" t="str">
        <f t="shared" si="6"/>
        <v xml:space="preserve"> </v>
      </c>
      <c r="AD11" t="str">
        <f t="shared" si="6"/>
        <v xml:space="preserve"> </v>
      </c>
      <c r="AE11" t="str">
        <f t="shared" si="6"/>
        <v xml:space="preserve"> </v>
      </c>
      <c r="AF11" t="str">
        <f t="shared" si="2"/>
        <v xml:space="preserve"> </v>
      </c>
      <c r="AG11" t="s">
        <v>84</v>
      </c>
      <c r="AH11" t="str">
        <f>" "</f>
        <v xml:space="preserve"> </v>
      </c>
    </row>
    <row r="12" spans="1:44" x14ac:dyDescent="0.25">
      <c r="A12" t="s">
        <v>208</v>
      </c>
      <c r="B12" s="47" t="s">
        <v>209</v>
      </c>
      <c r="C12" t="str">
        <f>"See Gen Pre/Post-Checks Sheet"</f>
        <v>See Gen Pre/Post-Checks Sheet</v>
      </c>
      <c r="D12" t="str">
        <f t="shared" si="5"/>
        <v xml:space="preserve"> </v>
      </c>
      <c r="E12" t="str">
        <f t="shared" si="5"/>
        <v xml:space="preserve"> </v>
      </c>
      <c r="F12" t="str">
        <f t="shared" si="5"/>
        <v xml:space="preserve"> </v>
      </c>
      <c r="G12" t="str">
        <f t="shared" si="5"/>
        <v xml:space="preserve"> </v>
      </c>
      <c r="H12" t="str">
        <f t="shared" si="5"/>
        <v xml:space="preserve"> </v>
      </c>
      <c r="I12" t="str">
        <f t="shared" si="5"/>
        <v xml:space="preserve"> </v>
      </c>
      <c r="J12" t="str">
        <f t="shared" si="5"/>
        <v xml:space="preserve"> </v>
      </c>
      <c r="K12" t="str">
        <f t="shared" si="5"/>
        <v xml:space="preserve"> </v>
      </c>
      <c r="L12" t="str">
        <f t="shared" si="5"/>
        <v xml:space="preserve"> </v>
      </c>
      <c r="M12" t="str">
        <f t="shared" si="6"/>
        <v xml:space="preserve"> </v>
      </c>
      <c r="N12" t="str">
        <f t="shared" ref="N12" si="7">" "</f>
        <v xml:space="preserve"> </v>
      </c>
      <c r="O12" t="str">
        <f t="shared" ref="O12:AE18" si="8">" "</f>
        <v xml:space="preserve"> </v>
      </c>
      <c r="P12" t="str">
        <f t="shared" si="8"/>
        <v xml:space="preserve"> </v>
      </c>
      <c r="Q12" t="str">
        <f t="shared" si="8"/>
        <v xml:space="preserve"> </v>
      </c>
      <c r="R12" t="str">
        <f t="shared" si="8"/>
        <v xml:space="preserve"> </v>
      </c>
      <c r="S12" t="str">
        <f t="shared" si="8"/>
        <v xml:space="preserve"> </v>
      </c>
      <c r="T12" t="str">
        <f t="shared" si="8"/>
        <v xml:space="preserve"> </v>
      </c>
      <c r="U12" t="str">
        <f t="shared" si="8"/>
        <v xml:space="preserve"> </v>
      </c>
      <c r="V12" t="str">
        <f t="shared" si="1"/>
        <v xml:space="preserve"> </v>
      </c>
      <c r="W12" t="str">
        <f t="shared" si="8"/>
        <v xml:space="preserve"> </v>
      </c>
      <c r="X12" t="str">
        <f t="shared" si="8"/>
        <v xml:space="preserve"> </v>
      </c>
      <c r="Y12" t="str">
        <f t="shared" si="8"/>
        <v xml:space="preserve"> </v>
      </c>
      <c r="Z12" t="str">
        <f t="shared" si="8"/>
        <v xml:space="preserve"> </v>
      </c>
      <c r="AA12" t="str">
        <f t="shared" si="8"/>
        <v xml:space="preserve"> </v>
      </c>
      <c r="AB12" t="str">
        <f t="shared" si="8"/>
        <v xml:space="preserve"> </v>
      </c>
      <c r="AC12" t="str">
        <f t="shared" si="8"/>
        <v xml:space="preserve"> </v>
      </c>
      <c r="AD12" t="str">
        <f t="shared" si="8"/>
        <v xml:space="preserve"> </v>
      </c>
      <c r="AE12" t="str">
        <f t="shared" si="8"/>
        <v xml:space="preserve"> </v>
      </c>
      <c r="AF12" t="str">
        <f t="shared" si="2"/>
        <v xml:space="preserve"> </v>
      </c>
      <c r="AG12" t="str">
        <f>zSelectedEquipment</f>
        <v>G104-Gen-B</v>
      </c>
      <c r="AH12" t="str">
        <f>VLOOKUP(zSelectedEquipment, 'Config-Gen'!$A$4:$J$143, 10, FALSE)</f>
        <v>4000 gal</v>
      </c>
    </row>
    <row r="13" spans="1:44" x14ac:dyDescent="0.25">
      <c r="A13" t="s">
        <v>35</v>
      </c>
      <c r="B13" s="47" t="s">
        <v>210</v>
      </c>
      <c r="C13" t="str">
        <f>"See Gen Pre/Post-Checks Sheet"</f>
        <v>See Gen Pre/Post-Checks Sheet</v>
      </c>
      <c r="D13" t="str">
        <f t="shared" si="5"/>
        <v xml:space="preserve"> </v>
      </c>
      <c r="E13" t="str">
        <f t="shared" si="5"/>
        <v xml:space="preserve"> </v>
      </c>
      <c r="F13" t="str">
        <f t="shared" si="5"/>
        <v xml:space="preserve"> </v>
      </c>
      <c r="G13" t="str">
        <f t="shared" si="5"/>
        <v xml:space="preserve"> </v>
      </c>
      <c r="H13" t="str">
        <f t="shared" si="5"/>
        <v xml:space="preserve"> </v>
      </c>
      <c r="I13" t="str">
        <f t="shared" si="5"/>
        <v xml:space="preserve"> </v>
      </c>
      <c r="J13" t="str">
        <f t="shared" si="5"/>
        <v xml:space="preserve"> </v>
      </c>
      <c r="K13" t="str">
        <f t="shared" si="5"/>
        <v xml:space="preserve"> </v>
      </c>
      <c r="L13" t="str">
        <f t="shared" si="5"/>
        <v xml:space="preserve"> </v>
      </c>
      <c r="M13" t="str">
        <f t="shared" si="5"/>
        <v xml:space="preserve"> </v>
      </c>
      <c r="N13" t="str">
        <f t="shared" si="5"/>
        <v xml:space="preserve"> </v>
      </c>
      <c r="O13" t="str">
        <f t="shared" si="8"/>
        <v xml:space="preserve"> </v>
      </c>
      <c r="P13" t="str">
        <f t="shared" si="8"/>
        <v xml:space="preserve"> </v>
      </c>
      <c r="Q13" t="str">
        <f t="shared" si="8"/>
        <v xml:space="preserve"> </v>
      </c>
      <c r="R13" t="str">
        <f t="shared" si="8"/>
        <v xml:space="preserve"> </v>
      </c>
      <c r="S13" t="str">
        <f t="shared" si="8"/>
        <v xml:space="preserve"> </v>
      </c>
      <c r="T13" t="str">
        <f t="shared" si="8"/>
        <v xml:space="preserve"> </v>
      </c>
      <c r="U13" t="str">
        <f t="shared" si="8"/>
        <v xml:space="preserve"> </v>
      </c>
      <c r="V13" t="str">
        <f t="shared" si="1"/>
        <v xml:space="preserve"> </v>
      </c>
      <c r="W13" t="str">
        <f t="shared" si="8"/>
        <v xml:space="preserve"> </v>
      </c>
      <c r="X13" t="str">
        <f t="shared" si="8"/>
        <v xml:space="preserve"> </v>
      </c>
      <c r="Y13" t="str">
        <f t="shared" si="8"/>
        <v xml:space="preserve"> </v>
      </c>
      <c r="Z13" t="str">
        <f t="shared" si="8"/>
        <v xml:space="preserve"> </v>
      </c>
      <c r="AA13" t="str">
        <f t="shared" si="8"/>
        <v xml:space="preserve"> </v>
      </c>
      <c r="AB13" t="str">
        <f t="shared" si="8"/>
        <v xml:space="preserve"> </v>
      </c>
      <c r="AC13" t="str">
        <f t="shared" si="8"/>
        <v xml:space="preserve"> </v>
      </c>
      <c r="AD13" t="str">
        <f t="shared" si="8"/>
        <v xml:space="preserve"> </v>
      </c>
      <c r="AE13" t="str">
        <f t="shared" si="8"/>
        <v xml:space="preserve"> </v>
      </c>
      <c r="AF13" t="str">
        <f t="shared" si="2"/>
        <v xml:space="preserve"> </v>
      </c>
      <c r="AG13" t="str">
        <f>zSelectedEquipment</f>
        <v>G104-Gen-B</v>
      </c>
      <c r="AH13" t="str">
        <f>VLOOKUP(zSelectedEquipment, 'Config-Gen'!$A$4:$J$143, 10, FALSE)</f>
        <v>4000 gal</v>
      </c>
    </row>
    <row r="14" spans="1:44" x14ac:dyDescent="0.25">
      <c r="A14" t="s">
        <v>224</v>
      </c>
      <c r="B14" s="47" t="s">
        <v>225</v>
      </c>
      <c r="C14" t="str">
        <f>"Cabinet " &amp; PreActCab1Zones &amp; " Air Pressure"</f>
        <v>Cabinet A Air Pressure</v>
      </c>
      <c r="D14" t="str">
        <f>"Cabinet " &amp; PreActCab1Zones &amp; " Priming Pressure"</f>
        <v>Cabinet A Priming Pressure</v>
      </c>
      <c r="E14" t="str">
        <f>"Cabinet " &amp; PreActCab1Zones &amp; " Water Pressure"</f>
        <v>Cabinet A Water Pressure</v>
      </c>
      <c r="F14" t="str">
        <f>"Cabinet " &amp; PreActCab2Zones &amp; " Air Pressure"</f>
        <v>Cabinet B Air Pressure</v>
      </c>
      <c r="G14" t="str">
        <f>"Cabinet " &amp; PreActCab2Zones &amp; " Priming Pressure"</f>
        <v>Cabinet B Priming Pressure</v>
      </c>
      <c r="H14" t="str">
        <f>"Cabinet " &amp; PreActCab2Zones &amp; " Water Pressure"</f>
        <v>Cabinet B Water Pressure</v>
      </c>
      <c r="I14" t="str">
        <f>IF(PreActCabQuantity=3, "Cabinet " &amp; PreActCab3Zones &amp; " Air Pressure", " ")</f>
        <v xml:space="preserve"> </v>
      </c>
      <c r="J14" t="str">
        <f>IF(PreActCabQuantity=3, "Cabinet " &amp; PreActCab3Zones &amp; " Priming Pressure", " ")</f>
        <v xml:space="preserve"> </v>
      </c>
      <c r="K14" t="str">
        <f>IF(PreActCabQuantity=3, "Cabinet " &amp; PreActCab3Zones &amp; " Water Pressure", " ")</f>
        <v xml:space="preserve"> </v>
      </c>
      <c r="L14" t="str">
        <f t="shared" si="5"/>
        <v xml:space="preserve"> </v>
      </c>
      <c r="M14" t="s">
        <v>409</v>
      </c>
      <c r="N14" t="s">
        <v>409</v>
      </c>
      <c r="O14" t="s">
        <v>409</v>
      </c>
      <c r="P14" t="s">
        <v>409</v>
      </c>
      <c r="Q14" t="s">
        <v>409</v>
      </c>
      <c r="R14" t="s">
        <v>409</v>
      </c>
      <c r="S14" t="str">
        <f>IF(PreActCabQuantity=3, "PSI", " ")</f>
        <v xml:space="preserve"> </v>
      </c>
      <c r="T14" t="str">
        <f>IF(PreActCabQuantity=3, "PSI", " ")</f>
        <v xml:space="preserve"> </v>
      </c>
      <c r="U14" t="str">
        <f>IF(PreActCabQuantity=3, "PSI", " ")</f>
        <v xml:space="preserve"> </v>
      </c>
      <c r="V14" t="str">
        <f t="shared" si="1"/>
        <v xml:space="preserve"> </v>
      </c>
      <c r="W14" t="s">
        <v>410</v>
      </c>
      <c r="X14" t="s">
        <v>411</v>
      </c>
      <c r="Y14" t="s">
        <v>411</v>
      </c>
      <c r="Z14" t="s">
        <v>410</v>
      </c>
      <c r="AA14" t="s">
        <v>411</v>
      </c>
      <c r="AB14" t="s">
        <v>411</v>
      </c>
      <c r="AC14" t="str">
        <f>IF(PreActCabQuantity=3, "15-60 PSI", " ")</f>
        <v xml:space="preserve"> </v>
      </c>
      <c r="AD14" t="str">
        <f>IF(PreActCabQuantity=3, "90-150 PSI", " ")</f>
        <v xml:space="preserve"> </v>
      </c>
      <c r="AE14" t="str">
        <f>IF(PreActCabQuantity=3, "90-150 PSI", " ")</f>
        <v xml:space="preserve"> </v>
      </c>
      <c r="AF14" t="str">
        <f t="shared" si="2"/>
        <v xml:space="preserve"> </v>
      </c>
      <c r="AG14" t="s">
        <v>84</v>
      </c>
      <c r="AH14" t="str">
        <f t="shared" ref="AH14:AH25" si="9">" "</f>
        <v xml:space="preserve"> </v>
      </c>
    </row>
    <row r="15" spans="1:44" x14ac:dyDescent="0.25">
      <c r="A15" t="s">
        <v>226</v>
      </c>
      <c r="B15" s="47" t="s">
        <v>227</v>
      </c>
      <c r="C15" t="str">
        <f t="shared" ref="C15:C21" si="10">"N/A"</f>
        <v>N/A</v>
      </c>
      <c r="D15" t="str">
        <f t="shared" ref="D15:AE26" si="11">" "</f>
        <v xml:space="preserve"> </v>
      </c>
      <c r="E15" t="str">
        <f t="shared" si="11"/>
        <v xml:space="preserve"> </v>
      </c>
      <c r="F15" t="str">
        <f t="shared" si="11"/>
        <v xml:space="preserve"> </v>
      </c>
      <c r="G15" t="str">
        <f t="shared" si="11"/>
        <v xml:space="preserve"> </v>
      </c>
      <c r="H15" t="str">
        <f t="shared" si="11"/>
        <v xml:space="preserve"> </v>
      </c>
      <c r="I15" t="str">
        <f t="shared" si="11"/>
        <v xml:space="preserve"> </v>
      </c>
      <c r="J15" t="str">
        <f t="shared" si="11"/>
        <v xml:space="preserve"> </v>
      </c>
      <c r="K15" t="str">
        <f t="shared" si="11"/>
        <v xml:space="preserve"> </v>
      </c>
      <c r="L15" t="str">
        <f t="shared" si="5"/>
        <v xml:space="preserve"> </v>
      </c>
      <c r="M15" t="str">
        <f t="shared" ref="M15:M26" si="12">" "</f>
        <v xml:space="preserve"> </v>
      </c>
      <c r="N15" t="str">
        <f t="shared" ref="N15:N18" si="13">" "</f>
        <v xml:space="preserve"> </v>
      </c>
      <c r="O15" t="str">
        <f t="shared" si="8"/>
        <v xml:space="preserve"> </v>
      </c>
      <c r="P15" t="str">
        <f t="shared" si="8"/>
        <v xml:space="preserve"> </v>
      </c>
      <c r="Q15" t="str">
        <f t="shared" si="8"/>
        <v xml:space="preserve"> </v>
      </c>
      <c r="R15" t="str">
        <f t="shared" si="8"/>
        <v xml:space="preserve"> </v>
      </c>
      <c r="S15" t="str">
        <f t="shared" si="8"/>
        <v xml:space="preserve"> </v>
      </c>
      <c r="T15" t="str">
        <f t="shared" si="8"/>
        <v xml:space="preserve"> </v>
      </c>
      <c r="U15" t="str">
        <f t="shared" si="8"/>
        <v xml:space="preserve"> </v>
      </c>
      <c r="V15" t="str">
        <f t="shared" si="1"/>
        <v xml:space="preserve"> </v>
      </c>
      <c r="W15" t="str">
        <f t="shared" ref="W15:W25" si="14">" "</f>
        <v xml:space="preserve"> </v>
      </c>
      <c r="X15" t="str">
        <f t="shared" si="8"/>
        <v xml:space="preserve"> </v>
      </c>
      <c r="Y15" t="str">
        <f t="shared" si="8"/>
        <v xml:space="preserve"> </v>
      </c>
      <c r="Z15" t="str">
        <f t="shared" si="8"/>
        <v xml:space="preserve"> </v>
      </c>
      <c r="AA15" t="str">
        <f t="shared" si="8"/>
        <v xml:space="preserve"> </v>
      </c>
      <c r="AB15" t="str">
        <f t="shared" si="8"/>
        <v xml:space="preserve"> </v>
      </c>
      <c r="AC15" t="str">
        <f t="shared" si="8"/>
        <v xml:space="preserve"> </v>
      </c>
      <c r="AD15" t="str">
        <f t="shared" si="8"/>
        <v xml:space="preserve"> </v>
      </c>
      <c r="AE15" t="str">
        <f t="shared" si="8"/>
        <v xml:space="preserve"> </v>
      </c>
      <c r="AF15" t="str">
        <f t="shared" si="2"/>
        <v xml:space="preserve"> </v>
      </c>
      <c r="AG15" t="s">
        <v>84</v>
      </c>
      <c r="AH15" t="str">
        <f t="shared" si="9"/>
        <v xml:space="preserve"> </v>
      </c>
    </row>
    <row r="16" spans="1:44" x14ac:dyDescent="0.25">
      <c r="A16" t="s">
        <v>231</v>
      </c>
      <c r="B16" s="47" t="s">
        <v>232</v>
      </c>
      <c r="C16" t="str">
        <f t="shared" si="10"/>
        <v>N/A</v>
      </c>
      <c r="D16" t="str">
        <f t="shared" si="11"/>
        <v xml:space="preserve"> </v>
      </c>
      <c r="E16" t="str">
        <f t="shared" si="11"/>
        <v xml:space="preserve"> </v>
      </c>
      <c r="F16" t="str">
        <f t="shared" si="11"/>
        <v xml:space="preserve"> </v>
      </c>
      <c r="G16" t="str">
        <f t="shared" si="11"/>
        <v xml:space="preserve"> </v>
      </c>
      <c r="H16" t="str">
        <f t="shared" si="11"/>
        <v xml:space="preserve"> </v>
      </c>
      <c r="I16" t="str">
        <f t="shared" si="11"/>
        <v xml:space="preserve"> </v>
      </c>
      <c r="J16" t="str">
        <f t="shared" si="11"/>
        <v xml:space="preserve"> </v>
      </c>
      <c r="K16" t="str">
        <f t="shared" si="11"/>
        <v xml:space="preserve"> </v>
      </c>
      <c r="L16" t="str">
        <f t="shared" si="5"/>
        <v xml:space="preserve"> </v>
      </c>
      <c r="M16" t="str">
        <f t="shared" si="12"/>
        <v xml:space="preserve"> </v>
      </c>
      <c r="N16" t="str">
        <f t="shared" si="13"/>
        <v xml:space="preserve"> </v>
      </c>
      <c r="O16" t="str">
        <f t="shared" si="8"/>
        <v xml:space="preserve"> </v>
      </c>
      <c r="P16" t="str">
        <f t="shared" si="8"/>
        <v xml:space="preserve"> </v>
      </c>
      <c r="Q16" t="str">
        <f t="shared" si="8"/>
        <v xml:space="preserve"> </v>
      </c>
      <c r="R16" t="str">
        <f t="shared" si="8"/>
        <v xml:space="preserve"> </v>
      </c>
      <c r="S16" t="str">
        <f t="shared" si="8"/>
        <v xml:space="preserve"> </v>
      </c>
      <c r="T16" t="str">
        <f t="shared" si="8"/>
        <v xml:space="preserve"> </v>
      </c>
      <c r="U16" t="str">
        <f t="shared" si="8"/>
        <v xml:space="preserve"> </v>
      </c>
      <c r="V16" t="str">
        <f t="shared" si="1"/>
        <v xml:space="preserve"> </v>
      </c>
      <c r="W16" t="str">
        <f t="shared" si="14"/>
        <v xml:space="preserve"> </v>
      </c>
      <c r="X16" t="str">
        <f t="shared" si="8"/>
        <v xml:space="preserve"> </v>
      </c>
      <c r="Y16" t="str">
        <f t="shared" si="8"/>
        <v xml:space="preserve"> </v>
      </c>
      <c r="Z16" t="str">
        <f t="shared" si="8"/>
        <v xml:space="preserve"> </v>
      </c>
      <c r="AA16" t="str">
        <f t="shared" si="8"/>
        <v xml:space="preserve"> </v>
      </c>
      <c r="AB16" t="str">
        <f t="shared" si="8"/>
        <v xml:space="preserve"> </v>
      </c>
      <c r="AC16" t="str">
        <f t="shared" si="8"/>
        <v xml:space="preserve"> </v>
      </c>
      <c r="AD16" t="str">
        <f t="shared" si="8"/>
        <v xml:space="preserve"> </v>
      </c>
      <c r="AE16" t="str">
        <f t="shared" si="8"/>
        <v xml:space="preserve"> </v>
      </c>
      <c r="AF16" t="str">
        <f t="shared" si="2"/>
        <v xml:space="preserve"> </v>
      </c>
      <c r="AG16" t="s">
        <v>84</v>
      </c>
      <c r="AH16" t="str">
        <f t="shared" si="9"/>
        <v xml:space="preserve"> </v>
      </c>
    </row>
    <row r="17" spans="1:34" x14ac:dyDescent="0.25">
      <c r="A17" t="s">
        <v>243</v>
      </c>
      <c r="B17" s="47" t="s">
        <v>244</v>
      </c>
      <c r="C17" t="str">
        <f t="shared" si="10"/>
        <v>N/A</v>
      </c>
      <c r="D17" t="str">
        <f t="shared" si="11"/>
        <v xml:space="preserve"> </v>
      </c>
      <c r="E17" t="str">
        <f t="shared" si="11"/>
        <v xml:space="preserve"> </v>
      </c>
      <c r="F17" t="str">
        <f t="shared" si="11"/>
        <v xml:space="preserve"> </v>
      </c>
      <c r="G17" t="str">
        <f t="shared" si="11"/>
        <v xml:space="preserve"> </v>
      </c>
      <c r="H17" t="str">
        <f t="shared" si="11"/>
        <v xml:space="preserve"> </v>
      </c>
      <c r="I17" t="str">
        <f t="shared" si="11"/>
        <v xml:space="preserve"> </v>
      </c>
      <c r="J17" t="str">
        <f t="shared" si="11"/>
        <v xml:space="preserve"> </v>
      </c>
      <c r="K17" t="str">
        <f t="shared" si="11"/>
        <v xml:space="preserve"> </v>
      </c>
      <c r="L17" t="str">
        <f t="shared" si="5"/>
        <v xml:space="preserve"> </v>
      </c>
      <c r="M17" t="str">
        <f t="shared" si="12"/>
        <v xml:space="preserve"> </v>
      </c>
      <c r="N17" t="str">
        <f t="shared" si="13"/>
        <v xml:space="preserve"> </v>
      </c>
      <c r="O17" t="str">
        <f t="shared" si="8"/>
        <v xml:space="preserve"> </v>
      </c>
      <c r="P17" t="str">
        <f t="shared" si="8"/>
        <v xml:space="preserve"> </v>
      </c>
      <c r="Q17" t="str">
        <f t="shared" si="8"/>
        <v xml:space="preserve"> </v>
      </c>
      <c r="R17" t="str">
        <f t="shared" si="8"/>
        <v xml:space="preserve"> </v>
      </c>
      <c r="S17" t="str">
        <f t="shared" si="8"/>
        <v xml:space="preserve"> </v>
      </c>
      <c r="T17" t="str">
        <f t="shared" si="8"/>
        <v xml:space="preserve"> </v>
      </c>
      <c r="U17" t="str">
        <f t="shared" si="8"/>
        <v xml:space="preserve"> </v>
      </c>
      <c r="V17" t="str">
        <f t="shared" si="1"/>
        <v xml:space="preserve"> </v>
      </c>
      <c r="W17" t="str">
        <f t="shared" si="14"/>
        <v xml:space="preserve"> </v>
      </c>
      <c r="X17" t="str">
        <f t="shared" si="8"/>
        <v xml:space="preserve"> </v>
      </c>
      <c r="Y17" t="str">
        <f t="shared" si="8"/>
        <v xml:space="preserve"> </v>
      </c>
      <c r="Z17" t="str">
        <f t="shared" si="8"/>
        <v xml:space="preserve"> </v>
      </c>
      <c r="AA17" t="str">
        <f t="shared" si="8"/>
        <v xml:space="preserve"> </v>
      </c>
      <c r="AB17" t="str">
        <f t="shared" si="8"/>
        <v xml:space="preserve"> </v>
      </c>
      <c r="AC17" t="str">
        <f t="shared" si="8"/>
        <v xml:space="preserve"> </v>
      </c>
      <c r="AD17" t="str">
        <f t="shared" si="8"/>
        <v xml:space="preserve"> </v>
      </c>
      <c r="AE17" t="str">
        <f t="shared" si="8"/>
        <v xml:space="preserve"> </v>
      </c>
      <c r="AF17" t="str">
        <f t="shared" si="2"/>
        <v xml:space="preserve"> </v>
      </c>
      <c r="AG17" t="s">
        <v>84</v>
      </c>
      <c r="AH17" t="str">
        <f t="shared" si="9"/>
        <v xml:space="preserve"> </v>
      </c>
    </row>
    <row r="18" spans="1:34" x14ac:dyDescent="0.25">
      <c r="A18" t="s">
        <v>258</v>
      </c>
      <c r="B18" s="47" t="s">
        <v>259</v>
      </c>
      <c r="C18" t="str">
        <f t="shared" si="10"/>
        <v>N/A</v>
      </c>
      <c r="D18" t="str">
        <f t="shared" si="11"/>
        <v xml:space="preserve"> </v>
      </c>
      <c r="E18" t="str">
        <f t="shared" si="11"/>
        <v xml:space="preserve"> </v>
      </c>
      <c r="F18" t="str">
        <f t="shared" si="11"/>
        <v xml:space="preserve"> </v>
      </c>
      <c r="G18" t="str">
        <f t="shared" si="11"/>
        <v xml:space="preserve"> </v>
      </c>
      <c r="H18" t="str">
        <f t="shared" si="11"/>
        <v xml:space="preserve"> </v>
      </c>
      <c r="I18" t="str">
        <f t="shared" si="11"/>
        <v xml:space="preserve"> </v>
      </c>
      <c r="J18" t="str">
        <f t="shared" si="11"/>
        <v xml:space="preserve"> </v>
      </c>
      <c r="K18" t="str">
        <f t="shared" si="11"/>
        <v xml:space="preserve"> </v>
      </c>
      <c r="L18" t="str">
        <f t="shared" si="5"/>
        <v xml:space="preserve"> </v>
      </c>
      <c r="M18" t="str">
        <f t="shared" si="12"/>
        <v xml:space="preserve"> </v>
      </c>
      <c r="N18" t="str">
        <f t="shared" si="13"/>
        <v xml:space="preserve"> </v>
      </c>
      <c r="O18" t="str">
        <f t="shared" si="8"/>
        <v xml:space="preserve"> </v>
      </c>
      <c r="P18" t="str">
        <f t="shared" si="8"/>
        <v xml:space="preserve"> </v>
      </c>
      <c r="Q18" t="str">
        <f t="shared" si="8"/>
        <v xml:space="preserve"> </v>
      </c>
      <c r="R18" t="str">
        <f t="shared" si="8"/>
        <v xml:space="preserve"> </v>
      </c>
      <c r="S18" t="str">
        <f t="shared" si="8"/>
        <v xml:space="preserve"> </v>
      </c>
      <c r="T18" t="str">
        <f t="shared" si="8"/>
        <v xml:space="preserve"> </v>
      </c>
      <c r="U18" t="str">
        <f t="shared" si="8"/>
        <v xml:space="preserve"> </v>
      </c>
      <c r="V18" t="str">
        <f t="shared" si="1"/>
        <v xml:space="preserve"> </v>
      </c>
      <c r="W18" t="str">
        <f t="shared" si="14"/>
        <v xml:space="preserve"> </v>
      </c>
      <c r="X18" t="str">
        <f t="shared" si="8"/>
        <v xml:space="preserve"> </v>
      </c>
      <c r="Y18" t="str">
        <f t="shared" si="8"/>
        <v xml:space="preserve"> </v>
      </c>
      <c r="Z18" t="str">
        <f t="shared" si="8"/>
        <v xml:space="preserve"> </v>
      </c>
      <c r="AA18" t="str">
        <f t="shared" si="8"/>
        <v xml:space="preserve"> </v>
      </c>
      <c r="AB18" t="str">
        <f t="shared" si="8"/>
        <v xml:space="preserve"> </v>
      </c>
      <c r="AC18" t="str">
        <f t="shared" si="8"/>
        <v xml:space="preserve"> </v>
      </c>
      <c r="AD18" t="str">
        <f t="shared" si="8"/>
        <v xml:space="preserve"> </v>
      </c>
      <c r="AE18" t="str">
        <f t="shared" si="8"/>
        <v xml:space="preserve"> </v>
      </c>
      <c r="AF18" t="str">
        <f t="shared" si="2"/>
        <v xml:space="preserve"> </v>
      </c>
      <c r="AG18" t="s">
        <v>84</v>
      </c>
      <c r="AH18" t="str">
        <f t="shared" si="9"/>
        <v xml:space="preserve"> </v>
      </c>
    </row>
    <row r="19" spans="1:34" x14ac:dyDescent="0.25">
      <c r="A19" t="s">
        <v>261</v>
      </c>
      <c r="B19" s="47" t="s">
        <v>262</v>
      </c>
      <c r="C19" t="str">
        <f t="shared" si="10"/>
        <v>N/A</v>
      </c>
      <c r="D19" t="str">
        <f t="shared" si="11"/>
        <v xml:space="preserve"> </v>
      </c>
      <c r="E19" t="str">
        <f t="shared" si="11"/>
        <v xml:space="preserve"> </v>
      </c>
      <c r="F19" t="str">
        <f t="shared" si="11"/>
        <v xml:space="preserve"> </v>
      </c>
      <c r="G19" t="str">
        <f t="shared" si="11"/>
        <v xml:space="preserve"> </v>
      </c>
      <c r="H19" t="str">
        <f t="shared" si="11"/>
        <v xml:space="preserve"> </v>
      </c>
      <c r="I19" t="str">
        <f t="shared" si="11"/>
        <v xml:space="preserve"> </v>
      </c>
      <c r="J19" t="str">
        <f t="shared" si="11"/>
        <v xml:space="preserve"> </v>
      </c>
      <c r="K19" t="str">
        <f t="shared" si="11"/>
        <v xml:space="preserve"> </v>
      </c>
      <c r="L19" t="str">
        <f t="shared" si="5"/>
        <v xml:space="preserve"> </v>
      </c>
      <c r="M19" t="str">
        <f t="shared" si="12"/>
        <v xml:space="preserve"> </v>
      </c>
      <c r="N19" t="str">
        <f t="shared" si="11"/>
        <v xml:space="preserve"> </v>
      </c>
      <c r="O19" t="str">
        <f t="shared" si="11"/>
        <v xml:space="preserve"> </v>
      </c>
      <c r="P19" t="str">
        <f t="shared" si="11"/>
        <v xml:space="preserve"> </v>
      </c>
      <c r="Q19" t="str">
        <f t="shared" si="11"/>
        <v xml:space="preserve"> </v>
      </c>
      <c r="R19" t="str">
        <f t="shared" si="11"/>
        <v xml:space="preserve"> </v>
      </c>
      <c r="S19" t="str">
        <f t="shared" si="11"/>
        <v xml:space="preserve"> </v>
      </c>
      <c r="T19" t="str">
        <f t="shared" si="11"/>
        <v xml:space="preserve"> </v>
      </c>
      <c r="U19" t="str">
        <f t="shared" si="11"/>
        <v xml:space="preserve"> </v>
      </c>
      <c r="V19" t="str">
        <f t="shared" ref="V19:V26" si="15">" "</f>
        <v xml:space="preserve"> </v>
      </c>
      <c r="W19" t="str">
        <f t="shared" si="14"/>
        <v xml:space="preserve"> </v>
      </c>
      <c r="X19" t="str">
        <f t="shared" si="11"/>
        <v xml:space="preserve"> </v>
      </c>
      <c r="Y19" t="str">
        <f t="shared" si="11"/>
        <v xml:space="preserve"> </v>
      </c>
      <c r="Z19" t="str">
        <f t="shared" si="11"/>
        <v xml:space="preserve"> </v>
      </c>
      <c r="AA19" t="str">
        <f t="shared" si="11"/>
        <v xml:space="preserve"> </v>
      </c>
      <c r="AB19" t="str">
        <f t="shared" si="11"/>
        <v xml:space="preserve"> </v>
      </c>
      <c r="AC19" t="str">
        <f t="shared" si="11"/>
        <v xml:space="preserve"> </v>
      </c>
      <c r="AD19" t="str">
        <f t="shared" si="11"/>
        <v xml:space="preserve"> </v>
      </c>
      <c r="AE19" t="str">
        <f t="shared" si="11"/>
        <v xml:space="preserve"> </v>
      </c>
      <c r="AF19" t="str">
        <f t="shared" si="2"/>
        <v xml:space="preserve"> </v>
      </c>
      <c r="AG19" t="s">
        <v>84</v>
      </c>
      <c r="AH19" t="str">
        <f t="shared" si="9"/>
        <v xml:space="preserve"> </v>
      </c>
    </row>
    <row r="20" spans="1:34" x14ac:dyDescent="0.25">
      <c r="A20" t="s">
        <v>15</v>
      </c>
      <c r="B20" s="47" t="s">
        <v>253</v>
      </c>
      <c r="C20" t="str">
        <f t="shared" si="10"/>
        <v>N/A</v>
      </c>
      <c r="D20" t="str">
        <f t="shared" ref="D20:S25" si="16">" "</f>
        <v xml:space="preserve"> </v>
      </c>
      <c r="E20" t="str">
        <f t="shared" si="16"/>
        <v xml:space="preserve"> </v>
      </c>
      <c r="F20" t="str">
        <f t="shared" si="16"/>
        <v xml:space="preserve"> </v>
      </c>
      <c r="G20" t="str">
        <f t="shared" si="16"/>
        <v xml:space="preserve"> </v>
      </c>
      <c r="H20" t="str">
        <f t="shared" si="16"/>
        <v xml:space="preserve"> </v>
      </c>
      <c r="I20" t="str">
        <f t="shared" si="16"/>
        <v xml:space="preserve"> </v>
      </c>
      <c r="J20" t="str">
        <f t="shared" si="16"/>
        <v xml:space="preserve"> </v>
      </c>
      <c r="K20" t="str">
        <f t="shared" si="16"/>
        <v xml:space="preserve"> </v>
      </c>
      <c r="L20" t="str">
        <f t="shared" si="16"/>
        <v xml:space="preserve"> </v>
      </c>
      <c r="M20" t="str">
        <f t="shared" si="12"/>
        <v xml:space="preserve"> </v>
      </c>
      <c r="N20" t="str">
        <f t="shared" si="16"/>
        <v xml:space="preserve"> </v>
      </c>
      <c r="O20" t="str">
        <f t="shared" si="16"/>
        <v xml:space="preserve"> </v>
      </c>
      <c r="P20" t="str">
        <f t="shared" si="16"/>
        <v xml:space="preserve"> </v>
      </c>
      <c r="Q20" t="str">
        <f t="shared" si="16"/>
        <v xml:space="preserve"> </v>
      </c>
      <c r="R20" t="str">
        <f t="shared" si="16"/>
        <v xml:space="preserve"> </v>
      </c>
      <c r="S20" t="str">
        <f t="shared" si="16"/>
        <v xml:space="preserve"> </v>
      </c>
      <c r="T20" t="str">
        <f t="shared" si="11"/>
        <v xml:space="preserve"> </v>
      </c>
      <c r="U20" t="str">
        <f t="shared" si="11"/>
        <v xml:space="preserve"> </v>
      </c>
      <c r="V20" t="str">
        <f t="shared" si="15"/>
        <v xml:space="preserve"> </v>
      </c>
      <c r="W20" t="str">
        <f t="shared" si="14"/>
        <v xml:space="preserve"> </v>
      </c>
      <c r="X20" t="str">
        <f t="shared" si="11"/>
        <v xml:space="preserve"> </v>
      </c>
      <c r="Y20" t="str">
        <f t="shared" si="11"/>
        <v xml:space="preserve"> </v>
      </c>
      <c r="Z20" t="str">
        <f t="shared" si="11"/>
        <v xml:space="preserve"> </v>
      </c>
      <c r="AA20" t="str">
        <f t="shared" si="11"/>
        <v xml:space="preserve"> </v>
      </c>
      <c r="AB20" t="str">
        <f t="shared" si="11"/>
        <v xml:space="preserve"> </v>
      </c>
      <c r="AC20" t="str">
        <f t="shared" si="11"/>
        <v xml:space="preserve"> </v>
      </c>
      <c r="AD20" t="str">
        <f t="shared" si="11"/>
        <v xml:space="preserve"> </v>
      </c>
      <c r="AE20" t="str">
        <f t="shared" si="11"/>
        <v xml:space="preserve"> </v>
      </c>
      <c r="AF20" t="str">
        <f t="shared" si="2"/>
        <v xml:space="preserve"> </v>
      </c>
      <c r="AG20" t="s">
        <v>84</v>
      </c>
      <c r="AH20" t="str">
        <f t="shared" si="9"/>
        <v xml:space="preserve"> </v>
      </c>
    </row>
    <row r="21" spans="1:34" x14ac:dyDescent="0.25">
      <c r="A21" t="s">
        <v>254</v>
      </c>
      <c r="B21" s="47" t="s">
        <v>255</v>
      </c>
      <c r="C21" t="str">
        <f t="shared" si="10"/>
        <v>N/A</v>
      </c>
      <c r="D21" t="str">
        <f t="shared" si="11"/>
        <v xml:space="preserve"> </v>
      </c>
      <c r="E21" t="str">
        <f t="shared" si="11"/>
        <v xml:space="preserve"> </v>
      </c>
      <c r="F21" t="str">
        <f t="shared" si="11"/>
        <v xml:space="preserve"> </v>
      </c>
      <c r="G21" t="str">
        <f t="shared" si="11"/>
        <v xml:space="preserve"> </v>
      </c>
      <c r="H21" t="str">
        <f t="shared" si="11"/>
        <v xml:space="preserve"> </v>
      </c>
      <c r="I21" t="str">
        <f t="shared" si="11"/>
        <v xml:space="preserve"> </v>
      </c>
      <c r="J21" t="str">
        <f t="shared" si="11"/>
        <v xml:space="preserve"> </v>
      </c>
      <c r="K21" t="str">
        <f t="shared" si="11"/>
        <v xml:space="preserve"> </v>
      </c>
      <c r="L21" t="str">
        <f t="shared" si="16"/>
        <v xml:space="preserve"> </v>
      </c>
      <c r="M21" t="str">
        <f t="shared" si="12"/>
        <v xml:space="preserve"> </v>
      </c>
      <c r="N21" t="str">
        <f t="shared" si="11"/>
        <v xml:space="preserve"> </v>
      </c>
      <c r="O21" t="str">
        <f t="shared" si="11"/>
        <v xml:space="preserve"> </v>
      </c>
      <c r="P21" t="str">
        <f t="shared" si="11"/>
        <v xml:space="preserve"> </v>
      </c>
      <c r="Q21" t="str">
        <f t="shared" si="11"/>
        <v xml:space="preserve"> </v>
      </c>
      <c r="R21" t="str">
        <f t="shared" si="11"/>
        <v xml:space="preserve"> </v>
      </c>
      <c r="S21" t="str">
        <f t="shared" si="11"/>
        <v xml:space="preserve"> </v>
      </c>
      <c r="T21" t="str">
        <f t="shared" si="11"/>
        <v xml:space="preserve"> </v>
      </c>
      <c r="U21" t="str">
        <f t="shared" si="11"/>
        <v xml:space="preserve"> </v>
      </c>
      <c r="V21" t="str">
        <f t="shared" si="15"/>
        <v xml:space="preserve"> </v>
      </c>
      <c r="W21" t="str">
        <f t="shared" si="14"/>
        <v xml:space="preserve"> </v>
      </c>
      <c r="X21" t="str">
        <f t="shared" si="11"/>
        <v xml:space="preserve"> </v>
      </c>
      <c r="Y21" t="str">
        <f t="shared" si="11"/>
        <v xml:space="preserve"> </v>
      </c>
      <c r="Z21" t="str">
        <f t="shared" si="11"/>
        <v xml:space="preserve"> </v>
      </c>
      <c r="AA21" t="str">
        <f t="shared" si="11"/>
        <v xml:space="preserve"> </v>
      </c>
      <c r="AB21" t="str">
        <f t="shared" si="11"/>
        <v xml:space="preserve"> </v>
      </c>
      <c r="AC21" t="str">
        <f t="shared" si="11"/>
        <v xml:space="preserve"> </v>
      </c>
      <c r="AD21" t="str">
        <f t="shared" si="11"/>
        <v xml:space="preserve"> </v>
      </c>
      <c r="AE21" t="str">
        <f t="shared" si="11"/>
        <v xml:space="preserve"> </v>
      </c>
      <c r="AF21" t="str">
        <f t="shared" si="2"/>
        <v xml:space="preserve"> </v>
      </c>
      <c r="AG21" t="s">
        <v>84</v>
      </c>
      <c r="AH21" t="str">
        <f t="shared" si="9"/>
        <v xml:space="preserve"> </v>
      </c>
    </row>
    <row r="22" spans="1:34" x14ac:dyDescent="0.25">
      <c r="A22" s="47" t="s">
        <v>238</v>
      </c>
      <c r="B22" s="47" t="s">
        <v>239</v>
      </c>
      <c r="C22" t="str">
        <f>"Average UF Temp"</f>
        <v>Average UF Temp</v>
      </c>
      <c r="D22" t="str">
        <f t="shared" si="11"/>
        <v xml:space="preserve"> </v>
      </c>
      <c r="E22" t="str">
        <f t="shared" si="11"/>
        <v xml:space="preserve"> </v>
      </c>
      <c r="F22" t="str">
        <f t="shared" si="11"/>
        <v xml:space="preserve"> </v>
      </c>
      <c r="G22" t="str">
        <f t="shared" si="11"/>
        <v xml:space="preserve"> </v>
      </c>
      <c r="H22" t="str">
        <f t="shared" si="11"/>
        <v xml:space="preserve"> </v>
      </c>
      <c r="I22" t="str">
        <f t="shared" si="11"/>
        <v xml:space="preserve"> </v>
      </c>
      <c r="J22" t="str">
        <f t="shared" si="11"/>
        <v xml:space="preserve"> </v>
      </c>
      <c r="K22" t="str">
        <f t="shared" si="11"/>
        <v xml:space="preserve"> </v>
      </c>
      <c r="L22" t="str">
        <f t="shared" si="16"/>
        <v xml:space="preserve"> </v>
      </c>
      <c r="M22" s="264" t="s">
        <v>412</v>
      </c>
      <c r="N22" t="str">
        <f t="shared" si="11"/>
        <v xml:space="preserve"> </v>
      </c>
      <c r="O22" t="str">
        <f t="shared" si="11"/>
        <v xml:space="preserve"> </v>
      </c>
      <c r="P22" t="str">
        <f t="shared" si="11"/>
        <v xml:space="preserve"> </v>
      </c>
      <c r="Q22" t="str">
        <f t="shared" si="11"/>
        <v xml:space="preserve"> </v>
      </c>
      <c r="R22" t="str">
        <f t="shared" si="11"/>
        <v xml:space="preserve"> </v>
      </c>
      <c r="S22" t="str">
        <f t="shared" si="11"/>
        <v xml:space="preserve"> </v>
      </c>
      <c r="T22" t="str">
        <f t="shared" si="11"/>
        <v xml:space="preserve"> </v>
      </c>
      <c r="U22" t="str">
        <f t="shared" si="11"/>
        <v xml:space="preserve"> </v>
      </c>
      <c r="V22" t="str">
        <f t="shared" si="15"/>
        <v xml:space="preserve"> </v>
      </c>
      <c r="W22" t="str">
        <f t="shared" si="14"/>
        <v xml:space="preserve"> </v>
      </c>
      <c r="X22" t="str">
        <f t="shared" si="11"/>
        <v xml:space="preserve"> </v>
      </c>
      <c r="Y22" t="str">
        <f t="shared" si="11"/>
        <v xml:space="preserve"> </v>
      </c>
      <c r="Z22" t="str">
        <f t="shared" si="11"/>
        <v xml:space="preserve"> </v>
      </c>
      <c r="AA22" t="str">
        <f t="shared" si="11"/>
        <v xml:space="preserve"> </v>
      </c>
      <c r="AB22" t="str">
        <f t="shared" si="11"/>
        <v xml:space="preserve"> </v>
      </c>
      <c r="AC22" t="str">
        <f t="shared" si="11"/>
        <v xml:space="preserve"> </v>
      </c>
      <c r="AD22" t="str">
        <f t="shared" si="11"/>
        <v xml:space="preserve"> </v>
      </c>
      <c r="AE22" t="str">
        <f t="shared" si="11"/>
        <v xml:space="preserve"> </v>
      </c>
      <c r="AF22" t="str">
        <f t="shared" si="2"/>
        <v xml:space="preserve"> </v>
      </c>
      <c r="AG22" t="s">
        <v>84</v>
      </c>
      <c r="AH22" t="str">
        <f t="shared" si="9"/>
        <v xml:space="preserve"> </v>
      </c>
    </row>
    <row r="23" spans="1:34" x14ac:dyDescent="0.25">
      <c r="A23" s="47" t="s">
        <v>241</v>
      </c>
      <c r="B23" s="47" t="s">
        <v>242</v>
      </c>
      <c r="C23" t="str">
        <f>"Average UF Temp"</f>
        <v>Average UF Temp</v>
      </c>
      <c r="D23" t="str">
        <f t="shared" si="11"/>
        <v xml:space="preserve"> </v>
      </c>
      <c r="E23" t="str">
        <f t="shared" si="11"/>
        <v xml:space="preserve"> </v>
      </c>
      <c r="F23" t="str">
        <f t="shared" si="11"/>
        <v xml:space="preserve"> </v>
      </c>
      <c r="G23" t="str">
        <f t="shared" si="11"/>
        <v xml:space="preserve"> </v>
      </c>
      <c r="H23" t="str">
        <f t="shared" si="11"/>
        <v xml:space="preserve"> </v>
      </c>
      <c r="I23" t="str">
        <f t="shared" si="11"/>
        <v xml:space="preserve"> </v>
      </c>
      <c r="J23" t="str">
        <f t="shared" si="11"/>
        <v xml:space="preserve"> </v>
      </c>
      <c r="K23" t="str">
        <f t="shared" si="11"/>
        <v xml:space="preserve"> </v>
      </c>
      <c r="L23" t="str">
        <f t="shared" si="16"/>
        <v xml:space="preserve"> </v>
      </c>
      <c r="M23" s="264" t="s">
        <v>412</v>
      </c>
      <c r="N23" t="str">
        <f t="shared" si="11"/>
        <v xml:space="preserve"> </v>
      </c>
      <c r="O23" t="str">
        <f t="shared" si="11"/>
        <v xml:space="preserve"> </v>
      </c>
      <c r="P23" t="str">
        <f t="shared" si="11"/>
        <v xml:space="preserve"> </v>
      </c>
      <c r="Q23" t="str">
        <f t="shared" si="11"/>
        <v xml:space="preserve"> </v>
      </c>
      <c r="R23" t="str">
        <f t="shared" si="11"/>
        <v xml:space="preserve"> </v>
      </c>
      <c r="S23" t="str">
        <f t="shared" si="11"/>
        <v xml:space="preserve"> </v>
      </c>
      <c r="T23" t="str">
        <f t="shared" si="11"/>
        <v xml:space="preserve"> </v>
      </c>
      <c r="U23" t="str">
        <f t="shared" si="11"/>
        <v xml:space="preserve"> </v>
      </c>
      <c r="V23" t="str">
        <f t="shared" si="15"/>
        <v xml:space="preserve"> </v>
      </c>
      <c r="W23" t="str">
        <f t="shared" si="14"/>
        <v xml:space="preserve"> </v>
      </c>
      <c r="X23" t="str">
        <f t="shared" si="11"/>
        <v xml:space="preserve"> </v>
      </c>
      <c r="Y23" t="str">
        <f t="shared" si="11"/>
        <v xml:space="preserve"> </v>
      </c>
      <c r="Z23" t="str">
        <f t="shared" si="11"/>
        <v xml:space="preserve"> </v>
      </c>
      <c r="AA23" t="str">
        <f t="shared" si="11"/>
        <v xml:space="preserve"> </v>
      </c>
      <c r="AB23" t="str">
        <f t="shared" si="11"/>
        <v xml:space="preserve"> </v>
      </c>
      <c r="AC23" t="str">
        <f t="shared" si="11"/>
        <v xml:space="preserve"> </v>
      </c>
      <c r="AD23" t="str">
        <f t="shared" si="11"/>
        <v xml:space="preserve"> </v>
      </c>
      <c r="AE23" t="str">
        <f t="shared" si="11"/>
        <v xml:space="preserve"> </v>
      </c>
      <c r="AF23" t="str">
        <f t="shared" si="2"/>
        <v xml:space="preserve"> </v>
      </c>
      <c r="AG23" t="s">
        <v>84</v>
      </c>
      <c r="AH23" t="str">
        <f t="shared" si="9"/>
        <v xml:space="preserve"> </v>
      </c>
    </row>
    <row r="24" spans="1:34" x14ac:dyDescent="0.25">
      <c r="A24" s="10" t="s">
        <v>246</v>
      </c>
      <c r="B24" s="47" t="s">
        <v>247</v>
      </c>
      <c r="C24" t="s">
        <v>413</v>
      </c>
      <c r="D24" t="s">
        <v>414</v>
      </c>
      <c r="E24" t="s">
        <v>415</v>
      </c>
      <c r="F24" t="s">
        <v>416</v>
      </c>
      <c r="G24" t="str">
        <f t="shared" si="11"/>
        <v xml:space="preserve"> </v>
      </c>
      <c r="H24" t="str">
        <f t="shared" si="11"/>
        <v xml:space="preserve"> </v>
      </c>
      <c r="I24" t="str">
        <f t="shared" si="11"/>
        <v xml:space="preserve"> </v>
      </c>
      <c r="J24" t="str">
        <f t="shared" si="11"/>
        <v xml:space="preserve"> </v>
      </c>
      <c r="K24" t="str">
        <f t="shared" si="11"/>
        <v xml:space="preserve"> </v>
      </c>
      <c r="L24" t="str">
        <f t="shared" si="16"/>
        <v xml:space="preserve"> </v>
      </c>
      <c r="M24" t="str">
        <f t="shared" si="16"/>
        <v xml:space="preserve"> </v>
      </c>
      <c r="N24" t="str">
        <f t="shared" si="16"/>
        <v xml:space="preserve"> </v>
      </c>
      <c r="O24" t="str">
        <f t="shared" si="16"/>
        <v xml:space="preserve"> </v>
      </c>
      <c r="P24" t="s">
        <v>412</v>
      </c>
      <c r="Q24" t="str">
        <f t="shared" si="11"/>
        <v xml:space="preserve"> </v>
      </c>
      <c r="R24" t="str">
        <f t="shared" si="11"/>
        <v xml:space="preserve"> </v>
      </c>
      <c r="S24" t="str">
        <f t="shared" si="11"/>
        <v xml:space="preserve"> </v>
      </c>
      <c r="T24" t="str">
        <f t="shared" si="11"/>
        <v xml:space="preserve"> </v>
      </c>
      <c r="U24" t="str">
        <f t="shared" si="11"/>
        <v xml:space="preserve"> </v>
      </c>
      <c r="V24" t="str">
        <f t="shared" si="15"/>
        <v xml:space="preserve"> </v>
      </c>
      <c r="W24" t="str">
        <f t="shared" si="14"/>
        <v xml:space="preserve"> </v>
      </c>
      <c r="X24" t="str">
        <f t="shared" si="11"/>
        <v xml:space="preserve"> </v>
      </c>
      <c r="Y24" t="str">
        <f t="shared" si="11"/>
        <v xml:space="preserve"> </v>
      </c>
      <c r="Z24" t="str">
        <f t="shared" si="11"/>
        <v xml:space="preserve"> </v>
      </c>
      <c r="AA24" t="str">
        <f t="shared" si="11"/>
        <v xml:space="preserve"> </v>
      </c>
      <c r="AB24" t="str">
        <f t="shared" si="11"/>
        <v xml:space="preserve"> </v>
      </c>
      <c r="AC24" t="str">
        <f t="shared" si="11"/>
        <v xml:space="preserve"> </v>
      </c>
      <c r="AD24" t="str">
        <f t="shared" si="11"/>
        <v xml:space="preserve"> </v>
      </c>
      <c r="AE24" t="str">
        <f t="shared" si="11"/>
        <v xml:space="preserve"> </v>
      </c>
      <c r="AF24" t="str">
        <f t="shared" si="2"/>
        <v xml:space="preserve"> </v>
      </c>
      <c r="AG24" t="s">
        <v>84</v>
      </c>
      <c r="AH24" t="str">
        <f t="shared" si="9"/>
        <v xml:space="preserve"> </v>
      </c>
    </row>
    <row r="25" spans="1:34" x14ac:dyDescent="0.25">
      <c r="A25" s="47" t="s">
        <v>250</v>
      </c>
      <c r="B25" s="47" t="s">
        <v>251</v>
      </c>
      <c r="C25" t="s">
        <v>413</v>
      </c>
      <c r="D25" t="s">
        <v>414</v>
      </c>
      <c r="E25" t="s">
        <v>415</v>
      </c>
      <c r="F25" t="s">
        <v>416</v>
      </c>
      <c r="G25" t="str">
        <f t="shared" si="11"/>
        <v xml:space="preserve"> </v>
      </c>
      <c r="H25" t="str">
        <f t="shared" si="11"/>
        <v xml:space="preserve"> </v>
      </c>
      <c r="I25" t="str">
        <f t="shared" si="11"/>
        <v xml:space="preserve"> </v>
      </c>
      <c r="J25" t="str">
        <f t="shared" si="11"/>
        <v xml:space="preserve"> </v>
      </c>
      <c r="K25" t="str">
        <f t="shared" si="11"/>
        <v xml:space="preserve"> </v>
      </c>
      <c r="L25" t="str">
        <f t="shared" si="16"/>
        <v xml:space="preserve"> </v>
      </c>
      <c r="M25" t="str">
        <f t="shared" si="16"/>
        <v xml:space="preserve"> </v>
      </c>
      <c r="N25" t="str">
        <f t="shared" si="16"/>
        <v xml:space="preserve"> </v>
      </c>
      <c r="O25" t="str">
        <f t="shared" si="16"/>
        <v xml:space="preserve"> </v>
      </c>
      <c r="P25" t="s">
        <v>412</v>
      </c>
      <c r="Q25" t="str">
        <f t="shared" si="11"/>
        <v xml:space="preserve"> </v>
      </c>
      <c r="R25" t="str">
        <f t="shared" si="11"/>
        <v xml:space="preserve"> </v>
      </c>
      <c r="S25" t="str">
        <f t="shared" si="11"/>
        <v xml:space="preserve"> </v>
      </c>
      <c r="T25" t="str">
        <f t="shared" si="11"/>
        <v xml:space="preserve"> </v>
      </c>
      <c r="U25" t="str">
        <f t="shared" si="11"/>
        <v xml:space="preserve"> </v>
      </c>
      <c r="V25" t="str">
        <f t="shared" si="15"/>
        <v xml:space="preserve"> </v>
      </c>
      <c r="W25" t="str">
        <f t="shared" si="14"/>
        <v xml:space="preserve"> </v>
      </c>
      <c r="X25" t="str">
        <f t="shared" si="11"/>
        <v xml:space="preserve"> </v>
      </c>
      <c r="Y25" t="str">
        <f t="shared" si="11"/>
        <v xml:space="preserve"> </v>
      </c>
      <c r="Z25" t="str">
        <f t="shared" si="11"/>
        <v xml:space="preserve"> </v>
      </c>
      <c r="AA25" t="str">
        <f t="shared" si="11"/>
        <v xml:space="preserve"> </v>
      </c>
      <c r="AB25" t="str">
        <f t="shared" si="11"/>
        <v xml:space="preserve"> </v>
      </c>
      <c r="AC25" t="str">
        <f t="shared" si="11"/>
        <v xml:space="preserve"> </v>
      </c>
      <c r="AD25" t="str">
        <f t="shared" si="11"/>
        <v xml:space="preserve"> </v>
      </c>
      <c r="AE25" t="str">
        <f t="shared" si="11"/>
        <v xml:space="preserve"> </v>
      </c>
      <c r="AF25" t="str">
        <f t="shared" si="2"/>
        <v xml:space="preserve"> </v>
      </c>
      <c r="AG25" t="s">
        <v>84</v>
      </c>
      <c r="AH25" t="str">
        <f t="shared" si="9"/>
        <v xml:space="preserve"> </v>
      </c>
    </row>
    <row r="26" spans="1:34" x14ac:dyDescent="0.25">
      <c r="A26" s="262" t="s">
        <v>256</v>
      </c>
      <c r="B26" s="47" t="s">
        <v>257</v>
      </c>
      <c r="C26" t="str">
        <f>"See Gen Pre/Post-Checks Sheet"</f>
        <v>See Gen Pre/Post-Checks Sheet</v>
      </c>
      <c r="D26" t="str">
        <f t="shared" si="11"/>
        <v xml:space="preserve"> </v>
      </c>
      <c r="E26" t="str">
        <f t="shared" si="11"/>
        <v xml:space="preserve"> </v>
      </c>
      <c r="F26" t="str">
        <f t="shared" si="11"/>
        <v xml:space="preserve"> </v>
      </c>
      <c r="G26" t="str">
        <f t="shared" si="11"/>
        <v xml:space="preserve"> </v>
      </c>
      <c r="H26" t="str">
        <f t="shared" si="11"/>
        <v xml:space="preserve"> </v>
      </c>
      <c r="I26" t="str">
        <f t="shared" si="11"/>
        <v xml:space="preserve"> </v>
      </c>
      <c r="J26" t="str">
        <f t="shared" si="11"/>
        <v xml:space="preserve"> </v>
      </c>
      <c r="K26" t="str">
        <f t="shared" si="11"/>
        <v xml:space="preserve"> </v>
      </c>
      <c r="L26" t="str">
        <f t="shared" si="11"/>
        <v xml:space="preserve"> </v>
      </c>
      <c r="M26" t="str">
        <f t="shared" si="12"/>
        <v xml:space="preserve"> </v>
      </c>
      <c r="N26" t="str">
        <f t="shared" si="11"/>
        <v xml:space="preserve"> </v>
      </c>
      <c r="O26" t="str">
        <f t="shared" si="11"/>
        <v xml:space="preserve"> </v>
      </c>
      <c r="P26" t="str">
        <f t="shared" si="11"/>
        <v xml:space="preserve"> </v>
      </c>
      <c r="Q26" t="str">
        <f t="shared" si="11"/>
        <v xml:space="preserve"> </v>
      </c>
      <c r="R26" t="str">
        <f t="shared" si="11"/>
        <v xml:space="preserve"> </v>
      </c>
      <c r="S26" t="str">
        <f t="shared" si="11"/>
        <v xml:space="preserve"> </v>
      </c>
      <c r="T26" t="str">
        <f t="shared" si="11"/>
        <v xml:space="preserve"> </v>
      </c>
      <c r="U26" t="str">
        <f t="shared" si="11"/>
        <v xml:space="preserve"> </v>
      </c>
      <c r="V26" t="str">
        <f t="shared" si="15"/>
        <v xml:space="preserve"> </v>
      </c>
      <c r="W26" t="str">
        <f t="shared" si="11"/>
        <v xml:space="preserve"> </v>
      </c>
      <c r="X26" t="str">
        <f t="shared" si="11"/>
        <v xml:space="preserve"> </v>
      </c>
      <c r="Y26" t="str">
        <f t="shared" si="11"/>
        <v xml:space="preserve"> </v>
      </c>
      <c r="Z26" t="str">
        <f t="shared" si="11"/>
        <v xml:space="preserve"> </v>
      </c>
      <c r="AA26" t="str">
        <f t="shared" si="11"/>
        <v xml:space="preserve"> </v>
      </c>
      <c r="AB26" t="str">
        <f t="shared" si="11"/>
        <v xml:space="preserve"> </v>
      </c>
      <c r="AC26" t="str">
        <f t="shared" si="11"/>
        <v xml:space="preserve"> </v>
      </c>
      <c r="AD26" t="str">
        <f t="shared" si="11"/>
        <v xml:space="preserve"> </v>
      </c>
      <c r="AE26" t="str">
        <f t="shared" si="11"/>
        <v xml:space="preserve"> </v>
      </c>
      <c r="AF26" t="str">
        <f t="shared" si="2"/>
        <v xml:space="preserve"> </v>
      </c>
      <c r="AG26" t="str">
        <f>zSelectedEquipment</f>
        <v>G104-Gen-B</v>
      </c>
      <c r="AH26" t="str">
        <f>VLOOKUP(zSelectedEquipment, 'Config-Gen'!$A$4:$J$143, 10, FALSE)</f>
        <v>4000 gal</v>
      </c>
    </row>
  </sheetData>
  <phoneticPr fontId="42"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345AB-06C9-459A-920D-1392CF9B8324}">
  <sheetPr codeName="Config_Gen"/>
  <dimension ref="A1:T146"/>
  <sheetViews>
    <sheetView workbookViewId="0">
      <selection activeCell="M3" sqref="M3"/>
    </sheetView>
  </sheetViews>
  <sheetFormatPr defaultRowHeight="15" x14ac:dyDescent="0.25"/>
  <cols>
    <col min="1" max="1" width="17.5703125" customWidth="1"/>
    <col min="2" max="2" width="14" bestFit="1" customWidth="1"/>
    <col min="3" max="3" width="10.7109375" bestFit="1" customWidth="1"/>
    <col min="5" max="5" width="13.85546875" bestFit="1" customWidth="1"/>
    <col min="6" max="6" width="15.140625" bestFit="1" customWidth="1"/>
    <col min="7" max="8" width="12.42578125" bestFit="1" customWidth="1"/>
    <col min="9" max="9" width="19.140625" bestFit="1" customWidth="1"/>
    <col min="10" max="10" width="13.42578125" bestFit="1" customWidth="1"/>
    <col min="11" max="11" width="12.7109375" bestFit="1" customWidth="1"/>
    <col min="13" max="13" width="8.5703125" bestFit="1" customWidth="1"/>
    <col min="14" max="14" width="18.85546875" bestFit="1" customWidth="1"/>
    <col min="15" max="15" width="24.140625" bestFit="1" customWidth="1"/>
    <col min="18" max="18" width="19.28515625" bestFit="1" customWidth="1"/>
  </cols>
  <sheetData>
    <row r="1" spans="1:20" x14ac:dyDescent="0.25">
      <c r="A1">
        <v>1</v>
      </c>
      <c r="B1">
        <v>2</v>
      </c>
      <c r="C1">
        <v>3</v>
      </c>
      <c r="D1">
        <v>4</v>
      </c>
      <c r="E1">
        <v>5</v>
      </c>
      <c r="F1">
        <v>6</v>
      </c>
      <c r="G1">
        <v>7</v>
      </c>
      <c r="H1">
        <v>8</v>
      </c>
      <c r="I1">
        <v>9</v>
      </c>
      <c r="J1">
        <v>10</v>
      </c>
      <c r="K1">
        <v>11</v>
      </c>
      <c r="L1">
        <v>12</v>
      </c>
      <c r="M1">
        <v>13</v>
      </c>
      <c r="N1">
        <v>14</v>
      </c>
      <c r="O1">
        <v>15</v>
      </c>
      <c r="P1">
        <v>16</v>
      </c>
      <c r="Q1">
        <v>17</v>
      </c>
      <c r="R1">
        <v>18</v>
      </c>
    </row>
    <row r="2" spans="1:20" x14ac:dyDescent="0.25">
      <c r="B2" t="str" cm="1">
        <f t="array" ref="B2">GenType</f>
        <v>CAT</v>
      </c>
      <c r="C2" cm="1">
        <f t="array" ref="C2">POD</f>
        <v>2</v>
      </c>
      <c r="D2" cm="1">
        <f t="array" ref="D2">ROP</f>
        <v>0</v>
      </c>
      <c r="F2" t="str" cm="1">
        <f t="array" ref="F2">PowerCommand</f>
        <v>XXX</v>
      </c>
      <c r="G2" t="str" cm="1">
        <f t="array" ref="G2">GenRunUPS1</f>
        <v>A</v>
      </c>
      <c r="H2" t="str" cm="1">
        <f t="array" ref="H2">GenRunUPS2</f>
        <v>B</v>
      </c>
      <c r="I2" cm="1">
        <f t="array" ref="I2">UtilityInputBreaker</f>
        <v>0</v>
      </c>
    </row>
    <row r="3" spans="1:20" x14ac:dyDescent="0.25">
      <c r="A3" t="s">
        <v>407</v>
      </c>
      <c r="B3" t="s">
        <v>417</v>
      </c>
      <c r="C3" t="s">
        <v>180</v>
      </c>
      <c r="D3" t="s">
        <v>192</v>
      </c>
      <c r="E3" t="s">
        <v>191</v>
      </c>
      <c r="F3" t="s">
        <v>418</v>
      </c>
      <c r="G3" t="s">
        <v>419</v>
      </c>
      <c r="H3" t="s">
        <v>420</v>
      </c>
      <c r="I3" t="s">
        <v>421</v>
      </c>
      <c r="J3" t="s">
        <v>408</v>
      </c>
      <c r="K3" t="s">
        <v>422</v>
      </c>
      <c r="O3" t="s">
        <v>423</v>
      </c>
      <c r="R3" t="s">
        <v>424</v>
      </c>
    </row>
    <row r="4" spans="1:20" x14ac:dyDescent="0.25">
      <c r="A4" s="47" t="s">
        <v>425</v>
      </c>
      <c r="B4" s="47" t="s">
        <v>426</v>
      </c>
      <c r="C4" s="47" t="s">
        <v>427</v>
      </c>
      <c r="D4" s="47"/>
      <c r="E4" s="47"/>
      <c r="F4" s="47">
        <v>1</v>
      </c>
      <c r="J4" t="s">
        <v>428</v>
      </c>
      <c r="K4" t="s">
        <v>429</v>
      </c>
      <c r="N4" s="47"/>
      <c r="O4" s="47" t="s">
        <v>425</v>
      </c>
      <c r="R4" s="47" t="s">
        <v>430</v>
      </c>
      <c r="S4" s="47"/>
      <c r="T4" s="47"/>
    </row>
    <row r="5" spans="1:20" x14ac:dyDescent="0.25">
      <c r="A5" s="47" t="s">
        <v>431</v>
      </c>
      <c r="B5" s="47" t="s">
        <v>426</v>
      </c>
      <c r="C5" s="47" t="s">
        <v>427</v>
      </c>
      <c r="D5" s="47"/>
      <c r="E5" s="47"/>
      <c r="F5" s="47">
        <v>1</v>
      </c>
      <c r="J5" t="s">
        <v>432</v>
      </c>
      <c r="K5" t="s">
        <v>429</v>
      </c>
      <c r="N5" s="47"/>
      <c r="O5" s="47" t="s">
        <v>433</v>
      </c>
      <c r="R5" s="47" t="s">
        <v>434</v>
      </c>
      <c r="S5" s="47"/>
      <c r="T5" s="47"/>
    </row>
    <row r="6" spans="1:20" x14ac:dyDescent="0.25">
      <c r="A6" s="47" t="s">
        <v>433</v>
      </c>
      <c r="B6" s="47" t="s">
        <v>426</v>
      </c>
      <c r="C6" s="47" t="s">
        <v>427</v>
      </c>
      <c r="D6" s="47"/>
      <c r="E6" s="47"/>
      <c r="F6" s="47">
        <v>1</v>
      </c>
      <c r="J6" t="s">
        <v>435</v>
      </c>
      <c r="K6" t="s">
        <v>429</v>
      </c>
      <c r="N6" s="47"/>
      <c r="O6" s="47" t="s">
        <v>436</v>
      </c>
      <c r="R6" s="47" t="s">
        <v>437</v>
      </c>
      <c r="S6" s="47"/>
      <c r="T6" s="47"/>
    </row>
    <row r="7" spans="1:20" x14ac:dyDescent="0.25">
      <c r="A7" s="47" t="s">
        <v>438</v>
      </c>
      <c r="B7" s="47" t="s">
        <v>426</v>
      </c>
      <c r="C7" s="47" t="s">
        <v>427</v>
      </c>
      <c r="D7" s="47"/>
      <c r="E7" s="47"/>
      <c r="F7" s="47">
        <v>1</v>
      </c>
      <c r="J7" t="s">
        <v>439</v>
      </c>
      <c r="K7" t="s">
        <v>429</v>
      </c>
      <c r="N7" s="47"/>
      <c r="O7" s="47" t="s">
        <v>440</v>
      </c>
      <c r="R7" s="47" t="s">
        <v>441</v>
      </c>
      <c r="S7" s="47"/>
      <c r="T7" s="47"/>
    </row>
    <row r="8" spans="1:20" x14ac:dyDescent="0.25">
      <c r="A8" s="47" t="s">
        <v>436</v>
      </c>
      <c r="B8" s="47" t="s">
        <v>442</v>
      </c>
      <c r="C8" s="47" t="s">
        <v>427</v>
      </c>
      <c r="D8" s="47"/>
      <c r="E8" s="47"/>
      <c r="F8" s="47" t="s">
        <v>203</v>
      </c>
      <c r="J8" t="s">
        <v>443</v>
      </c>
      <c r="K8" t="s">
        <v>429</v>
      </c>
      <c r="N8" s="47"/>
      <c r="O8" s="47" t="s">
        <v>444</v>
      </c>
      <c r="R8" s="47" t="s">
        <v>445</v>
      </c>
      <c r="S8" s="47"/>
      <c r="T8" s="47"/>
    </row>
    <row r="9" spans="1:20" x14ac:dyDescent="0.25">
      <c r="A9" s="47" t="s">
        <v>440</v>
      </c>
      <c r="B9" s="47" t="s">
        <v>442</v>
      </c>
      <c r="C9" s="47" t="s">
        <v>427</v>
      </c>
      <c r="D9" s="47"/>
      <c r="E9" s="47"/>
      <c r="F9" s="47" t="s">
        <v>203</v>
      </c>
      <c r="J9" t="s">
        <v>439</v>
      </c>
      <c r="K9" t="s">
        <v>429</v>
      </c>
      <c r="N9" s="47"/>
      <c r="O9" s="47" t="s">
        <v>446</v>
      </c>
      <c r="R9" s="47" t="s">
        <v>447</v>
      </c>
      <c r="S9" s="47"/>
      <c r="T9" s="47"/>
    </row>
    <row r="10" spans="1:20" x14ac:dyDescent="0.25">
      <c r="A10" s="47" t="s">
        <v>448</v>
      </c>
      <c r="B10" s="47" t="s">
        <v>442</v>
      </c>
      <c r="C10" s="47"/>
      <c r="D10" s="47"/>
      <c r="E10" s="47"/>
      <c r="F10" s="47" t="s">
        <v>203</v>
      </c>
      <c r="J10" t="str">
        <f>" "</f>
        <v xml:space="preserve"> </v>
      </c>
      <c r="K10" t="s">
        <v>429</v>
      </c>
      <c r="N10" s="47"/>
      <c r="O10" s="47" t="s">
        <v>449</v>
      </c>
      <c r="R10" s="47" t="s">
        <v>450</v>
      </c>
      <c r="S10" s="47"/>
      <c r="T10" s="47"/>
    </row>
    <row r="11" spans="1:20" x14ac:dyDescent="0.25">
      <c r="A11" s="47" t="s">
        <v>444</v>
      </c>
      <c r="B11" s="47" t="s">
        <v>442</v>
      </c>
      <c r="C11" s="47" t="s">
        <v>427</v>
      </c>
      <c r="D11" s="47"/>
      <c r="E11" s="47"/>
      <c r="F11" s="47" t="s">
        <v>203</v>
      </c>
      <c r="J11" t="s">
        <v>451</v>
      </c>
      <c r="K11" t="s">
        <v>429</v>
      </c>
      <c r="N11" s="47"/>
      <c r="O11" s="47" t="s">
        <v>430</v>
      </c>
      <c r="R11" s="47" t="s">
        <v>452</v>
      </c>
      <c r="S11" s="47"/>
      <c r="T11" s="47"/>
    </row>
    <row r="12" spans="1:20" x14ac:dyDescent="0.25">
      <c r="A12" s="47" t="s">
        <v>446</v>
      </c>
      <c r="B12" s="47" t="s">
        <v>442</v>
      </c>
      <c r="C12" s="47" t="s">
        <v>427</v>
      </c>
      <c r="D12" s="47"/>
      <c r="E12" s="47"/>
      <c r="F12" s="47" t="s">
        <v>203</v>
      </c>
      <c r="J12" t="s">
        <v>443</v>
      </c>
      <c r="K12" t="s">
        <v>429</v>
      </c>
      <c r="N12" s="47"/>
      <c r="O12" s="47" t="s">
        <v>434</v>
      </c>
      <c r="R12" s="47" t="s">
        <v>453</v>
      </c>
      <c r="S12" s="47"/>
      <c r="T12" s="47"/>
    </row>
    <row r="13" spans="1:20" x14ac:dyDescent="0.25">
      <c r="A13" s="47" t="s">
        <v>449</v>
      </c>
      <c r="B13" s="47" t="s">
        <v>442</v>
      </c>
      <c r="C13" s="47" t="s">
        <v>427</v>
      </c>
      <c r="D13" s="47"/>
      <c r="E13" s="47"/>
      <c r="F13" s="47" t="s">
        <v>203</v>
      </c>
      <c r="J13" t="s">
        <v>443</v>
      </c>
      <c r="K13" t="s">
        <v>429</v>
      </c>
      <c r="N13" s="47"/>
      <c r="O13" s="47" t="s">
        <v>437</v>
      </c>
      <c r="R13" s="47" t="s">
        <v>454</v>
      </c>
      <c r="S13" s="47"/>
      <c r="T13" s="47"/>
    </row>
    <row r="14" spans="1:20" x14ac:dyDescent="0.25">
      <c r="A14" s="47" t="s">
        <v>455</v>
      </c>
      <c r="B14" s="47" t="s">
        <v>426</v>
      </c>
      <c r="C14" s="47">
        <v>1</v>
      </c>
      <c r="D14" s="47"/>
      <c r="E14" s="47"/>
      <c r="F14" s="47">
        <v>1</v>
      </c>
      <c r="J14" t="s">
        <v>456</v>
      </c>
      <c r="K14" t="s">
        <v>429</v>
      </c>
      <c r="N14" s="47"/>
      <c r="O14" s="47" t="s">
        <v>441</v>
      </c>
      <c r="R14" s="47" t="s">
        <v>457</v>
      </c>
      <c r="S14" s="47"/>
      <c r="T14" s="47"/>
    </row>
    <row r="15" spans="1:20" x14ac:dyDescent="0.25">
      <c r="A15" s="47" t="s">
        <v>458</v>
      </c>
      <c r="B15" s="47" t="s">
        <v>426</v>
      </c>
      <c r="C15" s="47">
        <v>1</v>
      </c>
      <c r="D15" s="47"/>
      <c r="E15" s="47"/>
      <c r="F15" s="47">
        <v>1</v>
      </c>
      <c r="J15" t="s">
        <v>456</v>
      </c>
      <c r="K15" t="s">
        <v>429</v>
      </c>
      <c r="N15" s="47"/>
      <c r="O15" s="47" t="s">
        <v>445</v>
      </c>
      <c r="R15" s="47" t="s">
        <v>459</v>
      </c>
      <c r="S15" s="47"/>
      <c r="T15" s="47"/>
    </row>
    <row r="16" spans="1:20" x14ac:dyDescent="0.25">
      <c r="A16" s="47" t="s">
        <v>460</v>
      </c>
      <c r="B16" s="47" t="s">
        <v>426</v>
      </c>
      <c r="C16" s="47" t="s">
        <v>461</v>
      </c>
      <c r="D16" s="47"/>
      <c r="E16" s="47"/>
      <c r="F16" s="47">
        <v>1</v>
      </c>
      <c r="J16" t="s">
        <v>456</v>
      </c>
      <c r="K16" t="s">
        <v>429</v>
      </c>
      <c r="N16" s="47"/>
      <c r="O16" s="47" t="s">
        <v>447</v>
      </c>
      <c r="R16" s="47" t="s">
        <v>462</v>
      </c>
      <c r="S16" s="47"/>
      <c r="T16" s="47"/>
    </row>
    <row r="17" spans="1:20" x14ac:dyDescent="0.25">
      <c r="A17" s="47" t="s">
        <v>463</v>
      </c>
      <c r="B17" s="47" t="s">
        <v>426</v>
      </c>
      <c r="C17" s="47">
        <v>1</v>
      </c>
      <c r="D17" s="47"/>
      <c r="E17" s="47"/>
      <c r="F17" s="47">
        <v>1</v>
      </c>
      <c r="J17" t="s">
        <v>456</v>
      </c>
      <c r="K17" t="s">
        <v>429</v>
      </c>
      <c r="N17" s="47"/>
      <c r="O17" s="47" t="s">
        <v>450</v>
      </c>
      <c r="R17" s="47" t="s">
        <v>464</v>
      </c>
      <c r="S17" s="47"/>
      <c r="T17" s="47"/>
    </row>
    <row r="18" spans="1:20" x14ac:dyDescent="0.25">
      <c r="A18" s="47" t="s">
        <v>465</v>
      </c>
      <c r="B18" s="47" t="s">
        <v>426</v>
      </c>
      <c r="C18" s="47">
        <v>1</v>
      </c>
      <c r="D18" s="47"/>
      <c r="E18" s="47"/>
      <c r="F18" s="47">
        <v>1</v>
      </c>
      <c r="J18" t="s">
        <v>456</v>
      </c>
      <c r="K18" t="s">
        <v>429</v>
      </c>
      <c r="N18" s="47"/>
      <c r="O18" s="47" t="s">
        <v>452</v>
      </c>
      <c r="R18" s="47" t="s">
        <v>466</v>
      </c>
      <c r="S18" s="47"/>
      <c r="T18" s="47"/>
    </row>
    <row r="19" spans="1:20" x14ac:dyDescent="0.25">
      <c r="A19" s="47" t="s">
        <v>467</v>
      </c>
      <c r="B19" s="47" t="s">
        <v>426</v>
      </c>
      <c r="C19" s="47" t="s">
        <v>461</v>
      </c>
      <c r="D19" s="47"/>
      <c r="E19" s="47"/>
      <c r="F19" s="47">
        <v>1</v>
      </c>
      <c r="J19" t="s">
        <v>456</v>
      </c>
      <c r="K19" t="s">
        <v>429</v>
      </c>
      <c r="N19" s="47"/>
      <c r="O19" s="47" t="s">
        <v>453</v>
      </c>
      <c r="R19" s="47" t="s">
        <v>468</v>
      </c>
      <c r="S19" s="47"/>
      <c r="T19" s="47"/>
    </row>
    <row r="20" spans="1:20" x14ac:dyDescent="0.25">
      <c r="A20" s="47" t="s">
        <v>469</v>
      </c>
      <c r="B20" s="47" t="s">
        <v>426</v>
      </c>
      <c r="C20" s="47">
        <v>1</v>
      </c>
      <c r="D20" s="47"/>
      <c r="E20" s="47"/>
      <c r="F20" s="47">
        <v>1</v>
      </c>
      <c r="J20" t="s">
        <v>456</v>
      </c>
      <c r="K20" t="s">
        <v>429</v>
      </c>
      <c r="N20" s="47"/>
      <c r="O20" s="47" t="s">
        <v>454</v>
      </c>
      <c r="R20" s="47" t="s">
        <v>470</v>
      </c>
      <c r="S20" s="47"/>
      <c r="T20" s="47"/>
    </row>
    <row r="21" spans="1:20" x14ac:dyDescent="0.25">
      <c r="A21" s="47" t="s">
        <v>471</v>
      </c>
      <c r="B21" s="47" t="s">
        <v>426</v>
      </c>
      <c r="C21" s="47">
        <v>1</v>
      </c>
      <c r="D21" s="47"/>
      <c r="E21" s="47"/>
      <c r="F21" s="47">
        <v>1</v>
      </c>
      <c r="J21" t="s">
        <v>456</v>
      </c>
      <c r="K21" t="s">
        <v>429</v>
      </c>
      <c r="N21" s="47"/>
      <c r="O21" s="47" t="s">
        <v>457</v>
      </c>
      <c r="R21" s="47" t="s">
        <v>472</v>
      </c>
      <c r="S21" s="47"/>
      <c r="T21" s="47"/>
    </row>
    <row r="22" spans="1:20" x14ac:dyDescent="0.25">
      <c r="A22" s="47" t="s">
        <v>473</v>
      </c>
      <c r="B22" s="47" t="s">
        <v>426</v>
      </c>
      <c r="C22" s="47" t="s">
        <v>461</v>
      </c>
      <c r="D22" s="47"/>
      <c r="E22" s="47"/>
      <c r="F22" s="47">
        <v>1</v>
      </c>
      <c r="J22" t="s">
        <v>456</v>
      </c>
      <c r="K22" t="s">
        <v>429</v>
      </c>
      <c r="N22" s="47"/>
      <c r="O22" s="47" t="s">
        <v>459</v>
      </c>
      <c r="R22" s="47" t="s">
        <v>474</v>
      </c>
      <c r="S22" s="47"/>
      <c r="T22" s="47"/>
    </row>
    <row r="23" spans="1:20" x14ac:dyDescent="0.25">
      <c r="A23" s="47" t="s">
        <v>475</v>
      </c>
      <c r="B23" s="47" t="s">
        <v>426</v>
      </c>
      <c r="C23" s="47">
        <v>1</v>
      </c>
      <c r="D23" s="47"/>
      <c r="E23" s="47"/>
      <c r="F23" s="47">
        <v>1</v>
      </c>
      <c r="J23" t="s">
        <v>456</v>
      </c>
      <c r="K23" t="s">
        <v>429</v>
      </c>
      <c r="N23" s="47"/>
      <c r="O23" s="47" t="s">
        <v>466</v>
      </c>
      <c r="R23" s="47" t="s">
        <v>476</v>
      </c>
      <c r="S23" s="47"/>
      <c r="T23" s="47"/>
    </row>
    <row r="24" spans="1:20" x14ac:dyDescent="0.25">
      <c r="A24" s="47" t="s">
        <v>477</v>
      </c>
      <c r="B24" s="47" t="s">
        <v>426</v>
      </c>
      <c r="C24" s="47">
        <v>1</v>
      </c>
      <c r="D24" s="47"/>
      <c r="E24" s="47"/>
      <c r="F24" s="47">
        <v>1</v>
      </c>
      <c r="J24" t="s">
        <v>456</v>
      </c>
      <c r="K24" t="s">
        <v>429</v>
      </c>
      <c r="N24" s="47"/>
      <c r="O24" s="47" t="s">
        <v>470</v>
      </c>
      <c r="R24" s="47" t="s">
        <v>478</v>
      </c>
      <c r="S24" s="47"/>
      <c r="T24" s="47"/>
    </row>
    <row r="25" spans="1:20" x14ac:dyDescent="0.25">
      <c r="A25" s="47" t="s">
        <v>479</v>
      </c>
      <c r="B25" s="47" t="s">
        <v>426</v>
      </c>
      <c r="C25" s="47" t="s">
        <v>461</v>
      </c>
      <c r="D25" s="47"/>
      <c r="E25" s="47"/>
      <c r="F25" s="47">
        <v>1</v>
      </c>
      <c r="J25" t="s">
        <v>456</v>
      </c>
      <c r="K25" t="s">
        <v>429</v>
      </c>
      <c r="N25" s="47"/>
      <c r="O25" s="47" t="s">
        <v>474</v>
      </c>
      <c r="R25" s="47" t="s">
        <v>480</v>
      </c>
      <c r="S25" s="47"/>
      <c r="T25" s="47"/>
    </row>
    <row r="26" spans="1:20" x14ac:dyDescent="0.25">
      <c r="A26" s="47" t="s">
        <v>481</v>
      </c>
      <c r="B26" s="47" t="s">
        <v>426</v>
      </c>
      <c r="C26" s="47">
        <v>1</v>
      </c>
      <c r="D26" s="47"/>
      <c r="E26" s="47"/>
      <c r="F26" s="47">
        <v>1</v>
      </c>
      <c r="J26" t="s">
        <v>456</v>
      </c>
      <c r="K26" t="s">
        <v>429</v>
      </c>
      <c r="N26" s="47"/>
      <c r="O26" s="47" t="s">
        <v>478</v>
      </c>
      <c r="R26" s="47" t="s">
        <v>482</v>
      </c>
      <c r="S26" s="47"/>
      <c r="T26" s="47"/>
    </row>
    <row r="27" spans="1:20" x14ac:dyDescent="0.25">
      <c r="A27" s="47" t="s">
        <v>483</v>
      </c>
      <c r="B27" s="47" t="s">
        <v>426</v>
      </c>
      <c r="C27" s="47">
        <v>1</v>
      </c>
      <c r="D27" s="47"/>
      <c r="E27" s="47"/>
      <c r="F27" s="47">
        <v>1</v>
      </c>
      <c r="J27" t="s">
        <v>456</v>
      </c>
      <c r="K27" t="s">
        <v>429</v>
      </c>
      <c r="N27" s="47"/>
      <c r="O27" s="47" t="s">
        <v>480</v>
      </c>
      <c r="R27" s="47" t="s">
        <v>484</v>
      </c>
      <c r="S27" s="47"/>
      <c r="T27" s="47"/>
    </row>
    <row r="28" spans="1:20" x14ac:dyDescent="0.25">
      <c r="A28" s="47" t="s">
        <v>485</v>
      </c>
      <c r="B28" s="47" t="s">
        <v>426</v>
      </c>
      <c r="C28" s="47" t="s">
        <v>461</v>
      </c>
      <c r="D28" s="47"/>
      <c r="E28" s="47"/>
      <c r="F28" s="47">
        <v>1</v>
      </c>
      <c r="J28" t="s">
        <v>456</v>
      </c>
      <c r="K28" t="s">
        <v>429</v>
      </c>
      <c r="N28" s="47"/>
      <c r="O28" s="47" t="s">
        <v>482</v>
      </c>
      <c r="R28" s="47" t="s">
        <v>486</v>
      </c>
      <c r="S28" s="47"/>
      <c r="T28" s="47"/>
    </row>
    <row r="29" spans="1:20" x14ac:dyDescent="0.25">
      <c r="A29" s="47" t="s">
        <v>487</v>
      </c>
      <c r="B29" s="47" t="s">
        <v>426</v>
      </c>
      <c r="C29" s="47">
        <v>1</v>
      </c>
      <c r="D29" s="47"/>
      <c r="E29" s="47"/>
      <c r="F29" s="47">
        <v>1</v>
      </c>
      <c r="J29" t="s">
        <v>456</v>
      </c>
      <c r="K29" t="s">
        <v>429</v>
      </c>
      <c r="N29" s="47"/>
      <c r="O29" s="47" t="s">
        <v>484</v>
      </c>
      <c r="R29" s="47" t="s">
        <v>488</v>
      </c>
      <c r="S29" s="47"/>
      <c r="T29" s="47"/>
    </row>
    <row r="30" spans="1:20" x14ac:dyDescent="0.25">
      <c r="A30" s="47" t="s">
        <v>489</v>
      </c>
      <c r="B30" s="47" t="s">
        <v>426</v>
      </c>
      <c r="C30" s="47">
        <v>1</v>
      </c>
      <c r="D30" s="47"/>
      <c r="E30" s="47"/>
      <c r="F30" s="47">
        <v>1</v>
      </c>
      <c r="J30" t="s">
        <v>456</v>
      </c>
      <c r="K30" t="s">
        <v>429</v>
      </c>
      <c r="N30" s="47"/>
      <c r="O30" s="47" t="s">
        <v>486</v>
      </c>
      <c r="R30" s="47" t="s">
        <v>490</v>
      </c>
      <c r="S30" s="47"/>
      <c r="T30" s="47"/>
    </row>
    <row r="31" spans="1:20" x14ac:dyDescent="0.25">
      <c r="A31" s="47" t="s">
        <v>491</v>
      </c>
      <c r="B31" s="47" t="s">
        <v>426</v>
      </c>
      <c r="C31" s="47" t="s">
        <v>461</v>
      </c>
      <c r="D31" s="47"/>
      <c r="E31" s="47"/>
      <c r="F31" s="47">
        <v>1</v>
      </c>
      <c r="J31" t="s">
        <v>456</v>
      </c>
      <c r="K31" t="s">
        <v>429</v>
      </c>
      <c r="N31" s="47"/>
      <c r="O31" s="47" t="s">
        <v>488</v>
      </c>
      <c r="R31" s="47" t="s">
        <v>492</v>
      </c>
      <c r="S31" s="47"/>
      <c r="T31" s="47"/>
    </row>
    <row r="32" spans="1:20" x14ac:dyDescent="0.25">
      <c r="A32" s="47" t="s">
        <v>493</v>
      </c>
      <c r="B32" s="47" t="s">
        <v>426</v>
      </c>
      <c r="C32" s="47">
        <v>1</v>
      </c>
      <c r="D32" s="47"/>
      <c r="E32" s="47"/>
      <c r="F32" s="47">
        <v>1</v>
      </c>
      <c r="J32" t="s">
        <v>456</v>
      </c>
      <c r="K32" t="s">
        <v>429</v>
      </c>
      <c r="N32" s="47"/>
      <c r="O32" s="47" t="s">
        <v>490</v>
      </c>
      <c r="R32" s="47" t="s">
        <v>494</v>
      </c>
      <c r="S32" s="47"/>
      <c r="T32" s="47"/>
    </row>
    <row r="33" spans="1:20" x14ac:dyDescent="0.25">
      <c r="A33" s="47" t="s">
        <v>495</v>
      </c>
      <c r="B33" s="47" t="s">
        <v>426</v>
      </c>
      <c r="C33" s="47">
        <v>1</v>
      </c>
      <c r="D33" s="47"/>
      <c r="E33" s="47"/>
      <c r="F33" s="47">
        <v>1</v>
      </c>
      <c r="J33" t="s">
        <v>456</v>
      </c>
      <c r="K33" t="s">
        <v>429</v>
      </c>
      <c r="N33" s="47"/>
      <c r="O33" s="47" t="s">
        <v>496</v>
      </c>
      <c r="R33" s="47" t="s">
        <v>497</v>
      </c>
      <c r="S33" s="47"/>
      <c r="T33" s="47"/>
    </row>
    <row r="34" spans="1:20" x14ac:dyDescent="0.25">
      <c r="A34" s="47" t="s">
        <v>498</v>
      </c>
      <c r="B34" s="47" t="s">
        <v>426</v>
      </c>
      <c r="C34" s="47" t="s">
        <v>461</v>
      </c>
      <c r="D34" s="47"/>
      <c r="E34" s="47"/>
      <c r="F34" s="47">
        <v>1</v>
      </c>
      <c r="J34" t="s">
        <v>456</v>
      </c>
      <c r="K34" t="s">
        <v>429</v>
      </c>
      <c r="N34" s="47"/>
      <c r="O34" s="47" t="s">
        <v>499</v>
      </c>
      <c r="R34" s="47" t="s">
        <v>500</v>
      </c>
      <c r="S34" s="47"/>
      <c r="T34" s="47"/>
    </row>
    <row r="35" spans="1:20" x14ac:dyDescent="0.25">
      <c r="A35" s="47" t="s">
        <v>501</v>
      </c>
      <c r="B35" s="47" t="s">
        <v>426</v>
      </c>
      <c r="C35" s="47">
        <v>1</v>
      </c>
      <c r="D35" s="47"/>
      <c r="E35" s="47"/>
      <c r="F35" s="47">
        <v>1</v>
      </c>
      <c r="J35" t="s">
        <v>456</v>
      </c>
      <c r="K35" t="s">
        <v>429</v>
      </c>
      <c r="N35" s="47"/>
      <c r="O35" s="47" t="s">
        <v>502</v>
      </c>
      <c r="R35" s="47" t="s">
        <v>503</v>
      </c>
      <c r="S35" s="47"/>
      <c r="T35" s="47"/>
    </row>
    <row r="36" spans="1:20" x14ac:dyDescent="0.25">
      <c r="A36" s="47" t="s">
        <v>504</v>
      </c>
      <c r="B36" s="47" t="s">
        <v>426</v>
      </c>
      <c r="C36" s="47">
        <v>1</v>
      </c>
      <c r="D36" s="47"/>
      <c r="E36" s="47"/>
      <c r="F36" s="47">
        <v>1</v>
      </c>
      <c r="J36" t="s">
        <v>456</v>
      </c>
      <c r="K36" t="s">
        <v>429</v>
      </c>
      <c r="N36" s="47"/>
      <c r="O36" s="47" t="s">
        <v>505</v>
      </c>
      <c r="R36" s="47" t="s">
        <v>506</v>
      </c>
      <c r="S36" s="47"/>
      <c r="T36" s="47"/>
    </row>
    <row r="37" spans="1:20" x14ac:dyDescent="0.25">
      <c r="A37" s="47" t="s">
        <v>507</v>
      </c>
      <c r="B37" s="47" t="s">
        <v>426</v>
      </c>
      <c r="C37" s="47" t="s">
        <v>461</v>
      </c>
      <c r="D37" s="47"/>
      <c r="E37" s="47"/>
      <c r="F37" s="47">
        <v>1</v>
      </c>
      <c r="J37" t="s">
        <v>456</v>
      </c>
      <c r="K37" t="s">
        <v>429</v>
      </c>
      <c r="N37" s="47"/>
      <c r="O37" s="47" t="s">
        <v>508</v>
      </c>
      <c r="R37" s="47" t="s">
        <v>496</v>
      </c>
      <c r="S37" s="47"/>
      <c r="T37" s="47"/>
    </row>
    <row r="38" spans="1:20" x14ac:dyDescent="0.25">
      <c r="A38" s="47" t="s">
        <v>509</v>
      </c>
      <c r="B38" s="47" t="s">
        <v>426</v>
      </c>
      <c r="C38" s="47">
        <v>1</v>
      </c>
      <c r="D38" s="47"/>
      <c r="E38" s="47"/>
      <c r="F38" s="47">
        <v>1</v>
      </c>
      <c r="J38" t="s">
        <v>456</v>
      </c>
      <c r="K38" t="s">
        <v>429</v>
      </c>
      <c r="N38" s="47"/>
      <c r="O38" s="47" t="s">
        <v>510</v>
      </c>
      <c r="R38" s="47" t="s">
        <v>499</v>
      </c>
      <c r="S38" s="47"/>
      <c r="T38" s="47"/>
    </row>
    <row r="39" spans="1:20" x14ac:dyDescent="0.25">
      <c r="A39" s="47" t="s">
        <v>511</v>
      </c>
      <c r="B39" s="47" t="s">
        <v>426</v>
      </c>
      <c r="C39" s="47">
        <v>1</v>
      </c>
      <c r="D39" s="47"/>
      <c r="E39" s="47"/>
      <c r="F39" s="47">
        <v>1</v>
      </c>
      <c r="J39" t="s">
        <v>456</v>
      </c>
      <c r="K39" t="s">
        <v>429</v>
      </c>
      <c r="N39" s="47"/>
      <c r="O39" s="47" t="s">
        <v>512</v>
      </c>
      <c r="R39" s="47" t="s">
        <v>502</v>
      </c>
      <c r="S39" s="47"/>
      <c r="T39" s="47"/>
    </row>
    <row r="40" spans="1:20" x14ac:dyDescent="0.25">
      <c r="A40" s="47" t="s">
        <v>513</v>
      </c>
      <c r="B40" s="47" t="s">
        <v>426</v>
      </c>
      <c r="C40" s="47">
        <v>1</v>
      </c>
      <c r="D40" s="47"/>
      <c r="E40" s="47"/>
      <c r="F40" s="47">
        <v>1</v>
      </c>
      <c r="J40" t="s">
        <v>456</v>
      </c>
      <c r="K40" t="s">
        <v>429</v>
      </c>
      <c r="N40" s="47"/>
      <c r="O40" s="47" t="s">
        <v>514</v>
      </c>
      <c r="R40" s="47" t="s">
        <v>505</v>
      </c>
      <c r="S40" s="47"/>
      <c r="T40" s="47"/>
    </row>
    <row r="41" spans="1:20" x14ac:dyDescent="0.25">
      <c r="A41" s="47" t="s">
        <v>515</v>
      </c>
      <c r="B41" s="47" t="s">
        <v>426</v>
      </c>
      <c r="C41" s="47">
        <v>1</v>
      </c>
      <c r="D41" s="47"/>
      <c r="E41" s="47"/>
      <c r="F41" s="47">
        <v>1</v>
      </c>
      <c r="J41" t="s">
        <v>456</v>
      </c>
      <c r="K41" t="s">
        <v>429</v>
      </c>
      <c r="N41" s="47"/>
      <c r="O41" s="47" t="s">
        <v>516</v>
      </c>
      <c r="R41" s="47" t="s">
        <v>508</v>
      </c>
      <c r="S41" s="47"/>
      <c r="T41" s="47"/>
    </row>
    <row r="42" spans="1:20" x14ac:dyDescent="0.25">
      <c r="A42" s="47" t="s">
        <v>517</v>
      </c>
      <c r="B42" s="47" t="s">
        <v>426</v>
      </c>
      <c r="C42" s="47" t="s">
        <v>461</v>
      </c>
      <c r="D42" s="47"/>
      <c r="E42" s="47"/>
      <c r="F42" s="47">
        <v>1</v>
      </c>
      <c r="J42" t="s">
        <v>456</v>
      </c>
      <c r="K42" t="s">
        <v>429</v>
      </c>
      <c r="N42" s="47"/>
      <c r="O42" s="47" t="s">
        <v>518</v>
      </c>
      <c r="R42" s="47" t="s">
        <v>510</v>
      </c>
      <c r="S42" s="47"/>
      <c r="T42" s="47"/>
    </row>
    <row r="43" spans="1:20" x14ac:dyDescent="0.25">
      <c r="A43" s="47" t="s">
        <v>519</v>
      </c>
      <c r="B43" s="47" t="s">
        <v>426</v>
      </c>
      <c r="C43" s="47" t="s">
        <v>520</v>
      </c>
      <c r="D43" s="47"/>
      <c r="E43" s="47"/>
      <c r="F43" s="47">
        <v>1</v>
      </c>
      <c r="J43" t="s">
        <v>521</v>
      </c>
      <c r="K43" t="s">
        <v>429</v>
      </c>
      <c r="N43" s="47"/>
      <c r="O43" s="47" t="s">
        <v>522</v>
      </c>
      <c r="R43" s="47" t="s">
        <v>512</v>
      </c>
      <c r="S43" s="47"/>
      <c r="T43" s="47"/>
    </row>
    <row r="44" spans="1:20" x14ac:dyDescent="0.25">
      <c r="A44" s="47" t="s">
        <v>523</v>
      </c>
      <c r="B44" s="47" t="s">
        <v>426</v>
      </c>
      <c r="C44" s="47" t="s">
        <v>520</v>
      </c>
      <c r="D44" s="47"/>
      <c r="E44" s="47"/>
      <c r="F44" s="47">
        <v>1</v>
      </c>
      <c r="J44" t="s">
        <v>521</v>
      </c>
      <c r="K44" t="s">
        <v>429</v>
      </c>
      <c r="N44" s="47"/>
      <c r="O44" s="47" t="s">
        <v>524</v>
      </c>
      <c r="R44" s="47" t="s">
        <v>514</v>
      </c>
      <c r="S44" s="47"/>
      <c r="T44" s="47"/>
    </row>
    <row r="45" spans="1:20" x14ac:dyDescent="0.25">
      <c r="A45" s="47" t="s">
        <v>525</v>
      </c>
      <c r="B45" s="47" t="s">
        <v>426</v>
      </c>
      <c r="C45" s="47" t="s">
        <v>520</v>
      </c>
      <c r="D45" s="47"/>
      <c r="E45" s="47"/>
      <c r="F45" s="47">
        <v>1</v>
      </c>
      <c r="J45" t="s">
        <v>521</v>
      </c>
      <c r="K45" t="s">
        <v>429</v>
      </c>
      <c r="N45" s="47"/>
      <c r="O45" s="47" t="s">
        <v>526</v>
      </c>
      <c r="R45" s="47" t="s">
        <v>516</v>
      </c>
      <c r="S45" s="47"/>
      <c r="T45" s="47"/>
    </row>
    <row r="46" spans="1:20" x14ac:dyDescent="0.25">
      <c r="A46" s="47" t="s">
        <v>527</v>
      </c>
      <c r="B46" s="47" t="s">
        <v>426</v>
      </c>
      <c r="C46" s="47" t="s">
        <v>520</v>
      </c>
      <c r="D46" s="47"/>
      <c r="E46" s="47"/>
      <c r="F46" s="47">
        <v>1</v>
      </c>
      <c r="J46" t="s">
        <v>521</v>
      </c>
      <c r="K46" t="s">
        <v>429</v>
      </c>
      <c r="N46" s="47"/>
      <c r="O46" s="47" t="s">
        <v>528</v>
      </c>
      <c r="R46" s="47" t="s">
        <v>518</v>
      </c>
      <c r="S46" s="47"/>
      <c r="T46" s="47"/>
    </row>
    <row r="47" spans="1:20" x14ac:dyDescent="0.25">
      <c r="A47" s="47" t="s">
        <v>529</v>
      </c>
      <c r="B47" s="47" t="s">
        <v>426</v>
      </c>
      <c r="C47" s="47">
        <v>1</v>
      </c>
      <c r="D47" s="47"/>
      <c r="E47" s="47"/>
      <c r="F47" s="47">
        <v>1</v>
      </c>
      <c r="J47" t="s">
        <v>456</v>
      </c>
      <c r="K47" t="s">
        <v>429</v>
      </c>
      <c r="N47" s="47"/>
      <c r="O47" s="47" t="s">
        <v>530</v>
      </c>
      <c r="R47" s="47" t="s">
        <v>522</v>
      </c>
      <c r="S47" s="47"/>
      <c r="T47" s="47"/>
    </row>
    <row r="48" spans="1:20" x14ac:dyDescent="0.25">
      <c r="A48" s="47" t="s">
        <v>531</v>
      </c>
      <c r="B48" s="47" t="s">
        <v>426</v>
      </c>
      <c r="C48" s="47" t="s">
        <v>461</v>
      </c>
      <c r="D48" s="47"/>
      <c r="E48" s="47"/>
      <c r="F48" s="47">
        <v>1</v>
      </c>
      <c r="J48" t="s">
        <v>456</v>
      </c>
      <c r="K48" t="s">
        <v>429</v>
      </c>
      <c r="N48" s="47"/>
      <c r="O48" s="47" t="s">
        <v>532</v>
      </c>
      <c r="R48" s="47" t="s">
        <v>524</v>
      </c>
      <c r="S48" s="47"/>
      <c r="T48" s="47"/>
    </row>
    <row r="49" spans="1:20" x14ac:dyDescent="0.25">
      <c r="A49" s="47" t="s">
        <v>533</v>
      </c>
      <c r="B49" s="47" t="s">
        <v>426</v>
      </c>
      <c r="C49" s="47">
        <v>1</v>
      </c>
      <c r="D49" s="47"/>
      <c r="E49" s="47"/>
      <c r="F49" s="47">
        <v>1</v>
      </c>
      <c r="J49" t="s">
        <v>456</v>
      </c>
      <c r="K49" t="s">
        <v>429</v>
      </c>
      <c r="N49" s="47"/>
      <c r="O49" s="47" t="s">
        <v>534</v>
      </c>
      <c r="R49" s="47" t="s">
        <v>526</v>
      </c>
      <c r="S49" s="47"/>
      <c r="T49" s="47"/>
    </row>
    <row r="50" spans="1:20" x14ac:dyDescent="0.25">
      <c r="A50" s="47" t="s">
        <v>535</v>
      </c>
      <c r="B50" s="47" t="s">
        <v>426</v>
      </c>
      <c r="C50" s="47">
        <v>1</v>
      </c>
      <c r="D50" s="47"/>
      <c r="E50" s="47"/>
      <c r="F50" s="47">
        <v>1</v>
      </c>
      <c r="J50" t="s">
        <v>456</v>
      </c>
      <c r="K50" t="s">
        <v>429</v>
      </c>
      <c r="N50" s="47"/>
      <c r="O50" s="47" t="s">
        <v>536</v>
      </c>
      <c r="R50" s="47" t="s">
        <v>528</v>
      </c>
      <c r="S50" s="47"/>
      <c r="T50" s="47"/>
    </row>
    <row r="51" spans="1:20" x14ac:dyDescent="0.25">
      <c r="A51" s="47" t="s">
        <v>537</v>
      </c>
      <c r="B51" s="47" t="s">
        <v>426</v>
      </c>
      <c r="C51" s="47">
        <v>1</v>
      </c>
      <c r="D51" s="47"/>
      <c r="E51" s="47"/>
      <c r="F51" s="47">
        <v>1</v>
      </c>
      <c r="J51" t="s">
        <v>456</v>
      </c>
      <c r="K51" t="s">
        <v>429</v>
      </c>
      <c r="N51" s="47"/>
      <c r="O51" s="47" t="s">
        <v>538</v>
      </c>
      <c r="R51" s="47" t="s">
        <v>530</v>
      </c>
      <c r="S51" s="47"/>
      <c r="T51" s="47"/>
    </row>
    <row r="52" spans="1:20" x14ac:dyDescent="0.25">
      <c r="A52" s="47" t="s">
        <v>539</v>
      </c>
      <c r="B52" s="47" t="s">
        <v>426</v>
      </c>
      <c r="C52" s="47" t="s">
        <v>461</v>
      </c>
      <c r="D52" s="47"/>
      <c r="E52" s="47"/>
      <c r="F52" s="47">
        <v>1</v>
      </c>
      <c r="J52" t="s">
        <v>456</v>
      </c>
      <c r="K52" t="s">
        <v>429</v>
      </c>
      <c r="N52" s="47"/>
      <c r="O52" s="47" t="s">
        <v>540</v>
      </c>
      <c r="R52" s="47" t="s">
        <v>532</v>
      </c>
      <c r="S52" s="47"/>
      <c r="T52" s="47"/>
    </row>
    <row r="53" spans="1:20" x14ac:dyDescent="0.25">
      <c r="A53" s="47" t="s">
        <v>541</v>
      </c>
      <c r="B53" s="47" t="s">
        <v>426</v>
      </c>
      <c r="C53" s="47">
        <v>1</v>
      </c>
      <c r="D53" s="47"/>
      <c r="E53" s="47"/>
      <c r="F53" s="47">
        <v>1</v>
      </c>
      <c r="J53" t="s">
        <v>456</v>
      </c>
      <c r="K53" t="s">
        <v>429</v>
      </c>
      <c r="N53" s="47"/>
      <c r="O53" s="47" t="s">
        <v>542</v>
      </c>
      <c r="R53" s="47" t="s">
        <v>534</v>
      </c>
      <c r="S53" s="47"/>
      <c r="T53" s="47"/>
    </row>
    <row r="54" spans="1:20" x14ac:dyDescent="0.25">
      <c r="A54" s="47" t="s">
        <v>543</v>
      </c>
      <c r="B54" s="47" t="s">
        <v>426</v>
      </c>
      <c r="C54" s="47" t="s">
        <v>461</v>
      </c>
      <c r="D54" s="47"/>
      <c r="E54" s="47"/>
      <c r="F54" s="47">
        <v>1</v>
      </c>
      <c r="J54" t="s">
        <v>456</v>
      </c>
      <c r="K54" t="s">
        <v>429</v>
      </c>
      <c r="N54" s="47"/>
      <c r="O54" s="47" t="s">
        <v>544</v>
      </c>
      <c r="R54" s="47" t="s">
        <v>536</v>
      </c>
      <c r="S54" s="47"/>
      <c r="T54" s="47"/>
    </row>
    <row r="55" spans="1:20" x14ac:dyDescent="0.25">
      <c r="A55" s="47" t="s">
        <v>545</v>
      </c>
      <c r="B55" s="47" t="s">
        <v>426</v>
      </c>
      <c r="C55" s="47">
        <v>1</v>
      </c>
      <c r="D55" s="47"/>
      <c r="E55" s="47"/>
      <c r="F55" s="47">
        <v>1</v>
      </c>
      <c r="J55" t="s">
        <v>456</v>
      </c>
      <c r="K55" t="s">
        <v>429</v>
      </c>
      <c r="N55" s="47"/>
      <c r="O55" s="47" t="s">
        <v>546</v>
      </c>
      <c r="R55" s="47" t="s">
        <v>538</v>
      </c>
      <c r="S55" s="47"/>
      <c r="T55" s="47"/>
    </row>
    <row r="56" spans="1:20" x14ac:dyDescent="0.25">
      <c r="A56" s="47" t="s">
        <v>430</v>
      </c>
      <c r="B56" s="47" t="s">
        <v>442</v>
      </c>
      <c r="C56" s="47">
        <v>2</v>
      </c>
      <c r="D56" s="47"/>
      <c r="E56" s="47"/>
      <c r="F56" s="47" t="s">
        <v>203</v>
      </c>
      <c r="G56" t="s">
        <v>547</v>
      </c>
      <c r="H56" t="s">
        <v>548</v>
      </c>
      <c r="J56" t="s">
        <v>549</v>
      </c>
      <c r="K56" t="s">
        <v>429</v>
      </c>
      <c r="N56" s="47"/>
      <c r="O56" s="47" t="s">
        <v>550</v>
      </c>
      <c r="R56" s="47" t="s">
        <v>540</v>
      </c>
      <c r="S56" s="47"/>
      <c r="T56" s="47"/>
    </row>
    <row r="57" spans="1:20" x14ac:dyDescent="0.25">
      <c r="A57" s="47" t="s">
        <v>434</v>
      </c>
      <c r="B57" s="47" t="s">
        <v>442</v>
      </c>
      <c r="C57" s="47">
        <v>2</v>
      </c>
      <c r="D57" s="47"/>
      <c r="E57" s="47"/>
      <c r="F57" s="47" t="s">
        <v>203</v>
      </c>
      <c r="G57" t="s">
        <v>547</v>
      </c>
      <c r="H57" t="s">
        <v>548</v>
      </c>
      <c r="J57" t="s">
        <v>549</v>
      </c>
      <c r="K57" t="s">
        <v>429</v>
      </c>
      <c r="N57" s="47"/>
      <c r="O57" s="47" t="s">
        <v>551</v>
      </c>
      <c r="R57" s="47" t="s">
        <v>551</v>
      </c>
      <c r="S57" s="47"/>
      <c r="T57" s="47"/>
    </row>
    <row r="58" spans="1:20" x14ac:dyDescent="0.25">
      <c r="A58" s="47" t="s">
        <v>437</v>
      </c>
      <c r="B58" s="47" t="s">
        <v>442</v>
      </c>
      <c r="C58" s="47">
        <v>2</v>
      </c>
      <c r="D58" s="47"/>
      <c r="E58" s="47"/>
      <c r="F58" s="47" t="s">
        <v>203</v>
      </c>
      <c r="G58" t="s">
        <v>547</v>
      </c>
      <c r="H58" t="s">
        <v>548</v>
      </c>
      <c r="J58" t="s">
        <v>549</v>
      </c>
      <c r="K58" t="s">
        <v>429</v>
      </c>
      <c r="N58" s="47"/>
      <c r="O58" s="47" t="s">
        <v>552</v>
      </c>
      <c r="R58" s="47" t="s">
        <v>553</v>
      </c>
      <c r="S58" s="47"/>
      <c r="T58" s="47"/>
    </row>
    <row r="59" spans="1:20" x14ac:dyDescent="0.25">
      <c r="A59" s="47" t="s">
        <v>441</v>
      </c>
      <c r="B59" s="47" t="s">
        <v>442</v>
      </c>
      <c r="C59" s="47">
        <v>2</v>
      </c>
      <c r="D59" s="47"/>
      <c r="E59" s="47"/>
      <c r="F59" s="47" t="s">
        <v>203</v>
      </c>
      <c r="G59" t="s">
        <v>547</v>
      </c>
      <c r="H59" t="s">
        <v>548</v>
      </c>
      <c r="J59" t="s">
        <v>549</v>
      </c>
      <c r="K59" t="s">
        <v>429</v>
      </c>
      <c r="N59" s="47"/>
      <c r="O59" s="47" t="s">
        <v>554</v>
      </c>
      <c r="R59" s="47" t="s">
        <v>555</v>
      </c>
      <c r="T59" s="47"/>
    </row>
    <row r="60" spans="1:20" x14ac:dyDescent="0.25">
      <c r="A60" s="47" t="s">
        <v>445</v>
      </c>
      <c r="B60" s="47" t="s">
        <v>442</v>
      </c>
      <c r="C60" s="47">
        <v>2</v>
      </c>
      <c r="D60" s="47"/>
      <c r="E60" s="47"/>
      <c r="F60" s="47" t="s">
        <v>203</v>
      </c>
      <c r="G60" t="s">
        <v>547</v>
      </c>
      <c r="H60" t="s">
        <v>548</v>
      </c>
      <c r="J60" t="s">
        <v>549</v>
      </c>
      <c r="K60" t="s">
        <v>429</v>
      </c>
      <c r="N60" s="47"/>
      <c r="O60" s="47" t="s">
        <v>556</v>
      </c>
      <c r="R60" s="47" t="s">
        <v>557</v>
      </c>
      <c r="T60" s="47"/>
    </row>
    <row r="61" spans="1:20" x14ac:dyDescent="0.25">
      <c r="A61" s="47" t="s">
        <v>447</v>
      </c>
      <c r="B61" s="47" t="s">
        <v>442</v>
      </c>
      <c r="C61" s="47">
        <v>2</v>
      </c>
      <c r="D61" s="47"/>
      <c r="E61" s="47"/>
      <c r="F61" s="47" t="s">
        <v>203</v>
      </c>
      <c r="G61" s="47" t="s">
        <v>547</v>
      </c>
      <c r="H61" s="47" t="s">
        <v>548</v>
      </c>
      <c r="J61" t="s">
        <v>549</v>
      </c>
      <c r="K61" t="s">
        <v>429</v>
      </c>
      <c r="N61" s="47"/>
      <c r="O61" s="47" t="s">
        <v>558</v>
      </c>
      <c r="R61" s="47" t="s">
        <v>559</v>
      </c>
      <c r="T61" s="47"/>
    </row>
    <row r="62" spans="1:20" x14ac:dyDescent="0.25">
      <c r="A62" s="47" t="s">
        <v>450</v>
      </c>
      <c r="B62" s="47" t="s">
        <v>442</v>
      </c>
      <c r="C62" s="47">
        <v>2</v>
      </c>
      <c r="D62" s="47"/>
      <c r="E62" s="47"/>
      <c r="F62" s="47" t="s">
        <v>203</v>
      </c>
      <c r="G62" s="47" t="s">
        <v>547</v>
      </c>
      <c r="H62" s="47" t="s">
        <v>548</v>
      </c>
      <c r="J62" t="s">
        <v>549</v>
      </c>
      <c r="K62" t="s">
        <v>429</v>
      </c>
      <c r="N62" s="47"/>
      <c r="O62" s="47" t="s">
        <v>560</v>
      </c>
      <c r="R62" s="47" t="s">
        <v>561</v>
      </c>
      <c r="T62" s="47"/>
    </row>
    <row r="63" spans="1:20" x14ac:dyDescent="0.25">
      <c r="A63" s="47" t="s">
        <v>452</v>
      </c>
      <c r="B63" s="47" t="s">
        <v>442</v>
      </c>
      <c r="C63" s="47">
        <v>2</v>
      </c>
      <c r="D63" s="47"/>
      <c r="E63" s="47"/>
      <c r="F63" s="47" t="s">
        <v>203</v>
      </c>
      <c r="G63" s="47" t="s">
        <v>547</v>
      </c>
      <c r="H63" s="47" t="s">
        <v>548</v>
      </c>
      <c r="J63" t="s">
        <v>549</v>
      </c>
      <c r="K63" t="s">
        <v>429</v>
      </c>
      <c r="N63" s="47"/>
      <c r="O63" s="47" t="s">
        <v>562</v>
      </c>
      <c r="R63" s="47" t="s">
        <v>563</v>
      </c>
      <c r="T63" s="47"/>
    </row>
    <row r="64" spans="1:20" x14ac:dyDescent="0.25">
      <c r="A64" s="47" t="s">
        <v>453</v>
      </c>
      <c r="B64" s="47" t="s">
        <v>442</v>
      </c>
      <c r="C64" s="47">
        <v>2</v>
      </c>
      <c r="D64" s="47"/>
      <c r="E64" s="47"/>
      <c r="F64" s="47" t="s">
        <v>203</v>
      </c>
      <c r="G64" s="47" t="s">
        <v>547</v>
      </c>
      <c r="H64" s="47" t="s">
        <v>548</v>
      </c>
      <c r="J64" t="s">
        <v>549</v>
      </c>
      <c r="K64" t="s">
        <v>429</v>
      </c>
      <c r="N64" s="47"/>
      <c r="O64" s="47" t="s">
        <v>564</v>
      </c>
      <c r="R64" s="47" t="s">
        <v>565</v>
      </c>
      <c r="T64" s="47"/>
    </row>
    <row r="65" spans="1:20" x14ac:dyDescent="0.25">
      <c r="A65" s="47" t="s">
        <v>454</v>
      </c>
      <c r="B65" s="47" t="s">
        <v>442</v>
      </c>
      <c r="C65" s="47">
        <v>2</v>
      </c>
      <c r="D65" s="47"/>
      <c r="E65" s="47"/>
      <c r="F65" s="47" t="s">
        <v>203</v>
      </c>
      <c r="G65" s="47" t="s">
        <v>547</v>
      </c>
      <c r="H65" s="47" t="s">
        <v>548</v>
      </c>
      <c r="J65" t="s">
        <v>549</v>
      </c>
      <c r="K65" t="s">
        <v>429</v>
      </c>
      <c r="N65" s="47"/>
      <c r="O65" s="47" t="s">
        <v>566</v>
      </c>
      <c r="R65" s="47" t="s">
        <v>567</v>
      </c>
      <c r="T65" s="47"/>
    </row>
    <row r="66" spans="1:20" x14ac:dyDescent="0.25">
      <c r="A66" s="47" t="s">
        <v>457</v>
      </c>
      <c r="B66" s="47" t="s">
        <v>442</v>
      </c>
      <c r="C66" s="47">
        <v>3</v>
      </c>
      <c r="D66" s="47" t="s">
        <v>548</v>
      </c>
      <c r="E66" s="47" t="s">
        <v>568</v>
      </c>
      <c r="F66" s="47" t="s">
        <v>203</v>
      </c>
      <c r="G66" s="47" t="s">
        <v>547</v>
      </c>
      <c r="H66" s="47" t="s">
        <v>548</v>
      </c>
      <c r="I66" s="47" t="s">
        <v>569</v>
      </c>
      <c r="J66" t="s">
        <v>549</v>
      </c>
      <c r="K66" t="s">
        <v>570</v>
      </c>
      <c r="N66" s="47"/>
      <c r="O66" s="47" t="s">
        <v>555</v>
      </c>
      <c r="R66" s="47" t="s">
        <v>571</v>
      </c>
      <c r="T66" s="47"/>
    </row>
    <row r="67" spans="1:20" x14ac:dyDescent="0.25">
      <c r="A67" s="47" t="s">
        <v>459</v>
      </c>
      <c r="B67" s="47" t="s">
        <v>442</v>
      </c>
      <c r="C67" s="47">
        <v>3</v>
      </c>
      <c r="D67" s="47" t="s">
        <v>572</v>
      </c>
      <c r="E67" s="47" t="s">
        <v>573</v>
      </c>
      <c r="F67" s="47" t="s">
        <v>203</v>
      </c>
      <c r="G67" s="47" t="s">
        <v>574</v>
      </c>
      <c r="H67" s="47" t="s">
        <v>572</v>
      </c>
      <c r="I67" s="47" t="s">
        <v>575</v>
      </c>
      <c r="J67" t="s">
        <v>549</v>
      </c>
      <c r="K67" t="s">
        <v>570</v>
      </c>
      <c r="N67" s="47"/>
      <c r="O67" s="47" t="s">
        <v>557</v>
      </c>
      <c r="R67" s="47" t="s">
        <v>576</v>
      </c>
      <c r="T67" s="47"/>
    </row>
    <row r="68" spans="1:20" x14ac:dyDescent="0.25">
      <c r="A68" s="47" t="s">
        <v>462</v>
      </c>
      <c r="B68" s="47" t="s">
        <v>442</v>
      </c>
      <c r="C68" s="47" t="s">
        <v>461</v>
      </c>
      <c r="D68" s="47"/>
      <c r="E68" s="47"/>
      <c r="F68" s="47" t="s">
        <v>203</v>
      </c>
      <c r="J68" t="s">
        <v>549</v>
      </c>
      <c r="K68" t="s">
        <v>570</v>
      </c>
      <c r="N68" s="47"/>
      <c r="O68" s="47" t="s">
        <v>559</v>
      </c>
      <c r="R68" s="47" t="s">
        <v>577</v>
      </c>
      <c r="T68" s="47"/>
    </row>
    <row r="69" spans="1:20" x14ac:dyDescent="0.25">
      <c r="A69" s="47" t="s">
        <v>464</v>
      </c>
      <c r="B69" s="47" t="s">
        <v>442</v>
      </c>
      <c r="C69" s="47" t="s">
        <v>461</v>
      </c>
      <c r="D69" s="47"/>
      <c r="E69" s="47"/>
      <c r="F69" s="47" t="s">
        <v>203</v>
      </c>
      <c r="J69" t="s">
        <v>549</v>
      </c>
      <c r="K69" t="s">
        <v>570</v>
      </c>
      <c r="N69" s="47"/>
      <c r="O69" s="47" t="s">
        <v>561</v>
      </c>
      <c r="R69" s="47" t="s">
        <v>578</v>
      </c>
      <c r="T69" s="47"/>
    </row>
    <row r="70" spans="1:20" x14ac:dyDescent="0.25">
      <c r="A70" s="47" t="s">
        <v>466</v>
      </c>
      <c r="B70" s="47" t="s">
        <v>442</v>
      </c>
      <c r="C70" s="47">
        <v>3</v>
      </c>
      <c r="D70" s="47" t="s">
        <v>548</v>
      </c>
      <c r="E70" s="47" t="s">
        <v>568</v>
      </c>
      <c r="F70" s="47" t="s">
        <v>203</v>
      </c>
      <c r="G70" s="47" t="s">
        <v>547</v>
      </c>
      <c r="H70" s="47" t="s">
        <v>548</v>
      </c>
      <c r="I70" s="47" t="s">
        <v>569</v>
      </c>
      <c r="J70" t="s">
        <v>549</v>
      </c>
      <c r="K70" t="s">
        <v>570</v>
      </c>
      <c r="N70" s="47"/>
      <c r="O70" s="47" t="s">
        <v>563</v>
      </c>
      <c r="R70" s="47" t="s">
        <v>579</v>
      </c>
      <c r="T70" s="47"/>
    </row>
    <row r="71" spans="1:20" x14ac:dyDescent="0.25">
      <c r="A71" s="47" t="s">
        <v>468</v>
      </c>
      <c r="B71" s="47" t="s">
        <v>442</v>
      </c>
      <c r="C71" s="47" t="s">
        <v>461</v>
      </c>
      <c r="D71" s="47"/>
      <c r="E71" s="47"/>
      <c r="F71" s="47" t="s">
        <v>203</v>
      </c>
      <c r="J71" t="s">
        <v>549</v>
      </c>
      <c r="K71" t="s">
        <v>570</v>
      </c>
      <c r="N71" s="47"/>
      <c r="O71" s="47" t="s">
        <v>565</v>
      </c>
      <c r="R71" s="47" t="s">
        <v>580</v>
      </c>
      <c r="T71" s="47"/>
    </row>
    <row r="72" spans="1:20" x14ac:dyDescent="0.25">
      <c r="A72" s="47" t="s">
        <v>470</v>
      </c>
      <c r="B72" s="47" t="s">
        <v>442</v>
      </c>
      <c r="C72" s="47">
        <v>3</v>
      </c>
      <c r="D72" s="47" t="s">
        <v>548</v>
      </c>
      <c r="E72" s="47" t="s">
        <v>568</v>
      </c>
      <c r="F72" s="47" t="s">
        <v>203</v>
      </c>
      <c r="G72" s="47" t="s">
        <v>547</v>
      </c>
      <c r="H72" s="47" t="s">
        <v>548</v>
      </c>
      <c r="I72" s="47" t="s">
        <v>569</v>
      </c>
      <c r="J72" t="s">
        <v>549</v>
      </c>
      <c r="K72" t="s">
        <v>570</v>
      </c>
      <c r="N72" s="47"/>
      <c r="O72" s="47" t="s">
        <v>567</v>
      </c>
      <c r="R72" s="47" t="s">
        <v>581</v>
      </c>
      <c r="T72" s="47"/>
    </row>
    <row r="73" spans="1:20" x14ac:dyDescent="0.25">
      <c r="A73" s="47" t="s">
        <v>472</v>
      </c>
      <c r="B73" s="47" t="s">
        <v>442</v>
      </c>
      <c r="C73" s="47" t="s">
        <v>461</v>
      </c>
      <c r="D73" s="47"/>
      <c r="E73" s="47"/>
      <c r="F73" s="47" t="s">
        <v>203</v>
      </c>
      <c r="J73" t="s">
        <v>582</v>
      </c>
      <c r="K73" t="s">
        <v>570</v>
      </c>
      <c r="N73" s="47"/>
      <c r="O73" s="47" t="s">
        <v>571</v>
      </c>
      <c r="R73" s="47" t="s">
        <v>583</v>
      </c>
      <c r="T73" s="47"/>
    </row>
    <row r="74" spans="1:20" x14ac:dyDescent="0.25">
      <c r="A74" s="47" t="s">
        <v>474</v>
      </c>
      <c r="B74" s="47" t="s">
        <v>442</v>
      </c>
      <c r="C74" s="47">
        <v>3</v>
      </c>
      <c r="D74" s="47" t="s">
        <v>548</v>
      </c>
      <c r="E74" s="47" t="s">
        <v>568</v>
      </c>
      <c r="F74" s="47" t="s">
        <v>203</v>
      </c>
      <c r="G74" s="47" t="s">
        <v>547</v>
      </c>
      <c r="H74" s="47" t="s">
        <v>548</v>
      </c>
      <c r="I74" s="47" t="s">
        <v>569</v>
      </c>
      <c r="J74" t="s">
        <v>549</v>
      </c>
      <c r="K74" t="s">
        <v>570</v>
      </c>
      <c r="N74" s="47"/>
      <c r="O74" s="47" t="s">
        <v>576</v>
      </c>
      <c r="R74" s="47" t="s">
        <v>584</v>
      </c>
      <c r="T74" s="47"/>
    </row>
    <row r="75" spans="1:20" x14ac:dyDescent="0.25">
      <c r="A75" s="47" t="s">
        <v>476</v>
      </c>
      <c r="B75" s="47" t="s">
        <v>442</v>
      </c>
      <c r="C75" s="47" t="s">
        <v>461</v>
      </c>
      <c r="D75" s="47"/>
      <c r="E75" s="47"/>
      <c r="F75" s="47" t="s">
        <v>203</v>
      </c>
      <c r="J75" t="s">
        <v>549</v>
      </c>
      <c r="K75" t="s">
        <v>570</v>
      </c>
      <c r="N75" s="47"/>
      <c r="O75" s="47" t="s">
        <v>577</v>
      </c>
      <c r="R75" s="47" t="s">
        <v>585</v>
      </c>
      <c r="T75" s="47"/>
    </row>
    <row r="76" spans="1:20" x14ac:dyDescent="0.25">
      <c r="A76" s="47" t="s">
        <v>478</v>
      </c>
      <c r="B76" s="47" t="s">
        <v>442</v>
      </c>
      <c r="C76" s="47">
        <v>3</v>
      </c>
      <c r="D76" s="47" t="s">
        <v>548</v>
      </c>
      <c r="E76" s="47" t="s">
        <v>568</v>
      </c>
      <c r="F76" s="47" t="s">
        <v>203</v>
      </c>
      <c r="G76" s="47" t="s">
        <v>547</v>
      </c>
      <c r="H76" s="47" t="s">
        <v>548</v>
      </c>
      <c r="I76" s="47" t="s">
        <v>569</v>
      </c>
      <c r="J76" t="s">
        <v>549</v>
      </c>
      <c r="K76" t="s">
        <v>570</v>
      </c>
      <c r="N76" s="47"/>
      <c r="O76" s="47" t="s">
        <v>578</v>
      </c>
      <c r="R76" s="47" t="s">
        <v>586</v>
      </c>
      <c r="T76" s="47"/>
    </row>
    <row r="77" spans="1:20" x14ac:dyDescent="0.25">
      <c r="A77" s="47" t="s">
        <v>480</v>
      </c>
      <c r="B77" s="47" t="s">
        <v>442</v>
      </c>
      <c r="C77" s="47">
        <v>3</v>
      </c>
      <c r="D77" s="47" t="s">
        <v>548</v>
      </c>
      <c r="E77" s="47" t="s">
        <v>568</v>
      </c>
      <c r="F77" s="47" t="s">
        <v>203</v>
      </c>
      <c r="G77" s="47" t="s">
        <v>547</v>
      </c>
      <c r="H77" s="47" t="s">
        <v>548</v>
      </c>
      <c r="I77" s="47" t="s">
        <v>569</v>
      </c>
      <c r="J77" t="s">
        <v>549</v>
      </c>
      <c r="K77" t="s">
        <v>570</v>
      </c>
      <c r="N77" s="47"/>
      <c r="O77" s="47" t="s">
        <v>579</v>
      </c>
      <c r="R77" s="47" t="s">
        <v>587</v>
      </c>
      <c r="T77" s="47"/>
    </row>
    <row r="78" spans="1:20" x14ac:dyDescent="0.25">
      <c r="A78" s="47" t="s">
        <v>482</v>
      </c>
      <c r="B78" s="47" t="s">
        <v>442</v>
      </c>
      <c r="C78" s="47">
        <v>3</v>
      </c>
      <c r="D78" s="47" t="s">
        <v>548</v>
      </c>
      <c r="E78" s="47" t="s">
        <v>568</v>
      </c>
      <c r="F78" s="47" t="s">
        <v>203</v>
      </c>
      <c r="G78" s="47" t="s">
        <v>547</v>
      </c>
      <c r="H78" s="47" t="s">
        <v>548</v>
      </c>
      <c r="I78" s="47" t="s">
        <v>569</v>
      </c>
      <c r="J78" t="s">
        <v>549</v>
      </c>
      <c r="K78" t="s">
        <v>570</v>
      </c>
      <c r="N78" s="47"/>
      <c r="O78" s="47" t="s">
        <v>580</v>
      </c>
      <c r="R78" s="47" t="s">
        <v>588</v>
      </c>
      <c r="T78" s="47"/>
    </row>
    <row r="79" spans="1:20" x14ac:dyDescent="0.25">
      <c r="A79" s="47" t="s">
        <v>484</v>
      </c>
      <c r="B79" s="47" t="s">
        <v>442</v>
      </c>
      <c r="C79" s="47">
        <v>3</v>
      </c>
      <c r="D79" s="47" t="s">
        <v>548</v>
      </c>
      <c r="E79" s="47" t="s">
        <v>568</v>
      </c>
      <c r="F79" s="47" t="s">
        <v>203</v>
      </c>
      <c r="G79" s="47" t="s">
        <v>547</v>
      </c>
      <c r="H79" s="47" t="s">
        <v>548</v>
      </c>
      <c r="I79" s="47" t="s">
        <v>569</v>
      </c>
      <c r="J79" t="s">
        <v>549</v>
      </c>
      <c r="K79" t="s">
        <v>570</v>
      </c>
      <c r="N79" s="47"/>
      <c r="O79" s="47" t="s">
        <v>581</v>
      </c>
      <c r="R79" s="47" t="s">
        <v>589</v>
      </c>
      <c r="T79" s="47"/>
    </row>
    <row r="80" spans="1:20" x14ac:dyDescent="0.25">
      <c r="A80" s="47" t="s">
        <v>486</v>
      </c>
      <c r="B80" s="47" t="s">
        <v>442</v>
      </c>
      <c r="C80" s="47">
        <v>3</v>
      </c>
      <c r="D80" s="47" t="s">
        <v>548</v>
      </c>
      <c r="E80" s="47" t="s">
        <v>568</v>
      </c>
      <c r="F80" s="47" t="s">
        <v>203</v>
      </c>
      <c r="G80" s="47" t="s">
        <v>547</v>
      </c>
      <c r="H80" s="47" t="s">
        <v>548</v>
      </c>
      <c r="I80" s="47" t="s">
        <v>569</v>
      </c>
      <c r="J80" t="s">
        <v>549</v>
      </c>
      <c r="K80" t="s">
        <v>570</v>
      </c>
      <c r="N80" s="47"/>
      <c r="S80" s="47"/>
      <c r="T80" s="47"/>
    </row>
    <row r="81" spans="1:20" x14ac:dyDescent="0.25">
      <c r="A81" s="47" t="s">
        <v>488</v>
      </c>
      <c r="B81" s="47" t="s">
        <v>442</v>
      </c>
      <c r="C81" s="47">
        <v>3</v>
      </c>
      <c r="D81" s="47" t="s">
        <v>548</v>
      </c>
      <c r="E81" s="47" t="s">
        <v>568</v>
      </c>
      <c r="F81" s="47" t="s">
        <v>203</v>
      </c>
      <c r="G81" s="47" t="s">
        <v>547</v>
      </c>
      <c r="H81" s="47" t="s">
        <v>548</v>
      </c>
      <c r="I81" s="47" t="s">
        <v>569</v>
      </c>
      <c r="J81" t="s">
        <v>549</v>
      </c>
      <c r="K81" t="s">
        <v>570</v>
      </c>
      <c r="N81" s="47"/>
      <c r="S81" s="47"/>
      <c r="T81" s="47"/>
    </row>
    <row r="82" spans="1:20" x14ac:dyDescent="0.25">
      <c r="A82" s="47" t="s">
        <v>490</v>
      </c>
      <c r="B82" s="47" t="s">
        <v>442</v>
      </c>
      <c r="C82" s="47">
        <v>3</v>
      </c>
      <c r="D82" s="47" t="s">
        <v>548</v>
      </c>
      <c r="E82" s="47" t="s">
        <v>568</v>
      </c>
      <c r="F82" s="47" t="s">
        <v>203</v>
      </c>
      <c r="G82" s="47" t="s">
        <v>547</v>
      </c>
      <c r="H82" s="47" t="s">
        <v>548</v>
      </c>
      <c r="I82" s="47" t="s">
        <v>569</v>
      </c>
      <c r="J82" t="s">
        <v>549</v>
      </c>
      <c r="K82" t="s">
        <v>570</v>
      </c>
      <c r="N82" s="47"/>
      <c r="S82" s="47"/>
      <c r="T82" s="47"/>
    </row>
    <row r="83" spans="1:20" x14ac:dyDescent="0.25">
      <c r="A83" s="47" t="s">
        <v>492</v>
      </c>
      <c r="B83" s="47" t="s">
        <v>442</v>
      </c>
      <c r="C83" s="47" t="s">
        <v>461</v>
      </c>
      <c r="D83" s="47"/>
      <c r="E83" s="47"/>
      <c r="F83" s="47" t="s">
        <v>203</v>
      </c>
      <c r="J83" t="s">
        <v>549</v>
      </c>
      <c r="K83" t="s">
        <v>429</v>
      </c>
      <c r="N83" s="47"/>
      <c r="S83" s="47"/>
      <c r="T83" s="47"/>
    </row>
    <row r="84" spans="1:20" x14ac:dyDescent="0.25">
      <c r="A84" s="47" t="s">
        <v>494</v>
      </c>
      <c r="B84" s="47" t="s">
        <v>442</v>
      </c>
      <c r="C84" s="47" t="s">
        <v>461</v>
      </c>
      <c r="D84" s="47"/>
      <c r="E84" s="47"/>
      <c r="F84" s="47" t="s">
        <v>203</v>
      </c>
      <c r="J84" t="s">
        <v>549</v>
      </c>
      <c r="K84" t="s">
        <v>429</v>
      </c>
      <c r="N84" s="47"/>
      <c r="S84" s="47"/>
      <c r="T84" s="47"/>
    </row>
    <row r="85" spans="1:20" x14ac:dyDescent="0.25">
      <c r="A85" s="47" t="s">
        <v>497</v>
      </c>
      <c r="B85" s="47" t="s">
        <v>442</v>
      </c>
      <c r="C85" s="47" t="s">
        <v>461</v>
      </c>
      <c r="D85" s="47"/>
      <c r="E85" s="47"/>
      <c r="F85" s="47" t="s">
        <v>203</v>
      </c>
      <c r="J85" t="s">
        <v>549</v>
      </c>
      <c r="K85" t="s">
        <v>429</v>
      </c>
      <c r="N85" s="47"/>
      <c r="S85" s="47"/>
      <c r="T85" s="47"/>
    </row>
    <row r="86" spans="1:20" x14ac:dyDescent="0.25">
      <c r="A86" s="47" t="s">
        <v>500</v>
      </c>
      <c r="B86" s="47" t="s">
        <v>442</v>
      </c>
      <c r="C86" s="47" t="s">
        <v>461</v>
      </c>
      <c r="D86" s="47"/>
      <c r="E86" s="47"/>
      <c r="F86" s="47" t="s">
        <v>203</v>
      </c>
      <c r="J86" t="s">
        <v>549</v>
      </c>
      <c r="K86" t="s">
        <v>429</v>
      </c>
      <c r="N86" s="47"/>
      <c r="S86" s="47"/>
      <c r="T86" s="47"/>
    </row>
    <row r="87" spans="1:20" x14ac:dyDescent="0.25">
      <c r="A87" s="47" t="s">
        <v>503</v>
      </c>
      <c r="B87" s="47" t="s">
        <v>442</v>
      </c>
      <c r="C87" s="47" t="s">
        <v>461</v>
      </c>
      <c r="D87" s="47"/>
      <c r="E87" s="47"/>
      <c r="F87" s="47" t="s">
        <v>203</v>
      </c>
      <c r="J87" t="s">
        <v>549</v>
      </c>
      <c r="K87" t="s">
        <v>429</v>
      </c>
      <c r="N87" s="47"/>
      <c r="S87" s="47"/>
      <c r="T87" s="47"/>
    </row>
    <row r="88" spans="1:20" x14ac:dyDescent="0.25">
      <c r="A88" s="47" t="s">
        <v>506</v>
      </c>
      <c r="B88" s="47" t="s">
        <v>442</v>
      </c>
      <c r="C88" s="47" t="s">
        <v>461</v>
      </c>
      <c r="D88" s="47"/>
      <c r="E88" s="47"/>
      <c r="F88" s="47" t="s">
        <v>203</v>
      </c>
      <c r="J88" t="s">
        <v>549</v>
      </c>
      <c r="K88" t="s">
        <v>429</v>
      </c>
      <c r="N88" s="47"/>
      <c r="S88" s="47"/>
      <c r="T88" s="47"/>
    </row>
    <row r="89" spans="1:20" x14ac:dyDescent="0.25">
      <c r="A89" s="47" t="s">
        <v>496</v>
      </c>
      <c r="B89" s="47" t="s">
        <v>442</v>
      </c>
      <c r="C89" s="47" t="s">
        <v>590</v>
      </c>
      <c r="D89" s="47" t="s">
        <v>547</v>
      </c>
      <c r="E89" s="47" t="s">
        <v>547</v>
      </c>
      <c r="F89" s="47" t="s">
        <v>203</v>
      </c>
      <c r="J89" t="s">
        <v>591</v>
      </c>
      <c r="K89" t="s">
        <v>570</v>
      </c>
      <c r="N89" s="47"/>
      <c r="S89" s="47"/>
      <c r="T89" s="47"/>
    </row>
    <row r="90" spans="1:20" x14ac:dyDescent="0.25">
      <c r="A90" s="47" t="s">
        <v>499</v>
      </c>
      <c r="B90" s="47" t="s">
        <v>442</v>
      </c>
      <c r="C90" s="47" t="s">
        <v>590</v>
      </c>
      <c r="D90" s="47" t="s">
        <v>547</v>
      </c>
      <c r="E90" s="47" t="s">
        <v>548</v>
      </c>
      <c r="F90" s="47" t="s">
        <v>203</v>
      </c>
      <c r="J90" t="s">
        <v>591</v>
      </c>
      <c r="K90" t="s">
        <v>570</v>
      </c>
      <c r="N90" s="47"/>
      <c r="S90" s="47"/>
      <c r="T90" s="47"/>
    </row>
    <row r="91" spans="1:20" x14ac:dyDescent="0.25">
      <c r="A91" s="47" t="s">
        <v>502</v>
      </c>
      <c r="B91" s="47" t="s">
        <v>442</v>
      </c>
      <c r="C91" s="47" t="s">
        <v>590</v>
      </c>
      <c r="D91" s="47" t="s">
        <v>574</v>
      </c>
      <c r="E91" s="47" t="s">
        <v>574</v>
      </c>
      <c r="F91" s="47" t="s">
        <v>203</v>
      </c>
      <c r="J91" t="s">
        <v>591</v>
      </c>
      <c r="K91" t="s">
        <v>570</v>
      </c>
      <c r="N91" s="47"/>
      <c r="S91" s="47"/>
      <c r="T91" s="47"/>
    </row>
    <row r="92" spans="1:20" x14ac:dyDescent="0.25">
      <c r="A92" s="47" t="s">
        <v>505</v>
      </c>
      <c r="B92" s="47" t="s">
        <v>442</v>
      </c>
      <c r="C92" s="47" t="s">
        <v>590</v>
      </c>
      <c r="D92" s="47" t="s">
        <v>574</v>
      </c>
      <c r="E92" s="47" t="s">
        <v>572</v>
      </c>
      <c r="F92" s="47" t="s">
        <v>203</v>
      </c>
      <c r="J92" t="s">
        <v>591</v>
      </c>
      <c r="K92" t="s">
        <v>570</v>
      </c>
      <c r="N92" s="47"/>
      <c r="S92" s="47"/>
      <c r="T92" s="47"/>
    </row>
    <row r="93" spans="1:20" x14ac:dyDescent="0.25">
      <c r="A93" s="47" t="s">
        <v>508</v>
      </c>
      <c r="B93" s="47" t="s">
        <v>442</v>
      </c>
      <c r="C93" s="47" t="s">
        <v>590</v>
      </c>
      <c r="D93" s="47" t="s">
        <v>547</v>
      </c>
      <c r="E93" s="47" t="s">
        <v>547</v>
      </c>
      <c r="F93" s="47" t="s">
        <v>203</v>
      </c>
      <c r="J93" t="s">
        <v>549</v>
      </c>
      <c r="K93" t="s">
        <v>570</v>
      </c>
      <c r="N93" s="47"/>
      <c r="S93" s="47"/>
      <c r="T93" s="47"/>
    </row>
    <row r="94" spans="1:20" x14ac:dyDescent="0.25">
      <c r="A94" s="47" t="s">
        <v>510</v>
      </c>
      <c r="B94" s="47" t="s">
        <v>442</v>
      </c>
      <c r="C94" s="47" t="s">
        <v>590</v>
      </c>
      <c r="D94" s="47" t="s">
        <v>547</v>
      </c>
      <c r="E94" s="47" t="s">
        <v>548</v>
      </c>
      <c r="F94" s="47" t="s">
        <v>203</v>
      </c>
      <c r="J94" t="s">
        <v>549</v>
      </c>
      <c r="K94" t="s">
        <v>570</v>
      </c>
      <c r="N94" s="47"/>
      <c r="S94" s="47"/>
      <c r="T94" s="47"/>
    </row>
    <row r="95" spans="1:20" x14ac:dyDescent="0.25">
      <c r="A95" s="47" t="s">
        <v>512</v>
      </c>
      <c r="B95" s="47" t="s">
        <v>442</v>
      </c>
      <c r="C95" s="47" t="s">
        <v>590</v>
      </c>
      <c r="D95" s="47" t="s">
        <v>574</v>
      </c>
      <c r="E95" s="47" t="s">
        <v>574</v>
      </c>
      <c r="F95" s="47" t="s">
        <v>203</v>
      </c>
      <c r="J95" t="s">
        <v>549</v>
      </c>
      <c r="K95" t="s">
        <v>570</v>
      </c>
      <c r="N95" s="47"/>
      <c r="S95" s="47"/>
      <c r="T95" s="47"/>
    </row>
    <row r="96" spans="1:20" x14ac:dyDescent="0.25">
      <c r="A96" s="47" t="s">
        <v>514</v>
      </c>
      <c r="B96" s="47" t="s">
        <v>442</v>
      </c>
      <c r="C96" s="47" t="s">
        <v>590</v>
      </c>
      <c r="D96" s="47" t="s">
        <v>574</v>
      </c>
      <c r="E96" s="47" t="s">
        <v>572</v>
      </c>
      <c r="F96" s="47" t="s">
        <v>203</v>
      </c>
      <c r="J96" t="s">
        <v>549</v>
      </c>
      <c r="K96" t="s">
        <v>570</v>
      </c>
      <c r="N96" s="47"/>
      <c r="S96" s="47"/>
      <c r="T96" s="47"/>
    </row>
    <row r="97" spans="1:20" x14ac:dyDescent="0.25">
      <c r="A97" s="47" t="s">
        <v>516</v>
      </c>
      <c r="B97" s="47" t="s">
        <v>442</v>
      </c>
      <c r="C97" s="47" t="s">
        <v>590</v>
      </c>
      <c r="D97" s="47" t="s">
        <v>547</v>
      </c>
      <c r="E97" s="47" t="s">
        <v>547</v>
      </c>
      <c r="F97" s="47" t="s">
        <v>203</v>
      </c>
      <c r="J97" t="s">
        <v>591</v>
      </c>
      <c r="K97" t="s">
        <v>570</v>
      </c>
      <c r="N97" s="47"/>
      <c r="S97" s="47"/>
      <c r="T97" s="47"/>
    </row>
    <row r="98" spans="1:20" x14ac:dyDescent="0.25">
      <c r="A98" s="47" t="s">
        <v>518</v>
      </c>
      <c r="B98" s="47" t="s">
        <v>442</v>
      </c>
      <c r="C98" s="47" t="s">
        <v>590</v>
      </c>
      <c r="D98" s="47" t="s">
        <v>547</v>
      </c>
      <c r="E98" s="47" t="s">
        <v>548</v>
      </c>
      <c r="F98" s="47" t="s">
        <v>203</v>
      </c>
      <c r="G98" s="47"/>
      <c r="H98" s="47"/>
      <c r="J98" t="s">
        <v>591</v>
      </c>
      <c r="K98" t="s">
        <v>570</v>
      </c>
      <c r="N98" s="47"/>
      <c r="S98" s="47"/>
      <c r="T98" s="47"/>
    </row>
    <row r="99" spans="1:20" x14ac:dyDescent="0.25">
      <c r="A99" s="47" t="s">
        <v>522</v>
      </c>
      <c r="B99" s="47" t="s">
        <v>442</v>
      </c>
      <c r="C99" s="47" t="s">
        <v>590</v>
      </c>
      <c r="D99" s="47" t="s">
        <v>574</v>
      </c>
      <c r="E99" s="47" t="s">
        <v>574</v>
      </c>
      <c r="F99" s="47" t="s">
        <v>203</v>
      </c>
      <c r="J99" t="s">
        <v>591</v>
      </c>
      <c r="K99" t="s">
        <v>570</v>
      </c>
      <c r="N99" s="47"/>
      <c r="S99" s="47"/>
      <c r="T99" s="47"/>
    </row>
    <row r="100" spans="1:20" x14ac:dyDescent="0.25">
      <c r="A100" s="47" t="s">
        <v>524</v>
      </c>
      <c r="B100" s="47" t="s">
        <v>442</v>
      </c>
      <c r="C100" s="47" t="s">
        <v>590</v>
      </c>
      <c r="D100" s="47" t="s">
        <v>574</v>
      </c>
      <c r="E100" s="47" t="s">
        <v>572</v>
      </c>
      <c r="F100" s="47" t="s">
        <v>203</v>
      </c>
      <c r="J100" t="s">
        <v>591</v>
      </c>
      <c r="K100" t="s">
        <v>570</v>
      </c>
      <c r="N100" s="47"/>
      <c r="S100" s="47"/>
      <c r="T100" s="47"/>
    </row>
    <row r="101" spans="1:20" x14ac:dyDescent="0.25">
      <c r="A101" s="47" t="s">
        <v>526</v>
      </c>
      <c r="B101" s="47" t="s">
        <v>442</v>
      </c>
      <c r="C101" s="47" t="s">
        <v>590</v>
      </c>
      <c r="D101" s="47" t="s">
        <v>547</v>
      </c>
      <c r="E101" s="47" t="s">
        <v>547</v>
      </c>
      <c r="F101" s="47" t="s">
        <v>203</v>
      </c>
      <c r="J101" t="s">
        <v>549</v>
      </c>
      <c r="K101" t="s">
        <v>570</v>
      </c>
      <c r="N101" s="47"/>
      <c r="S101" s="47"/>
      <c r="T101" s="47"/>
    </row>
    <row r="102" spans="1:20" x14ac:dyDescent="0.25">
      <c r="A102" s="47" t="s">
        <v>528</v>
      </c>
      <c r="B102" s="47" t="s">
        <v>442</v>
      </c>
      <c r="C102" s="47" t="s">
        <v>590</v>
      </c>
      <c r="D102" s="47" t="s">
        <v>547</v>
      </c>
      <c r="E102" s="47" t="s">
        <v>548</v>
      </c>
      <c r="F102" s="47" t="s">
        <v>203</v>
      </c>
      <c r="J102" t="s">
        <v>549</v>
      </c>
      <c r="K102" t="s">
        <v>570</v>
      </c>
      <c r="N102" s="47"/>
      <c r="S102" s="47"/>
      <c r="T102" s="47"/>
    </row>
    <row r="103" spans="1:20" x14ac:dyDescent="0.25">
      <c r="A103" s="47" t="s">
        <v>530</v>
      </c>
      <c r="B103" s="47" t="s">
        <v>442</v>
      </c>
      <c r="C103" s="47" t="s">
        <v>590</v>
      </c>
      <c r="D103" s="47" t="s">
        <v>574</v>
      </c>
      <c r="E103" s="47" t="s">
        <v>574</v>
      </c>
      <c r="F103" s="47" t="s">
        <v>203</v>
      </c>
      <c r="J103" t="s">
        <v>549</v>
      </c>
      <c r="K103" t="s">
        <v>570</v>
      </c>
      <c r="N103" s="47"/>
      <c r="S103" s="47"/>
      <c r="T103" s="47"/>
    </row>
    <row r="104" spans="1:20" x14ac:dyDescent="0.25">
      <c r="A104" s="47" t="s">
        <v>532</v>
      </c>
      <c r="B104" s="47" t="s">
        <v>442</v>
      </c>
      <c r="C104" s="47" t="s">
        <v>590</v>
      </c>
      <c r="D104" s="47" t="s">
        <v>574</v>
      </c>
      <c r="E104" s="47" t="s">
        <v>572</v>
      </c>
      <c r="F104" s="47" t="s">
        <v>203</v>
      </c>
      <c r="J104" t="s">
        <v>549</v>
      </c>
      <c r="K104" t="s">
        <v>570</v>
      </c>
      <c r="N104" s="47"/>
      <c r="S104" s="47"/>
      <c r="T104" s="47"/>
    </row>
    <row r="105" spans="1:20" x14ac:dyDescent="0.25">
      <c r="A105" s="47" t="s">
        <v>534</v>
      </c>
      <c r="B105" s="47" t="s">
        <v>442</v>
      </c>
      <c r="C105" s="47">
        <v>3</v>
      </c>
      <c r="D105" s="47" t="s">
        <v>547</v>
      </c>
      <c r="E105" s="47"/>
      <c r="F105" s="47" t="s">
        <v>203</v>
      </c>
      <c r="G105" s="47" t="s">
        <v>547</v>
      </c>
      <c r="H105" s="47" t="s">
        <v>548</v>
      </c>
      <c r="I105" s="47" t="s">
        <v>569</v>
      </c>
      <c r="J105" t="s">
        <v>549</v>
      </c>
      <c r="K105" t="s">
        <v>570</v>
      </c>
      <c r="N105" s="47"/>
      <c r="S105" s="47"/>
      <c r="T105" s="47"/>
    </row>
    <row r="106" spans="1:20" x14ac:dyDescent="0.25">
      <c r="A106" s="47" t="s">
        <v>536</v>
      </c>
      <c r="B106" s="47" t="s">
        <v>442</v>
      </c>
      <c r="C106" s="47" t="s">
        <v>590</v>
      </c>
      <c r="D106" s="47" t="s">
        <v>547</v>
      </c>
      <c r="E106" s="47" t="s">
        <v>547</v>
      </c>
      <c r="F106" s="47" t="s">
        <v>203</v>
      </c>
      <c r="J106" t="s">
        <v>582</v>
      </c>
      <c r="K106" t="s">
        <v>570</v>
      </c>
      <c r="N106" s="47"/>
      <c r="S106" s="47"/>
      <c r="T106" s="47"/>
    </row>
    <row r="107" spans="1:20" x14ac:dyDescent="0.25">
      <c r="A107" s="47" t="s">
        <v>538</v>
      </c>
      <c r="B107" s="47" t="s">
        <v>442</v>
      </c>
      <c r="C107" s="47" t="s">
        <v>590</v>
      </c>
      <c r="D107" s="47" t="s">
        <v>547</v>
      </c>
      <c r="E107" s="47" t="s">
        <v>548</v>
      </c>
      <c r="F107" s="47" t="s">
        <v>203</v>
      </c>
      <c r="J107" t="s">
        <v>582</v>
      </c>
      <c r="K107" t="s">
        <v>570</v>
      </c>
      <c r="N107" s="47"/>
      <c r="S107" s="47"/>
      <c r="T107" s="47"/>
    </row>
    <row r="108" spans="1:20" x14ac:dyDescent="0.25">
      <c r="A108" s="47" t="s">
        <v>540</v>
      </c>
      <c r="B108" s="47" t="s">
        <v>442</v>
      </c>
      <c r="C108" s="47" t="s">
        <v>590</v>
      </c>
      <c r="D108" s="47" t="s">
        <v>547</v>
      </c>
      <c r="E108" s="47" t="s">
        <v>574</v>
      </c>
      <c r="F108" s="47" t="s">
        <v>203</v>
      </c>
      <c r="J108" t="s">
        <v>582</v>
      </c>
      <c r="K108" t="s">
        <v>570</v>
      </c>
      <c r="N108" s="47"/>
      <c r="S108" s="47"/>
      <c r="T108" s="47"/>
    </row>
    <row r="109" spans="1:20" x14ac:dyDescent="0.25">
      <c r="A109" s="47" t="s">
        <v>542</v>
      </c>
      <c r="B109" s="47" t="s">
        <v>426</v>
      </c>
      <c r="C109" s="47" t="s">
        <v>590</v>
      </c>
      <c r="D109" s="47" t="s">
        <v>547</v>
      </c>
      <c r="E109" s="47" t="s">
        <v>547</v>
      </c>
      <c r="F109" s="47">
        <v>3</v>
      </c>
      <c r="J109" t="s">
        <v>592</v>
      </c>
      <c r="K109" t="s">
        <v>570</v>
      </c>
      <c r="N109" s="47"/>
      <c r="S109" s="47"/>
      <c r="T109" s="47"/>
    </row>
    <row r="110" spans="1:20" x14ac:dyDescent="0.25">
      <c r="A110" s="47" t="s">
        <v>544</v>
      </c>
      <c r="B110" s="47" t="s">
        <v>426</v>
      </c>
      <c r="C110" s="47" t="s">
        <v>590</v>
      </c>
      <c r="D110" s="47" t="s">
        <v>547</v>
      </c>
      <c r="E110" s="47" t="s">
        <v>548</v>
      </c>
      <c r="F110" s="47">
        <v>3</v>
      </c>
      <c r="J110" t="s">
        <v>592</v>
      </c>
      <c r="K110" t="s">
        <v>570</v>
      </c>
      <c r="N110" s="47"/>
      <c r="S110" s="47"/>
      <c r="T110" s="47"/>
    </row>
    <row r="111" spans="1:20" x14ac:dyDescent="0.25">
      <c r="A111" s="47" t="s">
        <v>546</v>
      </c>
      <c r="B111" s="47" t="s">
        <v>426</v>
      </c>
      <c r="C111" s="47" t="s">
        <v>590</v>
      </c>
      <c r="D111" s="47" t="s">
        <v>574</v>
      </c>
      <c r="E111" s="47" t="s">
        <v>574</v>
      </c>
      <c r="F111" s="47">
        <v>3</v>
      </c>
      <c r="J111" t="s">
        <v>592</v>
      </c>
      <c r="K111" t="s">
        <v>570</v>
      </c>
      <c r="N111" s="47"/>
      <c r="S111" s="47"/>
      <c r="T111" s="47"/>
    </row>
    <row r="112" spans="1:20" x14ac:dyDescent="0.25">
      <c r="A112" s="47" t="s">
        <v>550</v>
      </c>
      <c r="B112" s="47" t="s">
        <v>426</v>
      </c>
      <c r="C112" s="47" t="s">
        <v>590</v>
      </c>
      <c r="D112" s="47" t="s">
        <v>574</v>
      </c>
      <c r="E112" s="47" t="s">
        <v>572</v>
      </c>
      <c r="F112" s="47">
        <v>3</v>
      </c>
      <c r="J112" t="s">
        <v>592</v>
      </c>
      <c r="K112" t="s">
        <v>570</v>
      </c>
      <c r="N112" s="47"/>
      <c r="S112" s="47"/>
      <c r="T112" s="47"/>
    </row>
    <row r="113" spans="1:20" x14ac:dyDescent="0.25">
      <c r="A113" s="47" t="s">
        <v>551</v>
      </c>
      <c r="B113" s="47" t="s">
        <v>442</v>
      </c>
      <c r="C113" s="47">
        <v>3</v>
      </c>
      <c r="D113" s="47" t="s">
        <v>547</v>
      </c>
      <c r="E113" s="47"/>
      <c r="F113" s="47" t="s">
        <v>203</v>
      </c>
      <c r="G113" s="47" t="s">
        <v>547</v>
      </c>
      <c r="H113" s="47" t="s">
        <v>548</v>
      </c>
      <c r="I113" s="47" t="s">
        <v>569</v>
      </c>
      <c r="J113" t="s">
        <v>549</v>
      </c>
      <c r="K113" t="s">
        <v>570</v>
      </c>
      <c r="N113" s="47"/>
      <c r="S113" s="47"/>
      <c r="T113" s="47"/>
    </row>
    <row r="114" spans="1:20" x14ac:dyDescent="0.25">
      <c r="A114" s="47" t="s">
        <v>552</v>
      </c>
      <c r="B114" s="47" t="s">
        <v>426</v>
      </c>
      <c r="C114" s="47" t="s">
        <v>590</v>
      </c>
      <c r="D114" s="47" t="s">
        <v>547</v>
      </c>
      <c r="E114" s="47" t="s">
        <v>547</v>
      </c>
      <c r="F114" s="47">
        <v>3</v>
      </c>
      <c r="J114" t="s">
        <v>593</v>
      </c>
      <c r="K114" t="s">
        <v>570</v>
      </c>
      <c r="N114" s="47"/>
      <c r="S114" s="47"/>
      <c r="T114" s="47"/>
    </row>
    <row r="115" spans="1:20" x14ac:dyDescent="0.25">
      <c r="A115" s="47" t="s">
        <v>554</v>
      </c>
      <c r="B115" s="47" t="s">
        <v>426</v>
      </c>
      <c r="C115" s="47" t="s">
        <v>590</v>
      </c>
      <c r="D115" s="47" t="s">
        <v>547</v>
      </c>
      <c r="E115" s="47" t="s">
        <v>548</v>
      </c>
      <c r="F115" s="47">
        <v>3</v>
      </c>
      <c r="J115" t="s">
        <v>593</v>
      </c>
      <c r="K115" t="s">
        <v>570</v>
      </c>
      <c r="N115" s="47"/>
      <c r="S115" s="47"/>
      <c r="T115" s="47"/>
    </row>
    <row r="116" spans="1:20" x14ac:dyDescent="0.25">
      <c r="A116" s="47" t="s">
        <v>556</v>
      </c>
      <c r="B116" s="47" t="s">
        <v>426</v>
      </c>
      <c r="C116" s="47" t="s">
        <v>590</v>
      </c>
      <c r="D116" s="47" t="s">
        <v>547</v>
      </c>
      <c r="E116" s="47" t="s">
        <v>574</v>
      </c>
      <c r="F116" s="47">
        <v>3</v>
      </c>
      <c r="J116" t="s">
        <v>593</v>
      </c>
      <c r="K116" t="s">
        <v>570</v>
      </c>
      <c r="N116" s="47"/>
      <c r="S116" s="47"/>
      <c r="T116" s="47"/>
    </row>
    <row r="117" spans="1:20" x14ac:dyDescent="0.25">
      <c r="A117" s="47" t="s">
        <v>558</v>
      </c>
      <c r="B117" s="47" t="s">
        <v>426</v>
      </c>
      <c r="C117" s="47" t="s">
        <v>590</v>
      </c>
      <c r="D117" s="47" t="s">
        <v>547</v>
      </c>
      <c r="E117" s="47" t="s">
        <v>547</v>
      </c>
      <c r="F117" s="47">
        <v>3</v>
      </c>
      <c r="J117" t="s">
        <v>592</v>
      </c>
      <c r="K117" t="s">
        <v>570</v>
      </c>
      <c r="N117" s="47"/>
      <c r="S117" s="47"/>
      <c r="T117" s="47"/>
    </row>
    <row r="118" spans="1:20" x14ac:dyDescent="0.25">
      <c r="A118" s="47" t="s">
        <v>560</v>
      </c>
      <c r="B118" s="47" t="s">
        <v>426</v>
      </c>
      <c r="C118" s="47" t="s">
        <v>590</v>
      </c>
      <c r="D118" s="47" t="s">
        <v>547</v>
      </c>
      <c r="E118" s="47" t="s">
        <v>548</v>
      </c>
      <c r="F118" s="47">
        <v>3</v>
      </c>
      <c r="J118" t="s">
        <v>592</v>
      </c>
      <c r="K118" t="s">
        <v>570</v>
      </c>
      <c r="N118" s="47"/>
      <c r="S118" s="47"/>
      <c r="T118" s="47"/>
    </row>
    <row r="119" spans="1:20" x14ac:dyDescent="0.25">
      <c r="A119" s="47" t="s">
        <v>562</v>
      </c>
      <c r="B119" s="47" t="s">
        <v>426</v>
      </c>
      <c r="C119" s="47" t="s">
        <v>590</v>
      </c>
      <c r="D119" s="47" t="s">
        <v>574</v>
      </c>
      <c r="E119" s="47" t="s">
        <v>574</v>
      </c>
      <c r="F119" s="47">
        <v>3</v>
      </c>
      <c r="J119" t="s">
        <v>592</v>
      </c>
      <c r="K119" t="s">
        <v>570</v>
      </c>
      <c r="N119" s="47"/>
      <c r="S119" s="47"/>
      <c r="T119" s="47"/>
    </row>
    <row r="120" spans="1:20" x14ac:dyDescent="0.25">
      <c r="A120" s="47" t="s">
        <v>564</v>
      </c>
      <c r="B120" s="47" t="s">
        <v>426</v>
      </c>
      <c r="C120" s="47" t="s">
        <v>590</v>
      </c>
      <c r="D120" s="47" t="s">
        <v>574</v>
      </c>
      <c r="E120" s="47" t="s">
        <v>572</v>
      </c>
      <c r="F120" s="47">
        <v>3</v>
      </c>
      <c r="J120" t="s">
        <v>592</v>
      </c>
      <c r="K120" t="s">
        <v>570</v>
      </c>
      <c r="N120" s="47"/>
      <c r="S120" s="47"/>
      <c r="T120" s="47"/>
    </row>
    <row r="121" spans="1:20" x14ac:dyDescent="0.25">
      <c r="A121" s="47" t="s">
        <v>566</v>
      </c>
      <c r="B121" s="47" t="s">
        <v>426</v>
      </c>
      <c r="C121" s="47" t="s">
        <v>590</v>
      </c>
      <c r="D121" s="47" t="s">
        <v>574</v>
      </c>
      <c r="E121" s="47" t="s">
        <v>594</v>
      </c>
      <c r="F121" s="47">
        <v>3</v>
      </c>
      <c r="J121" t="s">
        <v>592</v>
      </c>
      <c r="K121" t="s">
        <v>570</v>
      </c>
      <c r="N121" s="47"/>
      <c r="S121" s="47"/>
      <c r="T121" s="47"/>
    </row>
    <row r="122" spans="1:20" x14ac:dyDescent="0.25">
      <c r="A122" s="47" t="s">
        <v>553</v>
      </c>
      <c r="B122" s="47" t="s">
        <v>442</v>
      </c>
      <c r="C122" s="47" t="s">
        <v>461</v>
      </c>
      <c r="D122" s="47"/>
      <c r="E122" s="47"/>
      <c r="F122" s="47" t="s">
        <v>203</v>
      </c>
      <c r="J122" t="s">
        <v>549</v>
      </c>
      <c r="K122" t="s">
        <v>429</v>
      </c>
      <c r="N122" s="47"/>
      <c r="S122" s="47"/>
      <c r="T122" s="47"/>
    </row>
    <row r="123" spans="1:20" x14ac:dyDescent="0.25">
      <c r="A123" s="47" t="s">
        <v>555</v>
      </c>
      <c r="B123" s="47" t="s">
        <v>442</v>
      </c>
      <c r="C123" s="47">
        <v>3</v>
      </c>
      <c r="D123" s="47" t="s">
        <v>547</v>
      </c>
      <c r="E123" s="47" t="s">
        <v>568</v>
      </c>
      <c r="F123" s="47" t="s">
        <v>203</v>
      </c>
      <c r="G123" s="47" t="s">
        <v>547</v>
      </c>
      <c r="H123" s="47" t="s">
        <v>548</v>
      </c>
      <c r="I123" s="47" t="s">
        <v>569</v>
      </c>
      <c r="J123" t="s">
        <v>549</v>
      </c>
      <c r="K123" t="s">
        <v>570</v>
      </c>
      <c r="N123" s="47"/>
      <c r="S123" s="47"/>
      <c r="T123" s="47"/>
    </row>
    <row r="124" spans="1:20" x14ac:dyDescent="0.25">
      <c r="A124" s="47" t="s">
        <v>557</v>
      </c>
      <c r="B124" s="47" t="s">
        <v>442</v>
      </c>
      <c r="C124" s="47">
        <v>3</v>
      </c>
      <c r="D124" s="47" t="s">
        <v>547</v>
      </c>
      <c r="E124" s="47" t="s">
        <v>568</v>
      </c>
      <c r="F124" s="47" t="s">
        <v>203</v>
      </c>
      <c r="G124" s="47" t="s">
        <v>547</v>
      </c>
      <c r="H124" s="47" t="s">
        <v>548</v>
      </c>
      <c r="I124" s="47" t="s">
        <v>569</v>
      </c>
      <c r="J124" t="s">
        <v>549</v>
      </c>
      <c r="K124" t="s">
        <v>570</v>
      </c>
      <c r="N124" s="47"/>
      <c r="S124" s="47"/>
      <c r="T124" s="47"/>
    </row>
    <row r="125" spans="1:20" x14ac:dyDescent="0.25">
      <c r="A125" s="47" t="s">
        <v>559</v>
      </c>
      <c r="B125" s="47" t="s">
        <v>442</v>
      </c>
      <c r="C125" s="47">
        <v>3</v>
      </c>
      <c r="D125" s="47" t="s">
        <v>547</v>
      </c>
      <c r="E125" s="47" t="s">
        <v>568</v>
      </c>
      <c r="F125" s="47" t="s">
        <v>203</v>
      </c>
      <c r="G125" s="47" t="s">
        <v>547</v>
      </c>
      <c r="H125" s="47" t="s">
        <v>548</v>
      </c>
      <c r="I125" s="47" t="s">
        <v>569</v>
      </c>
      <c r="J125" t="s">
        <v>549</v>
      </c>
      <c r="K125" t="s">
        <v>570</v>
      </c>
      <c r="N125" s="47"/>
      <c r="S125" s="47"/>
      <c r="T125" s="47"/>
    </row>
    <row r="126" spans="1:20" x14ac:dyDescent="0.25">
      <c r="A126" s="47" t="s">
        <v>561</v>
      </c>
      <c r="B126" s="47" t="s">
        <v>442</v>
      </c>
      <c r="C126" s="47">
        <v>3</v>
      </c>
      <c r="D126" s="47" t="s">
        <v>547</v>
      </c>
      <c r="E126" s="47" t="s">
        <v>568</v>
      </c>
      <c r="F126" s="47" t="s">
        <v>203</v>
      </c>
      <c r="G126" s="47" t="s">
        <v>547</v>
      </c>
      <c r="H126" s="47" t="s">
        <v>548</v>
      </c>
      <c r="I126" s="47" t="s">
        <v>569</v>
      </c>
      <c r="J126" t="s">
        <v>549</v>
      </c>
      <c r="K126" t="s">
        <v>570</v>
      </c>
      <c r="N126" s="47"/>
      <c r="S126" s="47"/>
      <c r="T126" s="47"/>
    </row>
    <row r="127" spans="1:20" x14ac:dyDescent="0.25">
      <c r="A127" s="47" t="s">
        <v>563</v>
      </c>
      <c r="B127" s="47" t="s">
        <v>442</v>
      </c>
      <c r="C127" s="47">
        <v>3</v>
      </c>
      <c r="D127" s="47" t="s">
        <v>547</v>
      </c>
      <c r="E127" s="47" t="s">
        <v>568</v>
      </c>
      <c r="F127" s="47" t="s">
        <v>203</v>
      </c>
      <c r="G127" s="47" t="s">
        <v>547</v>
      </c>
      <c r="H127" s="47" t="s">
        <v>548</v>
      </c>
      <c r="I127" s="47" t="s">
        <v>569</v>
      </c>
      <c r="J127" t="s">
        <v>549</v>
      </c>
      <c r="K127" t="s">
        <v>570</v>
      </c>
      <c r="N127" s="47"/>
      <c r="S127" s="47"/>
      <c r="T127" s="47"/>
    </row>
    <row r="128" spans="1:20" x14ac:dyDescent="0.25">
      <c r="A128" s="47" t="s">
        <v>565</v>
      </c>
      <c r="B128" s="47" t="s">
        <v>442</v>
      </c>
      <c r="C128" s="47">
        <v>3</v>
      </c>
      <c r="D128" s="47" t="s">
        <v>547</v>
      </c>
      <c r="E128" s="47" t="s">
        <v>568</v>
      </c>
      <c r="F128" s="47" t="s">
        <v>203</v>
      </c>
      <c r="G128" s="47" t="s">
        <v>547</v>
      </c>
      <c r="H128" s="47" t="s">
        <v>548</v>
      </c>
      <c r="I128" s="47" t="s">
        <v>569</v>
      </c>
      <c r="J128" t="s">
        <v>549</v>
      </c>
      <c r="K128" t="s">
        <v>570</v>
      </c>
      <c r="N128" s="47"/>
      <c r="S128" s="47"/>
      <c r="T128" s="47"/>
    </row>
    <row r="129" spans="1:20" x14ac:dyDescent="0.25">
      <c r="A129" s="47" t="s">
        <v>567</v>
      </c>
      <c r="B129" s="47" t="s">
        <v>442</v>
      </c>
      <c r="C129" s="47">
        <v>3</v>
      </c>
      <c r="D129" s="47" t="s">
        <v>547</v>
      </c>
      <c r="E129" s="47" t="s">
        <v>568</v>
      </c>
      <c r="F129" s="47" t="s">
        <v>203</v>
      </c>
      <c r="G129" s="47" t="s">
        <v>547</v>
      </c>
      <c r="H129" s="47" t="s">
        <v>548</v>
      </c>
      <c r="I129" s="47" t="s">
        <v>569</v>
      </c>
      <c r="J129" t="s">
        <v>549</v>
      </c>
      <c r="K129" t="s">
        <v>570</v>
      </c>
      <c r="N129" s="47"/>
      <c r="S129" s="47"/>
      <c r="T129" s="47"/>
    </row>
    <row r="130" spans="1:20" x14ac:dyDescent="0.25">
      <c r="A130" s="47" t="s">
        <v>571</v>
      </c>
      <c r="B130" s="47" t="s">
        <v>442</v>
      </c>
      <c r="C130" s="47">
        <v>3</v>
      </c>
      <c r="D130" s="47" t="s">
        <v>547</v>
      </c>
      <c r="E130" s="47" t="s">
        <v>568</v>
      </c>
      <c r="F130" s="47" t="s">
        <v>203</v>
      </c>
      <c r="G130" s="47" t="s">
        <v>547</v>
      </c>
      <c r="H130" s="47" t="s">
        <v>548</v>
      </c>
      <c r="I130" s="47" t="s">
        <v>569</v>
      </c>
      <c r="J130" t="s">
        <v>549</v>
      </c>
      <c r="K130" t="s">
        <v>570</v>
      </c>
      <c r="N130" s="47"/>
      <c r="S130" s="47"/>
      <c r="T130" s="47"/>
    </row>
    <row r="131" spans="1:20" x14ac:dyDescent="0.25">
      <c r="A131" s="47" t="s">
        <v>576</v>
      </c>
      <c r="B131" s="47" t="s">
        <v>442</v>
      </c>
      <c r="C131" s="47">
        <v>3</v>
      </c>
      <c r="D131" s="47" t="s">
        <v>547</v>
      </c>
      <c r="E131" s="47" t="s">
        <v>568</v>
      </c>
      <c r="F131" s="47" t="s">
        <v>203</v>
      </c>
      <c r="G131" s="47" t="s">
        <v>547</v>
      </c>
      <c r="H131" s="47" t="s">
        <v>548</v>
      </c>
      <c r="I131" s="47" t="s">
        <v>569</v>
      </c>
      <c r="J131" t="s">
        <v>549</v>
      </c>
      <c r="K131" t="s">
        <v>570</v>
      </c>
      <c r="N131" s="47"/>
      <c r="S131" s="47"/>
      <c r="T131" s="47"/>
    </row>
    <row r="132" spans="1:20" x14ac:dyDescent="0.25">
      <c r="A132" s="47" t="s">
        <v>577</v>
      </c>
      <c r="B132" s="47" t="s">
        <v>442</v>
      </c>
      <c r="C132" s="47">
        <v>3</v>
      </c>
      <c r="D132" s="47" t="s">
        <v>547</v>
      </c>
      <c r="E132" s="47" t="s">
        <v>568</v>
      </c>
      <c r="F132" s="47" t="s">
        <v>203</v>
      </c>
      <c r="G132" s="47" t="s">
        <v>547</v>
      </c>
      <c r="H132" s="47" t="s">
        <v>548</v>
      </c>
      <c r="I132" s="47" t="s">
        <v>569</v>
      </c>
      <c r="J132" t="s">
        <v>549</v>
      </c>
      <c r="K132" t="s">
        <v>570</v>
      </c>
      <c r="N132" s="47"/>
      <c r="S132" s="47"/>
      <c r="T132" s="47"/>
    </row>
    <row r="133" spans="1:20" x14ac:dyDescent="0.25">
      <c r="A133" s="47" t="s">
        <v>578</v>
      </c>
      <c r="B133" s="47" t="s">
        <v>442</v>
      </c>
      <c r="C133" s="47">
        <v>3</v>
      </c>
      <c r="D133" s="47" t="s">
        <v>547</v>
      </c>
      <c r="E133" s="47" t="s">
        <v>568</v>
      </c>
      <c r="F133" s="47" t="s">
        <v>203</v>
      </c>
      <c r="G133" s="47" t="s">
        <v>547</v>
      </c>
      <c r="H133" s="47" t="s">
        <v>548</v>
      </c>
      <c r="I133" s="47" t="s">
        <v>569</v>
      </c>
      <c r="J133" t="s">
        <v>549</v>
      </c>
      <c r="K133" t="s">
        <v>570</v>
      </c>
      <c r="N133" s="47"/>
      <c r="S133" s="47"/>
      <c r="T133" s="47"/>
    </row>
    <row r="134" spans="1:20" x14ac:dyDescent="0.25">
      <c r="A134" s="47" t="s">
        <v>579</v>
      </c>
      <c r="B134" s="47" t="s">
        <v>442</v>
      </c>
      <c r="C134" s="47">
        <v>3</v>
      </c>
      <c r="D134" s="47" t="s">
        <v>547</v>
      </c>
      <c r="E134" s="47" t="s">
        <v>568</v>
      </c>
      <c r="F134" s="47" t="s">
        <v>203</v>
      </c>
      <c r="G134" s="47" t="s">
        <v>547</v>
      </c>
      <c r="H134" s="47" t="s">
        <v>548</v>
      </c>
      <c r="I134" s="47" t="s">
        <v>569</v>
      </c>
      <c r="J134" t="s">
        <v>549</v>
      </c>
      <c r="K134" t="s">
        <v>570</v>
      </c>
      <c r="N134" s="47"/>
      <c r="S134" s="47"/>
      <c r="T134" s="47"/>
    </row>
    <row r="135" spans="1:20" x14ac:dyDescent="0.25">
      <c r="A135" s="47" t="s">
        <v>580</v>
      </c>
      <c r="B135" s="47" t="s">
        <v>442</v>
      </c>
      <c r="C135" s="47">
        <v>3</v>
      </c>
      <c r="D135" s="47" t="s">
        <v>547</v>
      </c>
      <c r="E135" s="47" t="s">
        <v>568</v>
      </c>
      <c r="F135" s="47" t="s">
        <v>203</v>
      </c>
      <c r="G135" s="47" t="s">
        <v>547</v>
      </c>
      <c r="H135" s="47" t="s">
        <v>548</v>
      </c>
      <c r="I135" s="47" t="s">
        <v>569</v>
      </c>
      <c r="J135" t="s">
        <v>549</v>
      </c>
      <c r="K135" t="s">
        <v>570</v>
      </c>
      <c r="N135" s="47"/>
      <c r="S135" s="47"/>
      <c r="T135" s="47"/>
    </row>
    <row r="136" spans="1:20" x14ac:dyDescent="0.25">
      <c r="A136" s="47" t="s">
        <v>581</v>
      </c>
      <c r="B136" s="47" t="s">
        <v>442</v>
      </c>
      <c r="C136" s="47">
        <v>3</v>
      </c>
      <c r="D136" s="47" t="s">
        <v>547</v>
      </c>
      <c r="E136" s="47" t="s">
        <v>568</v>
      </c>
      <c r="F136" s="47" t="s">
        <v>203</v>
      </c>
      <c r="G136" s="47" t="s">
        <v>547</v>
      </c>
      <c r="H136" s="47" t="s">
        <v>548</v>
      </c>
      <c r="I136" s="47" t="s">
        <v>569</v>
      </c>
      <c r="J136" t="s">
        <v>549</v>
      </c>
      <c r="K136" t="s">
        <v>570</v>
      </c>
      <c r="N136" s="47"/>
      <c r="S136" s="47"/>
      <c r="T136" s="47"/>
    </row>
    <row r="137" spans="1:20" x14ac:dyDescent="0.25">
      <c r="A137" s="47" t="s">
        <v>583</v>
      </c>
      <c r="B137" s="47" t="s">
        <v>442</v>
      </c>
      <c r="C137" s="47" t="s">
        <v>590</v>
      </c>
      <c r="D137" s="47"/>
      <c r="E137" s="47" t="s">
        <v>547</v>
      </c>
      <c r="F137" s="47" t="s">
        <v>203</v>
      </c>
      <c r="J137" t="s">
        <v>591</v>
      </c>
      <c r="K137" t="s">
        <v>429</v>
      </c>
      <c r="N137" s="47"/>
      <c r="S137" s="47"/>
      <c r="T137" s="47"/>
    </row>
    <row r="138" spans="1:20" x14ac:dyDescent="0.25">
      <c r="A138" s="47" t="s">
        <v>584</v>
      </c>
      <c r="B138" s="47" t="s">
        <v>442</v>
      </c>
      <c r="C138" s="47" t="s">
        <v>590</v>
      </c>
      <c r="D138" s="47"/>
      <c r="E138" s="47" t="s">
        <v>548</v>
      </c>
      <c r="F138" s="47" t="s">
        <v>203</v>
      </c>
      <c r="J138" t="s">
        <v>591</v>
      </c>
      <c r="K138" t="s">
        <v>429</v>
      </c>
      <c r="N138" s="47"/>
      <c r="S138" s="47"/>
      <c r="T138" s="47"/>
    </row>
    <row r="139" spans="1:20" x14ac:dyDescent="0.25">
      <c r="A139" s="47" t="s">
        <v>585</v>
      </c>
      <c r="B139" s="47" t="s">
        <v>442</v>
      </c>
      <c r="C139" s="47" t="s">
        <v>590</v>
      </c>
      <c r="D139" s="47"/>
      <c r="E139" s="47" t="s">
        <v>574</v>
      </c>
      <c r="F139" s="47" t="s">
        <v>203</v>
      </c>
      <c r="J139" t="s">
        <v>591</v>
      </c>
      <c r="K139" t="s">
        <v>429</v>
      </c>
      <c r="N139" s="47"/>
      <c r="S139" s="47"/>
      <c r="T139" s="47"/>
    </row>
    <row r="140" spans="1:20" x14ac:dyDescent="0.25">
      <c r="A140" s="47" t="s">
        <v>586</v>
      </c>
      <c r="B140" s="47" t="s">
        <v>442</v>
      </c>
      <c r="C140" s="47" t="s">
        <v>461</v>
      </c>
      <c r="D140" s="47"/>
      <c r="E140" s="47"/>
      <c r="F140" s="47" t="s">
        <v>203</v>
      </c>
      <c r="J140" t="s">
        <v>549</v>
      </c>
      <c r="K140" t="s">
        <v>429</v>
      </c>
      <c r="N140" s="47"/>
      <c r="S140" s="47"/>
      <c r="T140" s="47"/>
    </row>
    <row r="141" spans="1:20" x14ac:dyDescent="0.25">
      <c r="A141" s="47" t="s">
        <v>587</v>
      </c>
      <c r="B141" s="47" t="s">
        <v>442</v>
      </c>
      <c r="C141" s="47" t="s">
        <v>461</v>
      </c>
      <c r="D141" s="47"/>
      <c r="E141" s="47"/>
      <c r="F141" s="47" t="s">
        <v>203</v>
      </c>
      <c r="J141" t="s">
        <v>549</v>
      </c>
      <c r="K141" t="s">
        <v>429</v>
      </c>
      <c r="N141" s="47"/>
      <c r="S141" s="47"/>
      <c r="T141" s="47"/>
    </row>
    <row r="142" spans="1:20" x14ac:dyDescent="0.25">
      <c r="A142" s="47" t="s">
        <v>588</v>
      </c>
      <c r="B142" s="47" t="s">
        <v>442</v>
      </c>
      <c r="C142" s="47" t="s">
        <v>461</v>
      </c>
      <c r="D142" s="47"/>
      <c r="E142" s="47"/>
      <c r="F142" s="47" t="s">
        <v>203</v>
      </c>
      <c r="J142" t="s">
        <v>549</v>
      </c>
      <c r="K142" t="s">
        <v>429</v>
      </c>
      <c r="N142" s="47"/>
      <c r="S142" s="47"/>
      <c r="T142" s="47"/>
    </row>
    <row r="143" spans="1:20" x14ac:dyDescent="0.25">
      <c r="A143" s="47" t="s">
        <v>589</v>
      </c>
      <c r="B143" s="47" t="s">
        <v>442</v>
      </c>
      <c r="C143" s="47" t="s">
        <v>461</v>
      </c>
      <c r="D143" s="47"/>
      <c r="E143" s="47"/>
      <c r="F143" s="47" t="s">
        <v>203</v>
      </c>
      <c r="J143" t="s">
        <v>549</v>
      </c>
      <c r="K143" t="s">
        <v>429</v>
      </c>
      <c r="S143" s="47"/>
      <c r="T143" s="47"/>
    </row>
    <row r="146" spans="1:1" x14ac:dyDescent="0.25">
      <c r="A146">
        <f>COUNTA($A$4:$A$143)</f>
        <v>140</v>
      </c>
    </row>
  </sheetData>
  <phoneticPr fontId="4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ED575-054C-40A1-B2E6-8246DF4F29F3}">
  <sheetPr codeName="Config_UPS"/>
  <dimension ref="A1:AR62"/>
  <sheetViews>
    <sheetView workbookViewId="0">
      <selection activeCell="D21" sqref="D21"/>
    </sheetView>
  </sheetViews>
  <sheetFormatPr defaultRowHeight="15" x14ac:dyDescent="0.25"/>
  <cols>
    <col min="1" max="1" width="5.140625" bestFit="1" customWidth="1"/>
    <col min="2" max="2" width="9.85546875" bestFit="1" customWidth="1"/>
    <col min="3" max="3" width="7.28515625" bestFit="1" customWidth="1"/>
    <col min="4" max="4" width="9.7109375" bestFit="1" customWidth="1"/>
    <col min="5" max="5" width="19.5703125" bestFit="1" customWidth="1"/>
    <col min="6" max="6" width="5.7109375" bestFit="1" customWidth="1"/>
    <col min="7" max="10" width="4.5703125" bestFit="1" customWidth="1"/>
    <col min="11" max="11" width="4.5703125" customWidth="1"/>
    <col min="12" max="12" width="12.5703125" bestFit="1" customWidth="1"/>
    <col min="13" max="13" width="7.28515625" style="47" bestFit="1" customWidth="1"/>
    <col min="14" max="14" width="11.28515625" bestFit="1" customWidth="1"/>
    <col min="15" max="15" width="12.5703125" bestFit="1" customWidth="1"/>
    <col min="16" max="19" width="6.28515625" bestFit="1" customWidth="1"/>
    <col min="21" max="21" width="11.5703125" bestFit="1" customWidth="1"/>
    <col min="22" max="22" width="10.85546875" customWidth="1"/>
    <col min="35" max="35" width="11.28515625" customWidth="1"/>
  </cols>
  <sheetData>
    <row r="1" spans="1:44" s="42" customFormat="1" x14ac:dyDescent="0.25">
      <c r="A1" s="59"/>
      <c r="B1" s="59" t="s">
        <v>595</v>
      </c>
      <c r="C1" s="59" t="s">
        <v>596</v>
      </c>
      <c r="D1" s="59" t="s">
        <v>597</v>
      </c>
      <c r="E1" s="59" t="s">
        <v>13</v>
      </c>
      <c r="F1" s="59" t="s">
        <v>180</v>
      </c>
      <c r="G1" s="59" t="s">
        <v>598</v>
      </c>
      <c r="H1" s="59" t="s">
        <v>599</v>
      </c>
      <c r="I1" s="59" t="s">
        <v>600</v>
      </c>
      <c r="J1" s="59" t="s">
        <v>601</v>
      </c>
      <c r="K1" s="59" t="s">
        <v>602</v>
      </c>
      <c r="L1" s="59" t="s">
        <v>603</v>
      </c>
      <c r="M1" s="45" t="s">
        <v>4618</v>
      </c>
      <c r="N1" s="44" t="s">
        <v>604</v>
      </c>
      <c r="O1" s="44" t="s">
        <v>605</v>
      </c>
      <c r="P1" s="44" t="s">
        <v>547</v>
      </c>
      <c r="Q1" s="44" t="s">
        <v>548</v>
      </c>
      <c r="R1" s="44" t="s">
        <v>574</v>
      </c>
      <c r="S1" s="44" t="s">
        <v>572</v>
      </c>
      <c r="T1" s="44" t="s">
        <v>594</v>
      </c>
      <c r="U1" s="88"/>
      <c r="V1" s="6" t="s">
        <v>606</v>
      </c>
      <c r="W1" s="88"/>
      <c r="X1" s="88"/>
      <c r="Y1" s="88"/>
      <c r="Z1" s="453" t="s">
        <v>607</v>
      </c>
      <c r="AA1" s="454">
        <v>1</v>
      </c>
      <c r="AB1" s="88"/>
      <c r="AC1" s="88"/>
      <c r="AD1" s="88"/>
      <c r="AE1" s="88"/>
      <c r="AF1" s="88"/>
      <c r="AG1" s="88"/>
      <c r="AH1" s="88"/>
      <c r="AI1" s="6" t="s">
        <v>608</v>
      </c>
      <c r="AJ1" s="88"/>
      <c r="AK1" s="88"/>
      <c r="AL1" s="88"/>
      <c r="AM1" s="453" t="s">
        <v>607</v>
      </c>
      <c r="AN1" s="454">
        <v>1</v>
      </c>
      <c r="AO1" s="88"/>
      <c r="AP1" s="88"/>
      <c r="AQ1" s="88"/>
      <c r="AR1" s="88"/>
    </row>
    <row r="2" spans="1:44" x14ac:dyDescent="0.25">
      <c r="A2" t="s">
        <v>140</v>
      </c>
      <c r="B2" s="47" t="s">
        <v>609</v>
      </c>
      <c r="C2" s="47">
        <v>4</v>
      </c>
      <c r="D2" s="47" t="s">
        <v>610</v>
      </c>
      <c r="E2" s="47" t="str">
        <f t="shared" ref="E2:E10" si="0">A2&amp;" UPS Systems"</f>
        <v>A110 UPS Systems</v>
      </c>
      <c r="F2" s="50" t="s">
        <v>611</v>
      </c>
      <c r="G2" t="s">
        <v>547</v>
      </c>
      <c r="H2" t="s">
        <v>548</v>
      </c>
      <c r="I2" t="s">
        <v>574</v>
      </c>
      <c r="J2" t="s">
        <v>572</v>
      </c>
      <c r="L2" s="47"/>
      <c r="M2" s="47">
        <v>562.5</v>
      </c>
      <c r="N2" s="44" t="str">
        <f>VLOOKUP(Suite, $A$1:$L$61, 6)</f>
        <v>Two</v>
      </c>
      <c r="O2" s="44" t="str">
        <f>Suite</f>
        <v>G104</v>
      </c>
      <c r="P2" s="44" t="str">
        <f>IF(ISBLANK(VLOOKUP(Suite, $A$2:$L$61, 7)),"Hidden", "Visible")</f>
        <v>Visible</v>
      </c>
      <c r="Q2" s="44" t="str">
        <f>IF(ISBLANK(VLOOKUP(Suite, $A$2:$L$61, 8)),"Hidden", "Visible")</f>
        <v>Visible</v>
      </c>
      <c r="R2" s="44" t="str">
        <f>IF(ISBLANK(VLOOKUP(Suite, $A$2:$L$61, 9)),"Hidden", "Visible")</f>
        <v>Hidden</v>
      </c>
      <c r="S2" s="44" t="str">
        <f>IF(ISBLANK(VLOOKUP(Suite, $A$2:$L$61, 10)),"Hidden", "Visible")</f>
        <v>Hidden</v>
      </c>
      <c r="T2" s="44" t="str">
        <f>IF(ISBLANK(VLOOKUP(Suite, $A$2:$L$61, 11)),"Hidden", "Visible")</f>
        <v>Hidden</v>
      </c>
      <c r="V2" s="51" t="s">
        <v>612</v>
      </c>
      <c r="AB2" t="s">
        <v>613</v>
      </c>
      <c r="AI2" s="51" t="s">
        <v>614</v>
      </c>
      <c r="AO2" t="s">
        <v>613</v>
      </c>
    </row>
    <row r="3" spans="1:44" x14ac:dyDescent="0.25">
      <c r="A3" t="s">
        <v>141</v>
      </c>
      <c r="B3" s="47" t="s">
        <v>609</v>
      </c>
      <c r="C3" s="47">
        <v>4</v>
      </c>
      <c r="D3" s="47" t="s">
        <v>610</v>
      </c>
      <c r="E3" s="47" t="str">
        <f t="shared" si="0"/>
        <v>A120 UPS Systems</v>
      </c>
      <c r="F3" s="50" t="s">
        <v>611</v>
      </c>
      <c r="G3" t="s">
        <v>547</v>
      </c>
      <c r="H3" t="s">
        <v>548</v>
      </c>
      <c r="I3" t="s">
        <v>574</v>
      </c>
      <c r="J3" t="s">
        <v>572</v>
      </c>
      <c r="L3" s="47"/>
      <c r="M3" s="47">
        <v>562.5</v>
      </c>
      <c r="V3" s="55" t="s">
        <v>615</v>
      </c>
      <c r="W3" s="70">
        <v>146</v>
      </c>
      <c r="X3" s="66">
        <v>147</v>
      </c>
      <c r="Y3" s="65" t="str">
        <f>W3&amp;":"&amp;X3&amp;","&amp;W4&amp;":"&amp;X4</f>
        <v>146:147,174:175</v>
      </c>
      <c r="AB3" s="55">
        <f>W3-AA1</f>
        <v>145</v>
      </c>
      <c r="AC3" s="66">
        <f>X3-AA1</f>
        <v>146</v>
      </c>
      <c r="AD3" s="65" t="str">
        <f>AB3&amp;":"&amp;AC3&amp;","&amp;AB4&amp;":"&amp;AC4</f>
        <v>145:146,173:174</v>
      </c>
      <c r="AI3" s="55" t="s">
        <v>616</v>
      </c>
      <c r="AJ3" s="70">
        <v>17</v>
      </c>
      <c r="AK3" s="66">
        <v>25</v>
      </c>
      <c r="AL3" s="65" t="str">
        <f>AJ3&amp;":"&amp;AK3&amp;","&amp;AJ4&amp;":"&amp;AK4&amp;","&amp;AJ5&amp;":"&amp;AK5</f>
        <v>17:25,69:77,190:198</v>
      </c>
      <c r="AO3" s="55">
        <f t="shared" ref="AO3:AP5" si="1">AJ3-$AN$1</f>
        <v>16</v>
      </c>
      <c r="AP3" s="66">
        <f t="shared" si="1"/>
        <v>24</v>
      </c>
      <c r="AQ3" s="75" t="str">
        <f>AO3&amp;":"&amp;AP3&amp;","&amp;AO4&amp;":"&amp;AP4&amp;","&amp;AO5&amp;":"&amp;AP5</f>
        <v>16:24,68:76,189:197</v>
      </c>
    </row>
    <row r="4" spans="1:44" x14ac:dyDescent="0.25">
      <c r="A4" t="s">
        <v>142</v>
      </c>
      <c r="B4" s="47" t="s">
        <v>609</v>
      </c>
      <c r="C4" s="47">
        <v>2</v>
      </c>
      <c r="D4" s="47" t="s">
        <v>568</v>
      </c>
      <c r="E4" s="47" t="str">
        <f t="shared" si="0"/>
        <v>A130 UPS Systems</v>
      </c>
      <c r="F4" s="50" t="s">
        <v>611</v>
      </c>
      <c r="G4" t="s">
        <v>547</v>
      </c>
      <c r="H4" t="s">
        <v>548</v>
      </c>
      <c r="L4" s="47"/>
      <c r="M4" s="47">
        <v>562.5</v>
      </c>
      <c r="N4" s="62" t="s">
        <v>595</v>
      </c>
      <c r="O4" s="61" t="s">
        <v>597</v>
      </c>
      <c r="P4" s="61" t="s">
        <v>598</v>
      </c>
      <c r="Q4" s="61" t="s">
        <v>599</v>
      </c>
      <c r="R4" s="61" t="s">
        <v>600</v>
      </c>
      <c r="S4" s="61" t="s">
        <v>601</v>
      </c>
      <c r="T4" s="61" t="s">
        <v>602</v>
      </c>
      <c r="V4" s="53"/>
      <c r="W4" s="69">
        <v>174</v>
      </c>
      <c r="X4" s="67">
        <v>175</v>
      </c>
      <c r="Y4" s="65"/>
      <c r="AB4" s="56">
        <f>W4-AA1</f>
        <v>173</v>
      </c>
      <c r="AC4" s="67">
        <f>X4-AA1</f>
        <v>174</v>
      </c>
      <c r="AI4" s="53"/>
      <c r="AJ4" s="69">
        <v>69</v>
      </c>
      <c r="AK4" s="67">
        <v>77</v>
      </c>
      <c r="AL4" s="65"/>
      <c r="AO4" s="56">
        <f t="shared" si="1"/>
        <v>68</v>
      </c>
      <c r="AP4" s="67">
        <f t="shared" si="1"/>
        <v>76</v>
      </c>
      <c r="AQ4" s="75" t="s">
        <v>617</v>
      </c>
    </row>
    <row r="5" spans="1:44" x14ac:dyDescent="0.25">
      <c r="A5" t="s">
        <v>143</v>
      </c>
      <c r="B5" s="47" t="s">
        <v>609</v>
      </c>
      <c r="C5" s="47">
        <v>2</v>
      </c>
      <c r="D5" s="47" t="s">
        <v>568</v>
      </c>
      <c r="E5" s="47" t="str">
        <f t="shared" si="0"/>
        <v>A140 UPS Systems</v>
      </c>
      <c r="F5" s="50" t="s">
        <v>611</v>
      </c>
      <c r="G5" t="s">
        <v>547</v>
      </c>
      <c r="H5" t="s">
        <v>548</v>
      </c>
      <c r="L5" s="47"/>
      <c r="M5" s="47">
        <v>562.5</v>
      </c>
      <c r="N5" s="472" t="str">
        <f>VLOOKUP(Suite, $A$2:$L$61, 2)</f>
        <v>MGE</v>
      </c>
      <c r="O5" s="472" t="str">
        <f>VLOOKUP(Suite, $A$2:$L$61, 4)</f>
        <v>AB</v>
      </c>
      <c r="P5" s="472" t="str">
        <f>VLOOKUP(Suite, $A$2:$L$61, 7)</f>
        <v>A</v>
      </c>
      <c r="Q5" s="472" t="str">
        <f>VLOOKUP(Suite, $A$2:$L$61, 8)</f>
        <v>B</v>
      </c>
      <c r="R5" s="472">
        <f>VLOOKUP(Suite, $A$2:$L$61, 9)</f>
        <v>0</v>
      </c>
      <c r="S5" s="472">
        <f>VLOOKUP(Suite, $A$2:$L$61, 10)</f>
        <v>0</v>
      </c>
      <c r="T5" s="472">
        <f>VLOOKUP(Suite, $A$2:$L$61, 11)</f>
        <v>0</v>
      </c>
      <c r="V5" s="53"/>
      <c r="W5" s="69"/>
      <c r="X5" s="67"/>
      <c r="Y5" s="65"/>
      <c r="AB5" s="56"/>
      <c r="AC5" s="67"/>
      <c r="AI5" s="54"/>
      <c r="AJ5" s="71">
        <v>190</v>
      </c>
      <c r="AK5" s="68">
        <v>198</v>
      </c>
      <c r="AL5" s="65"/>
      <c r="AO5" s="57">
        <f t="shared" si="1"/>
        <v>189</v>
      </c>
      <c r="AP5" s="68">
        <f t="shared" si="1"/>
        <v>197</v>
      </c>
      <c r="AQ5" s="76"/>
    </row>
    <row r="6" spans="1:44" x14ac:dyDescent="0.25">
      <c r="A6" t="s">
        <v>144</v>
      </c>
      <c r="B6" s="47" t="s">
        <v>609</v>
      </c>
      <c r="C6" s="47">
        <v>4</v>
      </c>
      <c r="D6" s="47" t="s">
        <v>610</v>
      </c>
      <c r="E6" s="47" t="str">
        <f t="shared" si="0"/>
        <v>A150 UPS Systems</v>
      </c>
      <c r="F6" s="50" t="s">
        <v>611</v>
      </c>
      <c r="G6" t="s">
        <v>547</v>
      </c>
      <c r="H6" t="s">
        <v>548</v>
      </c>
      <c r="I6" t="s">
        <v>574</v>
      </c>
      <c r="J6" t="s">
        <v>572</v>
      </c>
      <c r="L6" s="47"/>
      <c r="M6" s="47">
        <v>562.5</v>
      </c>
      <c r="V6" s="54"/>
      <c r="W6" s="71"/>
      <c r="X6" s="68"/>
      <c r="Y6" s="65"/>
      <c r="AB6" s="57"/>
      <c r="AC6" s="68"/>
      <c r="AI6" s="73" t="s">
        <v>618</v>
      </c>
      <c r="AJ6" s="69"/>
      <c r="AK6" s="69"/>
      <c r="AO6" s="69"/>
      <c r="AP6" s="69"/>
      <c r="AQ6" s="76"/>
    </row>
    <row r="7" spans="1:44" x14ac:dyDescent="0.25">
      <c r="A7" t="s">
        <v>145</v>
      </c>
      <c r="B7" s="47" t="s">
        <v>609</v>
      </c>
      <c r="C7" s="47">
        <v>2</v>
      </c>
      <c r="D7" s="47" t="s">
        <v>568</v>
      </c>
      <c r="E7" s="47" t="str">
        <f t="shared" si="0"/>
        <v>B110 UPS Systems</v>
      </c>
      <c r="F7" s="50" t="s">
        <v>611</v>
      </c>
      <c r="G7" t="s">
        <v>547</v>
      </c>
      <c r="H7" t="s">
        <v>548</v>
      </c>
      <c r="L7" s="47"/>
      <c r="M7" s="47">
        <v>562.5</v>
      </c>
      <c r="N7" s="472" t="s">
        <v>596</v>
      </c>
      <c r="O7" s="472" t="s">
        <v>603</v>
      </c>
      <c r="T7" s="5"/>
      <c r="V7" s="51" t="s">
        <v>619</v>
      </c>
      <c r="W7" s="72"/>
      <c r="X7" s="72"/>
      <c r="AB7" s="69"/>
      <c r="AC7" s="69"/>
      <c r="AI7" s="4" t="s">
        <v>620</v>
      </c>
      <c r="AJ7" s="4"/>
      <c r="AK7" s="4"/>
      <c r="AO7" s="4"/>
      <c r="AP7" s="4"/>
      <c r="AQ7" s="76"/>
    </row>
    <row r="8" spans="1:44" x14ac:dyDescent="0.25">
      <c r="A8" t="s">
        <v>146</v>
      </c>
      <c r="B8" s="47" t="s">
        <v>609</v>
      </c>
      <c r="C8" s="47">
        <v>2</v>
      </c>
      <c r="D8" s="47" t="s">
        <v>568</v>
      </c>
      <c r="E8" s="47" t="str">
        <f t="shared" si="0"/>
        <v>B120 UPS Systems</v>
      </c>
      <c r="F8" s="50" t="s">
        <v>611</v>
      </c>
      <c r="G8" t="s">
        <v>547</v>
      </c>
      <c r="H8" t="s">
        <v>548</v>
      </c>
      <c r="L8" s="47"/>
      <c r="M8" s="47">
        <v>562.5</v>
      </c>
      <c r="N8" s="472">
        <f>VLOOKUP(Suite, $A$2:$L$61, 3)</f>
        <v>2</v>
      </c>
      <c r="O8" s="472">
        <f>VLOOKUP(Suite, $A$2:$L$61, 12)</f>
        <v>0</v>
      </c>
      <c r="T8" s="5"/>
      <c r="V8" s="55" t="s">
        <v>616</v>
      </c>
      <c r="W8" s="70">
        <v>17</v>
      </c>
      <c r="X8" s="66">
        <v>22</v>
      </c>
      <c r="Y8" s="65" t="str">
        <f>W8&amp;":"&amp;X8&amp;","&amp;W9&amp;":"&amp;X9&amp;","&amp;W10&amp;":"&amp;X10&amp;","&amp;W11&amp;":"&amp;X11</f>
        <v>17:22,73:78,199:204,254:259</v>
      </c>
      <c r="Z8" s="65"/>
      <c r="AB8" s="55">
        <f>W8-AA1</f>
        <v>16</v>
      </c>
      <c r="AC8" s="66">
        <f>X8-AA1</f>
        <v>21</v>
      </c>
      <c r="AD8" s="65" t="str">
        <f>AB8&amp;":"&amp;AC8&amp;","&amp;AB9&amp;":"&amp;AC9&amp;","&amp;AB10&amp;":"&amp;AC10&amp;","&amp;AB11&amp;":"&amp;AC11</f>
        <v>16:21,72:77,198:203,253:258</v>
      </c>
      <c r="AI8" s="55" t="s">
        <v>615</v>
      </c>
      <c r="AJ8" s="70">
        <v>20</v>
      </c>
      <c r="AK8" s="66">
        <v>25</v>
      </c>
      <c r="AL8" s="65" t="str">
        <f>AJ8&amp;":"&amp;AK8&amp;","&amp;AJ9&amp;":"&amp;AK9&amp;","&amp;AJ10&amp;":"&amp;AK10</f>
        <v>20:25,72:77,193:198</v>
      </c>
      <c r="AM8" s="65"/>
      <c r="AO8" s="55">
        <f t="shared" ref="AO8:AP10" si="2">AJ8-$AN$1</f>
        <v>19</v>
      </c>
      <c r="AP8" s="66">
        <f t="shared" si="2"/>
        <v>24</v>
      </c>
      <c r="AQ8" s="75" t="str">
        <f>AO8&amp;":"&amp;AP8&amp;","&amp;AO9&amp;":"&amp;AP9&amp;","&amp;AO10&amp;":"&amp;AP10</f>
        <v>19:24,71:76,192:197</v>
      </c>
    </row>
    <row r="9" spans="1:44" x14ac:dyDescent="0.25">
      <c r="A9" t="s">
        <v>147</v>
      </c>
      <c r="B9" s="47" t="s">
        <v>609</v>
      </c>
      <c r="C9" s="47">
        <v>4</v>
      </c>
      <c r="D9" s="47" t="s">
        <v>610</v>
      </c>
      <c r="E9" s="47" t="str">
        <f t="shared" si="0"/>
        <v>B130 UPS Systems</v>
      </c>
      <c r="F9" s="50" t="s">
        <v>611</v>
      </c>
      <c r="G9" t="s">
        <v>547</v>
      </c>
      <c r="H9" t="s">
        <v>548</v>
      </c>
      <c r="I9" t="s">
        <v>574</v>
      </c>
      <c r="J9" t="s">
        <v>572</v>
      </c>
      <c r="L9" s="47"/>
      <c r="M9" s="47">
        <v>562.5</v>
      </c>
      <c r="T9" s="5"/>
      <c r="V9" s="56"/>
      <c r="W9" s="69">
        <v>73</v>
      </c>
      <c r="X9" s="67">
        <v>78</v>
      </c>
      <c r="Y9" s="65"/>
      <c r="Z9" s="65"/>
      <c r="AB9" s="56">
        <f>W9-AA1</f>
        <v>72</v>
      </c>
      <c r="AC9" s="67">
        <f>X9-AA1</f>
        <v>77</v>
      </c>
      <c r="AI9" s="56"/>
      <c r="AJ9" s="69">
        <v>72</v>
      </c>
      <c r="AK9" s="67">
        <v>77</v>
      </c>
      <c r="AL9" s="65"/>
      <c r="AM9" s="65"/>
      <c r="AO9" s="56">
        <f t="shared" si="2"/>
        <v>71</v>
      </c>
      <c r="AP9" s="67">
        <f t="shared" si="2"/>
        <v>76</v>
      </c>
      <c r="AQ9" s="76" t="s">
        <v>621</v>
      </c>
    </row>
    <row r="10" spans="1:44" x14ac:dyDescent="0.25">
      <c r="A10" t="s">
        <v>148</v>
      </c>
      <c r="B10" s="47" t="s">
        <v>609</v>
      </c>
      <c r="C10" s="47">
        <v>4</v>
      </c>
      <c r="D10" s="47" t="s">
        <v>610</v>
      </c>
      <c r="E10" s="47" t="str">
        <f t="shared" si="0"/>
        <v>B140 UPS Systems</v>
      </c>
      <c r="F10" s="50" t="s">
        <v>611</v>
      </c>
      <c r="G10" t="s">
        <v>547</v>
      </c>
      <c r="H10" t="s">
        <v>548</v>
      </c>
      <c r="I10" t="s">
        <v>574</v>
      </c>
      <c r="J10" t="s">
        <v>572</v>
      </c>
      <c r="L10" s="47"/>
      <c r="M10" s="47">
        <v>562.5</v>
      </c>
      <c r="T10" s="5"/>
      <c r="V10" s="56"/>
      <c r="W10" s="69">
        <v>199</v>
      </c>
      <c r="X10" s="67">
        <v>204</v>
      </c>
      <c r="Y10" s="65"/>
      <c r="Z10" s="65"/>
      <c r="AB10" s="56">
        <f>W10-AA1</f>
        <v>198</v>
      </c>
      <c r="AC10" s="67">
        <f>X10-AA1</f>
        <v>203</v>
      </c>
      <c r="AI10" s="57"/>
      <c r="AJ10" s="71">
        <v>193</v>
      </c>
      <c r="AK10" s="68">
        <v>198</v>
      </c>
      <c r="AL10" s="65"/>
      <c r="AM10" s="65"/>
      <c r="AO10" s="57">
        <f t="shared" si="2"/>
        <v>192</v>
      </c>
      <c r="AP10" s="68">
        <f t="shared" si="2"/>
        <v>197</v>
      </c>
      <c r="AQ10" s="76"/>
    </row>
    <row r="11" spans="1:44" x14ac:dyDescent="0.25">
      <c r="A11" t="s">
        <v>152</v>
      </c>
      <c r="B11" s="47" t="s">
        <v>609</v>
      </c>
      <c r="C11" s="47">
        <v>2</v>
      </c>
      <c r="D11" s="47" t="s">
        <v>568</v>
      </c>
      <c r="E11" s="47" t="str">
        <f t="shared" ref="E11:E33" si="3">A11&amp;" UPS Systems"</f>
        <v>F130 UPS Systems</v>
      </c>
      <c r="F11" s="50" t="s">
        <v>611</v>
      </c>
      <c r="G11" t="s">
        <v>547</v>
      </c>
      <c r="H11" t="s">
        <v>548</v>
      </c>
      <c r="L11" s="47"/>
      <c r="M11" s="47">
        <v>562.5</v>
      </c>
      <c r="V11" s="57"/>
      <c r="W11" s="71">
        <v>254</v>
      </c>
      <c r="X11" s="68">
        <v>259</v>
      </c>
      <c r="Y11" s="65"/>
      <c r="Z11" s="65"/>
      <c r="AB11" s="57">
        <f>W11-AA1</f>
        <v>253</v>
      </c>
      <c r="AC11" s="68">
        <f>X11-AA1</f>
        <v>258</v>
      </c>
      <c r="AI11" s="4" t="s">
        <v>622</v>
      </c>
      <c r="AJ11" s="4"/>
      <c r="AK11" s="4"/>
      <c r="AO11" s="4"/>
      <c r="AP11" s="4"/>
      <c r="AQ11" s="76"/>
    </row>
    <row r="12" spans="1:44" x14ac:dyDescent="0.25">
      <c r="A12" t="s">
        <v>153</v>
      </c>
      <c r="B12" s="47" t="s">
        <v>609</v>
      </c>
      <c r="C12" s="47">
        <v>2</v>
      </c>
      <c r="D12" s="47" t="s">
        <v>568</v>
      </c>
      <c r="E12" s="47" t="str">
        <f t="shared" si="3"/>
        <v>F140 UPS Systems</v>
      </c>
      <c r="F12" s="50" t="s">
        <v>611</v>
      </c>
      <c r="G12" t="s">
        <v>547</v>
      </c>
      <c r="H12" t="s">
        <v>548</v>
      </c>
      <c r="L12" s="47"/>
      <c r="M12" s="47">
        <v>562.5</v>
      </c>
      <c r="P12" s="106"/>
      <c r="T12" s="6"/>
      <c r="V12" s="51" t="s">
        <v>623</v>
      </c>
      <c r="W12" s="72"/>
      <c r="X12" s="72"/>
      <c r="AB12" s="69"/>
      <c r="AC12" s="69"/>
      <c r="AI12" s="55" t="s">
        <v>615</v>
      </c>
      <c r="AJ12" s="70">
        <v>17</v>
      </c>
      <c r="AK12" s="66">
        <v>19</v>
      </c>
      <c r="AL12" s="65" t="str">
        <f>AJ12&amp;":"&amp;AK12&amp;","&amp;AJ13&amp;":"&amp;AK13&amp;","&amp;AJ14&amp;":"&amp;AK14</f>
        <v>17:19,69:71,190:192</v>
      </c>
      <c r="AM12" s="65"/>
      <c r="AO12" s="55">
        <f t="shared" ref="AO12:AP14" si="4">AJ12-$AN$1</f>
        <v>16</v>
      </c>
      <c r="AP12" s="66">
        <f t="shared" si="4"/>
        <v>18</v>
      </c>
      <c r="AQ12" s="75" t="str">
        <f>AO12&amp;":"&amp;AP12&amp;","&amp;AO13&amp;":"&amp;AP13&amp;","&amp;AO14&amp;":"&amp;AP14</f>
        <v>16:18,68:70,189:191</v>
      </c>
    </row>
    <row r="13" spans="1:44" x14ac:dyDescent="0.25">
      <c r="A13" t="s">
        <v>154</v>
      </c>
      <c r="B13" s="47" t="s">
        <v>609</v>
      </c>
      <c r="C13" s="47">
        <v>4</v>
      </c>
      <c r="D13" s="47" t="s">
        <v>610</v>
      </c>
      <c r="E13" s="47" t="str">
        <f t="shared" si="3"/>
        <v>F150 UPS Systems</v>
      </c>
      <c r="F13" s="50" t="s">
        <v>611</v>
      </c>
      <c r="G13" t="s">
        <v>547</v>
      </c>
      <c r="H13" t="s">
        <v>548</v>
      </c>
      <c r="I13" t="s">
        <v>574</v>
      </c>
      <c r="J13" t="s">
        <v>572</v>
      </c>
      <c r="L13" s="47"/>
      <c r="M13" s="47">
        <v>562.5</v>
      </c>
      <c r="T13" s="6"/>
      <c r="V13" s="4" t="s">
        <v>620</v>
      </c>
      <c r="W13" s="69"/>
      <c r="X13" s="69"/>
      <c r="AB13" s="69"/>
      <c r="AC13" s="69"/>
      <c r="AI13" s="56"/>
      <c r="AJ13" s="69">
        <v>69</v>
      </c>
      <c r="AK13" s="67">
        <v>71</v>
      </c>
      <c r="AL13" s="65"/>
      <c r="AM13" s="65"/>
      <c r="AO13" s="56">
        <f t="shared" si="4"/>
        <v>68</v>
      </c>
      <c r="AP13" s="67">
        <f t="shared" si="4"/>
        <v>70</v>
      </c>
      <c r="AQ13" s="75" t="s">
        <v>624</v>
      </c>
    </row>
    <row r="14" spans="1:44" x14ac:dyDescent="0.25">
      <c r="A14" t="s">
        <v>155</v>
      </c>
      <c r="B14" s="47" t="s">
        <v>609</v>
      </c>
      <c r="C14" s="47">
        <v>2</v>
      </c>
      <c r="D14" s="47" t="s">
        <v>568</v>
      </c>
      <c r="E14" s="47" t="str">
        <f t="shared" si="3"/>
        <v>F160 UPS Systems</v>
      </c>
      <c r="F14" s="50" t="s">
        <v>611</v>
      </c>
      <c r="G14" t="s">
        <v>547</v>
      </c>
      <c r="H14" t="s">
        <v>548</v>
      </c>
      <c r="L14" s="47"/>
      <c r="M14" s="47">
        <v>562.5</v>
      </c>
      <c r="T14" s="6"/>
      <c r="V14" s="55" t="s">
        <v>615</v>
      </c>
      <c r="W14" s="70">
        <v>20</v>
      </c>
      <c r="X14" s="66">
        <v>22</v>
      </c>
      <c r="Y14" s="65" t="str">
        <f>W14&amp;":"&amp;X14&amp;","&amp;W15&amp;":"&amp;X15&amp;","&amp;W16&amp;":"&amp;X16&amp;","&amp;W17&amp;":"&amp;X17</f>
        <v>20:22,76:78,202:204,257:259</v>
      </c>
      <c r="Z14" s="65"/>
      <c r="AB14" s="55">
        <f>W14-AA1</f>
        <v>19</v>
      </c>
      <c r="AC14" s="66">
        <f>X14-AA1</f>
        <v>21</v>
      </c>
      <c r="AD14" s="65" t="str">
        <f>AB14&amp;":"&amp;AC14&amp;","&amp;AB15&amp;":"&amp;AC15&amp;","&amp;AB16&amp;":"&amp;AC16&amp;","&amp;AB17&amp;":"&amp;AC17</f>
        <v>19:21,75:77,201:203,256:258</v>
      </c>
      <c r="AI14" s="57"/>
      <c r="AJ14" s="71">
        <v>190</v>
      </c>
      <c r="AK14" s="68">
        <v>192</v>
      </c>
      <c r="AL14" s="65"/>
      <c r="AM14" s="65"/>
      <c r="AO14" s="57">
        <f t="shared" si="4"/>
        <v>189</v>
      </c>
      <c r="AP14" s="68">
        <f t="shared" si="4"/>
        <v>191</v>
      </c>
      <c r="AQ14" s="76"/>
    </row>
    <row r="15" spans="1:44" x14ac:dyDescent="0.25">
      <c r="A15" t="s">
        <v>156</v>
      </c>
      <c r="B15" s="47" t="s">
        <v>609</v>
      </c>
      <c r="C15" s="47">
        <v>2</v>
      </c>
      <c r="D15" s="47" t="s">
        <v>573</v>
      </c>
      <c r="E15" s="47" t="str">
        <f t="shared" si="3"/>
        <v>F170 UPS Systems</v>
      </c>
      <c r="F15" s="50" t="s">
        <v>611</v>
      </c>
      <c r="G15" s="47" t="s">
        <v>574</v>
      </c>
      <c r="H15" s="47" t="s">
        <v>572</v>
      </c>
      <c r="L15" s="47"/>
      <c r="M15" s="47">
        <v>562.5</v>
      </c>
      <c r="V15" s="56"/>
      <c r="W15" s="69">
        <v>76</v>
      </c>
      <c r="X15" s="67">
        <v>78</v>
      </c>
      <c r="Y15" s="65"/>
      <c r="Z15" s="65"/>
      <c r="AB15" s="56">
        <f>W15-AA1</f>
        <v>75</v>
      </c>
      <c r="AC15" s="67">
        <f>X15-AA1</f>
        <v>77</v>
      </c>
      <c r="AI15" s="73" t="s">
        <v>625</v>
      </c>
      <c r="AJ15" s="69"/>
      <c r="AK15" s="69"/>
      <c r="AO15" s="69"/>
      <c r="AP15" s="69"/>
      <c r="AQ15" s="76"/>
    </row>
    <row r="16" spans="1:44" x14ac:dyDescent="0.25">
      <c r="A16" t="s">
        <v>108</v>
      </c>
      <c r="B16" s="47" t="s">
        <v>609</v>
      </c>
      <c r="C16" s="47">
        <v>2</v>
      </c>
      <c r="D16" s="47" t="s">
        <v>568</v>
      </c>
      <c r="E16" s="47" t="str">
        <f t="shared" si="3"/>
        <v>G100 UPS Systems</v>
      </c>
      <c r="F16" s="50" t="s">
        <v>626</v>
      </c>
      <c r="G16" t="s">
        <v>547</v>
      </c>
      <c r="H16" t="s">
        <v>548</v>
      </c>
      <c r="L16" s="47"/>
      <c r="M16" s="47">
        <v>562.5</v>
      </c>
      <c r="V16" s="56"/>
      <c r="W16" s="69">
        <v>202</v>
      </c>
      <c r="X16" s="67">
        <v>204</v>
      </c>
      <c r="Y16" s="65"/>
      <c r="Z16" s="65"/>
      <c r="AB16" s="56">
        <f>W16-AA1</f>
        <v>201</v>
      </c>
      <c r="AC16" s="67">
        <f>X16-AA1</f>
        <v>203</v>
      </c>
      <c r="AI16" s="4" t="s">
        <v>620</v>
      </c>
      <c r="AJ16" s="69"/>
      <c r="AK16" s="69"/>
      <c r="AO16" s="69"/>
      <c r="AP16" s="69"/>
      <c r="AQ16" s="76"/>
    </row>
    <row r="17" spans="1:43" x14ac:dyDescent="0.25">
      <c r="A17" t="s">
        <v>109</v>
      </c>
      <c r="B17" s="47" t="s">
        <v>609</v>
      </c>
      <c r="C17" s="47">
        <v>2</v>
      </c>
      <c r="D17" s="47" t="s">
        <v>568</v>
      </c>
      <c r="E17" s="47" t="str">
        <f t="shared" si="3"/>
        <v>G102 UPS Systems</v>
      </c>
      <c r="F17" s="50" t="s">
        <v>626</v>
      </c>
      <c r="G17" t="s">
        <v>547</v>
      </c>
      <c r="H17" t="s">
        <v>548</v>
      </c>
      <c r="L17" s="47"/>
      <c r="M17" s="47">
        <v>562.5</v>
      </c>
      <c r="V17" s="57"/>
      <c r="W17" s="71">
        <v>257</v>
      </c>
      <c r="X17" s="68">
        <v>259</v>
      </c>
      <c r="Y17" s="65"/>
      <c r="Z17" s="65"/>
      <c r="AB17" s="57">
        <f>W17-AA1</f>
        <v>256</v>
      </c>
      <c r="AC17" s="68">
        <f>X17-AA1</f>
        <v>258</v>
      </c>
      <c r="AI17" s="52" t="s">
        <v>627</v>
      </c>
      <c r="AJ17" s="70">
        <v>23</v>
      </c>
      <c r="AK17" s="66">
        <v>25</v>
      </c>
      <c r="AL17" s="74" t="str">
        <f>AJ17&amp;":"&amp;AK17&amp;","&amp;AJ18&amp;":"&amp;AK18&amp;","&amp;AJ19&amp;":"&amp;AK19</f>
        <v>23:25,75:77,196:198</v>
      </c>
      <c r="AM17" s="74"/>
      <c r="AN17" s="4"/>
      <c r="AO17" s="55">
        <f t="shared" ref="AO17:AP19" si="5">AJ17-$AN$1</f>
        <v>22</v>
      </c>
      <c r="AP17" s="66">
        <f t="shared" si="5"/>
        <v>24</v>
      </c>
      <c r="AQ17" s="77" t="str">
        <f>AO17&amp;":"&amp;AP17&amp;","&amp;AO18&amp;":"&amp;AP18&amp;","&amp;AO19&amp;":"&amp;AP19</f>
        <v>22:24,74:76,195:197</v>
      </c>
    </row>
    <row r="18" spans="1:43" x14ac:dyDescent="0.25">
      <c r="A18" t="s">
        <v>110</v>
      </c>
      <c r="B18" s="47" t="s">
        <v>609</v>
      </c>
      <c r="C18" s="47">
        <v>2</v>
      </c>
      <c r="D18" s="47" t="s">
        <v>568</v>
      </c>
      <c r="E18" s="47" t="str">
        <f t="shared" si="3"/>
        <v>G104 UPS Systems</v>
      </c>
      <c r="F18" s="50" t="s">
        <v>626</v>
      </c>
      <c r="G18" t="s">
        <v>547</v>
      </c>
      <c r="H18" t="s">
        <v>548</v>
      </c>
      <c r="L18" s="47"/>
      <c r="M18" s="47">
        <v>562.5</v>
      </c>
      <c r="V18" s="4" t="s">
        <v>622</v>
      </c>
      <c r="W18" s="69"/>
      <c r="X18" s="69"/>
      <c r="AB18" s="69"/>
      <c r="AC18" s="69"/>
      <c r="AI18" s="56"/>
      <c r="AJ18" s="69">
        <v>75</v>
      </c>
      <c r="AK18" s="67">
        <v>77</v>
      </c>
      <c r="AL18" s="74"/>
      <c r="AM18" s="74"/>
      <c r="AN18" s="4"/>
      <c r="AO18" s="56">
        <f t="shared" si="5"/>
        <v>74</v>
      </c>
      <c r="AP18" s="67">
        <f t="shared" si="5"/>
        <v>76</v>
      </c>
      <c r="AQ18" s="75" t="s">
        <v>628</v>
      </c>
    </row>
    <row r="19" spans="1:43" x14ac:dyDescent="0.25">
      <c r="A19" t="s">
        <v>111</v>
      </c>
      <c r="B19" s="47" t="s">
        <v>609</v>
      </c>
      <c r="C19" s="47">
        <v>2</v>
      </c>
      <c r="D19" s="47" t="s">
        <v>568</v>
      </c>
      <c r="E19" s="47" t="str">
        <f t="shared" si="3"/>
        <v>G106 UPS Systems</v>
      </c>
      <c r="F19" s="50" t="s">
        <v>626</v>
      </c>
      <c r="G19" t="s">
        <v>547</v>
      </c>
      <c r="H19" t="s">
        <v>548</v>
      </c>
      <c r="L19" s="47"/>
      <c r="M19" s="47">
        <v>562.5</v>
      </c>
      <c r="T19" s="6"/>
      <c r="V19" s="55" t="s">
        <v>615</v>
      </c>
      <c r="W19" s="70">
        <v>17</v>
      </c>
      <c r="X19" s="66">
        <v>19</v>
      </c>
      <c r="Y19" s="65" t="str">
        <f>W19&amp;":"&amp;X19&amp;","&amp;W20&amp;":"&amp;X20&amp;","&amp;W21&amp;":"&amp;X21&amp;","&amp;W22&amp;":"&amp;X22</f>
        <v>17:19,73:75,199:201,254:256</v>
      </c>
      <c r="Z19" s="65"/>
      <c r="AB19" s="55">
        <f>W19-AA1</f>
        <v>16</v>
      </c>
      <c r="AC19" s="66">
        <f>X19-AA1</f>
        <v>18</v>
      </c>
      <c r="AD19" s="65" t="str">
        <f>AB19&amp;":"&amp;AC19&amp;","&amp;AB20&amp;":"&amp;AC20&amp;","&amp;AB21&amp;":"&amp;AC21&amp;","&amp;AB22&amp;":"&amp;AC22</f>
        <v>16:18,72:74,198:200,253:255</v>
      </c>
      <c r="AI19" s="57"/>
      <c r="AJ19" s="71">
        <v>196</v>
      </c>
      <c r="AK19" s="68">
        <v>198</v>
      </c>
      <c r="AL19" s="74"/>
      <c r="AM19" s="74"/>
      <c r="AN19" s="4"/>
      <c r="AO19" s="57">
        <f t="shared" si="5"/>
        <v>195</v>
      </c>
      <c r="AP19" s="68">
        <f t="shared" si="5"/>
        <v>197</v>
      </c>
      <c r="AQ19" s="76"/>
    </row>
    <row r="20" spans="1:43" x14ac:dyDescent="0.25">
      <c r="A20" t="s">
        <v>112</v>
      </c>
      <c r="B20" s="47" t="s">
        <v>609</v>
      </c>
      <c r="C20" s="47">
        <v>2</v>
      </c>
      <c r="D20" s="47" t="s">
        <v>568</v>
      </c>
      <c r="E20" s="47" t="str">
        <f t="shared" si="3"/>
        <v>G108 UPS Systems</v>
      </c>
      <c r="F20" s="50" t="s">
        <v>626</v>
      </c>
      <c r="G20" t="s">
        <v>547</v>
      </c>
      <c r="H20" t="s">
        <v>548</v>
      </c>
      <c r="L20" s="47"/>
      <c r="M20" s="47">
        <v>562.5</v>
      </c>
      <c r="T20" s="6"/>
      <c r="V20" s="56"/>
      <c r="W20" s="69">
        <v>73</v>
      </c>
      <c r="X20" s="67">
        <v>75</v>
      </c>
      <c r="Y20" s="65"/>
      <c r="Z20" s="65"/>
      <c r="AB20" s="56">
        <f>W20-AA1</f>
        <v>72</v>
      </c>
      <c r="AC20" s="67">
        <f>X20-AA1</f>
        <v>74</v>
      </c>
      <c r="AI20" s="4" t="s">
        <v>622</v>
      </c>
      <c r="AJ20" s="4"/>
      <c r="AK20" s="4"/>
      <c r="AL20" s="4"/>
      <c r="AM20" s="4"/>
      <c r="AN20" s="4"/>
      <c r="AO20" s="4"/>
      <c r="AP20" s="4"/>
      <c r="AQ20" s="76"/>
    </row>
    <row r="21" spans="1:43" x14ac:dyDescent="0.25">
      <c r="A21" t="s">
        <v>113</v>
      </c>
      <c r="B21" t="s">
        <v>629</v>
      </c>
      <c r="C21" s="47">
        <v>4</v>
      </c>
      <c r="D21" t="s">
        <v>610</v>
      </c>
      <c r="E21" t="str">
        <f t="shared" si="3"/>
        <v>G110 UPS Systems</v>
      </c>
      <c r="F21" s="50" t="s">
        <v>630</v>
      </c>
      <c r="G21" t="s">
        <v>547</v>
      </c>
      <c r="H21" t="s">
        <v>548</v>
      </c>
      <c r="I21" t="s">
        <v>574</v>
      </c>
      <c r="J21" t="s">
        <v>572</v>
      </c>
      <c r="L21" s="47"/>
      <c r="M21" s="47">
        <v>600</v>
      </c>
      <c r="T21" s="6"/>
      <c r="V21" s="56"/>
      <c r="W21" s="69">
        <v>199</v>
      </c>
      <c r="X21" s="67">
        <v>201</v>
      </c>
      <c r="Y21" s="65"/>
      <c r="Z21" s="65"/>
      <c r="AB21" s="56">
        <f>W21-AA1</f>
        <v>198</v>
      </c>
      <c r="AC21" s="67">
        <f>X21-AA1</f>
        <v>200</v>
      </c>
      <c r="AI21" s="55" t="s">
        <v>615</v>
      </c>
      <c r="AJ21" s="70">
        <v>17</v>
      </c>
      <c r="AK21" s="66">
        <v>22</v>
      </c>
      <c r="AL21" s="74" t="str">
        <f>AJ21&amp;":"&amp;AK21&amp;","&amp;AJ22&amp;":"&amp;AK22&amp;","&amp;AJ23&amp;":"&amp;AK23</f>
        <v>17:22,69:74,190:195</v>
      </c>
      <c r="AM21" s="74"/>
      <c r="AN21" s="4"/>
      <c r="AO21" s="55">
        <f t="shared" ref="AO21:AP23" si="6">AJ21-$AN$1</f>
        <v>16</v>
      </c>
      <c r="AP21" s="66">
        <f t="shared" si="6"/>
        <v>21</v>
      </c>
      <c r="AQ21" s="75" t="str">
        <f>AO21&amp;":"&amp;AP21&amp;","&amp;AO22&amp;":"&amp;AP22&amp;","&amp;AO23&amp;":"&amp;AP23</f>
        <v>16:21,68:73,189:194</v>
      </c>
    </row>
    <row r="22" spans="1:43" x14ac:dyDescent="0.25">
      <c r="A22" t="s">
        <v>114</v>
      </c>
      <c r="B22" t="s">
        <v>629</v>
      </c>
      <c r="C22" s="47">
        <v>2</v>
      </c>
      <c r="D22" t="s">
        <v>568</v>
      </c>
      <c r="E22" t="str">
        <f t="shared" si="3"/>
        <v>G114 UPS Systems</v>
      </c>
      <c r="F22" s="50" t="s">
        <v>630</v>
      </c>
      <c r="G22" t="s">
        <v>547</v>
      </c>
      <c r="H22" t="s">
        <v>548</v>
      </c>
      <c r="L22" s="47"/>
      <c r="M22" s="47">
        <v>600</v>
      </c>
      <c r="T22" s="6"/>
      <c r="V22" s="57"/>
      <c r="W22" s="71">
        <v>254</v>
      </c>
      <c r="X22" s="68">
        <v>256</v>
      </c>
      <c r="Y22" s="65"/>
      <c r="Z22" s="65"/>
      <c r="AB22" s="57">
        <f>W22-AA1</f>
        <v>253</v>
      </c>
      <c r="AC22" s="68">
        <f>X22-AA1</f>
        <v>255</v>
      </c>
      <c r="AI22" s="56"/>
      <c r="AJ22" s="69">
        <v>69</v>
      </c>
      <c r="AK22" s="67">
        <v>74</v>
      </c>
      <c r="AL22" s="74"/>
      <c r="AM22" s="74"/>
      <c r="AN22" s="4"/>
      <c r="AO22" s="56">
        <f t="shared" si="6"/>
        <v>68</v>
      </c>
      <c r="AP22" s="67">
        <f t="shared" si="6"/>
        <v>73</v>
      </c>
      <c r="AQ22" s="76" t="s">
        <v>631</v>
      </c>
    </row>
    <row r="23" spans="1:43" x14ac:dyDescent="0.25">
      <c r="A23" s="4" t="s">
        <v>115</v>
      </c>
      <c r="B23" s="4" t="s">
        <v>632</v>
      </c>
      <c r="C23" s="48">
        <v>2</v>
      </c>
      <c r="D23" s="45" t="s">
        <v>568</v>
      </c>
      <c r="E23" s="45" t="str">
        <f t="shared" si="3"/>
        <v>G116 UPS Systems</v>
      </c>
      <c r="F23" s="48" t="s">
        <v>630</v>
      </c>
      <c r="G23" s="45" t="s">
        <v>547</v>
      </c>
      <c r="H23" s="45" t="s">
        <v>548</v>
      </c>
      <c r="I23" s="45"/>
      <c r="J23" s="45"/>
      <c r="K23" s="45"/>
      <c r="L23" s="47">
        <v>6</v>
      </c>
      <c r="M23" s="47">
        <v>800</v>
      </c>
      <c r="V23" s="51" t="s">
        <v>633</v>
      </c>
      <c r="W23" s="72"/>
      <c r="X23" s="72"/>
      <c r="AB23" s="69"/>
      <c r="AC23" s="69"/>
      <c r="AI23" s="57"/>
      <c r="AJ23" s="71">
        <v>190</v>
      </c>
      <c r="AK23" s="68">
        <v>195</v>
      </c>
      <c r="AL23" s="74"/>
      <c r="AM23" s="74"/>
      <c r="AN23" s="4"/>
      <c r="AO23" s="57">
        <f t="shared" si="6"/>
        <v>189</v>
      </c>
      <c r="AP23" s="68">
        <f t="shared" si="6"/>
        <v>194</v>
      </c>
      <c r="AQ23" s="76"/>
    </row>
    <row r="24" spans="1:43" x14ac:dyDescent="0.25">
      <c r="A24" s="4" t="s">
        <v>116</v>
      </c>
      <c r="B24" s="4" t="s">
        <v>632</v>
      </c>
      <c r="C24" s="48">
        <v>2</v>
      </c>
      <c r="D24" s="45" t="s">
        <v>568</v>
      </c>
      <c r="E24" s="45" t="str">
        <f t="shared" si="3"/>
        <v>G118 UPS Systems</v>
      </c>
      <c r="F24" s="48" t="s">
        <v>630</v>
      </c>
      <c r="G24" s="45" t="s">
        <v>547</v>
      </c>
      <c r="H24" s="45" t="s">
        <v>548</v>
      </c>
      <c r="I24" s="45"/>
      <c r="J24" s="45"/>
      <c r="K24" s="45"/>
      <c r="L24" s="47">
        <v>6</v>
      </c>
      <c r="M24" s="47">
        <v>800</v>
      </c>
      <c r="V24" s="55" t="s">
        <v>615</v>
      </c>
      <c r="W24" s="70">
        <v>17</v>
      </c>
      <c r="X24" s="66">
        <v>22</v>
      </c>
      <c r="Y24" s="65" t="str">
        <f>W24&amp;":"&amp;X24&amp;","&amp;W25&amp;":"&amp;X25&amp;","&amp;W26&amp;":"&amp;X26&amp;","&amp;W27&amp;":"&amp;X27</f>
        <v>17:22,73:78,199:204,254:259</v>
      </c>
      <c r="Z24" s="65"/>
      <c r="AB24" s="55">
        <f>W24-AA1</f>
        <v>16</v>
      </c>
      <c r="AC24" s="66">
        <f>X24-AA1</f>
        <v>21</v>
      </c>
      <c r="AD24" s="65" t="str">
        <f>AB24&amp;":"&amp;AC24&amp;","&amp;AB25&amp;":"&amp;AC25&amp;","&amp;AB26&amp;":"&amp;AC26&amp;","&amp;AB27&amp;":"&amp;AC27</f>
        <v>16:21,72:77,198:203,253:258</v>
      </c>
      <c r="AI24" s="73" t="s">
        <v>634</v>
      </c>
      <c r="AJ24" s="4"/>
      <c r="AK24" s="4"/>
      <c r="AL24" s="4"/>
      <c r="AM24" s="4"/>
      <c r="AN24" s="4"/>
      <c r="AO24" s="4"/>
      <c r="AP24" s="4"/>
      <c r="AQ24" s="76"/>
    </row>
    <row r="25" spans="1:43" x14ac:dyDescent="0.25">
      <c r="A25" s="4" t="s">
        <v>117</v>
      </c>
      <c r="B25" s="4" t="s">
        <v>632</v>
      </c>
      <c r="C25" s="50">
        <v>2</v>
      </c>
      <c r="D25" s="45" t="s">
        <v>568</v>
      </c>
      <c r="E25" s="45" t="str">
        <f t="shared" si="3"/>
        <v>G120 UPS Systems</v>
      </c>
      <c r="F25" s="48" t="s">
        <v>630</v>
      </c>
      <c r="G25" s="45" t="s">
        <v>547</v>
      </c>
      <c r="H25" s="45" t="s">
        <v>548</v>
      </c>
      <c r="I25" s="45"/>
      <c r="J25" s="45"/>
      <c r="K25" s="45"/>
      <c r="L25" s="47">
        <v>4</v>
      </c>
      <c r="M25" s="47">
        <v>600</v>
      </c>
      <c r="V25" s="56"/>
      <c r="W25" s="69">
        <v>73</v>
      </c>
      <c r="X25" s="67">
        <v>78</v>
      </c>
      <c r="Y25" s="65"/>
      <c r="Z25" s="65"/>
      <c r="AB25" s="56">
        <f>W25-AA1</f>
        <v>72</v>
      </c>
      <c r="AC25" s="67">
        <f>X25-AA1</f>
        <v>77</v>
      </c>
      <c r="AI25" s="52" t="s">
        <v>627</v>
      </c>
      <c r="AJ25" s="70">
        <v>17</v>
      </c>
      <c r="AK25" s="66">
        <v>25</v>
      </c>
      <c r="AL25" s="74" t="str">
        <f>AJ25&amp;":"&amp;AK25&amp;","&amp;AJ26&amp;":"&amp;AK26&amp;","&amp;AJ27&amp;":"&amp;AK27</f>
        <v>17:25,69:77,190:198</v>
      </c>
      <c r="AM25" s="74"/>
      <c r="AN25" s="4"/>
      <c r="AO25" s="55">
        <f t="shared" ref="AO25:AP27" si="7">AJ25-$AN$1</f>
        <v>16</v>
      </c>
      <c r="AP25" s="66">
        <f t="shared" si="7"/>
        <v>24</v>
      </c>
      <c r="AQ25" s="77" t="str">
        <f>AO25&amp;":"&amp;AP25&amp;","&amp;AO26&amp;":"&amp;AP26&amp;","&amp;AO27&amp;":"&amp;AP27</f>
        <v>16:24,68:76,189:197</v>
      </c>
    </row>
    <row r="26" spans="1:43" x14ac:dyDescent="0.25">
      <c r="A26" t="s">
        <v>118</v>
      </c>
      <c r="B26" s="47" t="s">
        <v>609</v>
      </c>
      <c r="C26" s="47">
        <v>2</v>
      </c>
      <c r="D26" s="47" t="s">
        <v>568</v>
      </c>
      <c r="E26" s="47" t="str">
        <f t="shared" si="3"/>
        <v>G200 UPS Systems</v>
      </c>
      <c r="F26" s="50" t="s">
        <v>626</v>
      </c>
      <c r="G26" t="s">
        <v>547</v>
      </c>
      <c r="H26" t="s">
        <v>548</v>
      </c>
      <c r="L26" s="47"/>
      <c r="M26" s="47">
        <v>562.5</v>
      </c>
      <c r="V26" s="56"/>
      <c r="W26" s="69">
        <v>199</v>
      </c>
      <c r="X26" s="67">
        <v>204</v>
      </c>
      <c r="Y26" s="65"/>
      <c r="Z26" s="65"/>
      <c r="AB26" s="56">
        <f>W26-AA1</f>
        <v>198</v>
      </c>
      <c r="AC26" s="67">
        <f>X26-AA1</f>
        <v>203</v>
      </c>
      <c r="AI26" s="56"/>
      <c r="AJ26" s="69">
        <v>69</v>
      </c>
      <c r="AK26" s="67">
        <v>77</v>
      </c>
      <c r="AL26" s="74"/>
      <c r="AM26" s="74"/>
      <c r="AN26" s="4"/>
      <c r="AO26" s="56">
        <f t="shared" si="7"/>
        <v>68</v>
      </c>
      <c r="AP26" s="67">
        <f t="shared" si="7"/>
        <v>76</v>
      </c>
      <c r="AQ26" s="75" t="s">
        <v>617</v>
      </c>
    </row>
    <row r="27" spans="1:43" x14ac:dyDescent="0.25">
      <c r="A27" t="s">
        <v>119</v>
      </c>
      <c r="B27" s="47" t="s">
        <v>609</v>
      </c>
      <c r="C27" s="47">
        <v>2</v>
      </c>
      <c r="D27" s="47" t="s">
        <v>568</v>
      </c>
      <c r="E27" s="47" t="str">
        <f t="shared" si="3"/>
        <v>G202 UPS Systems</v>
      </c>
      <c r="F27" s="50" t="s">
        <v>626</v>
      </c>
      <c r="G27" t="s">
        <v>547</v>
      </c>
      <c r="H27" t="s">
        <v>548</v>
      </c>
      <c r="L27" s="47"/>
      <c r="M27" s="47">
        <v>562.5</v>
      </c>
      <c r="V27" s="57"/>
      <c r="W27" s="71">
        <v>254</v>
      </c>
      <c r="X27" s="68">
        <v>259</v>
      </c>
      <c r="Y27" s="65"/>
      <c r="Z27" s="65"/>
      <c r="AB27" s="57">
        <f>W27-AA1</f>
        <v>253</v>
      </c>
      <c r="AC27" s="68">
        <f>X27-AA1</f>
        <v>258</v>
      </c>
      <c r="AI27" s="57"/>
      <c r="AJ27" s="71">
        <v>190</v>
      </c>
      <c r="AK27" s="68">
        <v>198</v>
      </c>
      <c r="AL27" s="74"/>
      <c r="AM27" s="74"/>
      <c r="AN27" s="4"/>
      <c r="AO27" s="57">
        <f t="shared" si="7"/>
        <v>189</v>
      </c>
      <c r="AP27" s="68">
        <f t="shared" si="7"/>
        <v>197</v>
      </c>
      <c r="AQ27" s="76"/>
    </row>
    <row r="28" spans="1:43" x14ac:dyDescent="0.25">
      <c r="A28" t="s">
        <v>120</v>
      </c>
      <c r="B28" s="47" t="s">
        <v>609</v>
      </c>
      <c r="C28" s="47">
        <v>2</v>
      </c>
      <c r="D28" s="47" t="s">
        <v>568</v>
      </c>
      <c r="E28" s="47" t="str">
        <f t="shared" si="3"/>
        <v>G204 UPS Systems</v>
      </c>
      <c r="F28" s="50" t="s">
        <v>626</v>
      </c>
      <c r="G28" t="s">
        <v>547</v>
      </c>
      <c r="H28" t="s">
        <v>548</v>
      </c>
      <c r="L28" s="47"/>
      <c r="M28" s="47">
        <v>562.5</v>
      </c>
      <c r="T28" s="4"/>
      <c r="U28" s="4"/>
      <c r="V28" s="51" t="s">
        <v>635</v>
      </c>
      <c r="W28" s="72"/>
      <c r="X28" s="72"/>
      <c r="AB28" s="69"/>
      <c r="AC28" s="69"/>
    </row>
    <row r="29" spans="1:43" x14ac:dyDescent="0.25">
      <c r="A29" t="s">
        <v>121</v>
      </c>
      <c r="B29" s="47" t="s">
        <v>609</v>
      </c>
      <c r="C29" s="47">
        <v>2</v>
      </c>
      <c r="D29" s="47" t="s">
        <v>568</v>
      </c>
      <c r="E29" s="47" t="str">
        <f t="shared" si="3"/>
        <v>G206 UPS Systems</v>
      </c>
      <c r="F29" s="50" t="s">
        <v>626</v>
      </c>
      <c r="G29" t="s">
        <v>547</v>
      </c>
      <c r="H29" t="s">
        <v>548</v>
      </c>
      <c r="L29" s="47"/>
      <c r="M29" s="47">
        <v>562.5</v>
      </c>
      <c r="T29" s="4"/>
      <c r="U29" s="59"/>
      <c r="V29" s="52" t="s">
        <v>572</v>
      </c>
      <c r="W29" s="70">
        <v>146</v>
      </c>
      <c r="X29" s="66">
        <v>147</v>
      </c>
      <c r="Y29" s="65" t="str">
        <f>W29&amp;":"&amp;X29&amp;","&amp;W30&amp;":"&amp;X30</f>
        <v>146:147,174:175</v>
      </c>
      <c r="Z29" s="65"/>
      <c r="AB29" s="55">
        <f>W29-AA1</f>
        <v>145</v>
      </c>
      <c r="AC29" s="66">
        <f>X29-AA1</f>
        <v>146</v>
      </c>
      <c r="AD29" s="65" t="str">
        <f>AB29&amp;":"&amp;AC29&amp;","&amp;AB30&amp;":"&amp;AC30</f>
        <v>145:146,173:174</v>
      </c>
      <c r="AI29" s="69"/>
      <c r="AJ29" s="69"/>
      <c r="AK29" s="69"/>
      <c r="AL29" s="74"/>
      <c r="AM29" s="74"/>
      <c r="AN29" s="4"/>
      <c r="AO29" s="69"/>
      <c r="AP29" s="69"/>
    </row>
    <row r="30" spans="1:43" x14ac:dyDescent="0.25">
      <c r="A30" t="s">
        <v>122</v>
      </c>
      <c r="B30" s="47" t="s">
        <v>609</v>
      </c>
      <c r="C30" s="47">
        <v>2</v>
      </c>
      <c r="D30" s="47" t="s">
        <v>568</v>
      </c>
      <c r="E30" s="47" t="str">
        <f t="shared" si="3"/>
        <v>G208 UPS Systems</v>
      </c>
      <c r="F30" s="50" t="s">
        <v>626</v>
      </c>
      <c r="G30" t="s">
        <v>547</v>
      </c>
      <c r="H30" t="s">
        <v>548</v>
      </c>
      <c r="L30" s="47"/>
      <c r="M30" s="47">
        <v>562.5</v>
      </c>
      <c r="T30" s="4"/>
      <c r="U30" s="59"/>
      <c r="V30" s="54"/>
      <c r="W30" s="71">
        <v>174</v>
      </c>
      <c r="X30" s="68">
        <v>175</v>
      </c>
      <c r="Y30" s="65"/>
      <c r="Z30" s="65"/>
      <c r="AB30" s="57">
        <f>W30-AA1</f>
        <v>173</v>
      </c>
      <c r="AC30" s="68">
        <f>X30-AA1</f>
        <v>174</v>
      </c>
    </row>
    <row r="31" spans="1:43" x14ac:dyDescent="0.25">
      <c r="A31" t="s">
        <v>123</v>
      </c>
      <c r="B31" t="s">
        <v>629</v>
      </c>
      <c r="C31" s="47">
        <v>2</v>
      </c>
      <c r="D31" t="s">
        <v>568</v>
      </c>
      <c r="E31" t="str">
        <f t="shared" si="3"/>
        <v>G210 UPS Systems</v>
      </c>
      <c r="F31" s="50" t="s">
        <v>630</v>
      </c>
      <c r="G31" t="s">
        <v>547</v>
      </c>
      <c r="H31" t="s">
        <v>548</v>
      </c>
      <c r="L31" s="47"/>
      <c r="M31" s="47">
        <v>600</v>
      </c>
      <c r="T31" s="4"/>
      <c r="U31" s="59"/>
      <c r="V31" s="51" t="s">
        <v>636</v>
      </c>
      <c r="W31" s="72"/>
      <c r="X31" s="72"/>
      <c r="AB31" s="69"/>
      <c r="AC31" s="69"/>
    </row>
    <row r="32" spans="1:43" x14ac:dyDescent="0.25">
      <c r="A32" t="s">
        <v>124</v>
      </c>
      <c r="B32" t="s">
        <v>629</v>
      </c>
      <c r="C32" s="47">
        <v>2</v>
      </c>
      <c r="D32" t="s">
        <v>568</v>
      </c>
      <c r="E32" t="str">
        <f t="shared" si="3"/>
        <v>G212 UPS Systems</v>
      </c>
      <c r="F32" s="50" t="s">
        <v>630</v>
      </c>
      <c r="G32" t="s">
        <v>547</v>
      </c>
      <c r="H32" t="s">
        <v>548</v>
      </c>
      <c r="L32" s="47"/>
      <c r="M32" s="47">
        <v>600</v>
      </c>
      <c r="T32" s="4"/>
      <c r="U32" s="59"/>
      <c r="V32" s="52" t="s">
        <v>627</v>
      </c>
      <c r="W32" s="70">
        <v>92</v>
      </c>
      <c r="X32" s="66">
        <v>97</v>
      </c>
      <c r="Y32" s="65" t="str">
        <f>W32&amp;":"&amp;X32&amp;","&amp;W33&amp;":"&amp;X33&amp;","&amp;W34&amp;":"&amp;X34&amp;","&amp;W35&amp;":"&amp;X35</f>
        <v>92:97,116:121,152:157,180:185</v>
      </c>
      <c r="Z32" s="65"/>
      <c r="AB32" s="55">
        <f>W32-AA1</f>
        <v>91</v>
      </c>
      <c r="AC32" s="66">
        <f>X32-AA1</f>
        <v>96</v>
      </c>
      <c r="AD32" s="65" t="str">
        <f>AB32&amp;":"&amp;AC32&amp;","&amp;AB33&amp;":"&amp;AC33&amp;","&amp;AB34&amp;":"&amp;AC34&amp;","&amp;AB35&amp;":"&amp;AC35</f>
        <v>91:96,115:120,151:156,179:184</v>
      </c>
    </row>
    <row r="33" spans="1:30" x14ac:dyDescent="0.25">
      <c r="A33" t="s">
        <v>125</v>
      </c>
      <c r="B33" t="s">
        <v>629</v>
      </c>
      <c r="C33" s="47">
        <v>2</v>
      </c>
      <c r="D33" t="s">
        <v>568</v>
      </c>
      <c r="E33" t="str">
        <f t="shared" si="3"/>
        <v>G214 UPS Systems</v>
      </c>
      <c r="F33" s="50" t="s">
        <v>630</v>
      </c>
      <c r="G33" t="s">
        <v>547</v>
      </c>
      <c r="H33" t="s">
        <v>548</v>
      </c>
      <c r="L33" s="47"/>
      <c r="M33" s="47">
        <v>600</v>
      </c>
      <c r="T33" s="4"/>
      <c r="U33" s="4"/>
      <c r="V33" s="53"/>
      <c r="W33" s="69">
        <v>116</v>
      </c>
      <c r="X33" s="67">
        <v>121</v>
      </c>
      <c r="Y33" s="65"/>
      <c r="Z33" s="65"/>
      <c r="AB33" s="56">
        <f>W33-AA1</f>
        <v>115</v>
      </c>
      <c r="AC33" s="67">
        <f>X33-AA1</f>
        <v>120</v>
      </c>
    </row>
    <row r="34" spans="1:30" x14ac:dyDescent="0.25">
      <c r="A34" t="s">
        <v>126</v>
      </c>
      <c r="B34" t="s">
        <v>629</v>
      </c>
      <c r="C34" s="47">
        <v>2</v>
      </c>
      <c r="D34" t="s">
        <v>568</v>
      </c>
      <c r="E34" t="str">
        <f t="shared" ref="E34:E61" si="8">A34&amp;" UPS Systems"</f>
        <v>G216 UPS Systems</v>
      </c>
      <c r="F34" s="50" t="s">
        <v>630</v>
      </c>
      <c r="G34" t="s">
        <v>547</v>
      </c>
      <c r="H34" t="s">
        <v>548</v>
      </c>
      <c r="L34" s="47"/>
      <c r="M34" s="45">
        <v>600</v>
      </c>
      <c r="V34" s="53"/>
      <c r="W34" s="69">
        <v>152</v>
      </c>
      <c r="X34" s="67">
        <v>157</v>
      </c>
      <c r="Y34" s="65"/>
      <c r="Z34" s="65"/>
      <c r="AB34" s="56">
        <f>W34-AA1</f>
        <v>151</v>
      </c>
      <c r="AC34" s="67">
        <f>X34-AA1</f>
        <v>156</v>
      </c>
    </row>
    <row r="35" spans="1:30" x14ac:dyDescent="0.25">
      <c r="A35" t="s">
        <v>127</v>
      </c>
      <c r="B35" t="s">
        <v>629</v>
      </c>
      <c r="C35" s="47">
        <v>2</v>
      </c>
      <c r="D35" t="s">
        <v>568</v>
      </c>
      <c r="E35" t="str">
        <f t="shared" si="8"/>
        <v>G218 UPS Systems</v>
      </c>
      <c r="F35" s="50" t="s">
        <v>630</v>
      </c>
      <c r="G35" t="s">
        <v>547</v>
      </c>
      <c r="H35" t="s">
        <v>548</v>
      </c>
      <c r="L35" s="47"/>
      <c r="M35" s="45">
        <v>600</v>
      </c>
      <c r="V35" s="54"/>
      <c r="W35" s="71">
        <v>180</v>
      </c>
      <c r="X35" s="68">
        <v>185</v>
      </c>
      <c r="Y35" s="65"/>
      <c r="Z35" s="65"/>
      <c r="AB35" s="57">
        <f>W35-AA1</f>
        <v>179</v>
      </c>
      <c r="AC35" s="68">
        <f>X35-AA1</f>
        <v>184</v>
      </c>
    </row>
    <row r="36" spans="1:30" x14ac:dyDescent="0.25">
      <c r="A36" t="s">
        <v>128</v>
      </c>
      <c r="B36" t="s">
        <v>629</v>
      </c>
      <c r="C36" s="47">
        <v>2</v>
      </c>
      <c r="D36" t="s">
        <v>568</v>
      </c>
      <c r="E36" t="str">
        <f t="shared" si="8"/>
        <v>G220 UPS Systems</v>
      </c>
      <c r="F36" s="50" t="s">
        <v>630</v>
      </c>
      <c r="G36" t="s">
        <v>547</v>
      </c>
      <c r="H36" t="s">
        <v>548</v>
      </c>
      <c r="L36" s="47"/>
      <c r="M36" s="45">
        <v>600</v>
      </c>
      <c r="V36" s="58" t="s">
        <v>637</v>
      </c>
      <c r="W36" s="72"/>
      <c r="X36" s="72"/>
      <c r="AB36" s="69"/>
      <c r="AC36" s="69"/>
    </row>
    <row r="37" spans="1:30" x14ac:dyDescent="0.25">
      <c r="A37" s="25" t="s">
        <v>157</v>
      </c>
      <c r="B37" s="4" t="s">
        <v>632</v>
      </c>
      <c r="C37" s="50">
        <v>4</v>
      </c>
      <c r="D37" s="45" t="s">
        <v>610</v>
      </c>
      <c r="E37" s="45" t="str">
        <f t="shared" si="8"/>
        <v>H100 UPS Systems</v>
      </c>
      <c r="F37" s="48" t="s">
        <v>590</v>
      </c>
      <c r="G37" s="45" t="s">
        <v>547</v>
      </c>
      <c r="H37" s="45" t="s">
        <v>548</v>
      </c>
      <c r="I37" s="46" t="s">
        <v>574</v>
      </c>
      <c r="J37" s="46" t="s">
        <v>572</v>
      </c>
      <c r="K37" s="46"/>
      <c r="L37" s="45">
        <v>6</v>
      </c>
      <c r="M37" s="45">
        <v>800</v>
      </c>
      <c r="V37" s="52" t="s">
        <v>627</v>
      </c>
      <c r="W37" s="70">
        <v>88</v>
      </c>
      <c r="X37" s="66">
        <v>91</v>
      </c>
      <c r="Y37" s="65" t="str">
        <f>W37&amp;":"&amp;X37&amp;","&amp;W38&amp;":"&amp;X38&amp;","&amp;W39&amp;":"&amp;X39&amp;","&amp;W40&amp;":"&amp;X40</f>
        <v>88:91,112:115,148:151,176:179</v>
      </c>
      <c r="Z37" s="65"/>
      <c r="AB37" s="55">
        <f>W37-AA1</f>
        <v>87</v>
      </c>
      <c r="AC37" s="66">
        <f>X37-AA1</f>
        <v>90</v>
      </c>
      <c r="AD37" s="65" t="str">
        <f>AB37&amp;":"&amp;AC37&amp;","&amp;AB38&amp;":"&amp;AC38&amp;","&amp;AB39&amp;":"&amp;AC39&amp;","&amp;AB40&amp;":"&amp;AC40</f>
        <v>87:90,111:114,147:150,175:178</v>
      </c>
    </row>
    <row r="38" spans="1:30" x14ac:dyDescent="0.25">
      <c r="A38" s="25" t="s">
        <v>158</v>
      </c>
      <c r="B38" s="4" t="s">
        <v>632</v>
      </c>
      <c r="C38" s="50">
        <v>4</v>
      </c>
      <c r="D38" s="45" t="s">
        <v>610</v>
      </c>
      <c r="E38" s="45" t="str">
        <f t="shared" si="8"/>
        <v>H106 UPS Systems</v>
      </c>
      <c r="F38" s="48" t="s">
        <v>590</v>
      </c>
      <c r="G38" s="45" t="s">
        <v>547</v>
      </c>
      <c r="H38" s="45" t="s">
        <v>548</v>
      </c>
      <c r="I38" s="46" t="s">
        <v>574</v>
      </c>
      <c r="J38" s="46" t="s">
        <v>572</v>
      </c>
      <c r="K38" s="46"/>
      <c r="L38" s="45">
        <v>4</v>
      </c>
      <c r="M38" s="47">
        <v>600</v>
      </c>
      <c r="V38" s="53"/>
      <c r="W38" s="69">
        <v>112</v>
      </c>
      <c r="X38" s="67">
        <v>115</v>
      </c>
      <c r="Y38" s="65"/>
      <c r="Z38" s="65"/>
      <c r="AB38" s="56">
        <f>W38-AA1</f>
        <v>111</v>
      </c>
      <c r="AC38" s="67">
        <f>X38-AA1</f>
        <v>114</v>
      </c>
    </row>
    <row r="39" spans="1:30" x14ac:dyDescent="0.25">
      <c r="A39" s="25" t="s">
        <v>159</v>
      </c>
      <c r="B39" s="4" t="s">
        <v>632</v>
      </c>
      <c r="C39" s="50">
        <v>4</v>
      </c>
      <c r="D39" s="45" t="s">
        <v>610</v>
      </c>
      <c r="E39" s="45" t="str">
        <f t="shared" si="8"/>
        <v>H200 UPS Systems</v>
      </c>
      <c r="F39" s="48" t="s">
        <v>590</v>
      </c>
      <c r="G39" s="45" t="s">
        <v>547</v>
      </c>
      <c r="H39" s="45" t="s">
        <v>548</v>
      </c>
      <c r="I39" s="46" t="s">
        <v>574</v>
      </c>
      <c r="J39" s="46" t="s">
        <v>572</v>
      </c>
      <c r="K39" s="46"/>
      <c r="L39" s="45">
        <v>6</v>
      </c>
      <c r="M39" s="45">
        <v>800</v>
      </c>
      <c r="V39" s="53"/>
      <c r="W39" s="69">
        <v>148</v>
      </c>
      <c r="X39" s="67">
        <v>151</v>
      </c>
      <c r="Y39" s="65"/>
      <c r="Z39" s="65"/>
      <c r="AB39" s="56">
        <f>W39-AA1</f>
        <v>147</v>
      </c>
      <c r="AC39" s="67">
        <f>X39-AA1</f>
        <v>150</v>
      </c>
    </row>
    <row r="40" spans="1:30" x14ac:dyDescent="0.25">
      <c r="A40" s="25" t="s">
        <v>160</v>
      </c>
      <c r="B40" s="4" t="s">
        <v>632</v>
      </c>
      <c r="C40" s="50">
        <v>4</v>
      </c>
      <c r="D40" s="45" t="s">
        <v>610</v>
      </c>
      <c r="E40" s="45" t="str">
        <f t="shared" si="8"/>
        <v>H206 UPS Systems</v>
      </c>
      <c r="F40" s="48" t="s">
        <v>590</v>
      </c>
      <c r="G40" s="45" t="s">
        <v>547</v>
      </c>
      <c r="H40" s="45" t="s">
        <v>548</v>
      </c>
      <c r="I40" s="46" t="s">
        <v>574</v>
      </c>
      <c r="J40" s="46" t="s">
        <v>572</v>
      </c>
      <c r="K40" s="46"/>
      <c r="L40" s="45">
        <v>4</v>
      </c>
      <c r="M40" s="47">
        <v>600</v>
      </c>
      <c r="V40" s="54"/>
      <c r="W40" s="71">
        <v>176</v>
      </c>
      <c r="X40" s="68">
        <v>179</v>
      </c>
      <c r="Y40" s="65"/>
      <c r="Z40" s="65"/>
      <c r="AB40" s="57">
        <f>W40-AA1</f>
        <v>175</v>
      </c>
      <c r="AC40" s="68">
        <f>X40-AA1</f>
        <v>178</v>
      </c>
    </row>
    <row r="41" spans="1:30" x14ac:dyDescent="0.25">
      <c r="A41" t="s">
        <v>161</v>
      </c>
      <c r="B41" t="s">
        <v>638</v>
      </c>
      <c r="C41" s="47">
        <v>2</v>
      </c>
      <c r="D41" t="s">
        <v>568</v>
      </c>
      <c r="E41" t="str">
        <f t="shared" si="8"/>
        <v>J100 UPS Systems</v>
      </c>
      <c r="F41" s="50" t="s">
        <v>630</v>
      </c>
      <c r="G41" t="s">
        <v>547</v>
      </c>
      <c r="H41" t="s">
        <v>548</v>
      </c>
      <c r="L41" s="47">
        <v>3</v>
      </c>
      <c r="M41" s="47">
        <v>625</v>
      </c>
    </row>
    <row r="42" spans="1:30" x14ac:dyDescent="0.25">
      <c r="A42" s="25" t="s">
        <v>162</v>
      </c>
      <c r="B42" s="4" t="s">
        <v>632</v>
      </c>
      <c r="C42" s="50">
        <v>3</v>
      </c>
      <c r="D42" s="45" t="s">
        <v>639</v>
      </c>
      <c r="E42" s="45" t="str">
        <f t="shared" si="8"/>
        <v>J102 UPS Systems</v>
      </c>
      <c r="F42" s="48" t="s">
        <v>590</v>
      </c>
      <c r="G42" s="45" t="s">
        <v>547</v>
      </c>
      <c r="H42" s="45" t="s">
        <v>548</v>
      </c>
      <c r="I42" s="46" t="s">
        <v>574</v>
      </c>
      <c r="J42" s="45"/>
      <c r="K42" s="45"/>
      <c r="L42" s="45">
        <v>6</v>
      </c>
      <c r="M42" s="47">
        <v>800</v>
      </c>
    </row>
    <row r="43" spans="1:30" x14ac:dyDescent="0.25">
      <c r="A43" t="s">
        <v>163</v>
      </c>
      <c r="B43" t="s">
        <v>638</v>
      </c>
      <c r="C43" s="47">
        <v>4</v>
      </c>
      <c r="D43" t="s">
        <v>610</v>
      </c>
      <c r="E43" t="str">
        <f t="shared" si="8"/>
        <v>J106 UPS Systems</v>
      </c>
      <c r="F43" s="47" t="s">
        <v>590</v>
      </c>
      <c r="G43" t="s">
        <v>547</v>
      </c>
      <c r="H43" t="s">
        <v>548</v>
      </c>
      <c r="I43" t="s">
        <v>574</v>
      </c>
      <c r="J43" t="s">
        <v>572</v>
      </c>
      <c r="L43" s="47">
        <v>3</v>
      </c>
      <c r="M43" s="47">
        <v>625</v>
      </c>
    </row>
    <row r="44" spans="1:30" x14ac:dyDescent="0.25">
      <c r="A44" t="s">
        <v>164</v>
      </c>
      <c r="B44" t="s">
        <v>638</v>
      </c>
      <c r="C44" s="47">
        <v>2</v>
      </c>
      <c r="D44" t="s">
        <v>568</v>
      </c>
      <c r="E44" t="str">
        <f t="shared" si="8"/>
        <v>J200 UPS Systems</v>
      </c>
      <c r="F44" s="50" t="s">
        <v>630</v>
      </c>
      <c r="G44" t="s">
        <v>547</v>
      </c>
      <c r="H44" t="s">
        <v>548</v>
      </c>
      <c r="L44" s="47">
        <v>3</v>
      </c>
      <c r="M44" s="45">
        <v>625</v>
      </c>
    </row>
    <row r="45" spans="1:30" x14ac:dyDescent="0.25">
      <c r="A45" t="s">
        <v>165</v>
      </c>
      <c r="B45" t="s">
        <v>638</v>
      </c>
      <c r="C45" s="47">
        <v>3</v>
      </c>
      <c r="D45" t="s">
        <v>639</v>
      </c>
      <c r="E45" t="str">
        <f t="shared" si="8"/>
        <v>J202 UPS Systems</v>
      </c>
      <c r="F45" s="47" t="s">
        <v>590</v>
      </c>
      <c r="G45" t="s">
        <v>547</v>
      </c>
      <c r="H45" t="s">
        <v>548</v>
      </c>
      <c r="I45" t="s">
        <v>574</v>
      </c>
      <c r="L45" s="47">
        <v>4</v>
      </c>
      <c r="M45" s="45">
        <v>800</v>
      </c>
    </row>
    <row r="46" spans="1:30" x14ac:dyDescent="0.25">
      <c r="A46" t="s">
        <v>166</v>
      </c>
      <c r="B46" t="s">
        <v>638</v>
      </c>
      <c r="C46" s="47">
        <v>5</v>
      </c>
      <c r="D46" t="s">
        <v>640</v>
      </c>
      <c r="E46" t="str">
        <f t="shared" si="8"/>
        <v>J206 UPS Systems</v>
      </c>
      <c r="F46" s="47" t="s">
        <v>590</v>
      </c>
      <c r="G46" t="s">
        <v>547</v>
      </c>
      <c r="H46" t="s">
        <v>548</v>
      </c>
      <c r="I46" t="s">
        <v>574</v>
      </c>
      <c r="J46" t="s">
        <v>572</v>
      </c>
      <c r="K46" t="s">
        <v>594</v>
      </c>
      <c r="L46" s="47">
        <v>3</v>
      </c>
      <c r="M46" s="47">
        <v>625</v>
      </c>
    </row>
    <row r="47" spans="1:30" x14ac:dyDescent="0.25">
      <c r="A47" s="25" t="s">
        <v>129</v>
      </c>
      <c r="B47" s="4" t="s">
        <v>632</v>
      </c>
      <c r="C47" s="50">
        <v>2</v>
      </c>
      <c r="D47" s="45" t="s">
        <v>568</v>
      </c>
      <c r="E47" s="45" t="str">
        <f t="shared" si="8"/>
        <v>K100 UPS Systems</v>
      </c>
      <c r="F47" s="48" t="s">
        <v>630</v>
      </c>
      <c r="G47" s="45" t="s">
        <v>547</v>
      </c>
      <c r="H47" s="45" t="s">
        <v>548</v>
      </c>
      <c r="I47" s="45"/>
      <c r="J47" s="45"/>
      <c r="K47" s="45"/>
      <c r="L47" s="45">
        <v>4</v>
      </c>
      <c r="M47" s="45">
        <v>600</v>
      </c>
    </row>
    <row r="48" spans="1:30" x14ac:dyDescent="0.25">
      <c r="A48" s="25" t="s">
        <v>130</v>
      </c>
      <c r="B48" s="4" t="s">
        <v>632</v>
      </c>
      <c r="C48" s="50">
        <v>2</v>
      </c>
      <c r="D48" s="45" t="s">
        <v>568</v>
      </c>
      <c r="E48" s="45" t="str">
        <f t="shared" si="8"/>
        <v>K102 UPS Systems</v>
      </c>
      <c r="F48" s="48" t="s">
        <v>630</v>
      </c>
      <c r="G48" s="45" t="s">
        <v>547</v>
      </c>
      <c r="H48" s="45" t="s">
        <v>548</v>
      </c>
      <c r="I48" s="45"/>
      <c r="J48" s="45"/>
      <c r="K48" s="45"/>
      <c r="L48" s="45">
        <v>4</v>
      </c>
      <c r="M48" s="47">
        <v>600</v>
      </c>
    </row>
    <row r="49" spans="1:13" x14ac:dyDescent="0.25">
      <c r="A49" t="s">
        <v>167</v>
      </c>
      <c r="B49" t="s">
        <v>629</v>
      </c>
      <c r="C49" s="47">
        <v>2</v>
      </c>
      <c r="D49" t="s">
        <v>568</v>
      </c>
      <c r="E49" t="str">
        <f t="shared" si="8"/>
        <v>K104 UPS Systems</v>
      </c>
      <c r="F49" s="50" t="s">
        <v>630</v>
      </c>
      <c r="G49" t="s">
        <v>547</v>
      </c>
      <c r="H49" t="s">
        <v>548</v>
      </c>
      <c r="L49" s="47"/>
      <c r="M49" s="45">
        <v>600</v>
      </c>
    </row>
    <row r="50" spans="1:13" x14ac:dyDescent="0.25">
      <c r="A50" s="25" t="s">
        <v>168</v>
      </c>
      <c r="B50" s="4" t="s">
        <v>632</v>
      </c>
      <c r="C50" s="50">
        <v>2</v>
      </c>
      <c r="D50" s="45" t="s">
        <v>568</v>
      </c>
      <c r="E50" s="45" t="str">
        <f t="shared" si="8"/>
        <v>K106 UPS Systems</v>
      </c>
      <c r="F50" s="48" t="s">
        <v>630</v>
      </c>
      <c r="G50" s="45" t="s">
        <v>547</v>
      </c>
      <c r="H50" s="45" t="s">
        <v>548</v>
      </c>
      <c r="I50" s="45"/>
      <c r="J50" s="45"/>
      <c r="K50" s="45"/>
      <c r="L50" s="45">
        <v>4</v>
      </c>
      <c r="M50" s="45">
        <v>600</v>
      </c>
    </row>
    <row r="51" spans="1:13" x14ac:dyDescent="0.25">
      <c r="A51" t="s">
        <v>169</v>
      </c>
      <c r="B51" t="s">
        <v>629</v>
      </c>
      <c r="C51" s="47">
        <v>2</v>
      </c>
      <c r="D51" t="s">
        <v>568</v>
      </c>
      <c r="E51" t="str">
        <f t="shared" si="8"/>
        <v>K108 UPS Systems</v>
      </c>
      <c r="F51" s="50" t="s">
        <v>630</v>
      </c>
      <c r="G51" t="s">
        <v>547</v>
      </c>
      <c r="H51" t="s">
        <v>548</v>
      </c>
      <c r="L51" s="47"/>
      <c r="M51" s="45">
        <v>600</v>
      </c>
    </row>
    <row r="52" spans="1:13" x14ac:dyDescent="0.25">
      <c r="A52" s="25" t="s">
        <v>170</v>
      </c>
      <c r="B52" s="4" t="s">
        <v>632</v>
      </c>
      <c r="C52" s="50">
        <v>2</v>
      </c>
      <c r="D52" s="45" t="s">
        <v>568</v>
      </c>
      <c r="E52" s="45" t="str">
        <f t="shared" si="8"/>
        <v>K110 UPS Systems</v>
      </c>
      <c r="F52" s="48" t="s">
        <v>630</v>
      </c>
      <c r="G52" s="45" t="s">
        <v>547</v>
      </c>
      <c r="H52" s="45" t="s">
        <v>548</v>
      </c>
      <c r="I52" s="45"/>
      <c r="J52" s="45"/>
      <c r="K52" s="45"/>
      <c r="L52" s="45">
        <v>4</v>
      </c>
      <c r="M52" s="47">
        <v>600</v>
      </c>
    </row>
    <row r="53" spans="1:13" x14ac:dyDescent="0.25">
      <c r="A53" s="25" t="s">
        <v>171</v>
      </c>
      <c r="B53" s="4" t="s">
        <v>632</v>
      </c>
      <c r="C53" s="50">
        <v>2</v>
      </c>
      <c r="D53" s="45" t="s">
        <v>568</v>
      </c>
      <c r="E53" s="45" t="str">
        <f t="shared" si="8"/>
        <v>K112 UPS Systems</v>
      </c>
      <c r="F53" s="48" t="s">
        <v>630</v>
      </c>
      <c r="G53" s="45" t="s">
        <v>547</v>
      </c>
      <c r="H53" s="45" t="s">
        <v>548</v>
      </c>
      <c r="I53" s="45"/>
      <c r="J53" s="45"/>
      <c r="K53" s="45"/>
      <c r="L53" s="45">
        <v>4</v>
      </c>
      <c r="M53" s="45">
        <v>600</v>
      </c>
    </row>
    <row r="54" spans="1:13" x14ac:dyDescent="0.25">
      <c r="A54" s="25" t="s">
        <v>172</v>
      </c>
      <c r="B54" s="4" t="s">
        <v>632</v>
      </c>
      <c r="C54" s="50">
        <v>2</v>
      </c>
      <c r="D54" s="45" t="s">
        <v>568</v>
      </c>
      <c r="E54" s="45" t="str">
        <f t="shared" si="8"/>
        <v>K114 UPS Systems</v>
      </c>
      <c r="F54" s="48" t="s">
        <v>630</v>
      </c>
      <c r="G54" s="45" t="s">
        <v>547</v>
      </c>
      <c r="H54" s="45" t="s">
        <v>548</v>
      </c>
      <c r="I54" s="47"/>
      <c r="J54" s="47"/>
      <c r="K54" s="47"/>
      <c r="L54" s="45">
        <v>4</v>
      </c>
      <c r="M54" s="47">
        <v>600</v>
      </c>
    </row>
    <row r="55" spans="1:13" x14ac:dyDescent="0.25">
      <c r="A55" t="s">
        <v>16</v>
      </c>
      <c r="B55" t="s">
        <v>629</v>
      </c>
      <c r="C55" s="47">
        <v>2</v>
      </c>
      <c r="D55" t="s">
        <v>568</v>
      </c>
      <c r="E55" t="str">
        <f t="shared" si="8"/>
        <v>K200 UPS Systems</v>
      </c>
      <c r="F55" s="50" t="s">
        <v>630</v>
      </c>
      <c r="G55" t="s">
        <v>547</v>
      </c>
      <c r="H55" t="s">
        <v>548</v>
      </c>
      <c r="L55" s="47"/>
      <c r="M55" s="45">
        <v>600</v>
      </c>
    </row>
    <row r="56" spans="1:13" x14ac:dyDescent="0.25">
      <c r="A56" s="25" t="s">
        <v>131</v>
      </c>
      <c r="B56" s="4" t="s">
        <v>632</v>
      </c>
      <c r="C56" s="50">
        <v>2</v>
      </c>
      <c r="D56" s="45" t="s">
        <v>568</v>
      </c>
      <c r="E56" s="45" t="str">
        <f t="shared" si="8"/>
        <v>K202 UPS Systems</v>
      </c>
      <c r="F56" s="48" t="s">
        <v>630</v>
      </c>
      <c r="G56" s="45" t="s">
        <v>547</v>
      </c>
      <c r="H56" s="45" t="s">
        <v>548</v>
      </c>
      <c r="I56" s="47"/>
      <c r="J56" s="47"/>
      <c r="K56" s="47"/>
      <c r="L56" s="45">
        <v>4</v>
      </c>
      <c r="M56" s="47">
        <v>600</v>
      </c>
    </row>
    <row r="57" spans="1:13" x14ac:dyDescent="0.25">
      <c r="A57" t="s">
        <v>173</v>
      </c>
      <c r="B57" t="s">
        <v>629</v>
      </c>
      <c r="C57" s="47">
        <v>2</v>
      </c>
      <c r="D57" t="s">
        <v>568</v>
      </c>
      <c r="E57" t="str">
        <f t="shared" si="8"/>
        <v>K204 UPS Systems</v>
      </c>
      <c r="F57" s="50" t="s">
        <v>630</v>
      </c>
      <c r="G57" t="s">
        <v>547</v>
      </c>
      <c r="H57" t="s">
        <v>548</v>
      </c>
      <c r="L57" s="47"/>
      <c r="M57" s="45">
        <v>600</v>
      </c>
    </row>
    <row r="58" spans="1:13" x14ac:dyDescent="0.25">
      <c r="A58" s="25" t="s">
        <v>174</v>
      </c>
      <c r="B58" s="4" t="s">
        <v>632</v>
      </c>
      <c r="C58" s="50">
        <v>2</v>
      </c>
      <c r="D58" s="45" t="s">
        <v>568</v>
      </c>
      <c r="E58" s="45" t="str">
        <f t="shared" si="8"/>
        <v>K206 UPS Systems</v>
      </c>
      <c r="F58" s="48" t="s">
        <v>630</v>
      </c>
      <c r="G58" s="45" t="s">
        <v>547</v>
      </c>
      <c r="H58" s="45" t="s">
        <v>548</v>
      </c>
      <c r="I58" s="47"/>
      <c r="J58" s="47"/>
      <c r="K58" s="47"/>
      <c r="L58" s="45">
        <v>4</v>
      </c>
      <c r="M58" s="45">
        <v>600</v>
      </c>
    </row>
    <row r="59" spans="1:13" x14ac:dyDescent="0.25">
      <c r="A59" t="s">
        <v>175</v>
      </c>
      <c r="B59" t="s">
        <v>629</v>
      </c>
      <c r="C59" s="47">
        <v>2</v>
      </c>
      <c r="D59" t="s">
        <v>568</v>
      </c>
      <c r="E59" t="str">
        <f t="shared" si="8"/>
        <v>K208 UPS Systems</v>
      </c>
      <c r="F59" s="50" t="s">
        <v>630</v>
      </c>
      <c r="G59" t="s">
        <v>547</v>
      </c>
      <c r="H59" t="s">
        <v>548</v>
      </c>
      <c r="L59" s="47"/>
      <c r="M59" s="47">
        <v>600</v>
      </c>
    </row>
    <row r="60" spans="1:13" x14ac:dyDescent="0.25">
      <c r="A60" s="25" t="s">
        <v>176</v>
      </c>
      <c r="B60" s="4" t="s">
        <v>632</v>
      </c>
      <c r="C60" s="50">
        <v>2</v>
      </c>
      <c r="D60" s="45" t="s">
        <v>568</v>
      </c>
      <c r="E60" s="45" t="str">
        <f t="shared" si="8"/>
        <v>K210 UPS Systems</v>
      </c>
      <c r="F60" s="48" t="s">
        <v>630</v>
      </c>
      <c r="G60" s="45" t="s">
        <v>547</v>
      </c>
      <c r="H60" s="45" t="s">
        <v>548</v>
      </c>
      <c r="I60" s="47"/>
      <c r="J60" s="47"/>
      <c r="K60" s="47"/>
      <c r="L60" s="45">
        <v>4</v>
      </c>
      <c r="M60" s="47">
        <v>600</v>
      </c>
    </row>
    <row r="61" spans="1:13" x14ac:dyDescent="0.25">
      <c r="A61" s="25" t="s">
        <v>177</v>
      </c>
      <c r="B61" s="4" t="s">
        <v>632</v>
      </c>
      <c r="C61" s="50">
        <v>3</v>
      </c>
      <c r="D61" s="47" t="s">
        <v>639</v>
      </c>
      <c r="E61" s="45" t="str">
        <f t="shared" si="8"/>
        <v>K212 UPS Systems</v>
      </c>
      <c r="F61" s="48" t="s">
        <v>590</v>
      </c>
      <c r="G61" s="45" t="s">
        <v>547</v>
      </c>
      <c r="H61" s="45" t="s">
        <v>548</v>
      </c>
      <c r="I61" s="46" t="s">
        <v>574</v>
      </c>
      <c r="J61" s="47"/>
      <c r="K61" s="47"/>
      <c r="L61" s="45">
        <v>6</v>
      </c>
      <c r="M61" s="47">
        <v>800</v>
      </c>
    </row>
    <row r="62" spans="1:13" x14ac:dyDescent="0.25">
      <c r="C62" s="47"/>
    </row>
  </sheetData>
  <sortState xmlns:xlrd2="http://schemas.microsoft.com/office/spreadsheetml/2017/richdata2" ref="A2:L59">
    <sortCondition ref="A2:A59"/>
  </sortState>
  <pageMargins left="0.7" right="0.7" top="0.75" bottom="0.75" header="0.3" footer="0.3"/>
  <pageSetup scale="24" orientation="portrait" r:id="rId1"/>
  <ignoredErrors>
    <ignoredError sqref="N3:T4 O2 N2 N6:T7 P8:T8" evalError="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3DE85-AD66-4511-9F5E-3F0FF6B2DDC0}">
  <sheetPr codeName="Config_Fire"/>
  <dimension ref="A1:S74"/>
  <sheetViews>
    <sheetView workbookViewId="0">
      <selection activeCell="J10" sqref="J10"/>
    </sheetView>
  </sheetViews>
  <sheetFormatPr defaultRowHeight="15" x14ac:dyDescent="0.25"/>
  <cols>
    <col min="1" max="1" width="15.5703125" style="4" bestFit="1" customWidth="1"/>
    <col min="2" max="2" width="15.5703125" style="4" customWidth="1"/>
    <col min="3" max="3" width="15.140625" bestFit="1" customWidth="1"/>
    <col min="4" max="4" width="15.28515625" bestFit="1" customWidth="1"/>
    <col min="5" max="5" width="15.140625" bestFit="1" customWidth="1"/>
    <col min="6" max="6" width="15.28515625" bestFit="1" customWidth="1"/>
    <col min="7" max="7" width="15.140625" bestFit="1" customWidth="1"/>
    <col min="8" max="8" width="15.28515625" bestFit="1" customWidth="1"/>
    <col min="9" max="9" width="16.5703125" bestFit="1" customWidth="1"/>
    <col min="10" max="10" width="11.5703125" bestFit="1" customWidth="1"/>
    <col min="11" max="11" width="10.7109375" customWidth="1"/>
    <col min="12" max="12" width="18.7109375" style="131" bestFit="1" customWidth="1"/>
    <col min="15" max="15" width="19" style="131" bestFit="1" customWidth="1"/>
    <col min="16" max="16" width="15.5703125" bestFit="1" customWidth="1"/>
    <col min="17" max="17" width="29.42578125" bestFit="1" customWidth="1"/>
    <col min="18" max="18" width="47.28515625" bestFit="1" customWidth="1"/>
  </cols>
  <sheetData>
    <row r="1" spans="1:19" x14ac:dyDescent="0.25">
      <c r="A1" s="45"/>
      <c r="B1" s="45" t="str" cm="1">
        <f t="array" ref="B1">IFERROR(IF(RIGHT(Suite, 9)="POP Rooms", "POP", "Suite"), "Error")</f>
        <v>Suite</v>
      </c>
      <c r="C1" s="47" t="str">
        <f>IFERROR(VLOOKUP(Suite, $B$3:$I$73, 2, FALSE), "Error")</f>
        <v>G104 Data Center</v>
      </c>
      <c r="D1" s="47" t="str">
        <f>IFERROR(VLOOKUP(Suite, $B$3:$I$73, 3, FALSE), "Error")</f>
        <v>A</v>
      </c>
      <c r="E1" s="47" t="str">
        <f>IFERROR(VLOOKUP(Suite, $B$3:$I$73, 4, FALSE), "Error")</f>
        <v>G104 Electrical Rooms</v>
      </c>
      <c r="F1" s="47" t="str">
        <f>IFERROR(VLOOKUP(Suite, $B$3:$I$73, 5, FALSE), "Error")</f>
        <v>B</v>
      </c>
      <c r="G1" s="47" t="str">
        <f>IFERROR(VLOOKUP(Suite, $B$3:$I$73, 6, FALSE), "Error")</f>
        <v>XXX</v>
      </c>
      <c r="H1" s="47" t="str">
        <f>IFERROR(VLOOKUP(Suite, $B$3:$I$73, 7, FALSE), "Error")</f>
        <v>XXX</v>
      </c>
      <c r="I1" s="47">
        <f>IFERROR(VLOOKUP(Suite, $B$3:$I$73, 8, FALSE), "Error")</f>
        <v>2</v>
      </c>
      <c r="J1" s="47"/>
    </row>
    <row r="2" spans="1:19" x14ac:dyDescent="0.25">
      <c r="A2" s="45" t="s">
        <v>641</v>
      </c>
      <c r="B2" s="131" t="s">
        <v>642</v>
      </c>
      <c r="C2" s="47" t="s">
        <v>643</v>
      </c>
      <c r="D2" s="47" t="s">
        <v>644</v>
      </c>
      <c r="E2" s="47" t="s">
        <v>645</v>
      </c>
      <c r="F2" s="47" t="s">
        <v>646</v>
      </c>
      <c r="G2" s="47" t="s">
        <v>647</v>
      </c>
      <c r="H2" s="47" t="s">
        <v>648</v>
      </c>
      <c r="I2" s="47" t="s">
        <v>340</v>
      </c>
      <c r="J2" s="47"/>
      <c r="L2" s="131" t="s">
        <v>649</v>
      </c>
      <c r="O2" s="131" t="s">
        <v>650</v>
      </c>
      <c r="P2" t="s">
        <v>651</v>
      </c>
      <c r="Q2" t="s">
        <v>652</v>
      </c>
      <c r="R2" t="s">
        <v>653</v>
      </c>
    </row>
    <row r="3" spans="1:19" x14ac:dyDescent="0.25">
      <c r="A3" s="45" t="s">
        <v>140</v>
      </c>
      <c r="B3" s="154" t="s">
        <v>140</v>
      </c>
      <c r="C3" s="45" t="str">
        <f>Suite &amp; " Data Center"</f>
        <v>G104 Data Center</v>
      </c>
      <c r="D3" s="47" t="s">
        <v>4691</v>
      </c>
      <c r="E3" s="45" t="str">
        <f>Suite &amp; " Electrical Rooms"</f>
        <v>G104 Electrical Rooms</v>
      </c>
      <c r="F3" s="47" t="s">
        <v>4696</v>
      </c>
      <c r="G3" s="46" t="s">
        <v>203</v>
      </c>
      <c r="H3" s="46" t="s">
        <v>203</v>
      </c>
      <c r="I3" s="47">
        <v>2</v>
      </c>
      <c r="J3" s="133" t="s">
        <v>654</v>
      </c>
      <c r="L3" s="131" t="s">
        <v>655</v>
      </c>
      <c r="O3" s="131" t="s">
        <v>656</v>
      </c>
    </row>
    <row r="4" spans="1:19" x14ac:dyDescent="0.25">
      <c r="A4" s="134" t="s">
        <v>141</v>
      </c>
      <c r="B4" s="155" t="s">
        <v>141</v>
      </c>
      <c r="C4" s="45" t="str">
        <f>Suite &amp; " Data Center"</f>
        <v>G104 Data Center</v>
      </c>
      <c r="D4" s="47" t="s">
        <v>4692</v>
      </c>
      <c r="E4" s="45" t="str">
        <f>Suite &amp; " Electrical Rooms"</f>
        <v>G104 Electrical Rooms</v>
      </c>
      <c r="F4" s="47" t="s">
        <v>4697</v>
      </c>
      <c r="G4" s="46" t="s">
        <v>203</v>
      </c>
      <c r="H4" s="46" t="s">
        <v>203</v>
      </c>
      <c r="I4" s="47">
        <v>2</v>
      </c>
      <c r="J4" s="133" t="s">
        <v>654</v>
      </c>
      <c r="L4" s="131" t="s">
        <v>657</v>
      </c>
      <c r="O4" s="131" t="s">
        <v>658</v>
      </c>
    </row>
    <row r="5" spans="1:19" x14ac:dyDescent="0.25">
      <c r="A5" s="134" t="s">
        <v>142</v>
      </c>
      <c r="B5" s="155" t="s">
        <v>142</v>
      </c>
      <c r="C5" s="45" t="str">
        <f>Suite &amp; " Data Center"</f>
        <v>G104 Data Center</v>
      </c>
      <c r="D5" s="47" t="s">
        <v>4693</v>
      </c>
      <c r="E5" s="45" t="str">
        <f>Suite &amp; " Electrical Rooms"</f>
        <v>G104 Electrical Rooms</v>
      </c>
      <c r="F5" s="47" t="s">
        <v>4698</v>
      </c>
      <c r="G5" s="46" t="s">
        <v>203</v>
      </c>
      <c r="H5" s="46" t="s">
        <v>203</v>
      </c>
      <c r="I5" s="47">
        <v>2</v>
      </c>
      <c r="J5" s="133" t="s">
        <v>654</v>
      </c>
      <c r="L5" s="131" t="s">
        <v>659</v>
      </c>
      <c r="O5" s="131" t="s">
        <v>660</v>
      </c>
    </row>
    <row r="6" spans="1:19" x14ac:dyDescent="0.25">
      <c r="A6" s="134" t="s">
        <v>143</v>
      </c>
      <c r="B6" s="155" t="s">
        <v>143</v>
      </c>
      <c r="C6" s="45" t="str">
        <f>Suite &amp; " Data Center"</f>
        <v>G104 Data Center</v>
      </c>
      <c r="D6" s="47" t="s">
        <v>4694</v>
      </c>
      <c r="E6" s="45" t="str">
        <f>Suite &amp; " Electrical Rooms"</f>
        <v>G104 Electrical Rooms</v>
      </c>
      <c r="F6" s="47" t="s">
        <v>4699</v>
      </c>
      <c r="G6" s="46" t="s">
        <v>203</v>
      </c>
      <c r="H6" s="46" t="s">
        <v>203</v>
      </c>
      <c r="I6" s="47">
        <v>2</v>
      </c>
      <c r="J6" s="133" t="s">
        <v>654</v>
      </c>
      <c r="L6" s="131" t="s">
        <v>661</v>
      </c>
      <c r="O6" s="131" t="s">
        <v>662</v>
      </c>
    </row>
    <row r="7" spans="1:19" x14ac:dyDescent="0.25">
      <c r="A7" s="45" t="s">
        <v>144</v>
      </c>
      <c r="B7" s="154" t="s">
        <v>144</v>
      </c>
      <c r="C7" s="45" t="str">
        <f>Suite &amp; " Data Center"</f>
        <v>G104 Data Center</v>
      </c>
      <c r="D7" s="47" t="s">
        <v>4695</v>
      </c>
      <c r="E7" s="45" t="str">
        <f>Suite &amp; " Electrical Rooms"</f>
        <v>G104 Electrical Rooms</v>
      </c>
      <c r="F7" s="47" t="s">
        <v>4700</v>
      </c>
      <c r="G7" s="46" t="s">
        <v>203</v>
      </c>
      <c r="H7" s="46" t="s">
        <v>203</v>
      </c>
      <c r="I7" s="47">
        <v>2</v>
      </c>
      <c r="J7" s="133" t="s">
        <v>654</v>
      </c>
      <c r="L7" s="131" t="s">
        <v>663</v>
      </c>
      <c r="O7" s="131" t="s">
        <v>664</v>
      </c>
      <c r="P7">
        <v>2</v>
      </c>
      <c r="Q7" t="s">
        <v>665</v>
      </c>
      <c r="R7" t="s">
        <v>666</v>
      </c>
    </row>
    <row r="8" spans="1:19" x14ac:dyDescent="0.25">
      <c r="A8" s="46" t="s">
        <v>656</v>
      </c>
      <c r="B8" s="156" t="s">
        <v>667</v>
      </c>
      <c r="C8" s="47" t="s">
        <v>668</v>
      </c>
      <c r="D8" s="47" t="s">
        <v>668</v>
      </c>
      <c r="E8" s="47" t="s">
        <v>669</v>
      </c>
      <c r="F8" s="47" t="s">
        <v>669</v>
      </c>
      <c r="G8" s="47" t="s">
        <v>203</v>
      </c>
      <c r="H8" s="47" t="s">
        <v>203</v>
      </c>
      <c r="I8" s="47">
        <v>2</v>
      </c>
      <c r="J8" s="133"/>
      <c r="L8" s="131" t="s">
        <v>670</v>
      </c>
      <c r="O8" s="131" t="s">
        <v>671</v>
      </c>
      <c r="P8">
        <v>2</v>
      </c>
      <c r="Q8" t="s">
        <v>672</v>
      </c>
      <c r="R8" t="s">
        <v>673</v>
      </c>
      <c r="S8" t="s">
        <v>674</v>
      </c>
    </row>
    <row r="9" spans="1:19" x14ac:dyDescent="0.25">
      <c r="A9" s="45" t="s">
        <v>145</v>
      </c>
      <c r="B9" s="154" t="s">
        <v>145</v>
      </c>
      <c r="C9" s="45" t="str">
        <f>Suite &amp; " Data Center"</f>
        <v>G104 Data Center</v>
      </c>
      <c r="D9" s="45" t="s">
        <v>547</v>
      </c>
      <c r="E9" s="45" t="str">
        <f>Suite &amp; " Electrical Rooms"</f>
        <v>G104 Electrical Rooms</v>
      </c>
      <c r="F9" s="45" t="s">
        <v>548</v>
      </c>
      <c r="G9" s="46" t="s">
        <v>4707</v>
      </c>
      <c r="H9" s="46" t="s">
        <v>574</v>
      </c>
      <c r="I9" s="47">
        <v>3</v>
      </c>
      <c r="J9" s="133"/>
      <c r="L9" s="131" t="s">
        <v>675</v>
      </c>
      <c r="O9" s="131" t="s">
        <v>676</v>
      </c>
    </row>
    <row r="10" spans="1:19" x14ac:dyDescent="0.25">
      <c r="A10" s="45" t="s">
        <v>146</v>
      </c>
      <c r="B10" s="154" t="s">
        <v>146</v>
      </c>
      <c r="C10" s="45" t="str">
        <f>Suite &amp; " Data Center"</f>
        <v>G104 Data Center</v>
      </c>
      <c r="D10" s="45" t="s">
        <v>4701</v>
      </c>
      <c r="E10" s="45" t="str">
        <f>Suite &amp; " Electrical Rooms"</f>
        <v>G104 Electrical Rooms</v>
      </c>
      <c r="F10" s="45" t="s">
        <v>4703</v>
      </c>
      <c r="G10" s="46" t="s">
        <v>4708</v>
      </c>
      <c r="H10" s="46" t="s">
        <v>4705</v>
      </c>
      <c r="I10" s="47">
        <v>3</v>
      </c>
      <c r="J10" s="133"/>
      <c r="L10" s="131" t="s">
        <v>677</v>
      </c>
      <c r="O10" s="131" t="s">
        <v>678</v>
      </c>
    </row>
    <row r="11" spans="1:19" x14ac:dyDescent="0.25">
      <c r="A11" s="45" t="s">
        <v>147</v>
      </c>
      <c r="B11" s="154" t="s">
        <v>147</v>
      </c>
      <c r="C11" s="45" t="str">
        <f>Suite &amp; " Data Center"</f>
        <v>G104 Data Center</v>
      </c>
      <c r="D11" s="45" t="s">
        <v>4702</v>
      </c>
      <c r="E11" s="45" t="str">
        <f>Suite &amp; " Electrical Rooms"</f>
        <v>G104 Electrical Rooms</v>
      </c>
      <c r="F11" s="45" t="s">
        <v>4704</v>
      </c>
      <c r="G11" s="46" t="s">
        <v>4708</v>
      </c>
      <c r="H11" s="46" t="s">
        <v>4706</v>
      </c>
      <c r="I11" s="47">
        <v>3</v>
      </c>
      <c r="J11" s="133"/>
    </row>
    <row r="12" spans="1:19" x14ac:dyDescent="0.25">
      <c r="A12" s="45" t="s">
        <v>148</v>
      </c>
      <c r="B12" s="154" t="s">
        <v>148</v>
      </c>
      <c r="C12" s="45" t="str">
        <f>Suite &amp; " Data Center"</f>
        <v>G104 Data Center</v>
      </c>
      <c r="D12" s="45" t="s">
        <v>547</v>
      </c>
      <c r="E12" s="45" t="str">
        <f>Suite &amp; " Electrical Rooms"</f>
        <v>G104 Electrical Rooms</v>
      </c>
      <c r="F12" s="45" t="s">
        <v>548</v>
      </c>
      <c r="G12" s="46" t="s">
        <v>4709</v>
      </c>
      <c r="H12" s="46" t="s">
        <v>574</v>
      </c>
      <c r="I12" s="47">
        <v>3</v>
      </c>
      <c r="J12" s="133"/>
    </row>
    <row r="13" spans="1:19" x14ac:dyDescent="0.25">
      <c r="A13" s="46" t="s">
        <v>658</v>
      </c>
      <c r="B13" s="156" t="s">
        <v>679</v>
      </c>
      <c r="C13" s="47" t="s">
        <v>668</v>
      </c>
      <c r="D13" s="47" t="s">
        <v>668</v>
      </c>
      <c r="E13" s="47" t="s">
        <v>669</v>
      </c>
      <c r="F13" s="47" t="s">
        <v>669</v>
      </c>
      <c r="G13" s="47" t="s">
        <v>203</v>
      </c>
      <c r="H13" s="47" t="s">
        <v>203</v>
      </c>
      <c r="I13" s="47">
        <v>2</v>
      </c>
      <c r="J13" s="133"/>
    </row>
    <row r="14" spans="1:19" x14ac:dyDescent="0.25">
      <c r="A14" s="45" t="s">
        <v>149</v>
      </c>
      <c r="B14" s="154" t="s">
        <v>149</v>
      </c>
      <c r="C14" s="45" t="str">
        <f>Suite &amp; " Data Center"</f>
        <v>G104 Data Center</v>
      </c>
      <c r="D14" s="45" t="s">
        <v>547</v>
      </c>
      <c r="E14" s="45" t="str">
        <f>Suite &amp; " Electrical Rooms"</f>
        <v>G104 Electrical Rooms</v>
      </c>
      <c r="F14" s="45" t="s">
        <v>548</v>
      </c>
      <c r="G14" s="46" t="s">
        <v>203</v>
      </c>
      <c r="H14" s="46" t="s">
        <v>203</v>
      </c>
      <c r="I14" s="47">
        <v>2</v>
      </c>
      <c r="J14" s="133" t="s">
        <v>654</v>
      </c>
    </row>
    <row r="15" spans="1:19" x14ac:dyDescent="0.25">
      <c r="A15" s="45" t="s">
        <v>150</v>
      </c>
      <c r="B15" s="154" t="s">
        <v>150</v>
      </c>
      <c r="C15" s="45" t="str">
        <f>Suite &amp; " Data Center"</f>
        <v>G104 Data Center</v>
      </c>
      <c r="D15" s="45" t="s">
        <v>547</v>
      </c>
      <c r="E15" s="45" t="str">
        <f>Suite &amp; " Electrical Rooms"</f>
        <v>G104 Electrical Rooms</v>
      </c>
      <c r="F15" s="45" t="s">
        <v>548</v>
      </c>
      <c r="G15" s="46" t="s">
        <v>203</v>
      </c>
      <c r="H15" s="46" t="s">
        <v>203</v>
      </c>
      <c r="I15" s="47">
        <v>2</v>
      </c>
      <c r="J15" s="133" t="s">
        <v>654</v>
      </c>
    </row>
    <row r="16" spans="1:19" x14ac:dyDescent="0.25">
      <c r="A16" s="45" t="s">
        <v>151</v>
      </c>
      <c r="B16" s="154" t="s">
        <v>151</v>
      </c>
      <c r="C16" s="45" t="str">
        <f>Suite &amp; " Data Center"</f>
        <v>G104 Data Center</v>
      </c>
      <c r="D16" s="45" t="s">
        <v>547</v>
      </c>
      <c r="E16" s="45" t="str">
        <f>Suite &amp; " Electrical Rooms"</f>
        <v>G104 Electrical Rooms</v>
      </c>
      <c r="F16" s="45" t="s">
        <v>548</v>
      </c>
      <c r="G16" s="46" t="s">
        <v>203</v>
      </c>
      <c r="H16" s="46" t="s">
        <v>203</v>
      </c>
      <c r="I16" s="47">
        <v>2</v>
      </c>
      <c r="J16" s="133" t="s">
        <v>654</v>
      </c>
    </row>
    <row r="17" spans="1:16" x14ac:dyDescent="0.25">
      <c r="A17" s="46" t="s">
        <v>660</v>
      </c>
      <c r="B17" s="156" t="s">
        <v>680</v>
      </c>
      <c r="C17" s="47" t="s">
        <v>668</v>
      </c>
      <c r="D17" s="47" t="s">
        <v>668</v>
      </c>
      <c r="E17" s="47" t="s">
        <v>669</v>
      </c>
      <c r="F17" s="47" t="s">
        <v>669</v>
      </c>
      <c r="G17" s="47" t="s">
        <v>203</v>
      </c>
      <c r="H17" s="47" t="s">
        <v>203</v>
      </c>
      <c r="I17" s="47">
        <v>2</v>
      </c>
      <c r="J17" s="133"/>
    </row>
    <row r="18" spans="1:16" x14ac:dyDescent="0.25">
      <c r="A18" s="45" t="s">
        <v>152</v>
      </c>
      <c r="B18" s="154" t="s">
        <v>152</v>
      </c>
      <c r="C18" s="45" t="str">
        <f>Suite &amp; " Data Center"</f>
        <v>G104 Data Center</v>
      </c>
      <c r="D18" s="45" t="s">
        <v>547</v>
      </c>
      <c r="E18" s="45" t="str">
        <f>Suite &amp; " Electrical Rooms"</f>
        <v>G104 Electrical Rooms</v>
      </c>
      <c r="F18" s="45" t="s">
        <v>548</v>
      </c>
      <c r="G18" s="46" t="s">
        <v>203</v>
      </c>
      <c r="H18" s="46" t="s">
        <v>203</v>
      </c>
      <c r="I18" s="47">
        <v>2</v>
      </c>
      <c r="J18" s="133" t="s">
        <v>654</v>
      </c>
    </row>
    <row r="19" spans="1:16" x14ac:dyDescent="0.25">
      <c r="A19" s="45" t="s">
        <v>153</v>
      </c>
      <c r="B19" s="154" t="s">
        <v>153</v>
      </c>
      <c r="C19" s="45" t="str">
        <f>Suite &amp; " Data Center"</f>
        <v>G104 Data Center</v>
      </c>
      <c r="D19" s="45" t="s">
        <v>547</v>
      </c>
      <c r="E19" s="45" t="str">
        <f>Suite &amp; " Electrical Rooms"</f>
        <v>G104 Electrical Rooms</v>
      </c>
      <c r="F19" s="45" t="s">
        <v>548</v>
      </c>
      <c r="G19" s="46" t="s">
        <v>203</v>
      </c>
      <c r="H19" s="46" t="s">
        <v>203</v>
      </c>
      <c r="I19" s="47">
        <v>2</v>
      </c>
      <c r="J19" s="133" t="s">
        <v>654</v>
      </c>
    </row>
    <row r="20" spans="1:16" x14ac:dyDescent="0.25">
      <c r="A20" s="45" t="s">
        <v>154</v>
      </c>
      <c r="B20" s="154" t="s">
        <v>154</v>
      </c>
      <c r="C20" s="45" t="str">
        <f>Suite &amp; " Data Center"</f>
        <v>G104 Data Center</v>
      </c>
      <c r="D20" s="45" t="s">
        <v>547</v>
      </c>
      <c r="E20" s="45" t="str">
        <f>Suite &amp; " Electrical Rooms"</f>
        <v>G104 Electrical Rooms</v>
      </c>
      <c r="F20" s="45" t="s">
        <v>548</v>
      </c>
      <c r="G20" s="46" t="s">
        <v>203</v>
      </c>
      <c r="H20" s="46" t="s">
        <v>203</v>
      </c>
      <c r="I20" s="47">
        <v>2</v>
      </c>
      <c r="J20" s="133" t="s">
        <v>654</v>
      </c>
    </row>
    <row r="21" spans="1:16" x14ac:dyDescent="0.25">
      <c r="A21" s="45" t="s">
        <v>155</v>
      </c>
      <c r="B21" s="154" t="s">
        <v>155</v>
      </c>
      <c r="C21" s="45" t="str">
        <f>Suite &amp; " Data Center"</f>
        <v>G104 Data Center</v>
      </c>
      <c r="D21" s="45" t="s">
        <v>547</v>
      </c>
      <c r="E21" s="45" t="str">
        <f>Suite &amp; " Electrical Rooms"</f>
        <v>G104 Electrical Rooms</v>
      </c>
      <c r="F21" s="45" t="s">
        <v>548</v>
      </c>
      <c r="G21" s="46" t="s">
        <v>203</v>
      </c>
      <c r="H21" s="46" t="s">
        <v>203</v>
      </c>
      <c r="I21" s="47">
        <v>2</v>
      </c>
      <c r="J21" s="133" t="s">
        <v>654</v>
      </c>
    </row>
    <row r="22" spans="1:16" x14ac:dyDescent="0.25">
      <c r="A22" s="45" t="s">
        <v>156</v>
      </c>
      <c r="B22" s="154" t="s">
        <v>156</v>
      </c>
      <c r="C22" s="45" t="str">
        <f>Suite &amp; " Data Center"</f>
        <v>G104 Data Center</v>
      </c>
      <c r="D22" s="45" t="s">
        <v>547</v>
      </c>
      <c r="E22" s="45" t="str">
        <f>Suite &amp; " Electrical Rooms"</f>
        <v>G104 Electrical Rooms</v>
      </c>
      <c r="F22" s="45" t="s">
        <v>548</v>
      </c>
      <c r="G22" s="46" t="s">
        <v>203</v>
      </c>
      <c r="H22" s="46" t="s">
        <v>203</v>
      </c>
      <c r="I22" s="47">
        <v>2</v>
      </c>
      <c r="J22" s="133" t="s">
        <v>654</v>
      </c>
    </row>
    <row r="23" spans="1:16" x14ac:dyDescent="0.25">
      <c r="A23" s="46" t="s">
        <v>662</v>
      </c>
      <c r="B23" s="156" t="s">
        <v>681</v>
      </c>
      <c r="C23" s="47" t="s">
        <v>668</v>
      </c>
      <c r="D23" s="47" t="s">
        <v>668</v>
      </c>
      <c r="E23" s="47" t="s">
        <v>669</v>
      </c>
      <c r="F23" s="47" t="s">
        <v>669</v>
      </c>
      <c r="G23" s="47" t="s">
        <v>203</v>
      </c>
      <c r="H23" s="47" t="s">
        <v>203</v>
      </c>
      <c r="I23" s="47">
        <v>2</v>
      </c>
      <c r="J23" s="47"/>
    </row>
    <row r="24" spans="1:16" x14ac:dyDescent="0.25">
      <c r="A24" s="45" t="s">
        <v>108</v>
      </c>
      <c r="B24" s="154" t="s">
        <v>108</v>
      </c>
      <c r="C24" s="45" t="str">
        <f>Suite &amp; " Data Center"</f>
        <v>G104 Data Center</v>
      </c>
      <c r="D24" s="45" t="s">
        <v>547</v>
      </c>
      <c r="E24" s="45" t="str">
        <f>Suite &amp; " Electrical Rooms"</f>
        <v>G104 Electrical Rooms</v>
      </c>
      <c r="F24" s="45" t="s">
        <v>548</v>
      </c>
      <c r="G24" s="46" t="s">
        <v>203</v>
      </c>
      <c r="H24" s="46" t="s">
        <v>203</v>
      </c>
      <c r="I24" s="47">
        <v>2</v>
      </c>
      <c r="J24" s="47" t="s">
        <v>682</v>
      </c>
    </row>
    <row r="25" spans="1:16" x14ac:dyDescent="0.25">
      <c r="A25" s="45" t="s">
        <v>109</v>
      </c>
      <c r="B25" s="154" t="s">
        <v>109</v>
      </c>
      <c r="C25" s="45" t="str">
        <f>Suite &amp; " Data Center"</f>
        <v>G104 Data Center</v>
      </c>
      <c r="D25" s="45" t="s">
        <v>547</v>
      </c>
      <c r="E25" s="45" t="str">
        <f>Suite &amp; " Electrical Rooms"</f>
        <v>G104 Electrical Rooms</v>
      </c>
      <c r="F25" s="45" t="s">
        <v>548</v>
      </c>
      <c r="G25" s="46" t="s">
        <v>203</v>
      </c>
      <c r="H25" s="46" t="s">
        <v>203</v>
      </c>
      <c r="I25" s="47">
        <v>2</v>
      </c>
      <c r="J25" s="47" t="s">
        <v>682</v>
      </c>
    </row>
    <row r="26" spans="1:16" x14ac:dyDescent="0.25">
      <c r="A26" s="45" t="s">
        <v>110</v>
      </c>
      <c r="B26" s="154" t="s">
        <v>110</v>
      </c>
      <c r="C26" s="45" t="str">
        <f>Suite &amp; " Data Center"</f>
        <v>G104 Data Center</v>
      </c>
      <c r="D26" s="45" t="s">
        <v>547</v>
      </c>
      <c r="E26" s="45" t="str">
        <f>Suite &amp; " Electrical Rooms"</f>
        <v>G104 Electrical Rooms</v>
      </c>
      <c r="F26" s="45" t="s">
        <v>548</v>
      </c>
      <c r="G26" s="46" t="s">
        <v>203</v>
      </c>
      <c r="H26" s="46" t="s">
        <v>203</v>
      </c>
      <c r="I26" s="47">
        <v>2</v>
      </c>
      <c r="J26" s="47" t="s">
        <v>682</v>
      </c>
    </row>
    <row r="27" spans="1:16" x14ac:dyDescent="0.25">
      <c r="A27" s="45" t="s">
        <v>111</v>
      </c>
      <c r="B27" s="154" t="s">
        <v>111</v>
      </c>
      <c r="C27" s="45" t="str">
        <f>Suite &amp; " Data Center"</f>
        <v>G104 Data Center</v>
      </c>
      <c r="D27" s="45" t="s">
        <v>547</v>
      </c>
      <c r="E27" s="45" t="str">
        <f>Suite &amp; " Electrical Rooms"</f>
        <v>G104 Electrical Rooms</v>
      </c>
      <c r="F27" s="45" t="s">
        <v>548</v>
      </c>
      <c r="G27" s="46" t="s">
        <v>203</v>
      </c>
      <c r="H27" s="46" t="s">
        <v>203</v>
      </c>
      <c r="I27" s="47">
        <v>2</v>
      </c>
      <c r="J27" s="47" t="s">
        <v>682</v>
      </c>
    </row>
    <row r="28" spans="1:16" x14ac:dyDescent="0.25">
      <c r="A28" s="45" t="s">
        <v>112</v>
      </c>
      <c r="B28" s="154" t="s">
        <v>112</v>
      </c>
      <c r="C28" s="45" t="str">
        <f>Suite &amp; " Data Center"</f>
        <v>G104 Data Center</v>
      </c>
      <c r="D28" s="45" t="s">
        <v>547</v>
      </c>
      <c r="E28" s="45" t="str">
        <f>Suite &amp; " Electrical Rooms"</f>
        <v>G104 Electrical Rooms</v>
      </c>
      <c r="F28" s="45" t="s">
        <v>548</v>
      </c>
      <c r="G28" s="46" t="s">
        <v>203</v>
      </c>
      <c r="H28" s="46" t="s">
        <v>203</v>
      </c>
      <c r="I28" s="47">
        <v>2</v>
      </c>
      <c r="J28" s="47" t="s">
        <v>682</v>
      </c>
      <c r="P28" t="str" cm="1">
        <f t="array" ref="P28">Suite</f>
        <v>G104</v>
      </c>
    </row>
    <row r="29" spans="1:16" x14ac:dyDescent="0.25">
      <c r="A29" s="45" t="s">
        <v>113</v>
      </c>
      <c r="B29" s="154" t="s">
        <v>113</v>
      </c>
      <c r="C29" s="45" t="str">
        <f>Suite &amp; " Data Center"</f>
        <v>G104 Data Center</v>
      </c>
      <c r="D29" s="47" t="s">
        <v>683</v>
      </c>
      <c r="E29" s="45" t="str">
        <f>Suite &amp; " Electrical Rooms"</f>
        <v>G104 Electrical Rooms</v>
      </c>
      <c r="F29" s="47" t="s">
        <v>684</v>
      </c>
      <c r="G29" s="46" t="s">
        <v>203</v>
      </c>
      <c r="H29" s="46" t="s">
        <v>203</v>
      </c>
      <c r="I29" s="47">
        <v>2</v>
      </c>
      <c r="J29" s="47"/>
    </row>
    <row r="30" spans="1:16" x14ac:dyDescent="0.25">
      <c r="A30" s="45" t="s">
        <v>114</v>
      </c>
      <c r="B30" s="154" t="s">
        <v>114</v>
      </c>
      <c r="C30" s="45" t="str">
        <f>Suite &amp; " Data Center"</f>
        <v>G104 Data Center</v>
      </c>
      <c r="D30" s="45" t="s">
        <v>547</v>
      </c>
      <c r="E30" s="45" t="str">
        <f>Suite &amp; " Electrical Rooms"</f>
        <v>G104 Electrical Rooms</v>
      </c>
      <c r="F30" s="45" t="s">
        <v>548</v>
      </c>
      <c r="G30" s="46" t="s">
        <v>203</v>
      </c>
      <c r="H30" s="46" t="s">
        <v>203</v>
      </c>
      <c r="I30" s="47">
        <v>2</v>
      </c>
      <c r="J30" s="47"/>
    </row>
    <row r="31" spans="1:16" x14ac:dyDescent="0.25">
      <c r="A31" s="45" t="s">
        <v>115</v>
      </c>
      <c r="B31" s="154" t="s">
        <v>115</v>
      </c>
      <c r="C31" s="45" t="str">
        <f>Suite &amp; " Data Center"</f>
        <v>G104 Data Center</v>
      </c>
      <c r="D31" s="45" t="s">
        <v>547</v>
      </c>
      <c r="E31" s="45" t="str">
        <f>Suite &amp; " Electrical Rooms"</f>
        <v>G104 Electrical Rooms</v>
      </c>
      <c r="F31" s="45" t="s">
        <v>548</v>
      </c>
      <c r="G31" s="46" t="s">
        <v>203</v>
      </c>
      <c r="H31" s="46" t="s">
        <v>203</v>
      </c>
      <c r="I31" s="47">
        <v>2</v>
      </c>
      <c r="J31" s="47"/>
    </row>
    <row r="32" spans="1:16" x14ac:dyDescent="0.25">
      <c r="A32" s="45" t="s">
        <v>116</v>
      </c>
      <c r="B32" s="154" t="s">
        <v>116</v>
      </c>
      <c r="C32" s="45" t="str">
        <f>Suite &amp; " Data Center"</f>
        <v>G104 Data Center</v>
      </c>
      <c r="D32" s="45" t="s">
        <v>547</v>
      </c>
      <c r="E32" s="45" t="str">
        <f>Suite &amp; " Electrical Rooms"</f>
        <v>G104 Electrical Rooms</v>
      </c>
      <c r="F32" s="45" t="s">
        <v>548</v>
      </c>
      <c r="G32" s="46" t="s">
        <v>203</v>
      </c>
      <c r="H32" s="46" t="s">
        <v>203</v>
      </c>
      <c r="I32" s="47">
        <v>2</v>
      </c>
      <c r="J32" s="47"/>
    </row>
    <row r="33" spans="1:10" x14ac:dyDescent="0.25">
      <c r="A33" s="45" t="s">
        <v>117</v>
      </c>
      <c r="B33" s="154" t="s">
        <v>117</v>
      </c>
      <c r="C33" s="45" t="str">
        <f>Suite &amp; " Data Center"</f>
        <v>G104 Data Center</v>
      </c>
      <c r="D33" s="45" t="s">
        <v>547</v>
      </c>
      <c r="E33" s="45" t="str">
        <f>Suite &amp; " Electrical Rooms"</f>
        <v>G104 Electrical Rooms</v>
      </c>
      <c r="F33" s="45" t="s">
        <v>548</v>
      </c>
      <c r="G33" s="46" t="s">
        <v>203</v>
      </c>
      <c r="H33" s="46" t="s">
        <v>203</v>
      </c>
      <c r="I33" s="47">
        <v>2</v>
      </c>
      <c r="J33" s="47"/>
    </row>
    <row r="34" spans="1:10" x14ac:dyDescent="0.25">
      <c r="A34" s="45" t="s">
        <v>118</v>
      </c>
      <c r="B34" s="154" t="s">
        <v>118</v>
      </c>
      <c r="C34" s="45" t="str">
        <f>Suite &amp; " Data Center"</f>
        <v>G104 Data Center</v>
      </c>
      <c r="D34" s="45" t="s">
        <v>547</v>
      </c>
      <c r="E34" s="45" t="str">
        <f>Suite &amp; " Electrical Rooms"</f>
        <v>G104 Electrical Rooms</v>
      </c>
      <c r="F34" s="45" t="s">
        <v>548</v>
      </c>
      <c r="G34" s="46" t="s">
        <v>203</v>
      </c>
      <c r="H34" s="46" t="s">
        <v>203</v>
      </c>
      <c r="I34" s="47">
        <v>2</v>
      </c>
      <c r="J34" s="47" t="s">
        <v>682</v>
      </c>
    </row>
    <row r="35" spans="1:10" x14ac:dyDescent="0.25">
      <c r="A35" s="45" t="s">
        <v>119</v>
      </c>
      <c r="B35" s="154" t="s">
        <v>119</v>
      </c>
      <c r="C35" s="45" t="str">
        <f>Suite &amp; " Data Center"</f>
        <v>G104 Data Center</v>
      </c>
      <c r="D35" s="45" t="s">
        <v>547</v>
      </c>
      <c r="E35" s="45" t="str">
        <f>Suite &amp; " Electrical Rooms"</f>
        <v>G104 Electrical Rooms</v>
      </c>
      <c r="F35" s="45" t="s">
        <v>548</v>
      </c>
      <c r="G35" s="46" t="s">
        <v>203</v>
      </c>
      <c r="H35" s="46" t="s">
        <v>203</v>
      </c>
      <c r="I35" s="47">
        <v>2</v>
      </c>
      <c r="J35" s="47" t="s">
        <v>682</v>
      </c>
    </row>
    <row r="36" spans="1:10" x14ac:dyDescent="0.25">
      <c r="A36" s="45" t="s">
        <v>120</v>
      </c>
      <c r="B36" s="154" t="s">
        <v>120</v>
      </c>
      <c r="C36" s="45" t="str">
        <f>Suite &amp; " Data Center"</f>
        <v>G104 Data Center</v>
      </c>
      <c r="D36" s="45" t="s">
        <v>547</v>
      </c>
      <c r="E36" s="45" t="str">
        <f>Suite &amp; " Electrical Rooms"</f>
        <v>G104 Electrical Rooms</v>
      </c>
      <c r="F36" s="45" t="s">
        <v>548</v>
      </c>
      <c r="G36" s="46" t="s">
        <v>203</v>
      </c>
      <c r="H36" s="46" t="s">
        <v>203</v>
      </c>
      <c r="I36" s="47">
        <v>2</v>
      </c>
      <c r="J36" s="47" t="s">
        <v>682</v>
      </c>
    </row>
    <row r="37" spans="1:10" x14ac:dyDescent="0.25">
      <c r="A37" s="45" t="s">
        <v>121</v>
      </c>
      <c r="B37" s="154" t="s">
        <v>121</v>
      </c>
      <c r="C37" s="45" t="str">
        <f>Suite &amp; " Data Center"</f>
        <v>G104 Data Center</v>
      </c>
      <c r="D37" s="45" t="s">
        <v>547</v>
      </c>
      <c r="E37" s="45" t="str">
        <f>Suite &amp; " Electrical Rooms"</f>
        <v>G104 Electrical Rooms</v>
      </c>
      <c r="F37" s="45" t="s">
        <v>548</v>
      </c>
      <c r="G37" s="46" t="s">
        <v>203</v>
      </c>
      <c r="H37" s="46" t="s">
        <v>203</v>
      </c>
      <c r="I37" s="47">
        <v>2</v>
      </c>
      <c r="J37" s="47" t="s">
        <v>682</v>
      </c>
    </row>
    <row r="38" spans="1:10" x14ac:dyDescent="0.25">
      <c r="A38" s="45" t="s">
        <v>122</v>
      </c>
      <c r="B38" s="154" t="s">
        <v>122</v>
      </c>
      <c r="C38" s="45" t="str">
        <f>Suite &amp; " Data Center"</f>
        <v>G104 Data Center</v>
      </c>
      <c r="D38" s="45" t="s">
        <v>547</v>
      </c>
      <c r="E38" s="45" t="str">
        <f>Suite &amp; " Electrical Rooms"</f>
        <v>G104 Electrical Rooms</v>
      </c>
      <c r="F38" s="45" t="s">
        <v>548</v>
      </c>
      <c r="G38" s="46" t="s">
        <v>203</v>
      </c>
      <c r="H38" s="46" t="s">
        <v>203</v>
      </c>
      <c r="I38" s="47">
        <v>2</v>
      </c>
      <c r="J38" s="47" t="s">
        <v>682</v>
      </c>
    </row>
    <row r="39" spans="1:10" x14ac:dyDescent="0.25">
      <c r="A39" s="45" t="s">
        <v>123</v>
      </c>
      <c r="B39" s="154" t="s">
        <v>123</v>
      </c>
      <c r="C39" s="45" t="str">
        <f>Suite &amp; " Data Center"</f>
        <v>G104 Data Center</v>
      </c>
      <c r="D39" s="45" t="s">
        <v>547</v>
      </c>
      <c r="E39" s="45" t="str">
        <f>Suite &amp; " Electrical Rooms"</f>
        <v>G104 Electrical Rooms</v>
      </c>
      <c r="F39" s="45" t="s">
        <v>548</v>
      </c>
      <c r="G39" s="46" t="s">
        <v>203</v>
      </c>
      <c r="H39" s="46" t="s">
        <v>203</v>
      </c>
      <c r="I39" s="47">
        <v>2</v>
      </c>
      <c r="J39" s="47" t="s">
        <v>682</v>
      </c>
    </row>
    <row r="40" spans="1:10" x14ac:dyDescent="0.25">
      <c r="A40" s="45" t="s">
        <v>124</v>
      </c>
      <c r="B40" s="154" t="s">
        <v>124</v>
      </c>
      <c r="C40" s="45" t="str">
        <f>Suite &amp; " Data Center"</f>
        <v>G104 Data Center</v>
      </c>
      <c r="D40" s="45" t="s">
        <v>547</v>
      </c>
      <c r="E40" s="45" t="str">
        <f>Suite &amp; " Electrical Rooms"</f>
        <v>G104 Electrical Rooms</v>
      </c>
      <c r="F40" s="45" t="s">
        <v>548</v>
      </c>
      <c r="G40" s="46" t="s">
        <v>203</v>
      </c>
      <c r="H40" s="46" t="s">
        <v>203</v>
      </c>
      <c r="I40" s="47">
        <v>2</v>
      </c>
      <c r="J40" s="47" t="s">
        <v>682</v>
      </c>
    </row>
    <row r="41" spans="1:10" x14ac:dyDescent="0.25">
      <c r="A41" s="45" t="s">
        <v>125</v>
      </c>
      <c r="B41" s="154" t="s">
        <v>125</v>
      </c>
      <c r="C41" s="45" t="str">
        <f>Suite &amp; " Data Center"</f>
        <v>G104 Data Center</v>
      </c>
      <c r="D41" s="45" t="s">
        <v>547</v>
      </c>
      <c r="E41" s="45" t="str">
        <f>Suite &amp; " Electrical Rooms"</f>
        <v>G104 Electrical Rooms</v>
      </c>
      <c r="F41" s="45" t="s">
        <v>548</v>
      </c>
      <c r="G41" s="46" t="s">
        <v>203</v>
      </c>
      <c r="H41" s="46" t="s">
        <v>203</v>
      </c>
      <c r="I41" s="47">
        <v>2</v>
      </c>
      <c r="J41" s="47" t="s">
        <v>682</v>
      </c>
    </row>
    <row r="42" spans="1:10" x14ac:dyDescent="0.25">
      <c r="A42" s="45" t="s">
        <v>126</v>
      </c>
      <c r="B42" s="154" t="s">
        <v>126</v>
      </c>
      <c r="C42" s="45" t="str">
        <f>Suite &amp; " Data Center"</f>
        <v>G104 Data Center</v>
      </c>
      <c r="D42" s="45" t="s">
        <v>547</v>
      </c>
      <c r="E42" s="45" t="str">
        <f>Suite &amp; " Electrical Rooms"</f>
        <v>G104 Electrical Rooms</v>
      </c>
      <c r="F42" s="45" t="s">
        <v>548</v>
      </c>
      <c r="G42" s="46" t="s">
        <v>203</v>
      </c>
      <c r="H42" s="46" t="s">
        <v>203</v>
      </c>
      <c r="I42" s="47">
        <v>2</v>
      </c>
      <c r="J42" s="47" t="s">
        <v>682</v>
      </c>
    </row>
    <row r="43" spans="1:10" x14ac:dyDescent="0.25">
      <c r="A43" s="45" t="s">
        <v>127</v>
      </c>
      <c r="B43" s="154" t="s">
        <v>127</v>
      </c>
      <c r="C43" s="45" t="str">
        <f>Suite &amp; " Data Center"</f>
        <v>G104 Data Center</v>
      </c>
      <c r="D43" s="45" t="s">
        <v>547</v>
      </c>
      <c r="E43" s="45" t="str">
        <f>Suite &amp; " Electrical Rooms"</f>
        <v>G104 Electrical Rooms</v>
      </c>
      <c r="F43" s="45" t="s">
        <v>548</v>
      </c>
      <c r="G43" s="46" t="s">
        <v>203</v>
      </c>
      <c r="H43" s="46" t="s">
        <v>203</v>
      </c>
      <c r="I43" s="47">
        <v>2</v>
      </c>
      <c r="J43" s="47" t="s">
        <v>682</v>
      </c>
    </row>
    <row r="44" spans="1:10" x14ac:dyDescent="0.25">
      <c r="A44" s="45" t="s">
        <v>128</v>
      </c>
      <c r="B44" s="154" t="s">
        <v>128</v>
      </c>
      <c r="C44" s="45" t="str">
        <f>Suite &amp; " Data Center"</f>
        <v>G104 Data Center</v>
      </c>
      <c r="D44" s="45" t="s">
        <v>547</v>
      </c>
      <c r="E44" s="45" t="str">
        <f>Suite &amp; " Electrical Rooms"</f>
        <v>G104 Electrical Rooms</v>
      </c>
      <c r="F44" s="45" t="s">
        <v>548</v>
      </c>
      <c r="G44" s="46" t="s">
        <v>203</v>
      </c>
      <c r="H44" s="46" t="s">
        <v>203</v>
      </c>
      <c r="I44" s="47">
        <v>2</v>
      </c>
      <c r="J44" s="47" t="s">
        <v>682</v>
      </c>
    </row>
    <row r="45" spans="1:10" x14ac:dyDescent="0.25">
      <c r="A45" s="46" t="s">
        <v>664</v>
      </c>
      <c r="B45" s="156" t="s">
        <v>685</v>
      </c>
      <c r="C45" s="47" t="s">
        <v>686</v>
      </c>
      <c r="D45" s="47" t="s">
        <v>686</v>
      </c>
      <c r="E45" s="47" t="s">
        <v>687</v>
      </c>
      <c r="F45" s="47" t="s">
        <v>687</v>
      </c>
      <c r="G45" s="47" t="s">
        <v>203</v>
      </c>
      <c r="H45" s="47" t="s">
        <v>203</v>
      </c>
      <c r="I45" s="47">
        <v>2</v>
      </c>
      <c r="J45" s="47"/>
    </row>
    <row r="46" spans="1:10" x14ac:dyDescent="0.25">
      <c r="A46" s="45" t="s">
        <v>157</v>
      </c>
      <c r="B46" s="154" t="s">
        <v>157</v>
      </c>
      <c r="C46" s="45" t="str">
        <f>Suite &amp; " Data Center"</f>
        <v>G104 Data Center</v>
      </c>
      <c r="D46" s="45" t="s">
        <v>547</v>
      </c>
      <c r="E46" s="45" t="str">
        <f>Suite &amp; " Data Center"</f>
        <v>G104 Data Center</v>
      </c>
      <c r="F46" s="45" t="s">
        <v>548</v>
      </c>
      <c r="G46" s="45" t="str">
        <f>Suite &amp; " Electrical Rooms"</f>
        <v>G104 Electrical Rooms</v>
      </c>
      <c r="H46" s="46" t="s">
        <v>688</v>
      </c>
      <c r="I46" s="47">
        <v>3</v>
      </c>
      <c r="J46" s="47"/>
    </row>
    <row r="47" spans="1:10" x14ac:dyDescent="0.25">
      <c r="A47" s="45" t="s">
        <v>158</v>
      </c>
      <c r="B47" s="154" t="s">
        <v>158</v>
      </c>
      <c r="C47" s="45" t="str">
        <f>Suite &amp; " Data Center"</f>
        <v>G104 Data Center</v>
      </c>
      <c r="D47" s="45" t="s">
        <v>547</v>
      </c>
      <c r="E47" s="45" t="str">
        <f>Suite &amp; " Data Center"</f>
        <v>G104 Data Center</v>
      </c>
      <c r="F47" s="45" t="s">
        <v>548</v>
      </c>
      <c r="G47" s="45" t="str">
        <f>Suite &amp; " Electrical Rooms"</f>
        <v>G104 Electrical Rooms</v>
      </c>
      <c r="H47" s="46" t="s">
        <v>688</v>
      </c>
      <c r="I47" s="47">
        <v>3</v>
      </c>
      <c r="J47" s="47"/>
    </row>
    <row r="48" spans="1:10" x14ac:dyDescent="0.25">
      <c r="A48" s="45" t="s">
        <v>159</v>
      </c>
      <c r="B48" s="154" t="s">
        <v>159</v>
      </c>
      <c r="C48" s="45" t="str">
        <f>Suite &amp; " Data Center"</f>
        <v>G104 Data Center</v>
      </c>
      <c r="D48" s="45" t="s">
        <v>547</v>
      </c>
      <c r="E48" s="45" t="str">
        <f>Suite &amp; " Data Center"</f>
        <v>G104 Data Center</v>
      </c>
      <c r="F48" s="45" t="s">
        <v>548</v>
      </c>
      <c r="G48" s="45" t="str">
        <f>Suite &amp; " Electrical Rooms"</f>
        <v>G104 Electrical Rooms</v>
      </c>
      <c r="H48" s="46" t="s">
        <v>688</v>
      </c>
      <c r="I48" s="47">
        <v>3</v>
      </c>
      <c r="J48" s="47"/>
    </row>
    <row r="49" spans="1:10" x14ac:dyDescent="0.25">
      <c r="A49" s="45" t="s">
        <v>160</v>
      </c>
      <c r="B49" s="154" t="s">
        <v>160</v>
      </c>
      <c r="C49" s="45" t="str">
        <f>Suite &amp; " Data Center"</f>
        <v>G104 Data Center</v>
      </c>
      <c r="D49" s="45" t="s">
        <v>547</v>
      </c>
      <c r="E49" s="45" t="str">
        <f>Suite &amp; " Data Center"</f>
        <v>G104 Data Center</v>
      </c>
      <c r="F49" s="45" t="s">
        <v>548</v>
      </c>
      <c r="G49" s="45" t="str">
        <f>Suite &amp; " Electrical Rooms"</f>
        <v>G104 Electrical Rooms</v>
      </c>
      <c r="H49" s="46" t="s">
        <v>688</v>
      </c>
      <c r="I49" s="47">
        <v>3</v>
      </c>
      <c r="J49" s="47"/>
    </row>
    <row r="50" spans="1:10" x14ac:dyDescent="0.25">
      <c r="A50" s="46" t="s">
        <v>671</v>
      </c>
      <c r="B50" s="156" t="s">
        <v>689</v>
      </c>
      <c r="C50" s="47" t="s">
        <v>668</v>
      </c>
      <c r="D50" s="47" t="s">
        <v>668</v>
      </c>
      <c r="E50" s="47" t="s">
        <v>669</v>
      </c>
      <c r="F50" s="47" t="s">
        <v>669</v>
      </c>
      <c r="G50" s="47" t="s">
        <v>203</v>
      </c>
      <c r="H50" s="47" t="s">
        <v>203</v>
      </c>
      <c r="I50" s="47">
        <v>2</v>
      </c>
      <c r="J50" s="47"/>
    </row>
    <row r="51" spans="1:10" x14ac:dyDescent="0.25">
      <c r="A51" s="45" t="s">
        <v>161</v>
      </c>
      <c r="B51" s="154" t="s">
        <v>161</v>
      </c>
      <c r="C51" s="45" t="str">
        <f>Suite &amp; " Data Center"</f>
        <v>G104 Data Center</v>
      </c>
      <c r="D51" s="45" t="s">
        <v>547</v>
      </c>
      <c r="E51" s="45" t="str">
        <f>Suite &amp; " Data Center"</f>
        <v>G104 Data Center</v>
      </c>
      <c r="F51" s="45" t="s">
        <v>548</v>
      </c>
      <c r="G51" s="45" t="str">
        <f>Suite &amp; " Electrical Rooms"</f>
        <v>G104 Electrical Rooms</v>
      </c>
      <c r="H51" s="46" t="s">
        <v>688</v>
      </c>
      <c r="I51" s="47">
        <v>3</v>
      </c>
      <c r="J51" s="133" t="s">
        <v>654</v>
      </c>
    </row>
    <row r="52" spans="1:10" x14ac:dyDescent="0.25">
      <c r="A52" s="45" t="s">
        <v>162</v>
      </c>
      <c r="B52" s="154" t="s">
        <v>162</v>
      </c>
      <c r="C52" s="45" t="str">
        <f>Suite &amp; " Data Center"</f>
        <v>G104 Data Center</v>
      </c>
      <c r="D52" s="45" t="s">
        <v>547</v>
      </c>
      <c r="E52" s="45" t="str">
        <f>Suite &amp; " Data Center"</f>
        <v>G104 Data Center</v>
      </c>
      <c r="F52" s="45" t="s">
        <v>548</v>
      </c>
      <c r="G52" s="45" t="str">
        <f>Suite &amp; " Electrical Rooms"</f>
        <v>G104 Electrical Rooms</v>
      </c>
      <c r="H52" s="46" t="s">
        <v>688</v>
      </c>
      <c r="I52" s="47">
        <v>3</v>
      </c>
      <c r="J52" s="133" t="s">
        <v>654</v>
      </c>
    </row>
    <row r="53" spans="1:10" x14ac:dyDescent="0.25">
      <c r="A53" s="45" t="s">
        <v>163</v>
      </c>
      <c r="B53" s="154" t="s">
        <v>163</v>
      </c>
      <c r="C53" s="45" t="str">
        <f>Suite &amp; " Data Center"</f>
        <v>G104 Data Center</v>
      </c>
      <c r="D53" s="45" t="s">
        <v>547</v>
      </c>
      <c r="E53" s="45" t="str">
        <f>Suite &amp; " Data Center"</f>
        <v>G104 Data Center</v>
      </c>
      <c r="F53" s="45" t="s">
        <v>548</v>
      </c>
      <c r="G53" s="45" t="str">
        <f>Suite &amp; " Electrical Rooms"</f>
        <v>G104 Electrical Rooms</v>
      </c>
      <c r="H53" s="46" t="s">
        <v>688</v>
      </c>
      <c r="I53" s="47">
        <v>3</v>
      </c>
      <c r="J53" s="133" t="s">
        <v>654</v>
      </c>
    </row>
    <row r="54" spans="1:10" x14ac:dyDescent="0.25">
      <c r="A54" s="45" t="s">
        <v>164</v>
      </c>
      <c r="B54" s="154" t="s">
        <v>164</v>
      </c>
      <c r="C54" s="45" t="str">
        <f>Suite &amp; " Data Center"</f>
        <v>G104 Data Center</v>
      </c>
      <c r="D54" s="45" t="s">
        <v>547</v>
      </c>
      <c r="E54" s="45" t="str">
        <f>Suite &amp; " Data Center"</f>
        <v>G104 Data Center</v>
      </c>
      <c r="F54" s="45" t="s">
        <v>548</v>
      </c>
      <c r="G54" s="45" t="str">
        <f>Suite &amp; " Electrical Rooms"</f>
        <v>G104 Electrical Rooms</v>
      </c>
      <c r="H54" s="46" t="s">
        <v>688</v>
      </c>
      <c r="I54" s="47">
        <v>3</v>
      </c>
      <c r="J54" s="133" t="s">
        <v>654</v>
      </c>
    </row>
    <row r="55" spans="1:10" x14ac:dyDescent="0.25">
      <c r="A55" s="45" t="s">
        <v>165</v>
      </c>
      <c r="B55" s="154" t="s">
        <v>165</v>
      </c>
      <c r="C55" s="45" t="str">
        <f>Suite &amp; " Data Center"</f>
        <v>G104 Data Center</v>
      </c>
      <c r="D55" s="45" t="s">
        <v>547</v>
      </c>
      <c r="E55" s="45" t="str">
        <f>Suite &amp; " Data Center"</f>
        <v>G104 Data Center</v>
      </c>
      <c r="F55" s="45" t="s">
        <v>548</v>
      </c>
      <c r="G55" s="45" t="str">
        <f>Suite &amp; " Electrical Rooms"</f>
        <v>G104 Electrical Rooms</v>
      </c>
      <c r="H55" s="46" t="s">
        <v>688</v>
      </c>
      <c r="I55" s="47">
        <v>3</v>
      </c>
      <c r="J55" s="133" t="s">
        <v>654</v>
      </c>
    </row>
    <row r="56" spans="1:10" x14ac:dyDescent="0.25">
      <c r="A56" s="45" t="s">
        <v>166</v>
      </c>
      <c r="B56" s="154" t="s">
        <v>166</v>
      </c>
      <c r="C56" s="45" t="str">
        <f>Suite &amp; " Data Center"</f>
        <v>G104 Data Center</v>
      </c>
      <c r="D56" s="45" t="s">
        <v>547</v>
      </c>
      <c r="E56" s="45" t="str">
        <f>Suite &amp; " Data Center"</f>
        <v>G104 Data Center</v>
      </c>
      <c r="F56" s="45" t="s">
        <v>548</v>
      </c>
      <c r="G56" s="45" t="str">
        <f>Suite &amp; " Electrical Rooms"</f>
        <v>G104 Electrical Rooms</v>
      </c>
      <c r="H56" s="46" t="s">
        <v>688</v>
      </c>
      <c r="I56" s="47">
        <v>3</v>
      </c>
      <c r="J56" s="133" t="s">
        <v>654</v>
      </c>
    </row>
    <row r="57" spans="1:10" x14ac:dyDescent="0.25">
      <c r="A57" s="46" t="s">
        <v>676</v>
      </c>
      <c r="B57" s="156" t="s">
        <v>690</v>
      </c>
      <c r="C57" s="47" t="s">
        <v>668</v>
      </c>
      <c r="D57" s="47" t="s">
        <v>668</v>
      </c>
      <c r="E57" s="47" t="s">
        <v>669</v>
      </c>
      <c r="F57" s="47" t="s">
        <v>669</v>
      </c>
      <c r="G57" s="47" t="s">
        <v>203</v>
      </c>
      <c r="H57" s="47" t="s">
        <v>203</v>
      </c>
      <c r="I57" s="47">
        <v>2</v>
      </c>
      <c r="J57" s="47"/>
    </row>
    <row r="58" spans="1:10" x14ac:dyDescent="0.25">
      <c r="A58" s="45" t="s">
        <v>129</v>
      </c>
      <c r="B58" s="154" t="s">
        <v>129</v>
      </c>
      <c r="C58" s="45" t="str">
        <f>Suite &amp; " Data Center"</f>
        <v>G104 Data Center</v>
      </c>
      <c r="D58" s="45" t="s">
        <v>547</v>
      </c>
      <c r="E58" s="45" t="str">
        <f>Suite &amp; " Electrical Rooms"</f>
        <v>G104 Electrical Rooms</v>
      </c>
      <c r="F58" s="45" t="s">
        <v>548</v>
      </c>
      <c r="G58" s="46" t="s">
        <v>203</v>
      </c>
      <c r="H58" s="46" t="s">
        <v>203</v>
      </c>
      <c r="I58" s="47">
        <v>2</v>
      </c>
      <c r="J58" s="133" t="s">
        <v>654</v>
      </c>
    </row>
    <row r="59" spans="1:10" x14ac:dyDescent="0.25">
      <c r="A59" s="45" t="s">
        <v>130</v>
      </c>
      <c r="B59" s="154" t="s">
        <v>130</v>
      </c>
      <c r="C59" s="45" t="str">
        <f>Suite &amp; " Data Center"</f>
        <v>G104 Data Center</v>
      </c>
      <c r="D59" s="45" t="s">
        <v>547</v>
      </c>
      <c r="E59" s="45" t="str">
        <f>Suite &amp; " Electrical Rooms"</f>
        <v>G104 Electrical Rooms</v>
      </c>
      <c r="F59" s="45" t="s">
        <v>548</v>
      </c>
      <c r="G59" s="46" t="s">
        <v>203</v>
      </c>
      <c r="H59" s="46" t="s">
        <v>203</v>
      </c>
      <c r="I59" s="47">
        <v>2</v>
      </c>
      <c r="J59" s="133" t="s">
        <v>654</v>
      </c>
    </row>
    <row r="60" spans="1:10" x14ac:dyDescent="0.25">
      <c r="A60" s="45" t="s">
        <v>167</v>
      </c>
      <c r="B60" s="154" t="s">
        <v>167</v>
      </c>
      <c r="C60" s="45" t="str">
        <f>Suite &amp; " Data Center"</f>
        <v>G104 Data Center</v>
      </c>
      <c r="D60" s="45" t="s">
        <v>547</v>
      </c>
      <c r="E60" s="45" t="str">
        <f>Suite &amp; " Electrical Rooms"</f>
        <v>G104 Electrical Rooms</v>
      </c>
      <c r="F60" s="45" t="s">
        <v>548</v>
      </c>
      <c r="G60" s="46" t="s">
        <v>203</v>
      </c>
      <c r="H60" s="46" t="s">
        <v>203</v>
      </c>
      <c r="I60" s="47">
        <v>2</v>
      </c>
      <c r="J60" s="133" t="s">
        <v>654</v>
      </c>
    </row>
    <row r="61" spans="1:10" x14ac:dyDescent="0.25">
      <c r="A61" s="45" t="s">
        <v>168</v>
      </c>
      <c r="B61" s="154" t="s">
        <v>168</v>
      </c>
      <c r="C61" s="45" t="str">
        <f>Suite &amp; " Data Center"</f>
        <v>G104 Data Center</v>
      </c>
      <c r="D61" s="45" t="s">
        <v>547</v>
      </c>
      <c r="E61" s="45" t="str">
        <f>Suite &amp; " Electrical Rooms"</f>
        <v>G104 Electrical Rooms</v>
      </c>
      <c r="F61" s="45" t="s">
        <v>548</v>
      </c>
      <c r="G61" s="46" t="s">
        <v>203</v>
      </c>
      <c r="H61" s="46" t="s">
        <v>203</v>
      </c>
      <c r="I61" s="47">
        <v>2</v>
      </c>
      <c r="J61" s="133" t="s">
        <v>654</v>
      </c>
    </row>
    <row r="62" spans="1:10" x14ac:dyDescent="0.25">
      <c r="A62" s="45" t="s">
        <v>169</v>
      </c>
      <c r="B62" s="154" t="s">
        <v>169</v>
      </c>
      <c r="C62" s="45" t="str">
        <f>Suite &amp; " Data Center"</f>
        <v>G104 Data Center</v>
      </c>
      <c r="D62" s="45" t="s">
        <v>547</v>
      </c>
      <c r="E62" s="45" t="str">
        <f>Suite &amp; " Electrical Rooms"</f>
        <v>G104 Electrical Rooms</v>
      </c>
      <c r="F62" s="45" t="s">
        <v>548</v>
      </c>
      <c r="G62" s="46" t="s">
        <v>203</v>
      </c>
      <c r="H62" s="46" t="s">
        <v>203</v>
      </c>
      <c r="I62" s="47">
        <v>2</v>
      </c>
      <c r="J62" s="133" t="s">
        <v>654</v>
      </c>
    </row>
    <row r="63" spans="1:10" x14ac:dyDescent="0.25">
      <c r="A63" s="45" t="s">
        <v>170</v>
      </c>
      <c r="B63" s="154" t="s">
        <v>170</v>
      </c>
      <c r="C63" s="45" t="str">
        <f>Suite &amp; " Data Center"</f>
        <v>G104 Data Center</v>
      </c>
      <c r="D63" s="45" t="s">
        <v>547</v>
      </c>
      <c r="E63" s="45" t="str">
        <f>Suite &amp; " Electrical Rooms"</f>
        <v>G104 Electrical Rooms</v>
      </c>
      <c r="F63" s="45" t="s">
        <v>548</v>
      </c>
      <c r="G63" s="46" t="s">
        <v>203</v>
      </c>
      <c r="H63" s="46" t="s">
        <v>203</v>
      </c>
      <c r="I63" s="47">
        <v>2</v>
      </c>
      <c r="J63" s="133" t="s">
        <v>654</v>
      </c>
    </row>
    <row r="64" spans="1:10" x14ac:dyDescent="0.25">
      <c r="A64" s="45" t="s">
        <v>171</v>
      </c>
      <c r="B64" s="154" t="s">
        <v>171</v>
      </c>
      <c r="C64" s="45" t="str">
        <f>Suite &amp; " Data Center"</f>
        <v>G104 Data Center</v>
      </c>
      <c r="D64" s="45" t="s">
        <v>547</v>
      </c>
      <c r="E64" s="45" t="str">
        <f>Suite &amp; " Electrical Rooms"</f>
        <v>G104 Electrical Rooms</v>
      </c>
      <c r="F64" s="45" t="s">
        <v>548</v>
      </c>
      <c r="G64" s="46" t="s">
        <v>203</v>
      </c>
      <c r="H64" s="46" t="s">
        <v>203</v>
      </c>
      <c r="I64" s="47">
        <v>2</v>
      </c>
      <c r="J64" s="133" t="s">
        <v>654</v>
      </c>
    </row>
    <row r="65" spans="1:10" x14ac:dyDescent="0.25">
      <c r="A65" s="45" t="s">
        <v>172</v>
      </c>
      <c r="B65" s="154" t="s">
        <v>172</v>
      </c>
      <c r="C65" s="45" t="str">
        <f>Suite &amp; " Data Center"</f>
        <v>G104 Data Center</v>
      </c>
      <c r="D65" s="45" t="s">
        <v>547</v>
      </c>
      <c r="E65" s="45" t="str">
        <f>Suite &amp; " Electrical Rooms"</f>
        <v>G104 Electrical Rooms</v>
      </c>
      <c r="F65" s="45" t="s">
        <v>548</v>
      </c>
      <c r="G65" s="46" t="s">
        <v>203</v>
      </c>
      <c r="H65" s="46" t="s">
        <v>203</v>
      </c>
      <c r="I65" s="47">
        <v>2</v>
      </c>
      <c r="J65" s="133" t="s">
        <v>654</v>
      </c>
    </row>
    <row r="66" spans="1:10" x14ac:dyDescent="0.25">
      <c r="A66" s="45" t="s">
        <v>16</v>
      </c>
      <c r="B66" s="154" t="s">
        <v>16</v>
      </c>
      <c r="C66" s="45" t="str">
        <f>Suite &amp; " Data Center"</f>
        <v>G104 Data Center</v>
      </c>
      <c r="D66" s="45" t="s">
        <v>547</v>
      </c>
      <c r="E66" s="45" t="str">
        <f>Suite &amp; " Electrical Rooms"</f>
        <v>G104 Electrical Rooms</v>
      </c>
      <c r="F66" s="45" t="s">
        <v>548</v>
      </c>
      <c r="G66" s="46" t="s">
        <v>203</v>
      </c>
      <c r="H66" s="46" t="s">
        <v>203</v>
      </c>
      <c r="I66" s="47">
        <v>2</v>
      </c>
      <c r="J66" s="133" t="s">
        <v>654</v>
      </c>
    </row>
    <row r="67" spans="1:10" x14ac:dyDescent="0.25">
      <c r="A67" s="45" t="s">
        <v>131</v>
      </c>
      <c r="B67" s="154" t="s">
        <v>131</v>
      </c>
      <c r="C67" s="45" t="str">
        <f>Suite &amp; " Data Center"</f>
        <v>G104 Data Center</v>
      </c>
      <c r="D67" s="45" t="s">
        <v>547</v>
      </c>
      <c r="E67" s="45" t="str">
        <f>Suite &amp; " Electrical Rooms"</f>
        <v>G104 Electrical Rooms</v>
      </c>
      <c r="F67" s="45" t="s">
        <v>548</v>
      </c>
      <c r="G67" s="46" t="s">
        <v>203</v>
      </c>
      <c r="H67" s="46" t="s">
        <v>203</v>
      </c>
      <c r="I67" s="47">
        <v>2</v>
      </c>
      <c r="J67" s="133" t="s">
        <v>654</v>
      </c>
    </row>
    <row r="68" spans="1:10" x14ac:dyDescent="0.25">
      <c r="A68" s="45" t="s">
        <v>173</v>
      </c>
      <c r="B68" s="154" t="s">
        <v>173</v>
      </c>
      <c r="C68" s="45" t="str">
        <f>Suite &amp; " Data Center"</f>
        <v>G104 Data Center</v>
      </c>
      <c r="D68" s="45" t="s">
        <v>547</v>
      </c>
      <c r="E68" s="45" t="str">
        <f>Suite &amp; " Electrical Rooms"</f>
        <v>G104 Electrical Rooms</v>
      </c>
      <c r="F68" s="45" t="s">
        <v>548</v>
      </c>
      <c r="G68" s="46" t="s">
        <v>203</v>
      </c>
      <c r="H68" s="46" t="s">
        <v>203</v>
      </c>
      <c r="I68" s="47">
        <v>2</v>
      </c>
      <c r="J68" s="133" t="s">
        <v>654</v>
      </c>
    </row>
    <row r="69" spans="1:10" x14ac:dyDescent="0.25">
      <c r="A69" s="45" t="s">
        <v>174</v>
      </c>
      <c r="B69" s="154" t="s">
        <v>174</v>
      </c>
      <c r="C69" s="45" t="str">
        <f>Suite &amp; " Data Center"</f>
        <v>G104 Data Center</v>
      </c>
      <c r="D69" s="45" t="s">
        <v>547</v>
      </c>
      <c r="E69" s="45" t="str">
        <f>Suite &amp; " Electrical Rooms"</f>
        <v>G104 Electrical Rooms</v>
      </c>
      <c r="F69" s="45" t="s">
        <v>548</v>
      </c>
      <c r="G69" s="46" t="s">
        <v>203</v>
      </c>
      <c r="H69" s="46" t="s">
        <v>203</v>
      </c>
      <c r="I69" s="47">
        <v>2</v>
      </c>
      <c r="J69" s="133" t="s">
        <v>654</v>
      </c>
    </row>
    <row r="70" spans="1:10" x14ac:dyDescent="0.25">
      <c r="A70" s="45" t="s">
        <v>175</v>
      </c>
      <c r="B70" s="154" t="s">
        <v>175</v>
      </c>
      <c r="C70" s="45" t="str">
        <f>Suite &amp; " Data Center"</f>
        <v>G104 Data Center</v>
      </c>
      <c r="D70" s="45" t="s">
        <v>547</v>
      </c>
      <c r="E70" s="45" t="str">
        <f>Suite &amp; " Electrical Rooms"</f>
        <v>G104 Electrical Rooms</v>
      </c>
      <c r="F70" s="45" t="s">
        <v>548</v>
      </c>
      <c r="G70" s="46" t="s">
        <v>203</v>
      </c>
      <c r="H70" s="46" t="s">
        <v>203</v>
      </c>
      <c r="I70" s="47">
        <v>2</v>
      </c>
      <c r="J70" s="133" t="s">
        <v>654</v>
      </c>
    </row>
    <row r="71" spans="1:10" x14ac:dyDescent="0.25">
      <c r="A71" s="45" t="s">
        <v>176</v>
      </c>
      <c r="B71" s="154" t="s">
        <v>176</v>
      </c>
      <c r="C71" s="45" t="str">
        <f>Suite &amp; " Data Center"</f>
        <v>G104 Data Center</v>
      </c>
      <c r="D71" s="45" t="s">
        <v>547</v>
      </c>
      <c r="E71" s="45" t="str">
        <f>Suite &amp; " Electrical Rooms"</f>
        <v>G104 Electrical Rooms</v>
      </c>
      <c r="F71" s="45" t="s">
        <v>548</v>
      </c>
      <c r="G71" s="46" t="s">
        <v>203</v>
      </c>
      <c r="H71" s="46" t="s">
        <v>203</v>
      </c>
      <c r="I71" s="47">
        <v>2</v>
      </c>
      <c r="J71" s="133" t="s">
        <v>654</v>
      </c>
    </row>
    <row r="72" spans="1:10" x14ac:dyDescent="0.25">
      <c r="A72" s="45" t="s">
        <v>177</v>
      </c>
      <c r="B72" s="154" t="s">
        <v>177</v>
      </c>
      <c r="C72" s="45" t="str">
        <f>Suite &amp; " Data Center"</f>
        <v>G104 Data Center</v>
      </c>
      <c r="D72" s="45" t="s">
        <v>547</v>
      </c>
      <c r="E72" s="45" t="str">
        <f>Suite &amp; " Electrical Rooms"</f>
        <v>G104 Electrical Rooms</v>
      </c>
      <c r="F72" s="45" t="s">
        <v>548</v>
      </c>
      <c r="G72" s="46" t="s">
        <v>203</v>
      </c>
      <c r="H72" s="46" t="s">
        <v>203</v>
      </c>
      <c r="I72" s="47">
        <v>2</v>
      </c>
      <c r="J72" s="133" t="s">
        <v>654</v>
      </c>
    </row>
    <row r="73" spans="1:10" x14ac:dyDescent="0.25">
      <c r="A73" s="46" t="s">
        <v>678</v>
      </c>
      <c r="B73" s="156" t="s">
        <v>691</v>
      </c>
      <c r="C73" s="47" t="s">
        <v>668</v>
      </c>
      <c r="D73" s="47" t="s">
        <v>668</v>
      </c>
      <c r="E73" s="47" t="s">
        <v>669</v>
      </c>
      <c r="F73" s="47" t="s">
        <v>669</v>
      </c>
      <c r="G73" s="47" t="s">
        <v>203</v>
      </c>
      <c r="H73" s="47" t="s">
        <v>203</v>
      </c>
      <c r="I73" s="47">
        <v>2</v>
      </c>
      <c r="J73" s="47"/>
    </row>
    <row r="74" spans="1:10" x14ac:dyDescent="0.25">
      <c r="A74" s="25"/>
      <c r="B74" s="25"/>
      <c r="C74" s="25"/>
      <c r="D74" s="25"/>
      <c r="E74" s="25"/>
      <c r="F74" s="25"/>
      <c r="G74" s="25"/>
      <c r="H74" s="25"/>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F275F-3D2F-4457-93EA-4E78A2BC71BE}">
  <sheetPr codeName="Config_Batt">
    <pageSetUpPr fitToPage="1"/>
  </sheetPr>
  <dimension ref="A1:CC65"/>
  <sheetViews>
    <sheetView workbookViewId="0"/>
  </sheetViews>
  <sheetFormatPr defaultRowHeight="15" x14ac:dyDescent="0.25"/>
  <cols>
    <col min="1" max="1" width="5.140625" bestFit="1" customWidth="1"/>
    <col min="2" max="2" width="9.85546875" bestFit="1" customWidth="1"/>
    <col min="3" max="3" width="7.28515625" bestFit="1" customWidth="1"/>
    <col min="4" max="4" width="9.7109375" bestFit="1" customWidth="1"/>
    <col min="5" max="5" width="19.5703125" bestFit="1" customWidth="1"/>
    <col min="6" max="6" width="5.7109375" bestFit="1" customWidth="1"/>
    <col min="7" max="10" width="4.5703125" bestFit="1" customWidth="1"/>
    <col min="11" max="11" width="4.5703125" customWidth="1"/>
    <col min="12" max="12" width="12.5703125" bestFit="1" customWidth="1"/>
    <col min="13" max="13" width="11.28515625" bestFit="1" customWidth="1"/>
    <col min="14" max="14" width="12.5703125" bestFit="1" customWidth="1"/>
    <col min="15" max="18" width="6.28515625" bestFit="1" customWidth="1"/>
    <col min="20" max="20" width="11.5703125" bestFit="1" customWidth="1"/>
    <col min="21" max="21" width="10.85546875" customWidth="1"/>
    <col min="34" max="34" width="11.28515625" customWidth="1"/>
  </cols>
  <sheetData>
    <row r="1" spans="1:81" s="81" customFormat="1" x14ac:dyDescent="0.25">
      <c r="A1" s="59"/>
      <c r="B1" s="59" t="s">
        <v>595</v>
      </c>
      <c r="C1" s="59" t="s">
        <v>596</v>
      </c>
      <c r="D1" s="59" t="s">
        <v>597</v>
      </c>
      <c r="E1" s="59" t="s">
        <v>13</v>
      </c>
      <c r="F1" s="59" t="s">
        <v>180</v>
      </c>
      <c r="G1" s="59" t="s">
        <v>598</v>
      </c>
      <c r="H1" s="59" t="s">
        <v>599</v>
      </c>
      <c r="I1" s="59" t="s">
        <v>600</v>
      </c>
      <c r="J1" s="59" t="s">
        <v>601</v>
      </c>
      <c r="K1" s="59" t="s">
        <v>602</v>
      </c>
      <c r="L1" s="59" t="s">
        <v>603</v>
      </c>
      <c r="M1" s="44" t="s">
        <v>604</v>
      </c>
      <c r="N1" s="44" t="s">
        <v>605</v>
      </c>
      <c r="O1" s="44" t="s">
        <v>547</v>
      </c>
      <c r="P1" s="44" t="s">
        <v>548</v>
      </c>
      <c r="Q1" s="44" t="s">
        <v>574</v>
      </c>
      <c r="R1" s="44" t="s">
        <v>572</v>
      </c>
      <c r="S1" s="44" t="s">
        <v>594</v>
      </c>
      <c r="T1" s="88"/>
      <c r="U1" s="47" t="s">
        <v>692</v>
      </c>
      <c r="V1" s="88"/>
      <c r="W1" s="88"/>
      <c r="X1" s="88"/>
      <c r="Y1" s="88"/>
      <c r="Z1" s="88"/>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row>
    <row r="2" spans="1:81" x14ac:dyDescent="0.25">
      <c r="A2" s="61" t="s">
        <v>140</v>
      </c>
      <c r="B2" s="141" t="s">
        <v>609</v>
      </c>
      <c r="C2" s="141">
        <v>4</v>
      </c>
      <c r="D2" s="141" t="s">
        <v>610</v>
      </c>
      <c r="E2" s="141" t="str">
        <f>A2&amp;" UPS Batteries"</f>
        <v>A110 UPS Batteries</v>
      </c>
      <c r="F2" s="142" t="s">
        <v>611</v>
      </c>
      <c r="G2" s="61" t="s">
        <v>547</v>
      </c>
      <c r="H2" s="61" t="s">
        <v>548</v>
      </c>
      <c r="I2" s="61" t="s">
        <v>574</v>
      </c>
      <c r="J2" s="61" t="s">
        <v>572</v>
      </c>
      <c r="K2" s="61"/>
      <c r="L2" s="141">
        <v>3</v>
      </c>
      <c r="M2" s="145" t="str">
        <f>VLOOKUP(Suite, $A$1:$L$64, 6)</f>
        <v>Two</v>
      </c>
      <c r="N2" s="44" t="str">
        <f>Suite</f>
        <v>G104</v>
      </c>
      <c r="O2" s="44" t="str">
        <f>IF(SWOne="A","Visible", "Hidden")</f>
        <v>Hidden</v>
      </c>
      <c r="P2" s="44" t="str">
        <f>IF(SWTwo="B","Visible", "Hidden")</f>
        <v>Hidden</v>
      </c>
      <c r="Q2" s="44" t="str">
        <f>IF(SWThree="C","Visible", "Hidden")</f>
        <v>Hidden</v>
      </c>
      <c r="R2" s="44" t="str">
        <f>IF(SWFour="D","Visible", "Hidden")</f>
        <v>Hidden</v>
      </c>
      <c r="S2" s="44" t="str">
        <f>IF(SWFive="F","Visible", "Hidden")</f>
        <v>Hidden</v>
      </c>
      <c r="U2" s="51" t="s">
        <v>619</v>
      </c>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row>
    <row r="3" spans="1:81" x14ac:dyDescent="0.25">
      <c r="A3" s="61" t="s">
        <v>141</v>
      </c>
      <c r="B3" s="141" t="s">
        <v>609</v>
      </c>
      <c r="C3" s="141">
        <v>4</v>
      </c>
      <c r="D3" s="141" t="s">
        <v>610</v>
      </c>
      <c r="E3" s="141" t="str">
        <f t="shared" ref="E3:E64" si="0">A3&amp;" UPS Batteries"</f>
        <v>A120 UPS Batteries</v>
      </c>
      <c r="F3" s="142" t="s">
        <v>611</v>
      </c>
      <c r="G3" s="61" t="s">
        <v>547</v>
      </c>
      <c r="H3" s="61" t="s">
        <v>548</v>
      </c>
      <c r="I3" s="61" t="s">
        <v>574</v>
      </c>
      <c r="J3" s="61" t="s">
        <v>572</v>
      </c>
      <c r="K3" s="61"/>
      <c r="L3" s="141">
        <v>3</v>
      </c>
      <c r="U3" s="55" t="s">
        <v>616</v>
      </c>
      <c r="V3" s="82" t="s">
        <v>693</v>
      </c>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row>
    <row r="4" spans="1:81" x14ac:dyDescent="0.25">
      <c r="A4" s="61" t="s">
        <v>142</v>
      </c>
      <c r="B4" s="141" t="s">
        <v>609</v>
      </c>
      <c r="C4" s="141">
        <v>2</v>
      </c>
      <c r="D4" s="141" t="s">
        <v>568</v>
      </c>
      <c r="E4" s="141" t="str">
        <f t="shared" si="0"/>
        <v>A130 UPS Batteries</v>
      </c>
      <c r="F4" s="142" t="s">
        <v>611</v>
      </c>
      <c r="G4" s="61" t="s">
        <v>547</v>
      </c>
      <c r="H4" s="61" t="s">
        <v>548</v>
      </c>
      <c r="I4" s="61"/>
      <c r="J4" s="61"/>
      <c r="K4" s="61"/>
      <c r="L4" s="141">
        <v>3</v>
      </c>
      <c r="M4" s="146" t="s">
        <v>595</v>
      </c>
      <c r="N4" s="61" t="s">
        <v>597</v>
      </c>
      <c r="O4" s="61" t="s">
        <v>598</v>
      </c>
      <c r="P4" s="61" t="s">
        <v>599</v>
      </c>
      <c r="Q4" s="61" t="s">
        <v>600</v>
      </c>
      <c r="R4" s="61" t="s">
        <v>601</v>
      </c>
      <c r="S4" s="61" t="s">
        <v>602</v>
      </c>
      <c r="U4" s="56"/>
      <c r="V4" s="67" t="s">
        <v>694</v>
      </c>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row>
    <row r="5" spans="1:81" x14ac:dyDescent="0.25">
      <c r="A5" s="61" t="s">
        <v>143</v>
      </c>
      <c r="B5" s="141" t="s">
        <v>609</v>
      </c>
      <c r="C5" s="141">
        <v>2</v>
      </c>
      <c r="D5" s="141" t="s">
        <v>568</v>
      </c>
      <c r="E5" s="141" t="str">
        <f t="shared" si="0"/>
        <v>A140 UPS Batteries</v>
      </c>
      <c r="F5" s="142" t="s">
        <v>611</v>
      </c>
      <c r="G5" s="61" t="s">
        <v>547</v>
      </c>
      <c r="H5" s="61" t="s">
        <v>548</v>
      </c>
      <c r="I5" s="61"/>
      <c r="J5" s="61"/>
      <c r="K5" s="61"/>
      <c r="L5" s="141">
        <v>3</v>
      </c>
      <c r="M5" s="454" t="str">
        <f>VLOOKUP(Suite, $A$2:$L$64, 2)</f>
        <v>MGE</v>
      </c>
      <c r="N5" s="472" t="str">
        <f>VLOOKUP(Suite, $A$2:$L$64, 4)</f>
        <v>AB</v>
      </c>
      <c r="O5" s="472" t="str">
        <f>VLOOKUP(Suite, $A$2:$L$64, 7)</f>
        <v>A</v>
      </c>
      <c r="P5" s="472" t="str">
        <f>VLOOKUP(Suite, $A$2:$L$64, 8)</f>
        <v>B</v>
      </c>
      <c r="Q5" s="472">
        <f>VLOOKUP(Suite, $A$2:$L$64, 9)</f>
        <v>0</v>
      </c>
      <c r="R5" s="472">
        <f>VLOOKUP(Suite, $A$2:$L$64, 10)</f>
        <v>0</v>
      </c>
      <c r="S5" s="472">
        <f>VLOOKUP(Suite, $A$2:$L$64, 11)</f>
        <v>0</v>
      </c>
      <c r="U5" s="56"/>
      <c r="V5" s="67" t="s">
        <v>695</v>
      </c>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row>
    <row r="6" spans="1:81" x14ac:dyDescent="0.25">
      <c r="A6" s="61" t="s">
        <v>144</v>
      </c>
      <c r="B6" s="141" t="s">
        <v>609</v>
      </c>
      <c r="C6" s="141">
        <v>4</v>
      </c>
      <c r="D6" s="141" t="s">
        <v>610</v>
      </c>
      <c r="E6" s="141" t="str">
        <f t="shared" si="0"/>
        <v>A150 UPS Batteries</v>
      </c>
      <c r="F6" s="142" t="s">
        <v>611</v>
      </c>
      <c r="G6" s="61" t="s">
        <v>547</v>
      </c>
      <c r="H6" s="61" t="s">
        <v>548</v>
      </c>
      <c r="I6" s="61" t="s">
        <v>574</v>
      </c>
      <c r="J6" s="61" t="s">
        <v>572</v>
      </c>
      <c r="K6" s="61"/>
      <c r="L6" s="141">
        <v>3</v>
      </c>
      <c r="U6" s="57"/>
      <c r="V6" s="68" t="s">
        <v>696</v>
      </c>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row>
    <row r="7" spans="1:81" x14ac:dyDescent="0.25">
      <c r="A7" s="61" t="s">
        <v>145</v>
      </c>
      <c r="B7" s="141" t="s">
        <v>609</v>
      </c>
      <c r="C7" s="141">
        <v>2</v>
      </c>
      <c r="D7" s="141" t="s">
        <v>568</v>
      </c>
      <c r="E7" s="141" t="str">
        <f t="shared" si="0"/>
        <v>B110 UPS Batteries</v>
      </c>
      <c r="F7" s="142" t="s">
        <v>611</v>
      </c>
      <c r="G7" s="61" t="s">
        <v>547</v>
      </c>
      <c r="H7" s="61" t="s">
        <v>548</v>
      </c>
      <c r="I7" s="61"/>
      <c r="J7" s="61"/>
      <c r="K7" s="61"/>
      <c r="L7" s="141">
        <v>3</v>
      </c>
      <c r="M7" s="454" t="s">
        <v>596</v>
      </c>
      <c r="N7" s="472" t="s">
        <v>603</v>
      </c>
      <c r="S7" s="5"/>
      <c r="U7" s="51" t="s">
        <v>697</v>
      </c>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row>
    <row r="8" spans="1:81" x14ac:dyDescent="0.25">
      <c r="A8" s="61" t="s">
        <v>146</v>
      </c>
      <c r="B8" s="141" t="s">
        <v>609</v>
      </c>
      <c r="C8" s="141">
        <v>2</v>
      </c>
      <c r="D8" s="141" t="s">
        <v>568</v>
      </c>
      <c r="E8" s="141" t="str">
        <f t="shared" si="0"/>
        <v>B120 UPS Batteries</v>
      </c>
      <c r="F8" s="142" t="s">
        <v>611</v>
      </c>
      <c r="G8" s="61" t="s">
        <v>547</v>
      </c>
      <c r="H8" s="61" t="s">
        <v>548</v>
      </c>
      <c r="I8" s="61"/>
      <c r="J8" s="61"/>
      <c r="K8" s="61"/>
      <c r="L8" s="141">
        <v>3</v>
      </c>
      <c r="M8" s="454">
        <f>IFERROR(VLOOKUP(Suite, $A$2:$L$64, 3), "ERROR")</f>
        <v>2</v>
      </c>
      <c r="N8" s="472">
        <f>IFERROR(VLOOKUP(Suite, $A$2:$L$64, 12), "ERROR")</f>
        <v>3</v>
      </c>
      <c r="S8" s="5"/>
      <c r="U8" s="55" t="s">
        <v>615</v>
      </c>
      <c r="V8" s="82" t="s">
        <v>698</v>
      </c>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row>
    <row r="9" spans="1:81" x14ac:dyDescent="0.25">
      <c r="A9" s="61" t="s">
        <v>147</v>
      </c>
      <c r="B9" s="141" t="s">
        <v>609</v>
      </c>
      <c r="C9" s="141">
        <v>4</v>
      </c>
      <c r="D9" s="141" t="s">
        <v>610</v>
      </c>
      <c r="E9" s="141" t="str">
        <f t="shared" si="0"/>
        <v>B130 UPS Batteries</v>
      </c>
      <c r="F9" s="142" t="s">
        <v>611</v>
      </c>
      <c r="G9" s="61" t="s">
        <v>547</v>
      </c>
      <c r="H9" s="61" t="s">
        <v>548</v>
      </c>
      <c r="I9" s="61" t="s">
        <v>574</v>
      </c>
      <c r="J9" s="61" t="s">
        <v>572</v>
      </c>
      <c r="K9" s="61"/>
      <c r="L9" s="141">
        <v>3</v>
      </c>
      <c r="S9" s="5"/>
      <c r="U9" s="56"/>
      <c r="V9" s="67" t="s">
        <v>699</v>
      </c>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row>
    <row r="10" spans="1:81" x14ac:dyDescent="0.25">
      <c r="A10" s="61" t="s">
        <v>148</v>
      </c>
      <c r="B10" s="141" t="s">
        <v>609</v>
      </c>
      <c r="C10" s="141">
        <v>4</v>
      </c>
      <c r="D10" s="141" t="s">
        <v>610</v>
      </c>
      <c r="E10" s="141" t="str">
        <f t="shared" si="0"/>
        <v>B140 UPS Batteries</v>
      </c>
      <c r="F10" s="142" t="s">
        <v>611</v>
      </c>
      <c r="G10" s="61" t="s">
        <v>547</v>
      </c>
      <c r="H10" s="61" t="s">
        <v>548</v>
      </c>
      <c r="I10" s="61" t="s">
        <v>574</v>
      </c>
      <c r="J10" s="61" t="s">
        <v>572</v>
      </c>
      <c r="K10" s="61"/>
      <c r="L10" s="141">
        <v>3</v>
      </c>
      <c r="S10" s="5"/>
      <c r="U10" s="56"/>
      <c r="V10" s="67" t="s">
        <v>700</v>
      </c>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row>
    <row r="11" spans="1:81" x14ac:dyDescent="0.25">
      <c r="A11" s="61" t="s">
        <v>149</v>
      </c>
      <c r="B11" s="61" t="s">
        <v>701</v>
      </c>
      <c r="C11" s="141">
        <v>2</v>
      </c>
      <c r="D11" s="141" t="s">
        <v>568</v>
      </c>
      <c r="E11" s="141" t="str">
        <f t="shared" si="0"/>
        <v>D110 UPS Batteries</v>
      </c>
      <c r="F11" s="142" t="s">
        <v>611</v>
      </c>
      <c r="G11" s="61" t="s">
        <v>547</v>
      </c>
      <c r="H11" s="61" t="s">
        <v>548</v>
      </c>
      <c r="I11" s="61"/>
      <c r="J11" s="61"/>
      <c r="K11" s="61"/>
      <c r="L11" s="141">
        <v>4</v>
      </c>
      <c r="U11" s="57"/>
      <c r="V11" s="68" t="s">
        <v>702</v>
      </c>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row>
    <row r="12" spans="1:81" x14ac:dyDescent="0.25">
      <c r="A12" s="61" t="s">
        <v>150</v>
      </c>
      <c r="B12" s="61" t="s">
        <v>701</v>
      </c>
      <c r="C12" s="141">
        <v>4</v>
      </c>
      <c r="D12" s="141" t="s">
        <v>610</v>
      </c>
      <c r="E12" s="141" t="str">
        <f t="shared" si="0"/>
        <v>D120 UPS Batteries</v>
      </c>
      <c r="F12" s="142" t="s">
        <v>611</v>
      </c>
      <c r="G12" s="61" t="s">
        <v>547</v>
      </c>
      <c r="H12" s="61" t="s">
        <v>548</v>
      </c>
      <c r="I12" s="61" t="s">
        <v>574</v>
      </c>
      <c r="J12" s="61" t="s">
        <v>572</v>
      </c>
      <c r="K12" s="61"/>
      <c r="L12" s="141">
        <v>4</v>
      </c>
      <c r="S12" s="6"/>
      <c r="U12" s="51" t="s">
        <v>635</v>
      </c>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row>
    <row r="13" spans="1:81" x14ac:dyDescent="0.25">
      <c r="A13" s="61" t="s">
        <v>151</v>
      </c>
      <c r="B13" s="141" t="s">
        <v>703</v>
      </c>
      <c r="C13" s="141">
        <v>4</v>
      </c>
      <c r="D13" s="141" t="s">
        <v>610</v>
      </c>
      <c r="E13" s="141" t="str">
        <f t="shared" si="0"/>
        <v>D130 UPS Batteries</v>
      </c>
      <c r="F13" s="142" t="s">
        <v>630</v>
      </c>
      <c r="G13" s="61" t="s">
        <v>547</v>
      </c>
      <c r="H13" s="61" t="s">
        <v>548</v>
      </c>
      <c r="I13" s="61" t="s">
        <v>574</v>
      </c>
      <c r="J13" s="61" t="s">
        <v>572</v>
      </c>
      <c r="K13" s="61"/>
      <c r="L13" s="141">
        <v>4</v>
      </c>
      <c r="S13" s="6"/>
      <c r="U13" s="52" t="s">
        <v>572</v>
      </c>
      <c r="V13" s="66" t="s">
        <v>704</v>
      </c>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row>
    <row r="14" spans="1:81" x14ac:dyDescent="0.25">
      <c r="A14" s="61" t="s">
        <v>152</v>
      </c>
      <c r="B14" s="141" t="s">
        <v>609</v>
      </c>
      <c r="C14" s="141">
        <v>2</v>
      </c>
      <c r="D14" s="141" t="s">
        <v>568</v>
      </c>
      <c r="E14" s="141" t="str">
        <f t="shared" si="0"/>
        <v>F130 UPS Batteries</v>
      </c>
      <c r="F14" s="142" t="s">
        <v>611</v>
      </c>
      <c r="G14" s="61" t="s">
        <v>547</v>
      </c>
      <c r="H14" s="61" t="s">
        <v>548</v>
      </c>
      <c r="I14" s="61"/>
      <c r="J14" s="61"/>
      <c r="K14" s="61"/>
      <c r="L14" s="141">
        <v>3</v>
      </c>
      <c r="S14" s="6"/>
      <c r="U14" s="54"/>
      <c r="V14" s="68" t="s">
        <v>705</v>
      </c>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row>
    <row r="15" spans="1:81" x14ac:dyDescent="0.25">
      <c r="A15" s="61" t="s">
        <v>153</v>
      </c>
      <c r="B15" s="141" t="s">
        <v>609</v>
      </c>
      <c r="C15" s="141">
        <v>2</v>
      </c>
      <c r="D15" s="141" t="s">
        <v>568</v>
      </c>
      <c r="E15" s="141" t="str">
        <f t="shared" si="0"/>
        <v>F140 UPS Batteries</v>
      </c>
      <c r="F15" s="142" t="s">
        <v>611</v>
      </c>
      <c r="G15" s="61" t="s">
        <v>547</v>
      </c>
      <c r="H15" s="61" t="s">
        <v>548</v>
      </c>
      <c r="I15" s="61"/>
      <c r="J15" s="61"/>
      <c r="K15" s="61"/>
      <c r="L15" s="141">
        <v>3</v>
      </c>
      <c r="U15" s="51" t="s">
        <v>706</v>
      </c>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row>
    <row r="16" spans="1:81" x14ac:dyDescent="0.25">
      <c r="A16" s="61" t="s">
        <v>154</v>
      </c>
      <c r="B16" s="141" t="s">
        <v>609</v>
      </c>
      <c r="C16" s="141">
        <v>4</v>
      </c>
      <c r="D16" s="141" t="s">
        <v>610</v>
      </c>
      <c r="E16" s="141" t="str">
        <f t="shared" si="0"/>
        <v>F150 UPS Batteries</v>
      </c>
      <c r="F16" s="142" t="s">
        <v>611</v>
      </c>
      <c r="G16" s="61" t="s">
        <v>547</v>
      </c>
      <c r="H16" s="61" t="s">
        <v>548</v>
      </c>
      <c r="I16" s="61" t="s">
        <v>574</v>
      </c>
      <c r="J16" s="61" t="s">
        <v>572</v>
      </c>
      <c r="K16" s="61"/>
      <c r="L16" s="141">
        <v>3</v>
      </c>
      <c r="U16" s="52" t="s">
        <v>627</v>
      </c>
      <c r="V16" s="83" t="s">
        <v>707</v>
      </c>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row>
    <row r="17" spans="1:81" x14ac:dyDescent="0.25">
      <c r="A17" s="61" t="s">
        <v>155</v>
      </c>
      <c r="B17" s="141" t="s">
        <v>609</v>
      </c>
      <c r="C17" s="141">
        <v>2</v>
      </c>
      <c r="D17" s="141" t="s">
        <v>568</v>
      </c>
      <c r="E17" s="141" t="str">
        <f t="shared" si="0"/>
        <v>F160 UPS Batteries</v>
      </c>
      <c r="F17" s="142" t="s">
        <v>611</v>
      </c>
      <c r="G17" s="61" t="s">
        <v>547</v>
      </c>
      <c r="H17" s="61" t="s">
        <v>548</v>
      </c>
      <c r="I17" s="61"/>
      <c r="J17" s="61"/>
      <c r="K17" s="61"/>
      <c r="L17" s="141">
        <v>3</v>
      </c>
      <c r="U17" s="53"/>
      <c r="V17" s="84" t="s">
        <v>708</v>
      </c>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row>
    <row r="18" spans="1:81" x14ac:dyDescent="0.25">
      <c r="A18" s="61" t="s">
        <v>156</v>
      </c>
      <c r="B18" s="141" t="s">
        <v>609</v>
      </c>
      <c r="C18" s="141">
        <v>2</v>
      </c>
      <c r="D18" s="141" t="s">
        <v>573</v>
      </c>
      <c r="E18" s="141" t="str">
        <f t="shared" si="0"/>
        <v>F170 UPS Batteries</v>
      </c>
      <c r="F18" s="142" t="s">
        <v>611</v>
      </c>
      <c r="G18" s="61" t="s">
        <v>574</v>
      </c>
      <c r="H18" s="61" t="s">
        <v>572</v>
      </c>
      <c r="I18" s="61" t="s">
        <v>574</v>
      </c>
      <c r="J18" s="61" t="s">
        <v>572</v>
      </c>
      <c r="K18" s="61"/>
      <c r="L18" s="141">
        <v>3</v>
      </c>
      <c r="U18" s="53"/>
      <c r="V18" s="84" t="s">
        <v>709</v>
      </c>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row>
    <row r="19" spans="1:81" x14ac:dyDescent="0.25">
      <c r="A19" s="61" t="s">
        <v>108</v>
      </c>
      <c r="B19" s="141" t="s">
        <v>609</v>
      </c>
      <c r="C19" s="141">
        <v>2</v>
      </c>
      <c r="D19" s="141" t="s">
        <v>568</v>
      </c>
      <c r="E19" s="141" t="str">
        <f t="shared" si="0"/>
        <v>G100 UPS Batteries</v>
      </c>
      <c r="F19" s="142" t="s">
        <v>626</v>
      </c>
      <c r="G19" s="61" t="s">
        <v>547</v>
      </c>
      <c r="H19" s="61" t="s">
        <v>548</v>
      </c>
      <c r="I19" s="61"/>
      <c r="J19" s="61"/>
      <c r="K19" s="61"/>
      <c r="L19" s="141">
        <v>3</v>
      </c>
      <c r="S19" s="6"/>
      <c r="U19" s="54"/>
      <c r="V19" s="85" t="s">
        <v>710</v>
      </c>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row>
    <row r="20" spans="1:81" x14ac:dyDescent="0.25">
      <c r="A20" s="61" t="s">
        <v>109</v>
      </c>
      <c r="B20" s="141" t="s">
        <v>609</v>
      </c>
      <c r="C20" s="141">
        <v>2</v>
      </c>
      <c r="D20" s="141" t="s">
        <v>568</v>
      </c>
      <c r="E20" s="141" t="str">
        <f t="shared" si="0"/>
        <v>G102 UPS Batteries</v>
      </c>
      <c r="F20" s="142" t="s">
        <v>626</v>
      </c>
      <c r="G20" s="61" t="s">
        <v>547</v>
      </c>
      <c r="H20" s="61" t="s">
        <v>548</v>
      </c>
      <c r="I20" s="61"/>
      <c r="J20" s="61"/>
      <c r="K20" s="61"/>
      <c r="L20" s="141">
        <v>3</v>
      </c>
      <c r="S20" s="6"/>
      <c r="U20" s="58" t="s">
        <v>637</v>
      </c>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row>
    <row r="21" spans="1:81" x14ac:dyDescent="0.25">
      <c r="A21" s="61" t="s">
        <v>110</v>
      </c>
      <c r="B21" s="141" t="s">
        <v>609</v>
      </c>
      <c r="C21" s="141">
        <v>2</v>
      </c>
      <c r="D21" s="141" t="s">
        <v>568</v>
      </c>
      <c r="E21" s="141" t="str">
        <f t="shared" si="0"/>
        <v>G104 UPS Batteries</v>
      </c>
      <c r="F21" s="142" t="s">
        <v>626</v>
      </c>
      <c r="G21" s="61" t="s">
        <v>547</v>
      </c>
      <c r="H21" s="61" t="s">
        <v>548</v>
      </c>
      <c r="I21" s="61"/>
      <c r="J21" s="61"/>
      <c r="K21" s="61"/>
      <c r="L21" s="141">
        <v>3</v>
      </c>
      <c r="S21" s="6"/>
      <c r="U21" s="52" t="s">
        <v>627</v>
      </c>
      <c r="V21" s="83" t="s">
        <v>711</v>
      </c>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row>
    <row r="22" spans="1:81" x14ac:dyDescent="0.25">
      <c r="A22" s="61" t="s">
        <v>111</v>
      </c>
      <c r="B22" s="141" t="s">
        <v>609</v>
      </c>
      <c r="C22" s="141">
        <v>2</v>
      </c>
      <c r="D22" s="141" t="s">
        <v>568</v>
      </c>
      <c r="E22" s="141" t="str">
        <f t="shared" si="0"/>
        <v>G106 UPS Batteries</v>
      </c>
      <c r="F22" s="142" t="s">
        <v>626</v>
      </c>
      <c r="G22" s="61" t="s">
        <v>547</v>
      </c>
      <c r="H22" s="61" t="s">
        <v>548</v>
      </c>
      <c r="I22" s="61"/>
      <c r="J22" s="61"/>
      <c r="K22" s="61"/>
      <c r="L22" s="141">
        <v>3</v>
      </c>
      <c r="S22" s="6"/>
      <c r="U22" s="53"/>
      <c r="V22" s="84" t="s">
        <v>712</v>
      </c>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row>
    <row r="23" spans="1:81" x14ac:dyDescent="0.25">
      <c r="A23" s="61" t="s">
        <v>112</v>
      </c>
      <c r="B23" s="141" t="s">
        <v>609</v>
      </c>
      <c r="C23" s="141">
        <v>2</v>
      </c>
      <c r="D23" s="141" t="s">
        <v>568</v>
      </c>
      <c r="E23" s="141" t="str">
        <f t="shared" si="0"/>
        <v>G108 UPS Batteries</v>
      </c>
      <c r="F23" s="142" t="s">
        <v>626</v>
      </c>
      <c r="G23" s="61" t="s">
        <v>547</v>
      </c>
      <c r="H23" s="61" t="s">
        <v>548</v>
      </c>
      <c r="I23" s="61"/>
      <c r="J23" s="61"/>
      <c r="K23" s="61"/>
      <c r="L23" s="141">
        <v>3</v>
      </c>
      <c r="U23" s="53"/>
      <c r="V23" s="84" t="s">
        <v>713</v>
      </c>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row>
    <row r="24" spans="1:81" x14ac:dyDescent="0.25">
      <c r="A24" s="61" t="s">
        <v>113</v>
      </c>
      <c r="B24" s="61" t="s">
        <v>629</v>
      </c>
      <c r="C24" s="141">
        <v>4</v>
      </c>
      <c r="D24" s="61" t="s">
        <v>610</v>
      </c>
      <c r="E24" s="141" t="str">
        <f t="shared" si="0"/>
        <v>G110 UPS Batteries</v>
      </c>
      <c r="F24" s="142" t="s">
        <v>630</v>
      </c>
      <c r="G24" s="61" t="s">
        <v>547</v>
      </c>
      <c r="H24" s="61" t="s">
        <v>548</v>
      </c>
      <c r="I24" s="61" t="s">
        <v>574</v>
      </c>
      <c r="J24" s="61" t="s">
        <v>572</v>
      </c>
      <c r="K24" s="61"/>
      <c r="L24" s="141">
        <v>3</v>
      </c>
      <c r="U24" s="54"/>
      <c r="V24" s="85" t="s">
        <v>714</v>
      </c>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row>
    <row r="25" spans="1:81" x14ac:dyDescent="0.25">
      <c r="A25" s="61" t="s">
        <v>114</v>
      </c>
      <c r="B25" s="61" t="s">
        <v>629</v>
      </c>
      <c r="C25" s="141">
        <v>2</v>
      </c>
      <c r="D25" s="61" t="s">
        <v>568</v>
      </c>
      <c r="E25" s="141" t="str">
        <f t="shared" si="0"/>
        <v>G114 UPS Batteries</v>
      </c>
      <c r="F25" s="142" t="s">
        <v>630</v>
      </c>
      <c r="G25" s="61" t="s">
        <v>547</v>
      </c>
      <c r="H25" s="61" t="s">
        <v>548</v>
      </c>
      <c r="I25" s="61"/>
      <c r="J25" s="61"/>
      <c r="K25" s="61"/>
      <c r="L25" s="141">
        <v>3</v>
      </c>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row>
    <row r="26" spans="1:81" x14ac:dyDescent="0.25">
      <c r="A26" s="61" t="s">
        <v>115</v>
      </c>
      <c r="B26" s="61" t="s">
        <v>632</v>
      </c>
      <c r="C26" s="143">
        <v>2</v>
      </c>
      <c r="D26" s="141" t="s">
        <v>568</v>
      </c>
      <c r="E26" s="141" t="str">
        <f t="shared" si="0"/>
        <v>G116 UPS Batteries</v>
      </c>
      <c r="F26" s="143" t="s">
        <v>630</v>
      </c>
      <c r="G26" s="141" t="s">
        <v>547</v>
      </c>
      <c r="H26" s="141" t="s">
        <v>548</v>
      </c>
      <c r="I26" s="141"/>
      <c r="J26" s="141"/>
      <c r="K26" s="141"/>
      <c r="L26" s="141">
        <v>6</v>
      </c>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row>
    <row r="27" spans="1:81" x14ac:dyDescent="0.25">
      <c r="A27" s="61" t="s">
        <v>116</v>
      </c>
      <c r="B27" s="61" t="s">
        <v>632</v>
      </c>
      <c r="C27" s="143">
        <v>2</v>
      </c>
      <c r="D27" s="141" t="s">
        <v>568</v>
      </c>
      <c r="E27" s="141" t="str">
        <f t="shared" si="0"/>
        <v>G118 UPS Batteries</v>
      </c>
      <c r="F27" s="143" t="s">
        <v>630</v>
      </c>
      <c r="G27" s="141" t="s">
        <v>547</v>
      </c>
      <c r="H27" s="141" t="s">
        <v>548</v>
      </c>
      <c r="I27" s="141"/>
      <c r="J27" s="141"/>
      <c r="K27" s="141"/>
      <c r="L27" s="141">
        <v>6</v>
      </c>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row>
    <row r="28" spans="1:81" x14ac:dyDescent="0.25">
      <c r="A28" s="61" t="s">
        <v>117</v>
      </c>
      <c r="B28" s="61" t="s">
        <v>632</v>
      </c>
      <c r="C28" s="142">
        <v>2</v>
      </c>
      <c r="D28" s="141" t="s">
        <v>568</v>
      </c>
      <c r="E28" s="141" t="str">
        <f t="shared" si="0"/>
        <v>G120 UPS Batteries</v>
      </c>
      <c r="F28" s="143" t="s">
        <v>630</v>
      </c>
      <c r="G28" s="141" t="s">
        <v>547</v>
      </c>
      <c r="H28" s="141" t="s">
        <v>548</v>
      </c>
      <c r="I28" s="141"/>
      <c r="J28" s="141"/>
      <c r="K28" s="141"/>
      <c r="L28" s="141">
        <v>4</v>
      </c>
      <c r="S28" s="4"/>
      <c r="T28" s="4"/>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row>
    <row r="29" spans="1:81" x14ac:dyDescent="0.25">
      <c r="A29" s="61" t="s">
        <v>118</v>
      </c>
      <c r="B29" s="141" t="s">
        <v>609</v>
      </c>
      <c r="C29" s="141">
        <v>2</v>
      </c>
      <c r="D29" s="141" t="s">
        <v>568</v>
      </c>
      <c r="E29" s="141" t="str">
        <f t="shared" si="0"/>
        <v>G200 UPS Batteries</v>
      </c>
      <c r="F29" s="142" t="s">
        <v>626</v>
      </c>
      <c r="G29" s="61" t="s">
        <v>547</v>
      </c>
      <c r="H29" s="61" t="s">
        <v>548</v>
      </c>
      <c r="I29" s="61"/>
      <c r="J29" s="61"/>
      <c r="K29" s="61"/>
      <c r="L29" s="141">
        <v>3</v>
      </c>
      <c r="S29" s="4"/>
      <c r="T29" s="59"/>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row>
    <row r="30" spans="1:81" x14ac:dyDescent="0.25">
      <c r="A30" s="61" t="s">
        <v>119</v>
      </c>
      <c r="B30" s="141" t="s">
        <v>609</v>
      </c>
      <c r="C30" s="141">
        <v>2</v>
      </c>
      <c r="D30" s="141" t="s">
        <v>568</v>
      </c>
      <c r="E30" s="141" t="str">
        <f t="shared" si="0"/>
        <v>G202 UPS Batteries</v>
      </c>
      <c r="F30" s="142" t="s">
        <v>626</v>
      </c>
      <c r="G30" s="61" t="s">
        <v>547</v>
      </c>
      <c r="H30" s="61" t="s">
        <v>548</v>
      </c>
      <c r="I30" s="61"/>
      <c r="J30" s="61"/>
      <c r="K30" s="61"/>
      <c r="L30" s="141">
        <v>3</v>
      </c>
      <c r="S30" s="4"/>
      <c r="T30" s="59"/>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row>
    <row r="31" spans="1:81" x14ac:dyDescent="0.25">
      <c r="A31" s="61" t="s">
        <v>120</v>
      </c>
      <c r="B31" s="141" t="s">
        <v>609</v>
      </c>
      <c r="C31" s="141">
        <v>2</v>
      </c>
      <c r="D31" s="141" t="s">
        <v>568</v>
      </c>
      <c r="E31" s="141" t="str">
        <f t="shared" si="0"/>
        <v>G204 UPS Batteries</v>
      </c>
      <c r="F31" s="142" t="s">
        <v>626</v>
      </c>
      <c r="G31" s="61" t="s">
        <v>547</v>
      </c>
      <c r="H31" s="61" t="s">
        <v>548</v>
      </c>
      <c r="I31" s="61"/>
      <c r="J31" s="61"/>
      <c r="K31" s="61"/>
      <c r="L31" s="141">
        <v>3</v>
      </c>
      <c r="S31" s="4"/>
      <c r="T31" s="59"/>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row>
    <row r="32" spans="1:81" x14ac:dyDescent="0.25">
      <c r="A32" s="61" t="s">
        <v>121</v>
      </c>
      <c r="B32" s="141" t="s">
        <v>609</v>
      </c>
      <c r="C32" s="141">
        <v>2</v>
      </c>
      <c r="D32" s="141" t="s">
        <v>568</v>
      </c>
      <c r="E32" s="141" t="str">
        <f t="shared" si="0"/>
        <v>G206 UPS Batteries</v>
      </c>
      <c r="F32" s="142" t="s">
        <v>626</v>
      </c>
      <c r="G32" s="61" t="s">
        <v>547</v>
      </c>
      <c r="H32" s="61" t="s">
        <v>548</v>
      </c>
      <c r="I32" s="61"/>
      <c r="J32" s="61"/>
      <c r="K32" s="61"/>
      <c r="L32" s="141">
        <v>3</v>
      </c>
      <c r="S32" s="4"/>
      <c r="T32" s="59"/>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row>
    <row r="33" spans="1:81" x14ac:dyDescent="0.25">
      <c r="A33" s="61" t="s">
        <v>122</v>
      </c>
      <c r="B33" s="141" t="s">
        <v>609</v>
      </c>
      <c r="C33" s="141">
        <v>2</v>
      </c>
      <c r="D33" s="141" t="s">
        <v>568</v>
      </c>
      <c r="E33" s="141" t="str">
        <f t="shared" si="0"/>
        <v>G208 UPS Batteries</v>
      </c>
      <c r="F33" s="142" t="s">
        <v>626</v>
      </c>
      <c r="G33" s="61" t="s">
        <v>547</v>
      </c>
      <c r="H33" s="61" t="s">
        <v>548</v>
      </c>
      <c r="I33" s="61"/>
      <c r="J33" s="61"/>
      <c r="K33" s="61"/>
      <c r="L33" s="141">
        <v>3</v>
      </c>
      <c r="S33" s="4"/>
      <c r="T33" s="4"/>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row>
    <row r="34" spans="1:81" x14ac:dyDescent="0.25">
      <c r="A34" s="61" t="s">
        <v>123</v>
      </c>
      <c r="B34" s="61" t="s">
        <v>629</v>
      </c>
      <c r="C34" s="141">
        <v>2</v>
      </c>
      <c r="D34" s="61" t="s">
        <v>568</v>
      </c>
      <c r="E34" s="141" t="str">
        <f t="shared" si="0"/>
        <v>G210 UPS Batteries</v>
      </c>
      <c r="F34" s="142" t="s">
        <v>630</v>
      </c>
      <c r="G34" s="61" t="s">
        <v>547</v>
      </c>
      <c r="H34" s="61" t="s">
        <v>548</v>
      </c>
      <c r="I34" s="61"/>
      <c r="J34" s="61"/>
      <c r="K34" s="61"/>
      <c r="L34" s="141">
        <v>3</v>
      </c>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row>
    <row r="35" spans="1:81" x14ac:dyDescent="0.25">
      <c r="A35" s="61" t="s">
        <v>124</v>
      </c>
      <c r="B35" s="61" t="s">
        <v>629</v>
      </c>
      <c r="C35" s="141">
        <v>2</v>
      </c>
      <c r="D35" s="61" t="s">
        <v>568</v>
      </c>
      <c r="E35" s="141" t="str">
        <f t="shared" si="0"/>
        <v>G212 UPS Batteries</v>
      </c>
      <c r="F35" s="142" t="s">
        <v>630</v>
      </c>
      <c r="G35" s="61" t="s">
        <v>547</v>
      </c>
      <c r="H35" s="61" t="s">
        <v>548</v>
      </c>
      <c r="I35" s="61"/>
      <c r="J35" s="61"/>
      <c r="K35" s="61"/>
      <c r="L35" s="141">
        <v>3</v>
      </c>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row>
    <row r="36" spans="1:81" x14ac:dyDescent="0.25">
      <c r="A36" s="61" t="s">
        <v>125</v>
      </c>
      <c r="B36" s="61" t="s">
        <v>629</v>
      </c>
      <c r="C36" s="141">
        <v>2</v>
      </c>
      <c r="D36" s="61" t="s">
        <v>568</v>
      </c>
      <c r="E36" s="141" t="str">
        <f t="shared" si="0"/>
        <v>G214 UPS Batteries</v>
      </c>
      <c r="F36" s="142" t="s">
        <v>630</v>
      </c>
      <c r="G36" s="61" t="s">
        <v>547</v>
      </c>
      <c r="H36" s="61" t="s">
        <v>548</v>
      </c>
      <c r="I36" s="61"/>
      <c r="J36" s="61"/>
      <c r="K36" s="61"/>
      <c r="L36" s="141">
        <v>3</v>
      </c>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row>
    <row r="37" spans="1:81" x14ac:dyDescent="0.25">
      <c r="A37" s="61" t="s">
        <v>126</v>
      </c>
      <c r="B37" s="61" t="s">
        <v>629</v>
      </c>
      <c r="C37" s="141">
        <v>2</v>
      </c>
      <c r="D37" s="61" t="s">
        <v>568</v>
      </c>
      <c r="E37" s="141" t="str">
        <f t="shared" si="0"/>
        <v>G216 UPS Batteries</v>
      </c>
      <c r="F37" s="142" t="s">
        <v>630</v>
      </c>
      <c r="G37" s="61" t="s">
        <v>547</v>
      </c>
      <c r="H37" s="61" t="s">
        <v>548</v>
      </c>
      <c r="I37" s="61"/>
      <c r="J37" s="61"/>
      <c r="K37" s="61"/>
      <c r="L37" s="141">
        <v>3</v>
      </c>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row>
    <row r="38" spans="1:81" x14ac:dyDescent="0.25">
      <c r="A38" s="61" t="s">
        <v>127</v>
      </c>
      <c r="B38" s="61" t="s">
        <v>629</v>
      </c>
      <c r="C38" s="141">
        <v>2</v>
      </c>
      <c r="D38" s="61" t="s">
        <v>568</v>
      </c>
      <c r="E38" s="141" t="str">
        <f t="shared" si="0"/>
        <v>G218 UPS Batteries</v>
      </c>
      <c r="F38" s="142" t="s">
        <v>630</v>
      </c>
      <c r="G38" s="61" t="s">
        <v>547</v>
      </c>
      <c r="H38" s="61" t="s">
        <v>548</v>
      </c>
      <c r="I38" s="61"/>
      <c r="J38" s="61"/>
      <c r="K38" s="61"/>
      <c r="L38" s="141">
        <v>3</v>
      </c>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row>
    <row r="39" spans="1:81" x14ac:dyDescent="0.25">
      <c r="A39" s="61" t="s">
        <v>128</v>
      </c>
      <c r="B39" s="61" t="s">
        <v>629</v>
      </c>
      <c r="C39" s="141">
        <v>2</v>
      </c>
      <c r="D39" s="61" t="s">
        <v>568</v>
      </c>
      <c r="E39" s="141" t="str">
        <f t="shared" si="0"/>
        <v>G220 UPS Batteries</v>
      </c>
      <c r="F39" s="142" t="s">
        <v>630</v>
      </c>
      <c r="G39" s="61" t="s">
        <v>547</v>
      </c>
      <c r="H39" s="61" t="s">
        <v>548</v>
      </c>
      <c r="I39" s="61"/>
      <c r="J39" s="61"/>
      <c r="K39" s="61"/>
      <c r="L39" s="141">
        <v>3</v>
      </c>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row>
    <row r="40" spans="1:81" x14ac:dyDescent="0.25">
      <c r="A40" s="144" t="s">
        <v>157</v>
      </c>
      <c r="B40" s="61" t="s">
        <v>632</v>
      </c>
      <c r="C40" s="142">
        <v>4</v>
      </c>
      <c r="D40" s="141" t="s">
        <v>610</v>
      </c>
      <c r="E40" s="141" t="str">
        <f t="shared" si="0"/>
        <v>H100 UPS Batteries</v>
      </c>
      <c r="F40" s="143" t="s">
        <v>590</v>
      </c>
      <c r="G40" s="141" t="s">
        <v>547</v>
      </c>
      <c r="H40" s="141" t="s">
        <v>548</v>
      </c>
      <c r="I40" s="62" t="s">
        <v>574</v>
      </c>
      <c r="J40" s="62" t="s">
        <v>572</v>
      </c>
      <c r="K40" s="62"/>
      <c r="L40" s="141">
        <v>6</v>
      </c>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row>
    <row r="41" spans="1:81" x14ac:dyDescent="0.25">
      <c r="A41" s="144" t="s">
        <v>158</v>
      </c>
      <c r="B41" s="61" t="s">
        <v>632</v>
      </c>
      <c r="C41" s="142">
        <v>4</v>
      </c>
      <c r="D41" s="141" t="s">
        <v>610</v>
      </c>
      <c r="E41" s="141" t="str">
        <f t="shared" si="0"/>
        <v>H106 UPS Batteries</v>
      </c>
      <c r="F41" s="143" t="s">
        <v>590</v>
      </c>
      <c r="G41" s="141" t="s">
        <v>547</v>
      </c>
      <c r="H41" s="141" t="s">
        <v>548</v>
      </c>
      <c r="I41" s="62" t="s">
        <v>574</v>
      </c>
      <c r="J41" s="62" t="s">
        <v>572</v>
      </c>
      <c r="K41" s="62"/>
      <c r="L41" s="141">
        <v>4</v>
      </c>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row>
    <row r="42" spans="1:81" x14ac:dyDescent="0.25">
      <c r="A42" s="144" t="s">
        <v>159</v>
      </c>
      <c r="B42" s="61" t="s">
        <v>632</v>
      </c>
      <c r="C42" s="142">
        <v>4</v>
      </c>
      <c r="D42" s="141" t="s">
        <v>610</v>
      </c>
      <c r="E42" s="141" t="str">
        <f t="shared" si="0"/>
        <v>H200 UPS Batteries</v>
      </c>
      <c r="F42" s="143" t="s">
        <v>590</v>
      </c>
      <c r="G42" s="141" t="s">
        <v>547</v>
      </c>
      <c r="H42" s="141" t="s">
        <v>548</v>
      </c>
      <c r="I42" s="62" t="s">
        <v>574</v>
      </c>
      <c r="J42" s="62" t="s">
        <v>572</v>
      </c>
      <c r="K42" s="62"/>
      <c r="L42" s="141">
        <v>6</v>
      </c>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row>
    <row r="43" spans="1:81" x14ac:dyDescent="0.25">
      <c r="A43" s="144" t="s">
        <v>160</v>
      </c>
      <c r="B43" s="61" t="s">
        <v>632</v>
      </c>
      <c r="C43" s="142">
        <v>4</v>
      </c>
      <c r="D43" s="141" t="s">
        <v>610</v>
      </c>
      <c r="E43" s="141" t="str">
        <f t="shared" si="0"/>
        <v>H206 UPS Batteries</v>
      </c>
      <c r="F43" s="143" t="s">
        <v>590</v>
      </c>
      <c r="G43" s="141" t="s">
        <v>547</v>
      </c>
      <c r="H43" s="141" t="s">
        <v>548</v>
      </c>
      <c r="I43" s="62" t="s">
        <v>574</v>
      </c>
      <c r="J43" s="62" t="s">
        <v>572</v>
      </c>
      <c r="K43" s="62"/>
      <c r="L43" s="141">
        <v>4</v>
      </c>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row>
    <row r="44" spans="1:81" x14ac:dyDescent="0.25">
      <c r="A44" s="61" t="s">
        <v>161</v>
      </c>
      <c r="B44" s="61" t="s">
        <v>638</v>
      </c>
      <c r="C44" s="141">
        <v>2</v>
      </c>
      <c r="D44" s="61" t="s">
        <v>568</v>
      </c>
      <c r="E44" s="141" t="str">
        <f t="shared" si="0"/>
        <v>J100 UPS Batteries</v>
      </c>
      <c r="F44" s="142" t="s">
        <v>630</v>
      </c>
      <c r="G44" s="61" t="s">
        <v>547</v>
      </c>
      <c r="H44" s="61" t="s">
        <v>548</v>
      </c>
      <c r="I44" s="61"/>
      <c r="J44" s="61"/>
      <c r="K44" s="61"/>
      <c r="L44" s="62">
        <v>3</v>
      </c>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row>
    <row r="45" spans="1:81" x14ac:dyDescent="0.25">
      <c r="A45" s="144" t="s">
        <v>162</v>
      </c>
      <c r="B45" s="61" t="s">
        <v>632</v>
      </c>
      <c r="C45" s="142">
        <v>3</v>
      </c>
      <c r="D45" s="141" t="s">
        <v>639</v>
      </c>
      <c r="E45" s="141" t="str">
        <f t="shared" si="0"/>
        <v>J102 UPS Batteries</v>
      </c>
      <c r="F45" s="143" t="s">
        <v>590</v>
      </c>
      <c r="G45" s="141" t="s">
        <v>547</v>
      </c>
      <c r="H45" s="141" t="s">
        <v>548</v>
      </c>
      <c r="I45" s="62" t="s">
        <v>574</v>
      </c>
      <c r="J45" s="141"/>
      <c r="K45" s="141"/>
      <c r="L45" s="141">
        <v>6</v>
      </c>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row>
    <row r="46" spans="1:81" x14ac:dyDescent="0.25">
      <c r="A46" s="61" t="s">
        <v>163</v>
      </c>
      <c r="B46" s="61" t="s">
        <v>638</v>
      </c>
      <c r="C46" s="141">
        <v>4</v>
      </c>
      <c r="D46" s="61" t="s">
        <v>610</v>
      </c>
      <c r="E46" s="141" t="str">
        <f t="shared" si="0"/>
        <v>J106 UPS Batteries</v>
      </c>
      <c r="F46" s="141" t="s">
        <v>590</v>
      </c>
      <c r="G46" s="61" t="s">
        <v>547</v>
      </c>
      <c r="H46" s="61" t="s">
        <v>548</v>
      </c>
      <c r="I46" s="61" t="s">
        <v>574</v>
      </c>
      <c r="J46" s="61" t="s">
        <v>572</v>
      </c>
      <c r="K46" s="61"/>
      <c r="L46" s="62">
        <v>3</v>
      </c>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row>
    <row r="47" spans="1:81" x14ac:dyDescent="0.25">
      <c r="A47" s="61" t="s">
        <v>164</v>
      </c>
      <c r="B47" s="61" t="s">
        <v>638</v>
      </c>
      <c r="C47" s="141">
        <v>2</v>
      </c>
      <c r="D47" s="61" t="s">
        <v>568</v>
      </c>
      <c r="E47" s="141" t="str">
        <f t="shared" si="0"/>
        <v>J200 UPS Batteries</v>
      </c>
      <c r="F47" s="142" t="s">
        <v>630</v>
      </c>
      <c r="G47" s="61" t="s">
        <v>547</v>
      </c>
      <c r="H47" s="61" t="s">
        <v>548</v>
      </c>
      <c r="I47" s="61"/>
      <c r="J47" s="61"/>
      <c r="K47" s="61"/>
      <c r="L47" s="62">
        <v>3</v>
      </c>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row>
    <row r="48" spans="1:81" x14ac:dyDescent="0.25">
      <c r="A48" s="61" t="s">
        <v>165</v>
      </c>
      <c r="B48" s="61" t="s">
        <v>638</v>
      </c>
      <c r="C48" s="141">
        <v>3</v>
      </c>
      <c r="D48" s="61" t="s">
        <v>639</v>
      </c>
      <c r="E48" s="141" t="str">
        <f t="shared" si="0"/>
        <v>J202 UPS Batteries</v>
      </c>
      <c r="F48" s="141" t="s">
        <v>590</v>
      </c>
      <c r="G48" s="61" t="s">
        <v>547</v>
      </c>
      <c r="H48" s="61" t="s">
        <v>548</v>
      </c>
      <c r="I48" s="61" t="s">
        <v>574</v>
      </c>
      <c r="J48" s="61"/>
      <c r="K48" s="61"/>
      <c r="L48" s="62">
        <v>4</v>
      </c>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row>
    <row r="49" spans="1:81" x14ac:dyDescent="0.25">
      <c r="A49" s="61" t="s">
        <v>166</v>
      </c>
      <c r="B49" s="61" t="s">
        <v>638</v>
      </c>
      <c r="C49" s="141">
        <v>5</v>
      </c>
      <c r="D49" s="61" t="s">
        <v>640</v>
      </c>
      <c r="E49" s="141" t="str">
        <f t="shared" si="0"/>
        <v>J206 UPS Batteries</v>
      </c>
      <c r="F49" s="141" t="s">
        <v>590</v>
      </c>
      <c r="G49" s="61" t="s">
        <v>547</v>
      </c>
      <c r="H49" s="61" t="s">
        <v>548</v>
      </c>
      <c r="I49" s="61" t="s">
        <v>574</v>
      </c>
      <c r="J49" s="61" t="s">
        <v>572</v>
      </c>
      <c r="K49" s="61" t="s">
        <v>594</v>
      </c>
      <c r="L49" s="62">
        <v>3</v>
      </c>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row>
    <row r="50" spans="1:81" x14ac:dyDescent="0.25">
      <c r="A50" s="144" t="s">
        <v>129</v>
      </c>
      <c r="B50" s="61" t="s">
        <v>632</v>
      </c>
      <c r="C50" s="142">
        <v>2</v>
      </c>
      <c r="D50" s="141" t="s">
        <v>568</v>
      </c>
      <c r="E50" s="141" t="str">
        <f t="shared" si="0"/>
        <v>K100 UPS Batteries</v>
      </c>
      <c r="F50" s="143" t="s">
        <v>630</v>
      </c>
      <c r="G50" s="141" t="s">
        <v>547</v>
      </c>
      <c r="H50" s="141" t="s">
        <v>548</v>
      </c>
      <c r="I50" s="141"/>
      <c r="J50" s="141"/>
      <c r="K50" s="141"/>
      <c r="L50" s="141">
        <v>4</v>
      </c>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row>
    <row r="51" spans="1:81" x14ac:dyDescent="0.25">
      <c r="A51" s="144" t="s">
        <v>130</v>
      </c>
      <c r="B51" s="61" t="s">
        <v>632</v>
      </c>
      <c r="C51" s="142">
        <v>2</v>
      </c>
      <c r="D51" s="141" t="s">
        <v>568</v>
      </c>
      <c r="E51" s="141" t="str">
        <f t="shared" si="0"/>
        <v>K102 UPS Batteries</v>
      </c>
      <c r="F51" s="143" t="s">
        <v>630</v>
      </c>
      <c r="G51" s="141" t="s">
        <v>547</v>
      </c>
      <c r="H51" s="141" t="s">
        <v>548</v>
      </c>
      <c r="I51" s="141"/>
      <c r="J51" s="141"/>
      <c r="K51" s="141"/>
      <c r="L51" s="141">
        <v>4</v>
      </c>
    </row>
    <row r="52" spans="1:81" x14ac:dyDescent="0.25">
      <c r="A52" s="61" t="s">
        <v>167</v>
      </c>
      <c r="B52" s="61" t="s">
        <v>629</v>
      </c>
      <c r="C52" s="141">
        <v>2</v>
      </c>
      <c r="D52" s="61" t="s">
        <v>568</v>
      </c>
      <c r="E52" s="141" t="str">
        <f t="shared" si="0"/>
        <v>K104 UPS Batteries</v>
      </c>
      <c r="F52" s="142" t="s">
        <v>630</v>
      </c>
      <c r="G52" s="61" t="s">
        <v>547</v>
      </c>
      <c r="H52" s="61" t="s">
        <v>548</v>
      </c>
      <c r="I52" s="61"/>
      <c r="J52" s="61"/>
      <c r="K52" s="61"/>
      <c r="L52" s="62">
        <v>3</v>
      </c>
    </row>
    <row r="53" spans="1:81" x14ac:dyDescent="0.25">
      <c r="A53" s="144" t="s">
        <v>168</v>
      </c>
      <c r="B53" s="61" t="s">
        <v>632</v>
      </c>
      <c r="C53" s="142">
        <v>2</v>
      </c>
      <c r="D53" s="141" t="s">
        <v>568</v>
      </c>
      <c r="E53" s="141" t="str">
        <f t="shared" si="0"/>
        <v>K106 UPS Batteries</v>
      </c>
      <c r="F53" s="143" t="s">
        <v>630</v>
      </c>
      <c r="G53" s="141" t="s">
        <v>547</v>
      </c>
      <c r="H53" s="141" t="s">
        <v>548</v>
      </c>
      <c r="I53" s="141"/>
      <c r="J53" s="141"/>
      <c r="K53" s="141"/>
      <c r="L53" s="141">
        <v>4</v>
      </c>
    </row>
    <row r="54" spans="1:81" x14ac:dyDescent="0.25">
      <c r="A54" s="61" t="s">
        <v>169</v>
      </c>
      <c r="B54" s="61" t="s">
        <v>629</v>
      </c>
      <c r="C54" s="141">
        <v>2</v>
      </c>
      <c r="D54" s="61" t="s">
        <v>568</v>
      </c>
      <c r="E54" s="141" t="str">
        <f t="shared" si="0"/>
        <v>K108 UPS Batteries</v>
      </c>
      <c r="F54" s="142" t="s">
        <v>630</v>
      </c>
      <c r="G54" s="61" t="s">
        <v>547</v>
      </c>
      <c r="H54" s="61" t="s">
        <v>548</v>
      </c>
      <c r="I54" s="61"/>
      <c r="J54" s="61"/>
      <c r="K54" s="61"/>
      <c r="L54" s="62">
        <v>3</v>
      </c>
    </row>
    <row r="55" spans="1:81" x14ac:dyDescent="0.25">
      <c r="A55" s="144" t="s">
        <v>170</v>
      </c>
      <c r="B55" s="61" t="s">
        <v>632</v>
      </c>
      <c r="C55" s="142">
        <v>2</v>
      </c>
      <c r="D55" s="141" t="s">
        <v>568</v>
      </c>
      <c r="E55" s="141" t="str">
        <f t="shared" si="0"/>
        <v>K110 UPS Batteries</v>
      </c>
      <c r="F55" s="143" t="s">
        <v>630</v>
      </c>
      <c r="G55" s="141" t="s">
        <v>547</v>
      </c>
      <c r="H55" s="141" t="s">
        <v>548</v>
      </c>
      <c r="I55" s="141"/>
      <c r="J55" s="141"/>
      <c r="K55" s="141"/>
      <c r="L55" s="141">
        <v>4</v>
      </c>
    </row>
    <row r="56" spans="1:81" x14ac:dyDescent="0.25">
      <c r="A56" s="144" t="s">
        <v>171</v>
      </c>
      <c r="B56" s="61" t="s">
        <v>632</v>
      </c>
      <c r="C56" s="142">
        <v>2</v>
      </c>
      <c r="D56" s="141" t="s">
        <v>568</v>
      </c>
      <c r="E56" s="141" t="str">
        <f t="shared" si="0"/>
        <v>K112 UPS Batteries</v>
      </c>
      <c r="F56" s="143" t="s">
        <v>630</v>
      </c>
      <c r="G56" s="141" t="s">
        <v>547</v>
      </c>
      <c r="H56" s="141" t="s">
        <v>548</v>
      </c>
      <c r="I56" s="141"/>
      <c r="J56" s="141"/>
      <c r="K56" s="141"/>
      <c r="L56" s="141">
        <v>4</v>
      </c>
    </row>
    <row r="57" spans="1:81" x14ac:dyDescent="0.25">
      <c r="A57" s="144" t="s">
        <v>172</v>
      </c>
      <c r="B57" s="61" t="s">
        <v>632</v>
      </c>
      <c r="C57" s="142">
        <v>2</v>
      </c>
      <c r="D57" s="141" t="s">
        <v>568</v>
      </c>
      <c r="E57" s="141" t="str">
        <f t="shared" si="0"/>
        <v>K114 UPS Batteries</v>
      </c>
      <c r="F57" s="143" t="s">
        <v>630</v>
      </c>
      <c r="G57" s="141" t="s">
        <v>547</v>
      </c>
      <c r="H57" s="141" t="s">
        <v>548</v>
      </c>
      <c r="I57" s="141"/>
      <c r="J57" s="141"/>
      <c r="K57" s="141"/>
      <c r="L57" s="141">
        <v>4</v>
      </c>
    </row>
    <row r="58" spans="1:81" x14ac:dyDescent="0.25">
      <c r="A58" s="61" t="s">
        <v>16</v>
      </c>
      <c r="B58" s="61" t="s">
        <v>629</v>
      </c>
      <c r="C58" s="141">
        <v>2</v>
      </c>
      <c r="D58" s="61" t="s">
        <v>568</v>
      </c>
      <c r="E58" s="141" t="str">
        <f t="shared" si="0"/>
        <v>K200 UPS Batteries</v>
      </c>
      <c r="F58" s="142" t="s">
        <v>630</v>
      </c>
      <c r="G58" s="61" t="s">
        <v>547</v>
      </c>
      <c r="H58" s="61" t="s">
        <v>548</v>
      </c>
      <c r="I58" s="61"/>
      <c r="J58" s="61"/>
      <c r="K58" s="61"/>
      <c r="L58" s="62">
        <v>3</v>
      </c>
    </row>
    <row r="59" spans="1:81" x14ac:dyDescent="0.25">
      <c r="A59" s="144" t="s">
        <v>131</v>
      </c>
      <c r="B59" s="61" t="s">
        <v>632</v>
      </c>
      <c r="C59" s="142">
        <v>2</v>
      </c>
      <c r="D59" s="141" t="s">
        <v>568</v>
      </c>
      <c r="E59" s="141" t="str">
        <f t="shared" si="0"/>
        <v>K202 UPS Batteries</v>
      </c>
      <c r="F59" s="143" t="s">
        <v>630</v>
      </c>
      <c r="G59" s="141" t="s">
        <v>547</v>
      </c>
      <c r="H59" s="141" t="s">
        <v>548</v>
      </c>
      <c r="I59" s="141"/>
      <c r="J59" s="141"/>
      <c r="K59" s="141"/>
      <c r="L59" s="141">
        <v>4</v>
      </c>
    </row>
    <row r="60" spans="1:81" x14ac:dyDescent="0.25">
      <c r="A60" s="61" t="s">
        <v>173</v>
      </c>
      <c r="B60" s="61" t="s">
        <v>629</v>
      </c>
      <c r="C60" s="141">
        <v>2</v>
      </c>
      <c r="D60" s="61" t="s">
        <v>568</v>
      </c>
      <c r="E60" s="141" t="str">
        <f t="shared" si="0"/>
        <v>K204 UPS Batteries</v>
      </c>
      <c r="F60" s="142" t="s">
        <v>630</v>
      </c>
      <c r="G60" s="61" t="s">
        <v>547</v>
      </c>
      <c r="H60" s="61" t="s">
        <v>548</v>
      </c>
      <c r="I60" s="61"/>
      <c r="J60" s="61"/>
      <c r="K60" s="61"/>
      <c r="L60" s="62">
        <v>3</v>
      </c>
    </row>
    <row r="61" spans="1:81" x14ac:dyDescent="0.25">
      <c r="A61" s="144" t="s">
        <v>174</v>
      </c>
      <c r="B61" s="61" t="s">
        <v>632</v>
      </c>
      <c r="C61" s="142">
        <v>2</v>
      </c>
      <c r="D61" s="141" t="s">
        <v>568</v>
      </c>
      <c r="E61" s="141" t="str">
        <f t="shared" si="0"/>
        <v>K206 UPS Batteries</v>
      </c>
      <c r="F61" s="143" t="s">
        <v>630</v>
      </c>
      <c r="G61" s="141" t="s">
        <v>547</v>
      </c>
      <c r="H61" s="141" t="s">
        <v>548</v>
      </c>
      <c r="I61" s="141"/>
      <c r="J61" s="141"/>
      <c r="K61" s="141"/>
      <c r="L61" s="141">
        <v>4</v>
      </c>
    </row>
    <row r="62" spans="1:81" x14ac:dyDescent="0.25">
      <c r="A62" s="61" t="s">
        <v>175</v>
      </c>
      <c r="B62" s="61" t="s">
        <v>629</v>
      </c>
      <c r="C62" s="141">
        <v>2</v>
      </c>
      <c r="D62" s="61" t="s">
        <v>568</v>
      </c>
      <c r="E62" s="141" t="str">
        <f t="shared" si="0"/>
        <v>K208 UPS Batteries</v>
      </c>
      <c r="F62" s="142" t="s">
        <v>630</v>
      </c>
      <c r="G62" s="61" t="s">
        <v>547</v>
      </c>
      <c r="H62" s="61" t="s">
        <v>548</v>
      </c>
      <c r="I62" s="61"/>
      <c r="J62" s="61"/>
      <c r="K62" s="61"/>
      <c r="L62" s="62">
        <v>3</v>
      </c>
    </row>
    <row r="63" spans="1:81" x14ac:dyDescent="0.25">
      <c r="A63" s="144" t="s">
        <v>176</v>
      </c>
      <c r="B63" s="61" t="s">
        <v>632</v>
      </c>
      <c r="C63" s="142">
        <v>2</v>
      </c>
      <c r="D63" s="141" t="s">
        <v>568</v>
      </c>
      <c r="E63" s="141" t="str">
        <f t="shared" si="0"/>
        <v>K210 UPS Batteries</v>
      </c>
      <c r="F63" s="143" t="s">
        <v>630</v>
      </c>
      <c r="G63" s="141" t="s">
        <v>547</v>
      </c>
      <c r="H63" s="141" t="s">
        <v>548</v>
      </c>
      <c r="I63" s="141"/>
      <c r="J63" s="141"/>
      <c r="K63" s="141"/>
      <c r="L63" s="141">
        <v>4</v>
      </c>
    </row>
    <row r="64" spans="1:81" x14ac:dyDescent="0.25">
      <c r="A64" s="144" t="s">
        <v>177</v>
      </c>
      <c r="B64" s="61" t="s">
        <v>632</v>
      </c>
      <c r="C64" s="142">
        <v>3</v>
      </c>
      <c r="D64" s="141" t="s">
        <v>639</v>
      </c>
      <c r="E64" s="141" t="str">
        <f t="shared" si="0"/>
        <v>K212 UPS Batteries</v>
      </c>
      <c r="F64" s="143" t="s">
        <v>590</v>
      </c>
      <c r="G64" s="141" t="s">
        <v>547</v>
      </c>
      <c r="H64" s="141" t="s">
        <v>548</v>
      </c>
      <c r="I64" s="62" t="s">
        <v>574</v>
      </c>
      <c r="J64" s="141"/>
      <c r="K64" s="141"/>
      <c r="L64" s="141">
        <v>6</v>
      </c>
    </row>
    <row r="65" spans="3:3" x14ac:dyDescent="0.25">
      <c r="C65" s="47"/>
    </row>
  </sheetData>
  <pageMargins left="0.7" right="0.7" top="0.75" bottom="0.75" header="0.3" footer="0.3"/>
  <pageSetup scale="40" fitToHeight="0" orientation="portrait" horizontalDpi="1200" verticalDpi="12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2CB07-4EEE-41E5-A3A7-EA33B3C835C7}">
  <sheetPr codeName="Config_Chiller"/>
  <dimension ref="A1:L24"/>
  <sheetViews>
    <sheetView workbookViewId="0"/>
  </sheetViews>
  <sheetFormatPr defaultRowHeight="15" x14ac:dyDescent="0.25"/>
  <cols>
    <col min="1" max="1" width="12.5703125" bestFit="1" customWidth="1"/>
    <col min="3" max="3" width="10.7109375" bestFit="1" customWidth="1"/>
    <col min="5" max="5" width="11.42578125" bestFit="1" customWidth="1"/>
    <col min="6" max="6" width="14.85546875" bestFit="1" customWidth="1"/>
    <col min="7" max="7" width="16.7109375" bestFit="1" customWidth="1"/>
  </cols>
  <sheetData>
    <row r="1" spans="1:12" x14ac:dyDescent="0.25">
      <c r="A1">
        <v>1</v>
      </c>
      <c r="B1">
        <v>2</v>
      </c>
      <c r="C1">
        <v>3</v>
      </c>
      <c r="D1">
        <v>4</v>
      </c>
      <c r="E1">
        <v>5</v>
      </c>
      <c r="F1">
        <v>6</v>
      </c>
      <c r="G1">
        <v>7</v>
      </c>
      <c r="H1">
        <v>8</v>
      </c>
      <c r="I1">
        <v>9</v>
      </c>
      <c r="J1">
        <v>10</v>
      </c>
      <c r="K1">
        <v>11</v>
      </c>
      <c r="L1">
        <v>12</v>
      </c>
    </row>
    <row r="2" spans="1:12" x14ac:dyDescent="0.25">
      <c r="A2" t="s">
        <v>104</v>
      </c>
      <c r="B2" t="s">
        <v>715</v>
      </c>
      <c r="C2" t="s">
        <v>716</v>
      </c>
      <c r="D2" t="s">
        <v>717</v>
      </c>
      <c r="E2" t="s">
        <v>718</v>
      </c>
      <c r="F2" t="s">
        <v>719</v>
      </c>
      <c r="G2" t="s">
        <v>720</v>
      </c>
    </row>
    <row r="3" spans="1:12" x14ac:dyDescent="0.25">
      <c r="A3" t="s">
        <v>140</v>
      </c>
      <c r="B3" t="s">
        <v>547</v>
      </c>
      <c r="C3" t="s">
        <v>721</v>
      </c>
      <c r="D3" t="s">
        <v>574</v>
      </c>
      <c r="E3">
        <v>3</v>
      </c>
      <c r="F3" t="s">
        <v>722</v>
      </c>
      <c r="G3" t="s">
        <v>723</v>
      </c>
    </row>
    <row r="4" spans="1:12" x14ac:dyDescent="0.25">
      <c r="A4" t="s">
        <v>141</v>
      </c>
      <c r="B4" t="s">
        <v>547</v>
      </c>
      <c r="C4" t="s">
        <v>721</v>
      </c>
      <c r="D4" t="s">
        <v>574</v>
      </c>
      <c r="E4">
        <v>3</v>
      </c>
      <c r="F4" t="s">
        <v>722</v>
      </c>
      <c r="G4" t="s">
        <v>723</v>
      </c>
    </row>
    <row r="5" spans="1:12" x14ac:dyDescent="0.25">
      <c r="A5" t="s">
        <v>142</v>
      </c>
      <c r="B5" t="s">
        <v>547</v>
      </c>
      <c r="C5" t="s">
        <v>721</v>
      </c>
      <c r="D5" t="s">
        <v>203</v>
      </c>
      <c r="E5">
        <v>2</v>
      </c>
      <c r="F5" t="s">
        <v>724</v>
      </c>
      <c r="G5" t="s">
        <v>723</v>
      </c>
    </row>
    <row r="6" spans="1:12" x14ac:dyDescent="0.25">
      <c r="A6" t="s">
        <v>143</v>
      </c>
      <c r="B6" t="s">
        <v>547</v>
      </c>
      <c r="C6" t="s">
        <v>721</v>
      </c>
      <c r="D6" t="s">
        <v>203</v>
      </c>
      <c r="E6">
        <v>2</v>
      </c>
      <c r="F6" t="s">
        <v>724</v>
      </c>
      <c r="G6" t="s">
        <v>723</v>
      </c>
    </row>
    <row r="7" spans="1:12" x14ac:dyDescent="0.25">
      <c r="A7" t="s">
        <v>144</v>
      </c>
      <c r="B7" t="s">
        <v>547</v>
      </c>
      <c r="C7" t="s">
        <v>721</v>
      </c>
      <c r="D7" t="s">
        <v>574</v>
      </c>
      <c r="E7">
        <v>3</v>
      </c>
      <c r="F7" t="s">
        <v>722</v>
      </c>
      <c r="G7" t="s">
        <v>723</v>
      </c>
    </row>
    <row r="8" spans="1:12" x14ac:dyDescent="0.25">
      <c r="A8" t="s">
        <v>145</v>
      </c>
      <c r="B8" t="s">
        <v>547</v>
      </c>
      <c r="C8" t="s">
        <v>684</v>
      </c>
      <c r="D8" t="s">
        <v>574</v>
      </c>
      <c r="E8">
        <v>3</v>
      </c>
      <c r="F8" t="s">
        <v>724</v>
      </c>
      <c r="G8" t="s">
        <v>723</v>
      </c>
    </row>
    <row r="9" spans="1:12" x14ac:dyDescent="0.25">
      <c r="A9" t="s">
        <v>146</v>
      </c>
      <c r="B9" t="s">
        <v>547</v>
      </c>
      <c r="C9" t="s">
        <v>684</v>
      </c>
      <c r="D9" t="s">
        <v>574</v>
      </c>
      <c r="E9">
        <v>3</v>
      </c>
      <c r="F9" t="s">
        <v>722</v>
      </c>
      <c r="G9" t="s">
        <v>723</v>
      </c>
    </row>
    <row r="10" spans="1:12" x14ac:dyDescent="0.25">
      <c r="A10" t="s">
        <v>147</v>
      </c>
      <c r="B10" t="s">
        <v>547</v>
      </c>
      <c r="C10" t="s">
        <v>684</v>
      </c>
      <c r="D10" t="s">
        <v>574</v>
      </c>
      <c r="E10">
        <v>3</v>
      </c>
      <c r="F10" t="s">
        <v>722</v>
      </c>
      <c r="G10" t="s">
        <v>723</v>
      </c>
    </row>
    <row r="11" spans="1:12" x14ac:dyDescent="0.25">
      <c r="A11" t="s">
        <v>148</v>
      </c>
      <c r="B11" t="s">
        <v>547</v>
      </c>
      <c r="C11" t="s">
        <v>684</v>
      </c>
      <c r="D11" t="s">
        <v>574</v>
      </c>
      <c r="E11">
        <v>3</v>
      </c>
      <c r="F11" t="s">
        <v>722</v>
      </c>
      <c r="G11" t="s">
        <v>723</v>
      </c>
    </row>
    <row r="12" spans="1:12" x14ac:dyDescent="0.25">
      <c r="A12" t="s">
        <v>149</v>
      </c>
      <c r="B12">
        <v>1</v>
      </c>
      <c r="C12">
        <v>2</v>
      </c>
      <c r="D12" t="s">
        <v>203</v>
      </c>
      <c r="E12">
        <v>2</v>
      </c>
      <c r="F12" t="s">
        <v>724</v>
      </c>
      <c r="G12" t="s">
        <v>723</v>
      </c>
    </row>
    <row r="13" spans="1:12" x14ac:dyDescent="0.25">
      <c r="A13" t="s">
        <v>150</v>
      </c>
      <c r="B13" t="s">
        <v>547</v>
      </c>
      <c r="C13" t="s">
        <v>684</v>
      </c>
      <c r="D13" t="s">
        <v>574</v>
      </c>
      <c r="E13">
        <v>3</v>
      </c>
      <c r="F13" t="s">
        <v>724</v>
      </c>
      <c r="G13" t="s">
        <v>723</v>
      </c>
    </row>
    <row r="14" spans="1:12" x14ac:dyDescent="0.25">
      <c r="A14" t="s">
        <v>152</v>
      </c>
      <c r="B14" t="s">
        <v>547</v>
      </c>
      <c r="C14" t="s">
        <v>721</v>
      </c>
      <c r="D14" t="s">
        <v>203</v>
      </c>
      <c r="E14">
        <v>2</v>
      </c>
      <c r="F14" t="s">
        <v>722</v>
      </c>
      <c r="G14" t="s">
        <v>725</v>
      </c>
    </row>
    <row r="15" spans="1:12" x14ac:dyDescent="0.25">
      <c r="A15" t="s">
        <v>153</v>
      </c>
      <c r="B15" t="s">
        <v>547</v>
      </c>
      <c r="C15" t="s">
        <v>721</v>
      </c>
      <c r="D15" t="s">
        <v>203</v>
      </c>
      <c r="E15">
        <v>2</v>
      </c>
      <c r="F15" t="s">
        <v>722</v>
      </c>
      <c r="G15" t="s">
        <v>725</v>
      </c>
    </row>
    <row r="16" spans="1:12" x14ac:dyDescent="0.25">
      <c r="A16" t="s">
        <v>154</v>
      </c>
      <c r="B16" t="s">
        <v>547</v>
      </c>
      <c r="C16" t="s">
        <v>721</v>
      </c>
      <c r="D16" t="s">
        <v>574</v>
      </c>
      <c r="E16">
        <v>3</v>
      </c>
      <c r="F16" t="s">
        <v>722</v>
      </c>
      <c r="G16" t="s">
        <v>725</v>
      </c>
    </row>
    <row r="17" spans="1:7" x14ac:dyDescent="0.25">
      <c r="A17" t="s">
        <v>726</v>
      </c>
      <c r="B17" t="s">
        <v>547</v>
      </c>
      <c r="C17" t="s">
        <v>721</v>
      </c>
      <c r="D17" t="s">
        <v>574</v>
      </c>
      <c r="E17">
        <v>3</v>
      </c>
      <c r="F17" t="s">
        <v>722</v>
      </c>
      <c r="G17" t="s">
        <v>725</v>
      </c>
    </row>
    <row r="24" spans="1:7" x14ac:dyDescent="0.25">
      <c r="G24" t="str" cm="1">
        <f t="array" ref="G24">Location</f>
        <v>IAD35 Generator Yard</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26BA8-17FF-4396-A566-BF2A9DCBC899}">
  <sheetPr codeName="Config_CRAC_SAPM"/>
  <dimension ref="A1:Q53"/>
  <sheetViews>
    <sheetView workbookViewId="0">
      <selection activeCell="K32" sqref="K32"/>
    </sheetView>
  </sheetViews>
  <sheetFormatPr defaultRowHeight="15" x14ac:dyDescent="0.25"/>
  <cols>
    <col min="1" max="1" width="12.140625" bestFit="1" customWidth="1"/>
    <col min="2" max="2" width="20.28515625" bestFit="1" customWidth="1"/>
    <col min="3" max="3" width="23.42578125" bestFit="1" customWidth="1"/>
    <col min="4" max="5" width="5.28515625" bestFit="1" customWidth="1"/>
    <col min="6" max="6" width="14.7109375" bestFit="1" customWidth="1"/>
    <col min="7" max="7" width="9.5703125" bestFit="1" customWidth="1"/>
    <col min="8" max="8" width="15.85546875" bestFit="1" customWidth="1"/>
    <col min="9" max="9" width="21.140625" bestFit="1" customWidth="1"/>
  </cols>
  <sheetData>
    <row r="1" spans="1:14" x14ac:dyDescent="0.25">
      <c r="A1" t="s">
        <v>104</v>
      </c>
      <c r="B1" t="s">
        <v>727</v>
      </c>
      <c r="C1" t="s">
        <v>728</v>
      </c>
      <c r="D1" t="s">
        <v>668</v>
      </c>
      <c r="E1" t="s">
        <v>669</v>
      </c>
      <c r="F1" t="s">
        <v>729</v>
      </c>
      <c r="G1" t="s">
        <v>730</v>
      </c>
      <c r="H1" t="s">
        <v>605</v>
      </c>
      <c r="I1" t="s">
        <v>731</v>
      </c>
      <c r="K1" t="s">
        <v>732</v>
      </c>
    </row>
    <row r="2" spans="1:14" x14ac:dyDescent="0.25">
      <c r="A2" t="s">
        <v>667</v>
      </c>
      <c r="D2">
        <v>2</v>
      </c>
      <c r="E2">
        <v>2</v>
      </c>
      <c r="F2">
        <f>SUM(B2:E2)</f>
        <v>4</v>
      </c>
      <c r="G2" t="s">
        <v>84</v>
      </c>
      <c r="H2" t="str">
        <f>Suite</f>
        <v>G104</v>
      </c>
      <c r="I2">
        <f>IFERROR(VLOOKUP(Suite, A2:F46, 6, FALSE), 0)</f>
        <v>0</v>
      </c>
      <c r="K2" t="s">
        <v>733</v>
      </c>
    </row>
    <row r="3" spans="1:14" x14ac:dyDescent="0.25">
      <c r="A3" t="s">
        <v>679</v>
      </c>
      <c r="D3">
        <v>2</v>
      </c>
      <c r="E3">
        <v>2</v>
      </c>
      <c r="F3">
        <f>SUM(B3:E3)</f>
        <v>4</v>
      </c>
      <c r="G3" t="s">
        <v>84</v>
      </c>
      <c r="K3" t="s">
        <v>734</v>
      </c>
    </row>
    <row r="4" spans="1:14" x14ac:dyDescent="0.25">
      <c r="A4" t="s">
        <v>680</v>
      </c>
      <c r="D4">
        <v>1</v>
      </c>
      <c r="E4">
        <v>1</v>
      </c>
      <c r="F4">
        <f>SUM(B4:E4)</f>
        <v>2</v>
      </c>
      <c r="G4" t="s">
        <v>84</v>
      </c>
    </row>
    <row r="5" spans="1:14" x14ac:dyDescent="0.25">
      <c r="A5" t="s">
        <v>681</v>
      </c>
      <c r="D5">
        <v>2</v>
      </c>
      <c r="E5">
        <v>2</v>
      </c>
      <c r="F5">
        <f>SUM(B5:E5)</f>
        <v>4</v>
      </c>
      <c r="G5" t="s">
        <v>84</v>
      </c>
    </row>
    <row r="6" spans="1:14" x14ac:dyDescent="0.25">
      <c r="A6" t="s">
        <v>685</v>
      </c>
      <c r="D6">
        <v>2</v>
      </c>
      <c r="E6">
        <v>2</v>
      </c>
      <c r="F6">
        <f t="shared" ref="F6:F46" si="0">SUM(B6:E6)</f>
        <v>4</v>
      </c>
      <c r="G6" t="s">
        <v>84</v>
      </c>
    </row>
    <row r="7" spans="1:14" x14ac:dyDescent="0.25">
      <c r="A7" t="s">
        <v>689</v>
      </c>
      <c r="D7">
        <v>2</v>
      </c>
      <c r="E7">
        <v>2</v>
      </c>
      <c r="F7">
        <f t="shared" si="0"/>
        <v>4</v>
      </c>
      <c r="G7" t="s">
        <v>84</v>
      </c>
    </row>
    <row r="8" spans="1:14" x14ac:dyDescent="0.25">
      <c r="A8" t="s">
        <v>690</v>
      </c>
      <c r="D8">
        <v>2</v>
      </c>
      <c r="E8">
        <v>2</v>
      </c>
      <c r="F8">
        <f t="shared" si="0"/>
        <v>4</v>
      </c>
      <c r="G8" t="s">
        <v>84</v>
      </c>
    </row>
    <row r="9" spans="1:14" x14ac:dyDescent="0.25">
      <c r="A9" t="s">
        <v>691</v>
      </c>
      <c r="D9">
        <v>2</v>
      </c>
      <c r="E9">
        <v>2</v>
      </c>
      <c r="F9">
        <f t="shared" si="0"/>
        <v>4</v>
      </c>
      <c r="G9" t="s">
        <v>84</v>
      </c>
    </row>
    <row r="10" spans="1:14" x14ac:dyDescent="0.25">
      <c r="A10" t="s">
        <v>151</v>
      </c>
      <c r="B10">
        <v>20</v>
      </c>
      <c r="C10">
        <v>0</v>
      </c>
      <c r="F10">
        <f t="shared" si="0"/>
        <v>20</v>
      </c>
      <c r="G10" t="s">
        <v>735</v>
      </c>
    </row>
    <row r="11" spans="1:14" x14ac:dyDescent="0.25">
      <c r="A11" t="s">
        <v>113</v>
      </c>
      <c r="B11">
        <v>18</v>
      </c>
      <c r="C11">
        <v>0</v>
      </c>
      <c r="F11">
        <f t="shared" si="0"/>
        <v>18</v>
      </c>
      <c r="G11" t="s">
        <v>735</v>
      </c>
    </row>
    <row r="12" spans="1:14" x14ac:dyDescent="0.25">
      <c r="A12" t="s">
        <v>114</v>
      </c>
      <c r="B12">
        <v>9</v>
      </c>
      <c r="C12">
        <v>0</v>
      </c>
      <c r="F12">
        <f t="shared" si="0"/>
        <v>9</v>
      </c>
      <c r="G12" t="s">
        <v>735</v>
      </c>
      <c r="K12" t="s">
        <v>736</v>
      </c>
      <c r="L12">
        <f>SUM(F2:F9)</f>
        <v>30</v>
      </c>
      <c r="N12">
        <f>L12/$M$24</f>
        <v>1.875</v>
      </c>
    </row>
    <row r="13" spans="1:14" x14ac:dyDescent="0.25">
      <c r="A13" t="s">
        <v>115</v>
      </c>
      <c r="B13">
        <v>12</v>
      </c>
      <c r="C13">
        <v>0</v>
      </c>
      <c r="F13">
        <f t="shared" si="0"/>
        <v>12</v>
      </c>
      <c r="G13" t="s">
        <v>735</v>
      </c>
      <c r="K13" t="s">
        <v>737</v>
      </c>
      <c r="L13">
        <f>SUM(F10)</f>
        <v>20</v>
      </c>
      <c r="N13">
        <f t="shared" ref="N13:N17" si="1">L13/$M$24</f>
        <v>1.25</v>
      </c>
    </row>
    <row r="14" spans="1:14" x14ac:dyDescent="0.25">
      <c r="A14" t="s">
        <v>116</v>
      </c>
      <c r="B14">
        <v>12</v>
      </c>
      <c r="C14">
        <v>0</v>
      </c>
      <c r="F14">
        <f t="shared" si="0"/>
        <v>12</v>
      </c>
      <c r="G14" t="s">
        <v>735</v>
      </c>
      <c r="K14" t="s">
        <v>738</v>
      </c>
      <c r="L14">
        <f>SUM(F11:F21)</f>
        <v>114</v>
      </c>
      <c r="N14">
        <f t="shared" si="1"/>
        <v>7.125</v>
      </c>
    </row>
    <row r="15" spans="1:14" x14ac:dyDescent="0.25">
      <c r="A15" t="s">
        <v>117</v>
      </c>
      <c r="B15">
        <v>9</v>
      </c>
      <c r="C15">
        <v>0</v>
      </c>
      <c r="F15">
        <f t="shared" si="0"/>
        <v>9</v>
      </c>
      <c r="G15" t="s">
        <v>735</v>
      </c>
      <c r="K15" t="s">
        <v>739</v>
      </c>
      <c r="L15">
        <f>SUM(F22:F25)</f>
        <v>128</v>
      </c>
      <c r="N15">
        <f t="shared" si="1"/>
        <v>8</v>
      </c>
    </row>
    <row r="16" spans="1:14" x14ac:dyDescent="0.25">
      <c r="A16" t="s">
        <v>123</v>
      </c>
      <c r="B16">
        <v>9</v>
      </c>
      <c r="C16">
        <v>0</v>
      </c>
      <c r="F16">
        <f t="shared" si="0"/>
        <v>9</v>
      </c>
      <c r="G16" t="s">
        <v>735</v>
      </c>
      <c r="K16" t="s">
        <v>740</v>
      </c>
      <c r="L16">
        <f>SUM(F26:F31)</f>
        <v>133</v>
      </c>
      <c r="N16">
        <f t="shared" si="1"/>
        <v>8.3125</v>
      </c>
    </row>
    <row r="17" spans="1:17" x14ac:dyDescent="0.25">
      <c r="A17" t="s">
        <v>124</v>
      </c>
      <c r="B17">
        <v>9</v>
      </c>
      <c r="C17">
        <v>0</v>
      </c>
      <c r="F17">
        <f t="shared" si="0"/>
        <v>9</v>
      </c>
      <c r="G17" t="s">
        <v>735</v>
      </c>
      <c r="K17" t="s">
        <v>741</v>
      </c>
      <c r="L17">
        <f>SUM(F32:F46)</f>
        <v>168</v>
      </c>
      <c r="N17">
        <f t="shared" si="1"/>
        <v>10.5</v>
      </c>
    </row>
    <row r="18" spans="1:17" x14ac:dyDescent="0.25">
      <c r="A18" t="s">
        <v>125</v>
      </c>
      <c r="B18">
        <v>9</v>
      </c>
      <c r="C18">
        <v>0</v>
      </c>
      <c r="F18">
        <f t="shared" si="0"/>
        <v>9</v>
      </c>
      <c r="G18" t="s">
        <v>735</v>
      </c>
    </row>
    <row r="19" spans="1:17" x14ac:dyDescent="0.25">
      <c r="A19" t="s">
        <v>126</v>
      </c>
      <c r="B19">
        <v>9</v>
      </c>
      <c r="C19">
        <v>0</v>
      </c>
      <c r="F19">
        <f t="shared" si="0"/>
        <v>9</v>
      </c>
      <c r="G19" t="s">
        <v>735</v>
      </c>
      <c r="N19">
        <f>SUM(N12:N17)</f>
        <v>37.0625</v>
      </c>
      <c r="Q19">
        <f>N19/2</f>
        <v>18.53125</v>
      </c>
    </row>
    <row r="20" spans="1:17" x14ac:dyDescent="0.25">
      <c r="A20" t="s">
        <v>127</v>
      </c>
      <c r="B20">
        <v>9</v>
      </c>
      <c r="C20">
        <v>0</v>
      </c>
      <c r="F20">
        <f t="shared" si="0"/>
        <v>9</v>
      </c>
      <c r="G20" t="s">
        <v>735</v>
      </c>
    </row>
    <row r="21" spans="1:17" x14ac:dyDescent="0.25">
      <c r="A21" t="s">
        <v>128</v>
      </c>
      <c r="B21">
        <v>9</v>
      </c>
      <c r="C21">
        <v>0</v>
      </c>
      <c r="F21">
        <f t="shared" si="0"/>
        <v>9</v>
      </c>
      <c r="G21" t="s">
        <v>735</v>
      </c>
    </row>
    <row r="22" spans="1:17" x14ac:dyDescent="0.25">
      <c r="A22" t="s">
        <v>157</v>
      </c>
      <c r="B22">
        <v>32</v>
      </c>
      <c r="C22">
        <v>4</v>
      </c>
      <c r="F22">
        <f t="shared" si="0"/>
        <v>36</v>
      </c>
      <c r="G22" t="s">
        <v>742</v>
      </c>
    </row>
    <row r="23" spans="1:17" x14ac:dyDescent="0.25">
      <c r="A23" t="s">
        <v>158</v>
      </c>
      <c r="B23">
        <v>24</v>
      </c>
      <c r="C23">
        <v>4</v>
      </c>
      <c r="F23">
        <f t="shared" si="0"/>
        <v>28</v>
      </c>
      <c r="G23" t="s">
        <v>742</v>
      </c>
      <c r="I23">
        <f>SUM(F22:F23)</f>
        <v>64</v>
      </c>
    </row>
    <row r="24" spans="1:17" x14ac:dyDescent="0.25">
      <c r="A24" t="s">
        <v>159</v>
      </c>
      <c r="B24">
        <v>32</v>
      </c>
      <c r="C24">
        <v>4</v>
      </c>
      <c r="F24">
        <f t="shared" si="0"/>
        <v>36</v>
      </c>
      <c r="G24" t="s">
        <v>742</v>
      </c>
      <c r="I24">
        <f>160/I23</f>
        <v>2.5</v>
      </c>
      <c r="M24">
        <f>40/I24</f>
        <v>16</v>
      </c>
    </row>
    <row r="25" spans="1:17" x14ac:dyDescent="0.25">
      <c r="A25" t="s">
        <v>160</v>
      </c>
      <c r="B25">
        <v>24</v>
      </c>
      <c r="C25">
        <v>4</v>
      </c>
      <c r="F25">
        <f t="shared" si="0"/>
        <v>28</v>
      </c>
      <c r="G25" t="s">
        <v>742</v>
      </c>
    </row>
    <row r="26" spans="1:17" x14ac:dyDescent="0.25">
      <c r="A26" t="s">
        <v>161</v>
      </c>
      <c r="B26">
        <v>9</v>
      </c>
      <c r="C26">
        <v>2</v>
      </c>
      <c r="F26">
        <f t="shared" si="0"/>
        <v>11</v>
      </c>
      <c r="G26" t="s">
        <v>742</v>
      </c>
    </row>
    <row r="27" spans="1:17" x14ac:dyDescent="0.25">
      <c r="A27" t="s">
        <v>162</v>
      </c>
      <c r="B27">
        <v>20</v>
      </c>
      <c r="C27">
        <v>3</v>
      </c>
      <c r="F27">
        <f t="shared" si="0"/>
        <v>23</v>
      </c>
      <c r="G27" t="s">
        <v>742</v>
      </c>
    </row>
    <row r="28" spans="1:17" x14ac:dyDescent="0.25">
      <c r="A28" t="s">
        <v>163</v>
      </c>
      <c r="B28">
        <v>24</v>
      </c>
      <c r="C28">
        <v>4</v>
      </c>
      <c r="F28">
        <f t="shared" si="0"/>
        <v>28</v>
      </c>
      <c r="G28" t="s">
        <v>742</v>
      </c>
    </row>
    <row r="29" spans="1:17" x14ac:dyDescent="0.25">
      <c r="A29" t="s">
        <v>164</v>
      </c>
      <c r="B29">
        <v>9</v>
      </c>
      <c r="C29">
        <v>2</v>
      </c>
      <c r="F29">
        <f t="shared" si="0"/>
        <v>11</v>
      </c>
      <c r="G29" t="s">
        <v>742</v>
      </c>
    </row>
    <row r="30" spans="1:17" x14ac:dyDescent="0.25">
      <c r="A30" t="s">
        <v>165</v>
      </c>
      <c r="B30">
        <v>20</v>
      </c>
      <c r="C30">
        <v>3</v>
      </c>
      <c r="F30">
        <f t="shared" si="0"/>
        <v>23</v>
      </c>
      <c r="G30" t="s">
        <v>742</v>
      </c>
    </row>
    <row r="31" spans="1:17" x14ac:dyDescent="0.25">
      <c r="A31" t="s">
        <v>166</v>
      </c>
      <c r="B31">
        <v>32</v>
      </c>
      <c r="C31">
        <v>5</v>
      </c>
      <c r="F31">
        <f t="shared" si="0"/>
        <v>37</v>
      </c>
      <c r="G31" t="s">
        <v>742</v>
      </c>
    </row>
    <row r="32" spans="1:17" x14ac:dyDescent="0.25">
      <c r="A32" t="s">
        <v>129</v>
      </c>
      <c r="B32">
        <v>9</v>
      </c>
      <c r="C32">
        <v>0</v>
      </c>
      <c r="F32">
        <f t="shared" si="0"/>
        <v>9</v>
      </c>
      <c r="G32" t="s">
        <v>735</v>
      </c>
    </row>
    <row r="33" spans="1:9" x14ac:dyDescent="0.25">
      <c r="A33" t="s">
        <v>130</v>
      </c>
      <c r="B33">
        <v>9</v>
      </c>
      <c r="C33">
        <v>0</v>
      </c>
      <c r="F33">
        <f t="shared" si="0"/>
        <v>9</v>
      </c>
      <c r="G33" t="s">
        <v>735</v>
      </c>
    </row>
    <row r="34" spans="1:9" x14ac:dyDescent="0.25">
      <c r="A34" t="s">
        <v>167</v>
      </c>
      <c r="B34">
        <v>9</v>
      </c>
      <c r="C34">
        <v>2</v>
      </c>
      <c r="F34">
        <f t="shared" si="0"/>
        <v>11</v>
      </c>
      <c r="G34" t="s">
        <v>742</v>
      </c>
    </row>
    <row r="35" spans="1:9" x14ac:dyDescent="0.25">
      <c r="A35" t="s">
        <v>168</v>
      </c>
      <c r="B35">
        <v>9</v>
      </c>
      <c r="C35">
        <v>2</v>
      </c>
      <c r="F35">
        <f t="shared" si="0"/>
        <v>11</v>
      </c>
      <c r="G35" t="s">
        <v>742</v>
      </c>
    </row>
    <row r="36" spans="1:9" x14ac:dyDescent="0.25">
      <c r="A36" t="s">
        <v>169</v>
      </c>
      <c r="B36">
        <v>9</v>
      </c>
      <c r="C36">
        <v>2</v>
      </c>
      <c r="F36">
        <f t="shared" si="0"/>
        <v>11</v>
      </c>
      <c r="G36" t="s">
        <v>742</v>
      </c>
    </row>
    <row r="37" spans="1:9" x14ac:dyDescent="0.25">
      <c r="A37" t="s">
        <v>170</v>
      </c>
      <c r="B37">
        <v>9</v>
      </c>
      <c r="C37">
        <v>2</v>
      </c>
      <c r="F37">
        <f t="shared" si="0"/>
        <v>11</v>
      </c>
      <c r="G37" t="s">
        <v>742</v>
      </c>
    </row>
    <row r="38" spans="1:9" x14ac:dyDescent="0.25">
      <c r="A38" t="s">
        <v>171</v>
      </c>
      <c r="B38">
        <v>9</v>
      </c>
      <c r="C38">
        <v>2</v>
      </c>
      <c r="F38">
        <f t="shared" si="0"/>
        <v>11</v>
      </c>
      <c r="G38" t="s">
        <v>742</v>
      </c>
    </row>
    <row r="39" spans="1:9" x14ac:dyDescent="0.25">
      <c r="A39" t="s">
        <v>172</v>
      </c>
      <c r="B39">
        <v>9</v>
      </c>
      <c r="C39">
        <v>2</v>
      </c>
      <c r="F39">
        <f t="shared" si="0"/>
        <v>11</v>
      </c>
      <c r="G39" t="s">
        <v>742</v>
      </c>
    </row>
    <row r="40" spans="1:9" x14ac:dyDescent="0.25">
      <c r="A40" t="s">
        <v>16</v>
      </c>
      <c r="B40">
        <v>9</v>
      </c>
      <c r="C40">
        <v>0</v>
      </c>
      <c r="F40">
        <f t="shared" si="0"/>
        <v>9</v>
      </c>
      <c r="G40" t="s">
        <v>735</v>
      </c>
    </row>
    <row r="41" spans="1:9" x14ac:dyDescent="0.25">
      <c r="A41" t="s">
        <v>131</v>
      </c>
      <c r="B41">
        <v>9</v>
      </c>
      <c r="C41">
        <v>0</v>
      </c>
      <c r="F41">
        <f t="shared" si="0"/>
        <v>9</v>
      </c>
      <c r="G41" t="s">
        <v>735</v>
      </c>
    </row>
    <row r="42" spans="1:9" x14ac:dyDescent="0.25">
      <c r="A42" t="s">
        <v>173</v>
      </c>
      <c r="B42">
        <v>9</v>
      </c>
      <c r="C42">
        <v>2</v>
      </c>
      <c r="F42">
        <f t="shared" si="0"/>
        <v>11</v>
      </c>
      <c r="G42" t="s">
        <v>742</v>
      </c>
    </row>
    <row r="43" spans="1:9" x14ac:dyDescent="0.25">
      <c r="A43" t="s">
        <v>174</v>
      </c>
      <c r="B43">
        <v>9</v>
      </c>
      <c r="C43">
        <v>2</v>
      </c>
      <c r="F43">
        <f t="shared" si="0"/>
        <v>11</v>
      </c>
      <c r="G43" t="s">
        <v>742</v>
      </c>
    </row>
    <row r="44" spans="1:9" x14ac:dyDescent="0.25">
      <c r="A44" t="s">
        <v>175</v>
      </c>
      <c r="B44">
        <v>9</v>
      </c>
      <c r="C44">
        <v>2</v>
      </c>
      <c r="F44">
        <f t="shared" si="0"/>
        <v>11</v>
      </c>
      <c r="G44" t="s">
        <v>742</v>
      </c>
    </row>
    <row r="45" spans="1:9" x14ac:dyDescent="0.25">
      <c r="A45" t="s">
        <v>176</v>
      </c>
      <c r="B45">
        <v>9</v>
      </c>
      <c r="C45">
        <v>2</v>
      </c>
      <c r="F45">
        <f t="shared" si="0"/>
        <v>11</v>
      </c>
      <c r="G45" t="s">
        <v>742</v>
      </c>
    </row>
    <row r="46" spans="1:9" x14ac:dyDescent="0.25">
      <c r="A46" t="s">
        <v>177</v>
      </c>
      <c r="B46">
        <v>19</v>
      </c>
      <c r="C46">
        <v>3</v>
      </c>
      <c r="F46">
        <f t="shared" si="0"/>
        <v>22</v>
      </c>
      <c r="G46" t="s">
        <v>742</v>
      </c>
    </row>
    <row r="47" spans="1:9" x14ac:dyDescent="0.25">
      <c r="F47">
        <f>SUM(F10:F46)</f>
        <v>563</v>
      </c>
    </row>
    <row r="48" spans="1:9" x14ac:dyDescent="0.25">
      <c r="I48">
        <f>I24*F47</f>
        <v>1407.5</v>
      </c>
    </row>
    <row r="51" spans="6:9" x14ac:dyDescent="0.25">
      <c r="I51">
        <f>I48*2</f>
        <v>2815</v>
      </c>
    </row>
    <row r="53" spans="6:9" x14ac:dyDescent="0.25">
      <c r="F53">
        <f>563*4</f>
        <v>2252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AAE13-EF10-4595-8763-51C400B71AF7}">
  <sheetPr codeName="Config_CRAC_TSR"/>
  <dimension ref="A1:U594"/>
  <sheetViews>
    <sheetView workbookViewId="0"/>
  </sheetViews>
  <sheetFormatPr defaultRowHeight="15" x14ac:dyDescent="0.25"/>
  <cols>
    <col min="1" max="1" width="12.85546875" bestFit="1" customWidth="1"/>
    <col min="2" max="2" width="20.28515625" bestFit="1" customWidth="1"/>
    <col min="3" max="3" width="23.42578125" bestFit="1" customWidth="1"/>
    <col min="4" max="5" width="5.28515625" bestFit="1" customWidth="1"/>
    <col min="6" max="6" width="14.7109375" bestFit="1" customWidth="1"/>
    <col min="7" max="7" width="10.28515625" bestFit="1" customWidth="1"/>
    <col min="8" max="8" width="15.85546875" hidden="1" customWidth="1"/>
    <col min="9" max="9" width="18.5703125" hidden="1" customWidth="1"/>
    <col min="10" max="10" width="21.140625" hidden="1" customWidth="1"/>
    <col min="11" max="14" width="0" hidden="1" customWidth="1"/>
    <col min="15" max="15" width="14.5703125" hidden="1" customWidth="1"/>
    <col min="16" max="16" width="22.42578125" hidden="1" customWidth="1"/>
    <col min="17" max="17" width="0" hidden="1" customWidth="1"/>
    <col min="18" max="18" width="22.42578125" hidden="1" customWidth="1"/>
    <col min="21" max="21" width="16.140625" bestFit="1" customWidth="1"/>
  </cols>
  <sheetData>
    <row r="1" spans="1:21" x14ac:dyDescent="0.25">
      <c r="A1" t="s">
        <v>104</v>
      </c>
      <c r="B1" t="s">
        <v>727</v>
      </c>
      <c r="C1" t="s">
        <v>728</v>
      </c>
      <c r="D1" t="s">
        <v>668</v>
      </c>
      <c r="E1" t="s">
        <v>669</v>
      </c>
      <c r="F1" t="s">
        <v>729</v>
      </c>
      <c r="G1" t="s">
        <v>730</v>
      </c>
      <c r="H1" t="s">
        <v>743</v>
      </c>
      <c r="I1" t="s">
        <v>744</v>
      </c>
      <c r="J1" t="s">
        <v>745</v>
      </c>
      <c r="O1" t="s">
        <v>605</v>
      </c>
      <c r="P1" t="s">
        <v>731</v>
      </c>
      <c r="R1" t="s">
        <v>732</v>
      </c>
      <c r="U1" t="s">
        <v>746</v>
      </c>
    </row>
    <row r="2" spans="1:21" x14ac:dyDescent="0.25">
      <c r="A2" t="s">
        <v>667</v>
      </c>
      <c r="D2">
        <v>2</v>
      </c>
      <c r="E2">
        <v>2</v>
      </c>
      <c r="F2">
        <f>SUM(B2:E2)</f>
        <v>4</v>
      </c>
      <c r="G2" t="s">
        <v>84</v>
      </c>
      <c r="O2" t="str">
        <f>Suite</f>
        <v>G104</v>
      </c>
      <c r="P2">
        <f>IFERROR(VLOOKUP(Suite, A2:F46, 6, FALSE), 0)</f>
        <v>0</v>
      </c>
      <c r="R2" t="s">
        <v>733</v>
      </c>
      <c r="U2" t="s">
        <v>747</v>
      </c>
    </row>
    <row r="3" spans="1:21" x14ac:dyDescent="0.25">
      <c r="A3" t="s">
        <v>679</v>
      </c>
      <c r="D3">
        <v>2</v>
      </c>
      <c r="E3">
        <v>2</v>
      </c>
      <c r="F3">
        <f>SUM(B3:E3)</f>
        <v>4</v>
      </c>
      <c r="G3" t="s">
        <v>84</v>
      </c>
      <c r="R3" t="s">
        <v>734</v>
      </c>
      <c r="U3" t="s">
        <v>748</v>
      </c>
    </row>
    <row r="4" spans="1:21" x14ac:dyDescent="0.25">
      <c r="A4" t="s">
        <v>680</v>
      </c>
      <c r="D4">
        <v>1</v>
      </c>
      <c r="E4">
        <v>1</v>
      </c>
      <c r="F4">
        <f>SUM(B4:E4)</f>
        <v>2</v>
      </c>
      <c r="G4" t="s">
        <v>84</v>
      </c>
      <c r="U4" t="s">
        <v>749</v>
      </c>
    </row>
    <row r="5" spans="1:21" x14ac:dyDescent="0.25">
      <c r="A5" t="s">
        <v>681</v>
      </c>
      <c r="D5">
        <v>2</v>
      </c>
      <c r="E5">
        <v>2</v>
      </c>
      <c r="F5">
        <f>SUM(B5:E5)</f>
        <v>4</v>
      </c>
      <c r="G5" t="s">
        <v>84</v>
      </c>
      <c r="U5" t="s">
        <v>750</v>
      </c>
    </row>
    <row r="6" spans="1:21" x14ac:dyDescent="0.25">
      <c r="A6" t="s">
        <v>685</v>
      </c>
      <c r="D6">
        <v>2</v>
      </c>
      <c r="E6">
        <v>2</v>
      </c>
      <c r="F6">
        <f t="shared" ref="F6:F46" si="0">SUM(B6:E6)</f>
        <v>4</v>
      </c>
      <c r="G6" t="s">
        <v>84</v>
      </c>
      <c r="U6" t="s">
        <v>751</v>
      </c>
    </row>
    <row r="7" spans="1:21" x14ac:dyDescent="0.25">
      <c r="A7" t="s">
        <v>689</v>
      </c>
      <c r="D7">
        <v>2</v>
      </c>
      <c r="E7">
        <v>2</v>
      </c>
      <c r="F7">
        <f t="shared" si="0"/>
        <v>4</v>
      </c>
      <c r="G7" t="s">
        <v>84</v>
      </c>
      <c r="U7" t="s">
        <v>752</v>
      </c>
    </row>
    <row r="8" spans="1:21" x14ac:dyDescent="0.25">
      <c r="A8" t="s">
        <v>690</v>
      </c>
      <c r="D8">
        <v>2</v>
      </c>
      <c r="E8">
        <v>2</v>
      </c>
      <c r="F8">
        <f t="shared" si="0"/>
        <v>4</v>
      </c>
      <c r="G8" t="s">
        <v>84</v>
      </c>
      <c r="U8" t="s">
        <v>753</v>
      </c>
    </row>
    <row r="9" spans="1:21" x14ac:dyDescent="0.25">
      <c r="A9" t="s">
        <v>691</v>
      </c>
      <c r="D9">
        <v>2</v>
      </c>
      <c r="E9">
        <v>2</v>
      </c>
      <c r="F9">
        <f t="shared" si="0"/>
        <v>4</v>
      </c>
      <c r="G9" t="s">
        <v>84</v>
      </c>
      <c r="U9" t="s">
        <v>754</v>
      </c>
    </row>
    <row r="10" spans="1:21" x14ac:dyDescent="0.25">
      <c r="A10" t="s">
        <v>151</v>
      </c>
      <c r="B10">
        <v>20</v>
      </c>
      <c r="C10">
        <v>0</v>
      </c>
      <c r="F10">
        <f t="shared" si="0"/>
        <v>20</v>
      </c>
      <c r="G10" t="s">
        <v>735</v>
      </c>
      <c r="H10">
        <v>2400</v>
      </c>
      <c r="I10">
        <v>165</v>
      </c>
      <c r="J10">
        <f>ROUNDUP((H10/165)+1, 0)</f>
        <v>16</v>
      </c>
      <c r="K10" t="str">
        <f>IF(J10&gt;=B10, "BAD", "GOOD")</f>
        <v>GOOD</v>
      </c>
      <c r="L10">
        <f>H10/I10</f>
        <v>14.545454545454545</v>
      </c>
      <c r="U10" t="s">
        <v>755</v>
      </c>
    </row>
    <row r="11" spans="1:21" x14ac:dyDescent="0.25">
      <c r="A11" t="s">
        <v>113</v>
      </c>
      <c r="B11">
        <v>18</v>
      </c>
      <c r="C11">
        <v>0</v>
      </c>
      <c r="F11">
        <f t="shared" si="0"/>
        <v>18</v>
      </c>
      <c r="G11" t="s">
        <v>735</v>
      </c>
      <c r="H11">
        <v>2400</v>
      </c>
      <c r="I11">
        <v>165</v>
      </c>
      <c r="J11">
        <f t="shared" ref="J11:J46" si="1">ROUNDUP((H11/165)+1, 0)</f>
        <v>16</v>
      </c>
      <c r="K11" t="str">
        <f t="shared" ref="K11:K46" si="2">IF(J11&gt;=B11, "BAD", "GOOD")</f>
        <v>GOOD</v>
      </c>
      <c r="L11">
        <f t="shared" ref="L11:L46" si="3">H11/I11</f>
        <v>14.545454545454545</v>
      </c>
      <c r="U11" t="s">
        <v>756</v>
      </c>
    </row>
    <row r="12" spans="1:21" x14ac:dyDescent="0.25">
      <c r="A12" t="s">
        <v>114</v>
      </c>
      <c r="B12">
        <v>9</v>
      </c>
      <c r="C12">
        <v>0</v>
      </c>
      <c r="F12">
        <f t="shared" si="0"/>
        <v>9</v>
      </c>
      <c r="G12" t="s">
        <v>735</v>
      </c>
      <c r="H12">
        <v>1200</v>
      </c>
      <c r="I12">
        <v>165</v>
      </c>
      <c r="J12">
        <f t="shared" si="1"/>
        <v>9</v>
      </c>
      <c r="K12" t="str">
        <f t="shared" si="2"/>
        <v>BAD</v>
      </c>
      <c r="L12">
        <f t="shared" si="3"/>
        <v>7.2727272727272725</v>
      </c>
      <c r="U12" t="s">
        <v>757</v>
      </c>
    </row>
    <row r="13" spans="1:21" x14ac:dyDescent="0.25">
      <c r="A13" t="s">
        <v>115</v>
      </c>
      <c r="B13">
        <v>12</v>
      </c>
      <c r="C13">
        <v>0</v>
      </c>
      <c r="F13">
        <f t="shared" si="0"/>
        <v>12</v>
      </c>
      <c r="G13" t="s">
        <v>735</v>
      </c>
      <c r="H13">
        <v>1600</v>
      </c>
      <c r="I13">
        <v>165</v>
      </c>
      <c r="J13">
        <f t="shared" si="1"/>
        <v>11</v>
      </c>
      <c r="K13" t="str">
        <f t="shared" si="2"/>
        <v>GOOD</v>
      </c>
      <c r="L13">
        <f t="shared" si="3"/>
        <v>9.6969696969696972</v>
      </c>
      <c r="U13" t="s">
        <v>758</v>
      </c>
    </row>
    <row r="14" spans="1:21" x14ac:dyDescent="0.25">
      <c r="A14" t="s">
        <v>116</v>
      </c>
      <c r="B14">
        <v>12</v>
      </c>
      <c r="C14">
        <v>0</v>
      </c>
      <c r="F14">
        <f t="shared" si="0"/>
        <v>12</v>
      </c>
      <c r="G14" t="s">
        <v>735</v>
      </c>
      <c r="H14">
        <v>1600</v>
      </c>
      <c r="I14">
        <v>165</v>
      </c>
      <c r="J14">
        <f t="shared" si="1"/>
        <v>11</v>
      </c>
      <c r="K14" t="str">
        <f t="shared" si="2"/>
        <v>GOOD</v>
      </c>
      <c r="L14">
        <f t="shared" si="3"/>
        <v>9.6969696969696972</v>
      </c>
      <c r="U14" t="s">
        <v>759</v>
      </c>
    </row>
    <row r="15" spans="1:21" x14ac:dyDescent="0.25">
      <c r="A15" t="s">
        <v>117</v>
      </c>
      <c r="B15">
        <v>9</v>
      </c>
      <c r="C15">
        <v>0</v>
      </c>
      <c r="F15">
        <f t="shared" si="0"/>
        <v>9</v>
      </c>
      <c r="G15" t="s">
        <v>735</v>
      </c>
      <c r="H15">
        <v>1200</v>
      </c>
      <c r="I15">
        <v>165</v>
      </c>
      <c r="J15">
        <f t="shared" si="1"/>
        <v>9</v>
      </c>
      <c r="K15" t="str">
        <f t="shared" si="2"/>
        <v>BAD</v>
      </c>
      <c r="L15">
        <f t="shared" si="3"/>
        <v>7.2727272727272725</v>
      </c>
      <c r="U15" t="s">
        <v>760</v>
      </c>
    </row>
    <row r="16" spans="1:21" x14ac:dyDescent="0.25">
      <c r="A16" t="s">
        <v>123</v>
      </c>
      <c r="B16">
        <v>9</v>
      </c>
      <c r="C16">
        <v>0</v>
      </c>
      <c r="F16">
        <f t="shared" si="0"/>
        <v>9</v>
      </c>
      <c r="G16" t="s">
        <v>735</v>
      </c>
      <c r="H16">
        <v>1200</v>
      </c>
      <c r="I16">
        <v>165</v>
      </c>
      <c r="J16">
        <f t="shared" si="1"/>
        <v>9</v>
      </c>
      <c r="K16" t="str">
        <f t="shared" si="2"/>
        <v>BAD</v>
      </c>
      <c r="L16">
        <f t="shared" si="3"/>
        <v>7.2727272727272725</v>
      </c>
      <c r="U16" t="s">
        <v>761</v>
      </c>
    </row>
    <row r="17" spans="1:21" x14ac:dyDescent="0.25">
      <c r="A17" t="s">
        <v>124</v>
      </c>
      <c r="B17">
        <v>9</v>
      </c>
      <c r="C17">
        <v>0</v>
      </c>
      <c r="F17">
        <f t="shared" si="0"/>
        <v>9</v>
      </c>
      <c r="G17" t="s">
        <v>735</v>
      </c>
      <c r="H17">
        <v>1200</v>
      </c>
      <c r="I17">
        <v>165</v>
      </c>
      <c r="J17">
        <f t="shared" si="1"/>
        <v>9</v>
      </c>
      <c r="K17" t="str">
        <f t="shared" si="2"/>
        <v>BAD</v>
      </c>
      <c r="L17">
        <f t="shared" si="3"/>
        <v>7.2727272727272725</v>
      </c>
      <c r="U17" t="s">
        <v>762</v>
      </c>
    </row>
    <row r="18" spans="1:21" x14ac:dyDescent="0.25">
      <c r="A18" t="s">
        <v>125</v>
      </c>
      <c r="B18">
        <v>9</v>
      </c>
      <c r="C18">
        <v>0</v>
      </c>
      <c r="F18">
        <f t="shared" si="0"/>
        <v>9</v>
      </c>
      <c r="G18" t="s">
        <v>735</v>
      </c>
      <c r="H18">
        <v>1200</v>
      </c>
      <c r="I18">
        <v>165</v>
      </c>
      <c r="J18">
        <f t="shared" si="1"/>
        <v>9</v>
      </c>
      <c r="K18" t="str">
        <f t="shared" si="2"/>
        <v>BAD</v>
      </c>
      <c r="L18">
        <f t="shared" si="3"/>
        <v>7.2727272727272725</v>
      </c>
      <c r="U18" t="s">
        <v>763</v>
      </c>
    </row>
    <row r="19" spans="1:21" x14ac:dyDescent="0.25">
      <c r="A19" t="s">
        <v>126</v>
      </c>
      <c r="B19">
        <v>9</v>
      </c>
      <c r="C19">
        <v>0</v>
      </c>
      <c r="F19">
        <f t="shared" si="0"/>
        <v>9</v>
      </c>
      <c r="G19" t="s">
        <v>735</v>
      </c>
      <c r="H19">
        <v>1200</v>
      </c>
      <c r="I19">
        <v>165</v>
      </c>
      <c r="J19">
        <f t="shared" si="1"/>
        <v>9</v>
      </c>
      <c r="K19" t="str">
        <f t="shared" si="2"/>
        <v>BAD</v>
      </c>
      <c r="L19">
        <f t="shared" si="3"/>
        <v>7.2727272727272725</v>
      </c>
      <c r="U19" t="s">
        <v>764</v>
      </c>
    </row>
    <row r="20" spans="1:21" x14ac:dyDescent="0.25">
      <c r="A20" t="s">
        <v>127</v>
      </c>
      <c r="B20">
        <v>9</v>
      </c>
      <c r="C20">
        <v>0</v>
      </c>
      <c r="F20">
        <f t="shared" si="0"/>
        <v>9</v>
      </c>
      <c r="G20" t="s">
        <v>735</v>
      </c>
      <c r="H20">
        <v>1200</v>
      </c>
      <c r="I20">
        <v>165</v>
      </c>
      <c r="J20">
        <f t="shared" si="1"/>
        <v>9</v>
      </c>
      <c r="K20" t="str">
        <f t="shared" si="2"/>
        <v>BAD</v>
      </c>
      <c r="L20">
        <f t="shared" si="3"/>
        <v>7.2727272727272725</v>
      </c>
      <c r="U20" t="s">
        <v>765</v>
      </c>
    </row>
    <row r="21" spans="1:21" x14ac:dyDescent="0.25">
      <c r="A21" t="s">
        <v>128</v>
      </c>
      <c r="B21">
        <v>9</v>
      </c>
      <c r="C21">
        <v>0</v>
      </c>
      <c r="F21">
        <f t="shared" si="0"/>
        <v>9</v>
      </c>
      <c r="G21" t="s">
        <v>735</v>
      </c>
      <c r="H21">
        <v>1200</v>
      </c>
      <c r="I21">
        <v>165</v>
      </c>
      <c r="J21">
        <f t="shared" si="1"/>
        <v>9</v>
      </c>
      <c r="K21" t="str">
        <f t="shared" si="2"/>
        <v>BAD</v>
      </c>
      <c r="L21">
        <f t="shared" si="3"/>
        <v>7.2727272727272725</v>
      </c>
      <c r="U21" t="s">
        <v>766</v>
      </c>
    </row>
    <row r="22" spans="1:21" x14ac:dyDescent="0.25">
      <c r="A22" t="s">
        <v>157</v>
      </c>
      <c r="B22">
        <v>32</v>
      </c>
      <c r="C22">
        <v>4</v>
      </c>
      <c r="F22">
        <f t="shared" si="0"/>
        <v>36</v>
      </c>
      <c r="G22" t="s">
        <v>742</v>
      </c>
      <c r="H22">
        <v>4800</v>
      </c>
      <c r="I22">
        <v>165</v>
      </c>
      <c r="J22">
        <f t="shared" si="1"/>
        <v>31</v>
      </c>
      <c r="K22" t="str">
        <f t="shared" si="2"/>
        <v>GOOD</v>
      </c>
      <c r="L22">
        <f t="shared" si="3"/>
        <v>29.09090909090909</v>
      </c>
      <c r="U22" t="s">
        <v>767</v>
      </c>
    </row>
    <row r="23" spans="1:21" x14ac:dyDescent="0.25">
      <c r="A23" t="s">
        <v>158</v>
      </c>
      <c r="B23">
        <v>24</v>
      </c>
      <c r="C23">
        <v>4</v>
      </c>
      <c r="F23">
        <f t="shared" si="0"/>
        <v>28</v>
      </c>
      <c r="G23" t="s">
        <v>742</v>
      </c>
      <c r="H23">
        <v>3600</v>
      </c>
      <c r="I23">
        <v>165</v>
      </c>
      <c r="J23">
        <f t="shared" si="1"/>
        <v>23</v>
      </c>
      <c r="K23" t="str">
        <f t="shared" si="2"/>
        <v>GOOD</v>
      </c>
      <c r="L23">
        <f t="shared" si="3"/>
        <v>21.818181818181817</v>
      </c>
      <c r="U23" t="s">
        <v>768</v>
      </c>
    </row>
    <row r="24" spans="1:21" x14ac:dyDescent="0.25">
      <c r="A24" t="s">
        <v>159</v>
      </c>
      <c r="B24">
        <v>32</v>
      </c>
      <c r="C24">
        <v>4</v>
      </c>
      <c r="F24">
        <f t="shared" si="0"/>
        <v>36</v>
      </c>
      <c r="G24" t="s">
        <v>742</v>
      </c>
      <c r="H24">
        <v>4800</v>
      </c>
      <c r="I24">
        <v>165</v>
      </c>
      <c r="J24">
        <f t="shared" si="1"/>
        <v>31</v>
      </c>
      <c r="K24" t="str">
        <f t="shared" si="2"/>
        <v>GOOD</v>
      </c>
      <c r="L24">
        <f t="shared" si="3"/>
        <v>29.09090909090909</v>
      </c>
      <c r="U24" t="s">
        <v>769</v>
      </c>
    </row>
    <row r="25" spans="1:21" x14ac:dyDescent="0.25">
      <c r="A25" t="s">
        <v>160</v>
      </c>
      <c r="B25">
        <v>24</v>
      </c>
      <c r="C25">
        <v>4</v>
      </c>
      <c r="F25">
        <f t="shared" si="0"/>
        <v>28</v>
      </c>
      <c r="G25" t="s">
        <v>742</v>
      </c>
      <c r="H25">
        <v>3600</v>
      </c>
      <c r="I25">
        <v>165</v>
      </c>
      <c r="J25">
        <f t="shared" si="1"/>
        <v>23</v>
      </c>
      <c r="K25" t="str">
        <f t="shared" si="2"/>
        <v>GOOD</v>
      </c>
      <c r="L25">
        <f t="shared" si="3"/>
        <v>21.818181818181817</v>
      </c>
      <c r="U25" t="s">
        <v>770</v>
      </c>
    </row>
    <row r="26" spans="1:21" x14ac:dyDescent="0.25">
      <c r="A26" t="s">
        <v>161</v>
      </c>
      <c r="B26">
        <v>9</v>
      </c>
      <c r="C26">
        <v>2</v>
      </c>
      <c r="F26">
        <f t="shared" si="0"/>
        <v>11</v>
      </c>
      <c r="G26" t="s">
        <v>742</v>
      </c>
      <c r="H26">
        <v>1250</v>
      </c>
      <c r="I26">
        <v>165</v>
      </c>
      <c r="J26">
        <f t="shared" si="1"/>
        <v>9</v>
      </c>
      <c r="K26" t="str">
        <f t="shared" si="2"/>
        <v>BAD</v>
      </c>
      <c r="L26">
        <f t="shared" si="3"/>
        <v>7.5757575757575761</v>
      </c>
      <c r="U26" t="s">
        <v>771</v>
      </c>
    </row>
    <row r="27" spans="1:21" x14ac:dyDescent="0.25">
      <c r="A27" t="s">
        <v>162</v>
      </c>
      <c r="B27">
        <v>20</v>
      </c>
      <c r="C27">
        <v>3</v>
      </c>
      <c r="F27">
        <f t="shared" si="0"/>
        <v>23</v>
      </c>
      <c r="G27" t="s">
        <v>742</v>
      </c>
      <c r="H27">
        <v>3200</v>
      </c>
      <c r="I27">
        <v>165</v>
      </c>
      <c r="J27">
        <f t="shared" si="1"/>
        <v>21</v>
      </c>
      <c r="K27" t="str">
        <f t="shared" si="2"/>
        <v>BAD</v>
      </c>
      <c r="L27">
        <f t="shared" si="3"/>
        <v>19.393939393939394</v>
      </c>
      <c r="U27" t="s">
        <v>772</v>
      </c>
    </row>
    <row r="28" spans="1:21" x14ac:dyDescent="0.25">
      <c r="A28" t="s">
        <v>163</v>
      </c>
      <c r="B28">
        <v>24</v>
      </c>
      <c r="C28">
        <v>4</v>
      </c>
      <c r="F28">
        <f t="shared" si="0"/>
        <v>28</v>
      </c>
      <c r="G28" t="s">
        <v>742</v>
      </c>
      <c r="H28">
        <v>3750</v>
      </c>
      <c r="I28">
        <v>165</v>
      </c>
      <c r="J28">
        <f t="shared" si="1"/>
        <v>24</v>
      </c>
      <c r="K28" t="str">
        <f t="shared" si="2"/>
        <v>BAD</v>
      </c>
      <c r="L28">
        <f t="shared" si="3"/>
        <v>22.727272727272727</v>
      </c>
      <c r="U28" t="s">
        <v>773</v>
      </c>
    </row>
    <row r="29" spans="1:21" x14ac:dyDescent="0.25">
      <c r="A29" t="s">
        <v>164</v>
      </c>
      <c r="B29">
        <v>9</v>
      </c>
      <c r="C29">
        <v>2</v>
      </c>
      <c r="F29">
        <f t="shared" si="0"/>
        <v>11</v>
      </c>
      <c r="G29" t="s">
        <v>742</v>
      </c>
      <c r="H29">
        <v>1250</v>
      </c>
      <c r="I29">
        <v>165</v>
      </c>
      <c r="J29">
        <f t="shared" si="1"/>
        <v>9</v>
      </c>
      <c r="K29" t="str">
        <f t="shared" si="2"/>
        <v>BAD</v>
      </c>
      <c r="L29">
        <f t="shared" si="3"/>
        <v>7.5757575757575761</v>
      </c>
      <c r="U29" t="s">
        <v>774</v>
      </c>
    </row>
    <row r="30" spans="1:21" x14ac:dyDescent="0.25">
      <c r="A30" t="s">
        <v>165</v>
      </c>
      <c r="B30">
        <v>20</v>
      </c>
      <c r="C30">
        <v>3</v>
      </c>
      <c r="F30">
        <f t="shared" si="0"/>
        <v>23</v>
      </c>
      <c r="G30" t="s">
        <v>742</v>
      </c>
      <c r="H30">
        <v>3200</v>
      </c>
      <c r="I30">
        <v>165</v>
      </c>
      <c r="J30">
        <f t="shared" si="1"/>
        <v>21</v>
      </c>
      <c r="K30" t="str">
        <f t="shared" si="2"/>
        <v>BAD</v>
      </c>
      <c r="L30">
        <f t="shared" si="3"/>
        <v>19.393939393939394</v>
      </c>
      <c r="U30" t="s">
        <v>775</v>
      </c>
    </row>
    <row r="31" spans="1:21" x14ac:dyDescent="0.25">
      <c r="A31" t="s">
        <v>166</v>
      </c>
      <c r="B31">
        <v>32</v>
      </c>
      <c r="C31">
        <v>5</v>
      </c>
      <c r="F31">
        <f t="shared" si="0"/>
        <v>37</v>
      </c>
      <c r="G31" t="s">
        <v>742</v>
      </c>
      <c r="H31">
        <v>5000</v>
      </c>
      <c r="I31">
        <v>165</v>
      </c>
      <c r="J31">
        <f t="shared" si="1"/>
        <v>32</v>
      </c>
      <c r="K31" t="str">
        <f t="shared" si="2"/>
        <v>BAD</v>
      </c>
      <c r="L31">
        <f t="shared" si="3"/>
        <v>30.303030303030305</v>
      </c>
      <c r="U31" t="s">
        <v>776</v>
      </c>
    </row>
    <row r="32" spans="1:21" x14ac:dyDescent="0.25">
      <c r="A32" t="s">
        <v>129</v>
      </c>
      <c r="B32">
        <v>9</v>
      </c>
      <c r="C32">
        <v>0</v>
      </c>
      <c r="F32">
        <f t="shared" si="0"/>
        <v>9</v>
      </c>
      <c r="G32" t="s">
        <v>735</v>
      </c>
      <c r="H32">
        <v>1200</v>
      </c>
      <c r="I32">
        <v>165</v>
      </c>
      <c r="J32">
        <f t="shared" si="1"/>
        <v>9</v>
      </c>
      <c r="K32" t="str">
        <f t="shared" si="2"/>
        <v>BAD</v>
      </c>
      <c r="L32">
        <f t="shared" si="3"/>
        <v>7.2727272727272725</v>
      </c>
      <c r="U32" t="s">
        <v>777</v>
      </c>
    </row>
    <row r="33" spans="1:21" x14ac:dyDescent="0.25">
      <c r="A33" t="s">
        <v>130</v>
      </c>
      <c r="B33">
        <v>9</v>
      </c>
      <c r="C33">
        <v>0</v>
      </c>
      <c r="F33">
        <f t="shared" si="0"/>
        <v>9</v>
      </c>
      <c r="G33" t="s">
        <v>735</v>
      </c>
      <c r="H33">
        <v>1200</v>
      </c>
      <c r="I33">
        <v>165</v>
      </c>
      <c r="J33">
        <f t="shared" si="1"/>
        <v>9</v>
      </c>
      <c r="K33" t="str">
        <f t="shared" si="2"/>
        <v>BAD</v>
      </c>
      <c r="L33">
        <f t="shared" si="3"/>
        <v>7.2727272727272725</v>
      </c>
      <c r="U33" t="s">
        <v>778</v>
      </c>
    </row>
    <row r="34" spans="1:21" x14ac:dyDescent="0.25">
      <c r="A34" t="s">
        <v>167</v>
      </c>
      <c r="B34">
        <v>9</v>
      </c>
      <c r="C34">
        <v>2</v>
      </c>
      <c r="F34">
        <f t="shared" si="0"/>
        <v>11</v>
      </c>
      <c r="G34" t="s">
        <v>742</v>
      </c>
      <c r="H34">
        <v>1200</v>
      </c>
      <c r="I34">
        <v>165</v>
      </c>
      <c r="J34">
        <f t="shared" si="1"/>
        <v>9</v>
      </c>
      <c r="K34" t="str">
        <f t="shared" si="2"/>
        <v>BAD</v>
      </c>
      <c r="L34">
        <f t="shared" si="3"/>
        <v>7.2727272727272725</v>
      </c>
      <c r="U34" t="s">
        <v>779</v>
      </c>
    </row>
    <row r="35" spans="1:21" x14ac:dyDescent="0.25">
      <c r="A35" t="s">
        <v>168</v>
      </c>
      <c r="B35">
        <v>9</v>
      </c>
      <c r="C35">
        <v>2</v>
      </c>
      <c r="F35">
        <f t="shared" si="0"/>
        <v>11</v>
      </c>
      <c r="G35" t="s">
        <v>742</v>
      </c>
      <c r="H35">
        <v>1200</v>
      </c>
      <c r="I35">
        <v>165</v>
      </c>
      <c r="J35">
        <f t="shared" si="1"/>
        <v>9</v>
      </c>
      <c r="K35" t="str">
        <f t="shared" si="2"/>
        <v>BAD</v>
      </c>
      <c r="L35">
        <f t="shared" si="3"/>
        <v>7.2727272727272725</v>
      </c>
      <c r="U35" t="s">
        <v>780</v>
      </c>
    </row>
    <row r="36" spans="1:21" x14ac:dyDescent="0.25">
      <c r="A36" t="s">
        <v>169</v>
      </c>
      <c r="B36">
        <v>9</v>
      </c>
      <c r="C36">
        <v>2</v>
      </c>
      <c r="F36">
        <f t="shared" si="0"/>
        <v>11</v>
      </c>
      <c r="G36" t="s">
        <v>742</v>
      </c>
      <c r="H36">
        <v>1200</v>
      </c>
      <c r="I36">
        <v>165</v>
      </c>
      <c r="J36">
        <f t="shared" si="1"/>
        <v>9</v>
      </c>
      <c r="K36" t="str">
        <f t="shared" si="2"/>
        <v>BAD</v>
      </c>
      <c r="L36">
        <f t="shared" si="3"/>
        <v>7.2727272727272725</v>
      </c>
      <c r="U36" t="s">
        <v>781</v>
      </c>
    </row>
    <row r="37" spans="1:21" x14ac:dyDescent="0.25">
      <c r="A37" t="s">
        <v>170</v>
      </c>
      <c r="B37">
        <v>9</v>
      </c>
      <c r="C37">
        <v>2</v>
      </c>
      <c r="F37">
        <f t="shared" si="0"/>
        <v>11</v>
      </c>
      <c r="G37" t="s">
        <v>742</v>
      </c>
      <c r="H37">
        <v>1200</v>
      </c>
      <c r="I37">
        <v>165</v>
      </c>
      <c r="J37">
        <f t="shared" si="1"/>
        <v>9</v>
      </c>
      <c r="K37" t="str">
        <f t="shared" si="2"/>
        <v>BAD</v>
      </c>
      <c r="L37">
        <f t="shared" si="3"/>
        <v>7.2727272727272725</v>
      </c>
      <c r="U37" t="s">
        <v>782</v>
      </c>
    </row>
    <row r="38" spans="1:21" x14ac:dyDescent="0.25">
      <c r="A38" t="s">
        <v>171</v>
      </c>
      <c r="B38">
        <v>9</v>
      </c>
      <c r="C38">
        <v>2</v>
      </c>
      <c r="F38">
        <f t="shared" si="0"/>
        <v>11</v>
      </c>
      <c r="G38" t="s">
        <v>742</v>
      </c>
      <c r="H38">
        <v>1200</v>
      </c>
      <c r="I38">
        <v>165</v>
      </c>
      <c r="J38">
        <f t="shared" si="1"/>
        <v>9</v>
      </c>
      <c r="K38" t="str">
        <f t="shared" si="2"/>
        <v>BAD</v>
      </c>
      <c r="L38">
        <f t="shared" si="3"/>
        <v>7.2727272727272725</v>
      </c>
      <c r="U38" t="s">
        <v>783</v>
      </c>
    </row>
    <row r="39" spans="1:21" x14ac:dyDescent="0.25">
      <c r="A39" t="s">
        <v>172</v>
      </c>
      <c r="B39">
        <v>9</v>
      </c>
      <c r="C39">
        <v>2</v>
      </c>
      <c r="F39">
        <f t="shared" si="0"/>
        <v>11</v>
      </c>
      <c r="G39" t="s">
        <v>742</v>
      </c>
      <c r="H39">
        <v>1200</v>
      </c>
      <c r="I39">
        <v>165</v>
      </c>
      <c r="J39">
        <f t="shared" si="1"/>
        <v>9</v>
      </c>
      <c r="K39" t="str">
        <f t="shared" si="2"/>
        <v>BAD</v>
      </c>
      <c r="L39">
        <f t="shared" si="3"/>
        <v>7.2727272727272725</v>
      </c>
      <c r="U39" t="s">
        <v>784</v>
      </c>
    </row>
    <row r="40" spans="1:21" x14ac:dyDescent="0.25">
      <c r="A40" t="s">
        <v>16</v>
      </c>
      <c r="B40">
        <v>9</v>
      </c>
      <c r="C40">
        <v>0</v>
      </c>
      <c r="F40">
        <f t="shared" si="0"/>
        <v>9</v>
      </c>
      <c r="G40" t="s">
        <v>735</v>
      </c>
      <c r="H40">
        <v>1200</v>
      </c>
      <c r="I40">
        <v>165</v>
      </c>
      <c r="J40">
        <f t="shared" si="1"/>
        <v>9</v>
      </c>
      <c r="K40" t="str">
        <f t="shared" si="2"/>
        <v>BAD</v>
      </c>
      <c r="L40">
        <f t="shared" si="3"/>
        <v>7.2727272727272725</v>
      </c>
      <c r="U40" t="s">
        <v>785</v>
      </c>
    </row>
    <row r="41" spans="1:21" x14ac:dyDescent="0.25">
      <c r="A41" t="s">
        <v>131</v>
      </c>
      <c r="B41">
        <v>9</v>
      </c>
      <c r="C41">
        <v>0</v>
      </c>
      <c r="F41">
        <f t="shared" si="0"/>
        <v>9</v>
      </c>
      <c r="G41" t="s">
        <v>735</v>
      </c>
      <c r="H41">
        <v>1200</v>
      </c>
      <c r="I41">
        <v>165</v>
      </c>
      <c r="J41">
        <f t="shared" si="1"/>
        <v>9</v>
      </c>
      <c r="K41" t="str">
        <f t="shared" si="2"/>
        <v>BAD</v>
      </c>
      <c r="L41">
        <f t="shared" si="3"/>
        <v>7.2727272727272725</v>
      </c>
      <c r="U41" t="s">
        <v>786</v>
      </c>
    </row>
    <row r="42" spans="1:21" x14ac:dyDescent="0.25">
      <c r="A42" t="s">
        <v>173</v>
      </c>
      <c r="B42">
        <v>9</v>
      </c>
      <c r="C42">
        <v>2</v>
      </c>
      <c r="F42">
        <f t="shared" si="0"/>
        <v>11</v>
      </c>
      <c r="G42" t="s">
        <v>742</v>
      </c>
      <c r="H42">
        <v>1200</v>
      </c>
      <c r="I42">
        <v>165</v>
      </c>
      <c r="J42">
        <f t="shared" si="1"/>
        <v>9</v>
      </c>
      <c r="K42" t="str">
        <f t="shared" si="2"/>
        <v>BAD</v>
      </c>
      <c r="L42">
        <f t="shared" si="3"/>
        <v>7.2727272727272725</v>
      </c>
      <c r="U42" t="s">
        <v>787</v>
      </c>
    </row>
    <row r="43" spans="1:21" x14ac:dyDescent="0.25">
      <c r="A43" t="s">
        <v>174</v>
      </c>
      <c r="B43">
        <v>9</v>
      </c>
      <c r="C43">
        <v>2</v>
      </c>
      <c r="F43">
        <f t="shared" si="0"/>
        <v>11</v>
      </c>
      <c r="G43" t="s">
        <v>742</v>
      </c>
      <c r="H43">
        <v>1200</v>
      </c>
      <c r="I43">
        <v>165</v>
      </c>
      <c r="J43">
        <f t="shared" si="1"/>
        <v>9</v>
      </c>
      <c r="K43" t="str">
        <f t="shared" si="2"/>
        <v>BAD</v>
      </c>
      <c r="L43">
        <f t="shared" si="3"/>
        <v>7.2727272727272725</v>
      </c>
      <c r="U43" t="s">
        <v>788</v>
      </c>
    </row>
    <row r="44" spans="1:21" x14ac:dyDescent="0.25">
      <c r="A44" t="s">
        <v>175</v>
      </c>
      <c r="B44">
        <v>9</v>
      </c>
      <c r="C44">
        <v>2</v>
      </c>
      <c r="F44">
        <f t="shared" si="0"/>
        <v>11</v>
      </c>
      <c r="G44" t="s">
        <v>742</v>
      </c>
      <c r="H44">
        <v>1200</v>
      </c>
      <c r="I44">
        <v>165</v>
      </c>
      <c r="J44">
        <f t="shared" si="1"/>
        <v>9</v>
      </c>
      <c r="K44" t="str">
        <f t="shared" si="2"/>
        <v>BAD</v>
      </c>
      <c r="L44">
        <f t="shared" si="3"/>
        <v>7.2727272727272725</v>
      </c>
      <c r="U44" t="s">
        <v>789</v>
      </c>
    </row>
    <row r="45" spans="1:21" x14ac:dyDescent="0.25">
      <c r="A45" t="s">
        <v>176</v>
      </c>
      <c r="B45">
        <v>9</v>
      </c>
      <c r="C45">
        <v>2</v>
      </c>
      <c r="F45">
        <f t="shared" si="0"/>
        <v>11</v>
      </c>
      <c r="G45" t="s">
        <v>742</v>
      </c>
      <c r="H45">
        <v>1200</v>
      </c>
      <c r="I45">
        <v>165</v>
      </c>
      <c r="J45">
        <f t="shared" si="1"/>
        <v>9</v>
      </c>
      <c r="K45" t="str">
        <f t="shared" si="2"/>
        <v>BAD</v>
      </c>
      <c r="L45">
        <f t="shared" si="3"/>
        <v>7.2727272727272725</v>
      </c>
      <c r="U45" t="s">
        <v>790</v>
      </c>
    </row>
    <row r="46" spans="1:21" x14ac:dyDescent="0.25">
      <c r="A46" t="s">
        <v>177</v>
      </c>
      <c r="B46">
        <v>19</v>
      </c>
      <c r="C46">
        <v>3</v>
      </c>
      <c r="F46">
        <f t="shared" si="0"/>
        <v>22</v>
      </c>
      <c r="G46" t="s">
        <v>742</v>
      </c>
      <c r="H46">
        <v>3200</v>
      </c>
      <c r="I46">
        <v>165</v>
      </c>
      <c r="J46">
        <f t="shared" si="1"/>
        <v>21</v>
      </c>
      <c r="K46" t="str">
        <f t="shared" si="2"/>
        <v>BAD</v>
      </c>
      <c r="L46">
        <f t="shared" si="3"/>
        <v>19.393939393939394</v>
      </c>
      <c r="U46" t="s">
        <v>791</v>
      </c>
    </row>
    <row r="47" spans="1:21" x14ac:dyDescent="0.25">
      <c r="F47">
        <f>SUM(F2:F46)</f>
        <v>593</v>
      </c>
      <c r="U47" t="s">
        <v>792</v>
      </c>
    </row>
    <row r="48" spans="1:21" x14ac:dyDescent="0.25">
      <c r="U48" t="s">
        <v>793</v>
      </c>
    </row>
    <row r="49" spans="21:21" x14ac:dyDescent="0.25">
      <c r="U49" t="s">
        <v>794</v>
      </c>
    </row>
    <row r="50" spans="21:21" x14ac:dyDescent="0.25">
      <c r="U50" t="s">
        <v>795</v>
      </c>
    </row>
    <row r="51" spans="21:21" x14ac:dyDescent="0.25">
      <c r="U51" t="s">
        <v>796</v>
      </c>
    </row>
    <row r="52" spans="21:21" x14ac:dyDescent="0.25">
      <c r="U52" t="s">
        <v>797</v>
      </c>
    </row>
    <row r="53" spans="21:21" x14ac:dyDescent="0.25">
      <c r="U53" t="s">
        <v>798</v>
      </c>
    </row>
    <row r="54" spans="21:21" x14ac:dyDescent="0.25">
      <c r="U54" t="s">
        <v>799</v>
      </c>
    </row>
    <row r="55" spans="21:21" x14ac:dyDescent="0.25">
      <c r="U55" t="s">
        <v>800</v>
      </c>
    </row>
    <row r="56" spans="21:21" x14ac:dyDescent="0.25">
      <c r="U56" t="s">
        <v>801</v>
      </c>
    </row>
    <row r="57" spans="21:21" x14ac:dyDescent="0.25">
      <c r="U57" t="s">
        <v>802</v>
      </c>
    </row>
    <row r="58" spans="21:21" x14ac:dyDescent="0.25">
      <c r="U58" t="s">
        <v>803</v>
      </c>
    </row>
    <row r="59" spans="21:21" x14ac:dyDescent="0.25">
      <c r="U59" t="s">
        <v>804</v>
      </c>
    </row>
    <row r="60" spans="21:21" x14ac:dyDescent="0.25">
      <c r="U60" t="s">
        <v>805</v>
      </c>
    </row>
    <row r="61" spans="21:21" x14ac:dyDescent="0.25">
      <c r="U61" t="s">
        <v>806</v>
      </c>
    </row>
    <row r="62" spans="21:21" x14ac:dyDescent="0.25">
      <c r="U62" t="s">
        <v>807</v>
      </c>
    </row>
    <row r="63" spans="21:21" x14ac:dyDescent="0.25">
      <c r="U63" t="s">
        <v>808</v>
      </c>
    </row>
    <row r="64" spans="21:21" x14ac:dyDescent="0.25">
      <c r="U64" t="s">
        <v>809</v>
      </c>
    </row>
    <row r="65" spans="21:21" x14ac:dyDescent="0.25">
      <c r="U65" t="s">
        <v>810</v>
      </c>
    </row>
    <row r="66" spans="21:21" x14ac:dyDescent="0.25">
      <c r="U66" t="s">
        <v>811</v>
      </c>
    </row>
    <row r="67" spans="21:21" x14ac:dyDescent="0.25">
      <c r="U67" t="s">
        <v>812</v>
      </c>
    </row>
    <row r="68" spans="21:21" x14ac:dyDescent="0.25">
      <c r="U68" t="s">
        <v>813</v>
      </c>
    </row>
    <row r="69" spans="21:21" x14ac:dyDescent="0.25">
      <c r="U69" t="s">
        <v>814</v>
      </c>
    </row>
    <row r="70" spans="21:21" x14ac:dyDescent="0.25">
      <c r="U70" t="s">
        <v>815</v>
      </c>
    </row>
    <row r="71" spans="21:21" x14ac:dyDescent="0.25">
      <c r="U71" t="s">
        <v>816</v>
      </c>
    </row>
    <row r="72" spans="21:21" x14ac:dyDescent="0.25">
      <c r="U72" t="s">
        <v>817</v>
      </c>
    </row>
    <row r="73" spans="21:21" x14ac:dyDescent="0.25">
      <c r="U73" t="s">
        <v>818</v>
      </c>
    </row>
    <row r="74" spans="21:21" x14ac:dyDescent="0.25">
      <c r="U74" t="s">
        <v>819</v>
      </c>
    </row>
    <row r="75" spans="21:21" x14ac:dyDescent="0.25">
      <c r="U75" t="s">
        <v>820</v>
      </c>
    </row>
    <row r="76" spans="21:21" x14ac:dyDescent="0.25">
      <c r="U76" t="s">
        <v>821</v>
      </c>
    </row>
    <row r="77" spans="21:21" x14ac:dyDescent="0.25">
      <c r="U77" t="s">
        <v>822</v>
      </c>
    </row>
    <row r="78" spans="21:21" x14ac:dyDescent="0.25">
      <c r="U78" t="s">
        <v>823</v>
      </c>
    </row>
    <row r="79" spans="21:21" x14ac:dyDescent="0.25">
      <c r="U79" t="s">
        <v>824</v>
      </c>
    </row>
    <row r="80" spans="21:21" x14ac:dyDescent="0.25">
      <c r="U80" t="s">
        <v>825</v>
      </c>
    </row>
    <row r="81" spans="21:21" x14ac:dyDescent="0.25">
      <c r="U81" t="s">
        <v>826</v>
      </c>
    </row>
    <row r="82" spans="21:21" x14ac:dyDescent="0.25">
      <c r="U82" t="s">
        <v>827</v>
      </c>
    </row>
    <row r="83" spans="21:21" x14ac:dyDescent="0.25">
      <c r="U83" t="s">
        <v>828</v>
      </c>
    </row>
    <row r="84" spans="21:21" x14ac:dyDescent="0.25">
      <c r="U84" t="s">
        <v>829</v>
      </c>
    </row>
    <row r="85" spans="21:21" x14ac:dyDescent="0.25">
      <c r="U85" t="s">
        <v>830</v>
      </c>
    </row>
    <row r="86" spans="21:21" x14ac:dyDescent="0.25">
      <c r="U86" t="s">
        <v>831</v>
      </c>
    </row>
    <row r="87" spans="21:21" x14ac:dyDescent="0.25">
      <c r="U87" t="s">
        <v>832</v>
      </c>
    </row>
    <row r="88" spans="21:21" x14ac:dyDescent="0.25">
      <c r="U88" t="s">
        <v>833</v>
      </c>
    </row>
    <row r="89" spans="21:21" x14ac:dyDescent="0.25">
      <c r="U89" t="s">
        <v>834</v>
      </c>
    </row>
    <row r="90" spans="21:21" x14ac:dyDescent="0.25">
      <c r="U90" t="s">
        <v>835</v>
      </c>
    </row>
    <row r="91" spans="21:21" x14ac:dyDescent="0.25">
      <c r="U91" t="s">
        <v>836</v>
      </c>
    </row>
    <row r="92" spans="21:21" x14ac:dyDescent="0.25">
      <c r="U92" t="s">
        <v>837</v>
      </c>
    </row>
    <row r="93" spans="21:21" x14ac:dyDescent="0.25">
      <c r="U93" t="s">
        <v>838</v>
      </c>
    </row>
    <row r="94" spans="21:21" x14ac:dyDescent="0.25">
      <c r="U94" t="s">
        <v>839</v>
      </c>
    </row>
    <row r="95" spans="21:21" x14ac:dyDescent="0.25">
      <c r="U95" t="s">
        <v>840</v>
      </c>
    </row>
    <row r="96" spans="21:21" x14ac:dyDescent="0.25">
      <c r="U96" t="s">
        <v>841</v>
      </c>
    </row>
    <row r="97" spans="21:21" x14ac:dyDescent="0.25">
      <c r="U97" t="s">
        <v>842</v>
      </c>
    </row>
    <row r="98" spans="21:21" x14ac:dyDescent="0.25">
      <c r="U98" t="s">
        <v>843</v>
      </c>
    </row>
    <row r="99" spans="21:21" x14ac:dyDescent="0.25">
      <c r="U99" t="s">
        <v>844</v>
      </c>
    </row>
    <row r="100" spans="21:21" x14ac:dyDescent="0.25">
      <c r="U100" t="s">
        <v>845</v>
      </c>
    </row>
    <row r="101" spans="21:21" x14ac:dyDescent="0.25">
      <c r="U101" t="s">
        <v>846</v>
      </c>
    </row>
    <row r="102" spans="21:21" x14ac:dyDescent="0.25">
      <c r="U102" t="s">
        <v>847</v>
      </c>
    </row>
    <row r="103" spans="21:21" x14ac:dyDescent="0.25">
      <c r="U103" t="s">
        <v>848</v>
      </c>
    </row>
    <row r="104" spans="21:21" x14ac:dyDescent="0.25">
      <c r="U104" t="s">
        <v>849</v>
      </c>
    </row>
    <row r="105" spans="21:21" x14ac:dyDescent="0.25">
      <c r="U105" t="s">
        <v>850</v>
      </c>
    </row>
    <row r="106" spans="21:21" x14ac:dyDescent="0.25">
      <c r="U106" t="s">
        <v>851</v>
      </c>
    </row>
    <row r="107" spans="21:21" x14ac:dyDescent="0.25">
      <c r="U107" t="s">
        <v>852</v>
      </c>
    </row>
    <row r="108" spans="21:21" x14ac:dyDescent="0.25">
      <c r="U108" t="s">
        <v>853</v>
      </c>
    </row>
    <row r="109" spans="21:21" x14ac:dyDescent="0.25">
      <c r="U109" t="s">
        <v>854</v>
      </c>
    </row>
    <row r="110" spans="21:21" x14ac:dyDescent="0.25">
      <c r="U110" t="s">
        <v>855</v>
      </c>
    </row>
    <row r="111" spans="21:21" x14ac:dyDescent="0.25">
      <c r="U111" t="s">
        <v>856</v>
      </c>
    </row>
    <row r="112" spans="21:21" x14ac:dyDescent="0.25">
      <c r="U112" t="s">
        <v>857</v>
      </c>
    </row>
    <row r="113" spans="21:21" x14ac:dyDescent="0.25">
      <c r="U113" t="s">
        <v>858</v>
      </c>
    </row>
    <row r="114" spans="21:21" x14ac:dyDescent="0.25">
      <c r="U114" t="s">
        <v>859</v>
      </c>
    </row>
    <row r="115" spans="21:21" x14ac:dyDescent="0.25">
      <c r="U115" t="s">
        <v>860</v>
      </c>
    </row>
    <row r="116" spans="21:21" x14ac:dyDescent="0.25">
      <c r="U116" t="s">
        <v>861</v>
      </c>
    </row>
    <row r="117" spans="21:21" x14ac:dyDescent="0.25">
      <c r="U117" t="s">
        <v>862</v>
      </c>
    </row>
    <row r="118" spans="21:21" x14ac:dyDescent="0.25">
      <c r="U118" t="s">
        <v>863</v>
      </c>
    </row>
    <row r="119" spans="21:21" x14ac:dyDescent="0.25">
      <c r="U119" t="s">
        <v>864</v>
      </c>
    </row>
    <row r="120" spans="21:21" x14ac:dyDescent="0.25">
      <c r="U120" t="s">
        <v>865</v>
      </c>
    </row>
    <row r="121" spans="21:21" x14ac:dyDescent="0.25">
      <c r="U121" t="s">
        <v>866</v>
      </c>
    </row>
    <row r="122" spans="21:21" x14ac:dyDescent="0.25">
      <c r="U122" t="s">
        <v>867</v>
      </c>
    </row>
    <row r="123" spans="21:21" x14ac:dyDescent="0.25">
      <c r="U123" t="s">
        <v>868</v>
      </c>
    </row>
    <row r="124" spans="21:21" x14ac:dyDescent="0.25">
      <c r="U124" t="s">
        <v>869</v>
      </c>
    </row>
    <row r="125" spans="21:21" x14ac:dyDescent="0.25">
      <c r="U125" t="s">
        <v>870</v>
      </c>
    </row>
    <row r="126" spans="21:21" x14ac:dyDescent="0.25">
      <c r="U126" t="s">
        <v>871</v>
      </c>
    </row>
    <row r="127" spans="21:21" x14ac:dyDescent="0.25">
      <c r="U127" t="s">
        <v>872</v>
      </c>
    </row>
    <row r="128" spans="21:21" x14ac:dyDescent="0.25">
      <c r="U128" t="s">
        <v>873</v>
      </c>
    </row>
    <row r="129" spans="21:21" x14ac:dyDescent="0.25">
      <c r="U129" t="s">
        <v>874</v>
      </c>
    </row>
    <row r="130" spans="21:21" x14ac:dyDescent="0.25">
      <c r="U130" t="s">
        <v>875</v>
      </c>
    </row>
    <row r="131" spans="21:21" x14ac:dyDescent="0.25">
      <c r="U131" t="s">
        <v>876</v>
      </c>
    </row>
    <row r="132" spans="21:21" x14ac:dyDescent="0.25">
      <c r="U132" t="s">
        <v>877</v>
      </c>
    </row>
    <row r="133" spans="21:21" x14ac:dyDescent="0.25">
      <c r="U133" t="s">
        <v>878</v>
      </c>
    </row>
    <row r="134" spans="21:21" x14ac:dyDescent="0.25">
      <c r="U134" t="s">
        <v>879</v>
      </c>
    </row>
    <row r="135" spans="21:21" x14ac:dyDescent="0.25">
      <c r="U135" t="s">
        <v>880</v>
      </c>
    </row>
    <row r="136" spans="21:21" x14ac:dyDescent="0.25">
      <c r="U136" t="s">
        <v>881</v>
      </c>
    </row>
    <row r="137" spans="21:21" x14ac:dyDescent="0.25">
      <c r="U137" t="s">
        <v>882</v>
      </c>
    </row>
    <row r="138" spans="21:21" x14ac:dyDescent="0.25">
      <c r="U138" t="s">
        <v>883</v>
      </c>
    </row>
    <row r="139" spans="21:21" x14ac:dyDescent="0.25">
      <c r="U139" t="s">
        <v>884</v>
      </c>
    </row>
    <row r="140" spans="21:21" x14ac:dyDescent="0.25">
      <c r="U140" t="s">
        <v>885</v>
      </c>
    </row>
    <row r="141" spans="21:21" x14ac:dyDescent="0.25">
      <c r="U141" t="s">
        <v>886</v>
      </c>
    </row>
    <row r="142" spans="21:21" x14ac:dyDescent="0.25">
      <c r="U142" t="s">
        <v>887</v>
      </c>
    </row>
    <row r="143" spans="21:21" x14ac:dyDescent="0.25">
      <c r="U143" t="s">
        <v>888</v>
      </c>
    </row>
    <row r="144" spans="21:21" x14ac:dyDescent="0.25">
      <c r="U144" t="s">
        <v>889</v>
      </c>
    </row>
    <row r="145" spans="21:21" x14ac:dyDescent="0.25">
      <c r="U145" t="s">
        <v>890</v>
      </c>
    </row>
    <row r="146" spans="21:21" x14ac:dyDescent="0.25">
      <c r="U146" t="s">
        <v>891</v>
      </c>
    </row>
    <row r="147" spans="21:21" x14ac:dyDescent="0.25">
      <c r="U147" t="s">
        <v>892</v>
      </c>
    </row>
    <row r="148" spans="21:21" x14ac:dyDescent="0.25">
      <c r="U148" t="s">
        <v>893</v>
      </c>
    </row>
    <row r="149" spans="21:21" x14ac:dyDescent="0.25">
      <c r="U149" t="s">
        <v>894</v>
      </c>
    </row>
    <row r="150" spans="21:21" x14ac:dyDescent="0.25">
      <c r="U150" t="s">
        <v>895</v>
      </c>
    </row>
    <row r="151" spans="21:21" x14ac:dyDescent="0.25">
      <c r="U151" t="s">
        <v>896</v>
      </c>
    </row>
    <row r="152" spans="21:21" x14ac:dyDescent="0.25">
      <c r="U152" t="s">
        <v>897</v>
      </c>
    </row>
    <row r="153" spans="21:21" x14ac:dyDescent="0.25">
      <c r="U153" t="s">
        <v>898</v>
      </c>
    </row>
    <row r="154" spans="21:21" x14ac:dyDescent="0.25">
      <c r="U154" t="s">
        <v>899</v>
      </c>
    </row>
    <row r="155" spans="21:21" x14ac:dyDescent="0.25">
      <c r="U155" t="s">
        <v>900</v>
      </c>
    </row>
    <row r="156" spans="21:21" x14ac:dyDescent="0.25">
      <c r="U156" t="s">
        <v>901</v>
      </c>
    </row>
    <row r="157" spans="21:21" x14ac:dyDescent="0.25">
      <c r="U157" t="s">
        <v>902</v>
      </c>
    </row>
    <row r="158" spans="21:21" x14ac:dyDescent="0.25">
      <c r="U158" t="s">
        <v>903</v>
      </c>
    </row>
    <row r="159" spans="21:21" x14ac:dyDescent="0.25">
      <c r="U159" t="s">
        <v>904</v>
      </c>
    </row>
    <row r="160" spans="21:21" x14ac:dyDescent="0.25">
      <c r="U160" t="s">
        <v>905</v>
      </c>
    </row>
    <row r="161" spans="21:21" x14ac:dyDescent="0.25">
      <c r="U161" t="s">
        <v>906</v>
      </c>
    </row>
    <row r="162" spans="21:21" x14ac:dyDescent="0.25">
      <c r="U162" t="s">
        <v>907</v>
      </c>
    </row>
    <row r="163" spans="21:21" x14ac:dyDescent="0.25">
      <c r="U163" t="s">
        <v>908</v>
      </c>
    </row>
    <row r="164" spans="21:21" x14ac:dyDescent="0.25">
      <c r="U164" t="s">
        <v>909</v>
      </c>
    </row>
    <row r="165" spans="21:21" x14ac:dyDescent="0.25">
      <c r="U165" t="s">
        <v>910</v>
      </c>
    </row>
    <row r="166" spans="21:21" x14ac:dyDescent="0.25">
      <c r="U166" t="s">
        <v>911</v>
      </c>
    </row>
    <row r="167" spans="21:21" x14ac:dyDescent="0.25">
      <c r="U167" t="s">
        <v>912</v>
      </c>
    </row>
    <row r="168" spans="21:21" x14ac:dyDescent="0.25">
      <c r="U168" t="s">
        <v>913</v>
      </c>
    </row>
    <row r="169" spans="21:21" x14ac:dyDescent="0.25">
      <c r="U169" t="s">
        <v>914</v>
      </c>
    </row>
    <row r="170" spans="21:21" x14ac:dyDescent="0.25">
      <c r="U170" t="s">
        <v>915</v>
      </c>
    </row>
    <row r="171" spans="21:21" x14ac:dyDescent="0.25">
      <c r="U171" t="s">
        <v>916</v>
      </c>
    </row>
    <row r="172" spans="21:21" x14ac:dyDescent="0.25">
      <c r="U172" t="s">
        <v>917</v>
      </c>
    </row>
    <row r="173" spans="21:21" x14ac:dyDescent="0.25">
      <c r="U173" t="s">
        <v>918</v>
      </c>
    </row>
    <row r="174" spans="21:21" x14ac:dyDescent="0.25">
      <c r="U174" t="s">
        <v>919</v>
      </c>
    </row>
    <row r="175" spans="21:21" x14ac:dyDescent="0.25">
      <c r="U175" t="s">
        <v>920</v>
      </c>
    </row>
    <row r="176" spans="21:21" x14ac:dyDescent="0.25">
      <c r="U176" t="s">
        <v>921</v>
      </c>
    </row>
    <row r="177" spans="21:21" x14ac:dyDescent="0.25">
      <c r="U177" t="s">
        <v>922</v>
      </c>
    </row>
    <row r="178" spans="21:21" x14ac:dyDescent="0.25">
      <c r="U178" t="s">
        <v>923</v>
      </c>
    </row>
    <row r="179" spans="21:21" x14ac:dyDescent="0.25">
      <c r="U179" t="s">
        <v>924</v>
      </c>
    </row>
    <row r="180" spans="21:21" x14ac:dyDescent="0.25">
      <c r="U180" t="s">
        <v>925</v>
      </c>
    </row>
    <row r="181" spans="21:21" x14ac:dyDescent="0.25">
      <c r="U181" t="s">
        <v>926</v>
      </c>
    </row>
    <row r="182" spans="21:21" x14ac:dyDescent="0.25">
      <c r="U182" t="s">
        <v>927</v>
      </c>
    </row>
    <row r="183" spans="21:21" x14ac:dyDescent="0.25">
      <c r="U183" t="s">
        <v>928</v>
      </c>
    </row>
    <row r="184" spans="21:21" x14ac:dyDescent="0.25">
      <c r="U184" t="s">
        <v>929</v>
      </c>
    </row>
    <row r="185" spans="21:21" x14ac:dyDescent="0.25">
      <c r="U185" t="s">
        <v>930</v>
      </c>
    </row>
    <row r="186" spans="21:21" x14ac:dyDescent="0.25">
      <c r="U186" t="s">
        <v>931</v>
      </c>
    </row>
    <row r="187" spans="21:21" x14ac:dyDescent="0.25">
      <c r="U187" t="s">
        <v>932</v>
      </c>
    </row>
    <row r="188" spans="21:21" x14ac:dyDescent="0.25">
      <c r="U188" t="s">
        <v>933</v>
      </c>
    </row>
    <row r="189" spans="21:21" x14ac:dyDescent="0.25">
      <c r="U189" t="s">
        <v>934</v>
      </c>
    </row>
    <row r="190" spans="21:21" x14ac:dyDescent="0.25">
      <c r="U190" t="s">
        <v>935</v>
      </c>
    </row>
    <row r="191" spans="21:21" x14ac:dyDescent="0.25">
      <c r="U191" t="s">
        <v>936</v>
      </c>
    </row>
    <row r="192" spans="21:21" x14ac:dyDescent="0.25">
      <c r="U192" t="s">
        <v>937</v>
      </c>
    </row>
    <row r="193" spans="21:21" x14ac:dyDescent="0.25">
      <c r="U193" t="s">
        <v>938</v>
      </c>
    </row>
    <row r="194" spans="21:21" x14ac:dyDescent="0.25">
      <c r="U194" t="s">
        <v>939</v>
      </c>
    </row>
    <row r="195" spans="21:21" x14ac:dyDescent="0.25">
      <c r="U195" t="s">
        <v>940</v>
      </c>
    </row>
    <row r="196" spans="21:21" x14ac:dyDescent="0.25">
      <c r="U196" t="s">
        <v>941</v>
      </c>
    </row>
    <row r="197" spans="21:21" x14ac:dyDescent="0.25">
      <c r="U197" t="s">
        <v>942</v>
      </c>
    </row>
    <row r="198" spans="21:21" x14ac:dyDescent="0.25">
      <c r="U198" t="s">
        <v>943</v>
      </c>
    </row>
    <row r="199" spans="21:21" x14ac:dyDescent="0.25">
      <c r="U199" t="s">
        <v>944</v>
      </c>
    </row>
    <row r="200" spans="21:21" x14ac:dyDescent="0.25">
      <c r="U200" t="s">
        <v>945</v>
      </c>
    </row>
    <row r="201" spans="21:21" x14ac:dyDescent="0.25">
      <c r="U201" t="s">
        <v>946</v>
      </c>
    </row>
    <row r="202" spans="21:21" x14ac:dyDescent="0.25">
      <c r="U202" t="s">
        <v>947</v>
      </c>
    </row>
    <row r="203" spans="21:21" x14ac:dyDescent="0.25">
      <c r="U203" t="s">
        <v>948</v>
      </c>
    </row>
    <row r="204" spans="21:21" x14ac:dyDescent="0.25">
      <c r="U204" t="s">
        <v>949</v>
      </c>
    </row>
    <row r="205" spans="21:21" x14ac:dyDescent="0.25">
      <c r="U205" t="s">
        <v>950</v>
      </c>
    </row>
    <row r="206" spans="21:21" x14ac:dyDescent="0.25">
      <c r="U206" t="s">
        <v>951</v>
      </c>
    </row>
    <row r="207" spans="21:21" x14ac:dyDescent="0.25">
      <c r="U207" t="s">
        <v>952</v>
      </c>
    </row>
    <row r="208" spans="21:21" x14ac:dyDescent="0.25">
      <c r="U208" t="s">
        <v>953</v>
      </c>
    </row>
    <row r="209" spans="21:21" x14ac:dyDescent="0.25">
      <c r="U209" t="s">
        <v>954</v>
      </c>
    </row>
    <row r="210" spans="21:21" x14ac:dyDescent="0.25">
      <c r="U210" t="s">
        <v>955</v>
      </c>
    </row>
    <row r="211" spans="21:21" x14ac:dyDescent="0.25">
      <c r="U211" t="s">
        <v>956</v>
      </c>
    </row>
    <row r="212" spans="21:21" x14ac:dyDescent="0.25">
      <c r="U212" t="s">
        <v>957</v>
      </c>
    </row>
    <row r="213" spans="21:21" x14ac:dyDescent="0.25">
      <c r="U213" t="s">
        <v>958</v>
      </c>
    </row>
    <row r="214" spans="21:21" x14ac:dyDescent="0.25">
      <c r="U214" t="s">
        <v>959</v>
      </c>
    </row>
    <row r="215" spans="21:21" x14ac:dyDescent="0.25">
      <c r="U215" t="s">
        <v>960</v>
      </c>
    </row>
    <row r="216" spans="21:21" x14ac:dyDescent="0.25">
      <c r="U216" t="s">
        <v>961</v>
      </c>
    </row>
    <row r="217" spans="21:21" x14ac:dyDescent="0.25">
      <c r="U217" t="s">
        <v>962</v>
      </c>
    </row>
    <row r="218" spans="21:21" x14ac:dyDescent="0.25">
      <c r="U218" t="s">
        <v>963</v>
      </c>
    </row>
    <row r="219" spans="21:21" x14ac:dyDescent="0.25">
      <c r="U219" t="s">
        <v>964</v>
      </c>
    </row>
    <row r="220" spans="21:21" x14ac:dyDescent="0.25">
      <c r="U220" t="s">
        <v>965</v>
      </c>
    </row>
    <row r="221" spans="21:21" x14ac:dyDescent="0.25">
      <c r="U221" t="s">
        <v>966</v>
      </c>
    </row>
    <row r="222" spans="21:21" x14ac:dyDescent="0.25">
      <c r="U222" t="s">
        <v>967</v>
      </c>
    </row>
    <row r="223" spans="21:21" x14ac:dyDescent="0.25">
      <c r="U223" t="s">
        <v>968</v>
      </c>
    </row>
    <row r="224" spans="21:21" x14ac:dyDescent="0.25">
      <c r="U224" t="s">
        <v>969</v>
      </c>
    </row>
    <row r="225" spans="21:21" x14ac:dyDescent="0.25">
      <c r="U225" t="s">
        <v>970</v>
      </c>
    </row>
    <row r="226" spans="21:21" x14ac:dyDescent="0.25">
      <c r="U226" t="s">
        <v>971</v>
      </c>
    </row>
    <row r="227" spans="21:21" x14ac:dyDescent="0.25">
      <c r="U227" t="s">
        <v>972</v>
      </c>
    </row>
    <row r="228" spans="21:21" x14ac:dyDescent="0.25">
      <c r="U228" t="s">
        <v>973</v>
      </c>
    </row>
    <row r="229" spans="21:21" x14ac:dyDescent="0.25">
      <c r="U229" t="s">
        <v>974</v>
      </c>
    </row>
    <row r="230" spans="21:21" x14ac:dyDescent="0.25">
      <c r="U230" t="s">
        <v>975</v>
      </c>
    </row>
    <row r="231" spans="21:21" x14ac:dyDescent="0.25">
      <c r="U231" t="s">
        <v>976</v>
      </c>
    </row>
    <row r="232" spans="21:21" x14ac:dyDescent="0.25">
      <c r="U232" t="s">
        <v>977</v>
      </c>
    </row>
    <row r="233" spans="21:21" x14ac:dyDescent="0.25">
      <c r="U233" t="s">
        <v>978</v>
      </c>
    </row>
    <row r="234" spans="21:21" x14ac:dyDescent="0.25">
      <c r="U234" t="s">
        <v>979</v>
      </c>
    </row>
    <row r="235" spans="21:21" x14ac:dyDescent="0.25">
      <c r="U235" t="s">
        <v>980</v>
      </c>
    </row>
    <row r="236" spans="21:21" x14ac:dyDescent="0.25">
      <c r="U236" t="s">
        <v>981</v>
      </c>
    </row>
    <row r="237" spans="21:21" x14ac:dyDescent="0.25">
      <c r="U237" t="s">
        <v>982</v>
      </c>
    </row>
    <row r="238" spans="21:21" x14ac:dyDescent="0.25">
      <c r="U238" t="s">
        <v>983</v>
      </c>
    </row>
    <row r="239" spans="21:21" x14ac:dyDescent="0.25">
      <c r="U239" t="s">
        <v>984</v>
      </c>
    </row>
    <row r="240" spans="21:21" x14ac:dyDescent="0.25">
      <c r="U240" t="s">
        <v>985</v>
      </c>
    </row>
    <row r="241" spans="21:21" x14ac:dyDescent="0.25">
      <c r="U241" t="s">
        <v>986</v>
      </c>
    </row>
    <row r="242" spans="21:21" x14ac:dyDescent="0.25">
      <c r="U242" t="s">
        <v>987</v>
      </c>
    </row>
    <row r="243" spans="21:21" x14ac:dyDescent="0.25">
      <c r="U243" t="s">
        <v>988</v>
      </c>
    </row>
    <row r="244" spans="21:21" x14ac:dyDescent="0.25">
      <c r="U244" t="s">
        <v>989</v>
      </c>
    </row>
    <row r="245" spans="21:21" x14ac:dyDescent="0.25">
      <c r="U245" t="s">
        <v>990</v>
      </c>
    </row>
    <row r="246" spans="21:21" x14ac:dyDescent="0.25">
      <c r="U246" t="s">
        <v>991</v>
      </c>
    </row>
    <row r="247" spans="21:21" x14ac:dyDescent="0.25">
      <c r="U247" t="s">
        <v>992</v>
      </c>
    </row>
    <row r="248" spans="21:21" x14ac:dyDescent="0.25">
      <c r="U248" t="s">
        <v>993</v>
      </c>
    </row>
    <row r="249" spans="21:21" x14ac:dyDescent="0.25">
      <c r="U249" t="s">
        <v>994</v>
      </c>
    </row>
    <row r="250" spans="21:21" x14ac:dyDescent="0.25">
      <c r="U250" t="s">
        <v>995</v>
      </c>
    </row>
    <row r="251" spans="21:21" x14ac:dyDescent="0.25">
      <c r="U251" t="s">
        <v>996</v>
      </c>
    </row>
    <row r="252" spans="21:21" x14ac:dyDescent="0.25">
      <c r="U252" t="s">
        <v>997</v>
      </c>
    </row>
    <row r="253" spans="21:21" x14ac:dyDescent="0.25">
      <c r="U253" t="s">
        <v>998</v>
      </c>
    </row>
    <row r="254" spans="21:21" x14ac:dyDescent="0.25">
      <c r="U254" t="s">
        <v>999</v>
      </c>
    </row>
    <row r="255" spans="21:21" x14ac:dyDescent="0.25">
      <c r="U255" t="s">
        <v>1000</v>
      </c>
    </row>
    <row r="256" spans="21:21" x14ac:dyDescent="0.25">
      <c r="U256" t="s">
        <v>1001</v>
      </c>
    </row>
    <row r="257" spans="21:21" x14ac:dyDescent="0.25">
      <c r="U257" t="s">
        <v>1002</v>
      </c>
    </row>
    <row r="258" spans="21:21" x14ac:dyDescent="0.25">
      <c r="U258" t="s">
        <v>1003</v>
      </c>
    </row>
    <row r="259" spans="21:21" x14ac:dyDescent="0.25">
      <c r="U259" t="s">
        <v>1004</v>
      </c>
    </row>
    <row r="260" spans="21:21" x14ac:dyDescent="0.25">
      <c r="U260" t="s">
        <v>1005</v>
      </c>
    </row>
    <row r="261" spans="21:21" x14ac:dyDescent="0.25">
      <c r="U261" t="s">
        <v>1006</v>
      </c>
    </row>
    <row r="262" spans="21:21" x14ac:dyDescent="0.25">
      <c r="U262" t="s">
        <v>1007</v>
      </c>
    </row>
    <row r="263" spans="21:21" x14ac:dyDescent="0.25">
      <c r="U263" t="s">
        <v>1008</v>
      </c>
    </row>
    <row r="264" spans="21:21" x14ac:dyDescent="0.25">
      <c r="U264" t="s">
        <v>1009</v>
      </c>
    </row>
    <row r="265" spans="21:21" x14ac:dyDescent="0.25">
      <c r="U265" t="s">
        <v>1010</v>
      </c>
    </row>
    <row r="266" spans="21:21" x14ac:dyDescent="0.25">
      <c r="U266" t="s">
        <v>1011</v>
      </c>
    </row>
    <row r="267" spans="21:21" x14ac:dyDescent="0.25">
      <c r="U267" t="s">
        <v>1012</v>
      </c>
    </row>
    <row r="268" spans="21:21" x14ac:dyDescent="0.25">
      <c r="U268" t="s">
        <v>1013</v>
      </c>
    </row>
    <row r="269" spans="21:21" x14ac:dyDescent="0.25">
      <c r="U269" t="s">
        <v>1014</v>
      </c>
    </row>
    <row r="270" spans="21:21" x14ac:dyDescent="0.25">
      <c r="U270" t="s">
        <v>1015</v>
      </c>
    </row>
    <row r="271" spans="21:21" x14ac:dyDescent="0.25">
      <c r="U271" t="s">
        <v>1016</v>
      </c>
    </row>
    <row r="272" spans="21:21" x14ac:dyDescent="0.25">
      <c r="U272" t="s">
        <v>1017</v>
      </c>
    </row>
    <row r="273" spans="21:21" x14ac:dyDescent="0.25">
      <c r="U273" t="s">
        <v>1018</v>
      </c>
    </row>
    <row r="274" spans="21:21" x14ac:dyDescent="0.25">
      <c r="U274" t="s">
        <v>1019</v>
      </c>
    </row>
    <row r="275" spans="21:21" x14ac:dyDescent="0.25">
      <c r="U275" t="s">
        <v>1020</v>
      </c>
    </row>
    <row r="276" spans="21:21" x14ac:dyDescent="0.25">
      <c r="U276" t="s">
        <v>1021</v>
      </c>
    </row>
    <row r="277" spans="21:21" x14ac:dyDescent="0.25">
      <c r="U277" t="s">
        <v>1022</v>
      </c>
    </row>
    <row r="278" spans="21:21" x14ac:dyDescent="0.25">
      <c r="U278" t="s">
        <v>1023</v>
      </c>
    </row>
    <row r="279" spans="21:21" x14ac:dyDescent="0.25">
      <c r="U279" t="s">
        <v>1024</v>
      </c>
    </row>
    <row r="280" spans="21:21" x14ac:dyDescent="0.25">
      <c r="U280" t="s">
        <v>1025</v>
      </c>
    </row>
    <row r="281" spans="21:21" x14ac:dyDescent="0.25">
      <c r="U281" t="s">
        <v>1026</v>
      </c>
    </row>
    <row r="282" spans="21:21" x14ac:dyDescent="0.25">
      <c r="U282" t="s">
        <v>1027</v>
      </c>
    </row>
    <row r="283" spans="21:21" x14ac:dyDescent="0.25">
      <c r="U283" t="s">
        <v>1028</v>
      </c>
    </row>
    <row r="284" spans="21:21" x14ac:dyDescent="0.25">
      <c r="U284" t="s">
        <v>1029</v>
      </c>
    </row>
    <row r="285" spans="21:21" x14ac:dyDescent="0.25">
      <c r="U285" t="s">
        <v>1030</v>
      </c>
    </row>
    <row r="286" spans="21:21" x14ac:dyDescent="0.25">
      <c r="U286" t="s">
        <v>1031</v>
      </c>
    </row>
    <row r="287" spans="21:21" x14ac:dyDescent="0.25">
      <c r="U287" t="s">
        <v>1032</v>
      </c>
    </row>
    <row r="288" spans="21:21" x14ac:dyDescent="0.25">
      <c r="U288" t="s">
        <v>1033</v>
      </c>
    </row>
    <row r="289" spans="21:21" x14ac:dyDescent="0.25">
      <c r="U289" t="s">
        <v>1034</v>
      </c>
    </row>
    <row r="290" spans="21:21" x14ac:dyDescent="0.25">
      <c r="U290" t="s">
        <v>1035</v>
      </c>
    </row>
    <row r="291" spans="21:21" x14ac:dyDescent="0.25">
      <c r="U291" t="s">
        <v>1036</v>
      </c>
    </row>
    <row r="292" spans="21:21" x14ac:dyDescent="0.25">
      <c r="U292" t="s">
        <v>1037</v>
      </c>
    </row>
    <row r="293" spans="21:21" x14ac:dyDescent="0.25">
      <c r="U293" t="s">
        <v>1038</v>
      </c>
    </row>
    <row r="294" spans="21:21" x14ac:dyDescent="0.25">
      <c r="U294" t="s">
        <v>1039</v>
      </c>
    </row>
    <row r="295" spans="21:21" x14ac:dyDescent="0.25">
      <c r="U295" t="s">
        <v>1040</v>
      </c>
    </row>
    <row r="296" spans="21:21" x14ac:dyDescent="0.25">
      <c r="U296" t="s">
        <v>1041</v>
      </c>
    </row>
    <row r="297" spans="21:21" x14ac:dyDescent="0.25">
      <c r="U297" t="s">
        <v>1042</v>
      </c>
    </row>
    <row r="298" spans="21:21" x14ac:dyDescent="0.25">
      <c r="U298" t="s">
        <v>1043</v>
      </c>
    </row>
    <row r="299" spans="21:21" x14ac:dyDescent="0.25">
      <c r="U299" t="s">
        <v>1044</v>
      </c>
    </row>
    <row r="300" spans="21:21" x14ac:dyDescent="0.25">
      <c r="U300" t="s">
        <v>1045</v>
      </c>
    </row>
    <row r="301" spans="21:21" x14ac:dyDescent="0.25">
      <c r="U301" t="s">
        <v>1046</v>
      </c>
    </row>
    <row r="302" spans="21:21" x14ac:dyDescent="0.25">
      <c r="U302" t="s">
        <v>1047</v>
      </c>
    </row>
    <row r="303" spans="21:21" x14ac:dyDescent="0.25">
      <c r="U303" t="s">
        <v>1048</v>
      </c>
    </row>
    <row r="304" spans="21:21" x14ac:dyDescent="0.25">
      <c r="U304" t="s">
        <v>1049</v>
      </c>
    </row>
    <row r="305" spans="21:21" x14ac:dyDescent="0.25">
      <c r="U305" t="s">
        <v>1050</v>
      </c>
    </row>
    <row r="306" spans="21:21" x14ac:dyDescent="0.25">
      <c r="U306" t="s">
        <v>1051</v>
      </c>
    </row>
    <row r="307" spans="21:21" x14ac:dyDescent="0.25">
      <c r="U307" t="s">
        <v>1052</v>
      </c>
    </row>
    <row r="308" spans="21:21" x14ac:dyDescent="0.25">
      <c r="U308" t="s">
        <v>1053</v>
      </c>
    </row>
    <row r="309" spans="21:21" x14ac:dyDescent="0.25">
      <c r="U309" t="s">
        <v>1054</v>
      </c>
    </row>
    <row r="310" spans="21:21" x14ac:dyDescent="0.25">
      <c r="U310" t="s">
        <v>1055</v>
      </c>
    </row>
    <row r="311" spans="21:21" x14ac:dyDescent="0.25">
      <c r="U311" t="s">
        <v>1056</v>
      </c>
    </row>
    <row r="312" spans="21:21" x14ac:dyDescent="0.25">
      <c r="U312" t="s">
        <v>1057</v>
      </c>
    </row>
    <row r="313" spans="21:21" x14ac:dyDescent="0.25">
      <c r="U313" t="s">
        <v>1058</v>
      </c>
    </row>
    <row r="314" spans="21:21" x14ac:dyDescent="0.25">
      <c r="U314" t="s">
        <v>1059</v>
      </c>
    </row>
    <row r="315" spans="21:21" x14ac:dyDescent="0.25">
      <c r="U315" t="s">
        <v>1060</v>
      </c>
    </row>
    <row r="316" spans="21:21" x14ac:dyDescent="0.25">
      <c r="U316" t="s">
        <v>1061</v>
      </c>
    </row>
    <row r="317" spans="21:21" x14ac:dyDescent="0.25">
      <c r="U317" t="s">
        <v>1062</v>
      </c>
    </row>
    <row r="318" spans="21:21" x14ac:dyDescent="0.25">
      <c r="U318" t="s">
        <v>1063</v>
      </c>
    </row>
    <row r="319" spans="21:21" x14ac:dyDescent="0.25">
      <c r="U319" t="s">
        <v>1064</v>
      </c>
    </row>
    <row r="320" spans="21:21" x14ac:dyDescent="0.25">
      <c r="U320" t="s">
        <v>1065</v>
      </c>
    </row>
    <row r="321" spans="21:21" x14ac:dyDescent="0.25">
      <c r="U321" t="s">
        <v>1066</v>
      </c>
    </row>
    <row r="322" spans="21:21" x14ac:dyDescent="0.25">
      <c r="U322" t="s">
        <v>1067</v>
      </c>
    </row>
    <row r="323" spans="21:21" x14ac:dyDescent="0.25">
      <c r="U323" t="s">
        <v>1068</v>
      </c>
    </row>
    <row r="324" spans="21:21" x14ac:dyDescent="0.25">
      <c r="U324" t="s">
        <v>1069</v>
      </c>
    </row>
    <row r="325" spans="21:21" x14ac:dyDescent="0.25">
      <c r="U325" t="s">
        <v>1070</v>
      </c>
    </row>
    <row r="326" spans="21:21" x14ac:dyDescent="0.25">
      <c r="U326" t="s">
        <v>1071</v>
      </c>
    </row>
    <row r="327" spans="21:21" x14ac:dyDescent="0.25">
      <c r="U327" t="s">
        <v>1072</v>
      </c>
    </row>
    <row r="328" spans="21:21" x14ac:dyDescent="0.25">
      <c r="U328" t="s">
        <v>1073</v>
      </c>
    </row>
    <row r="329" spans="21:21" x14ac:dyDescent="0.25">
      <c r="U329" t="s">
        <v>1074</v>
      </c>
    </row>
    <row r="330" spans="21:21" x14ac:dyDescent="0.25">
      <c r="U330" t="s">
        <v>1075</v>
      </c>
    </row>
    <row r="331" spans="21:21" x14ac:dyDescent="0.25">
      <c r="U331" t="s">
        <v>1076</v>
      </c>
    </row>
    <row r="332" spans="21:21" x14ac:dyDescent="0.25">
      <c r="U332" t="s">
        <v>1077</v>
      </c>
    </row>
    <row r="333" spans="21:21" x14ac:dyDescent="0.25">
      <c r="U333" t="s">
        <v>1078</v>
      </c>
    </row>
    <row r="334" spans="21:21" x14ac:dyDescent="0.25">
      <c r="U334" t="s">
        <v>1079</v>
      </c>
    </row>
    <row r="335" spans="21:21" x14ac:dyDescent="0.25">
      <c r="U335" t="s">
        <v>1080</v>
      </c>
    </row>
    <row r="336" spans="21:21" x14ac:dyDescent="0.25">
      <c r="U336" t="s">
        <v>1081</v>
      </c>
    </row>
    <row r="337" spans="21:21" x14ac:dyDescent="0.25">
      <c r="U337" t="s">
        <v>1082</v>
      </c>
    </row>
    <row r="338" spans="21:21" x14ac:dyDescent="0.25">
      <c r="U338" t="s">
        <v>1083</v>
      </c>
    </row>
    <row r="339" spans="21:21" x14ac:dyDescent="0.25">
      <c r="U339" t="s">
        <v>1084</v>
      </c>
    </row>
    <row r="340" spans="21:21" x14ac:dyDescent="0.25">
      <c r="U340" t="s">
        <v>1085</v>
      </c>
    </row>
    <row r="341" spans="21:21" x14ac:dyDescent="0.25">
      <c r="U341" t="s">
        <v>1086</v>
      </c>
    </row>
    <row r="342" spans="21:21" x14ac:dyDescent="0.25">
      <c r="U342" t="s">
        <v>1087</v>
      </c>
    </row>
    <row r="343" spans="21:21" x14ac:dyDescent="0.25">
      <c r="U343" t="s">
        <v>1088</v>
      </c>
    </row>
    <row r="344" spans="21:21" x14ac:dyDescent="0.25">
      <c r="U344" t="s">
        <v>1089</v>
      </c>
    </row>
    <row r="345" spans="21:21" x14ac:dyDescent="0.25">
      <c r="U345" t="s">
        <v>1090</v>
      </c>
    </row>
    <row r="346" spans="21:21" x14ac:dyDescent="0.25">
      <c r="U346" t="s">
        <v>1091</v>
      </c>
    </row>
    <row r="347" spans="21:21" x14ac:dyDescent="0.25">
      <c r="U347" t="s">
        <v>1092</v>
      </c>
    </row>
    <row r="348" spans="21:21" x14ac:dyDescent="0.25">
      <c r="U348" t="s">
        <v>1093</v>
      </c>
    </row>
    <row r="349" spans="21:21" x14ac:dyDescent="0.25">
      <c r="U349" t="s">
        <v>1094</v>
      </c>
    </row>
    <row r="350" spans="21:21" x14ac:dyDescent="0.25">
      <c r="U350" t="s">
        <v>1095</v>
      </c>
    </row>
    <row r="351" spans="21:21" x14ac:dyDescent="0.25">
      <c r="U351" t="s">
        <v>1096</v>
      </c>
    </row>
    <row r="352" spans="21:21" x14ac:dyDescent="0.25">
      <c r="U352" t="s">
        <v>1097</v>
      </c>
    </row>
    <row r="353" spans="21:21" x14ac:dyDescent="0.25">
      <c r="U353" t="s">
        <v>1098</v>
      </c>
    </row>
    <row r="354" spans="21:21" x14ac:dyDescent="0.25">
      <c r="U354" t="s">
        <v>1099</v>
      </c>
    </row>
    <row r="355" spans="21:21" x14ac:dyDescent="0.25">
      <c r="U355" t="s">
        <v>1100</v>
      </c>
    </row>
    <row r="356" spans="21:21" x14ac:dyDescent="0.25">
      <c r="U356" t="s">
        <v>1101</v>
      </c>
    </row>
    <row r="357" spans="21:21" x14ac:dyDescent="0.25">
      <c r="U357" t="s">
        <v>1102</v>
      </c>
    </row>
    <row r="358" spans="21:21" x14ac:dyDescent="0.25">
      <c r="U358" t="s">
        <v>1103</v>
      </c>
    </row>
    <row r="359" spans="21:21" x14ac:dyDescent="0.25">
      <c r="U359" t="s">
        <v>1104</v>
      </c>
    </row>
    <row r="360" spans="21:21" x14ac:dyDescent="0.25">
      <c r="U360" t="s">
        <v>1105</v>
      </c>
    </row>
    <row r="361" spans="21:21" x14ac:dyDescent="0.25">
      <c r="U361" t="s">
        <v>1106</v>
      </c>
    </row>
    <row r="362" spans="21:21" x14ac:dyDescent="0.25">
      <c r="U362" t="s">
        <v>1107</v>
      </c>
    </row>
    <row r="363" spans="21:21" x14ac:dyDescent="0.25">
      <c r="U363" t="s">
        <v>1108</v>
      </c>
    </row>
    <row r="364" spans="21:21" x14ac:dyDescent="0.25">
      <c r="U364" t="s">
        <v>1109</v>
      </c>
    </row>
    <row r="365" spans="21:21" x14ac:dyDescent="0.25">
      <c r="U365" t="s">
        <v>1110</v>
      </c>
    </row>
    <row r="366" spans="21:21" x14ac:dyDescent="0.25">
      <c r="U366" t="s">
        <v>1111</v>
      </c>
    </row>
    <row r="367" spans="21:21" x14ac:dyDescent="0.25">
      <c r="U367" t="s">
        <v>1112</v>
      </c>
    </row>
    <row r="368" spans="21:21" x14ac:dyDescent="0.25">
      <c r="U368" t="s">
        <v>1113</v>
      </c>
    </row>
    <row r="369" spans="21:21" x14ac:dyDescent="0.25">
      <c r="U369" t="s">
        <v>1114</v>
      </c>
    </row>
    <row r="370" spans="21:21" x14ac:dyDescent="0.25">
      <c r="U370" t="s">
        <v>1115</v>
      </c>
    </row>
    <row r="371" spans="21:21" x14ac:dyDescent="0.25">
      <c r="U371" t="s">
        <v>1116</v>
      </c>
    </row>
    <row r="372" spans="21:21" x14ac:dyDescent="0.25">
      <c r="U372" t="s">
        <v>1117</v>
      </c>
    </row>
    <row r="373" spans="21:21" x14ac:dyDescent="0.25">
      <c r="U373" t="s">
        <v>1118</v>
      </c>
    </row>
    <row r="374" spans="21:21" x14ac:dyDescent="0.25">
      <c r="U374" t="s">
        <v>1119</v>
      </c>
    </row>
    <row r="375" spans="21:21" x14ac:dyDescent="0.25">
      <c r="U375" t="s">
        <v>1120</v>
      </c>
    </row>
    <row r="376" spans="21:21" x14ac:dyDescent="0.25">
      <c r="U376" t="s">
        <v>1121</v>
      </c>
    </row>
    <row r="377" spans="21:21" x14ac:dyDescent="0.25">
      <c r="U377" t="s">
        <v>1122</v>
      </c>
    </row>
    <row r="378" spans="21:21" x14ac:dyDescent="0.25">
      <c r="U378" t="s">
        <v>1123</v>
      </c>
    </row>
    <row r="379" spans="21:21" x14ac:dyDescent="0.25">
      <c r="U379" t="s">
        <v>1124</v>
      </c>
    </row>
    <row r="380" spans="21:21" x14ac:dyDescent="0.25">
      <c r="U380" t="s">
        <v>1125</v>
      </c>
    </row>
    <row r="381" spans="21:21" x14ac:dyDescent="0.25">
      <c r="U381" t="s">
        <v>1126</v>
      </c>
    </row>
    <row r="382" spans="21:21" x14ac:dyDescent="0.25">
      <c r="U382" t="s">
        <v>1127</v>
      </c>
    </row>
    <row r="383" spans="21:21" x14ac:dyDescent="0.25">
      <c r="U383" t="s">
        <v>1128</v>
      </c>
    </row>
    <row r="384" spans="21:21" x14ac:dyDescent="0.25">
      <c r="U384" t="s">
        <v>1129</v>
      </c>
    </row>
    <row r="385" spans="21:21" x14ac:dyDescent="0.25">
      <c r="U385" t="s">
        <v>1130</v>
      </c>
    </row>
    <row r="386" spans="21:21" x14ac:dyDescent="0.25">
      <c r="U386" t="s">
        <v>1131</v>
      </c>
    </row>
    <row r="387" spans="21:21" x14ac:dyDescent="0.25">
      <c r="U387" t="s">
        <v>1132</v>
      </c>
    </row>
    <row r="388" spans="21:21" x14ac:dyDescent="0.25">
      <c r="U388" t="s">
        <v>1133</v>
      </c>
    </row>
    <row r="389" spans="21:21" x14ac:dyDescent="0.25">
      <c r="U389" t="s">
        <v>1134</v>
      </c>
    </row>
    <row r="390" spans="21:21" x14ac:dyDescent="0.25">
      <c r="U390" t="s">
        <v>1135</v>
      </c>
    </row>
    <row r="391" spans="21:21" x14ac:dyDescent="0.25">
      <c r="U391" t="s">
        <v>1136</v>
      </c>
    </row>
    <row r="392" spans="21:21" x14ac:dyDescent="0.25">
      <c r="U392" t="s">
        <v>1137</v>
      </c>
    </row>
    <row r="393" spans="21:21" x14ac:dyDescent="0.25">
      <c r="U393" t="s">
        <v>1138</v>
      </c>
    </row>
    <row r="394" spans="21:21" x14ac:dyDescent="0.25">
      <c r="U394" t="s">
        <v>1139</v>
      </c>
    </row>
    <row r="395" spans="21:21" x14ac:dyDescent="0.25">
      <c r="U395" t="s">
        <v>1140</v>
      </c>
    </row>
    <row r="396" spans="21:21" x14ac:dyDescent="0.25">
      <c r="U396" t="s">
        <v>1141</v>
      </c>
    </row>
    <row r="397" spans="21:21" x14ac:dyDescent="0.25">
      <c r="U397" t="s">
        <v>1142</v>
      </c>
    </row>
    <row r="398" spans="21:21" x14ac:dyDescent="0.25">
      <c r="U398" t="s">
        <v>1143</v>
      </c>
    </row>
    <row r="399" spans="21:21" x14ac:dyDescent="0.25">
      <c r="U399" t="s">
        <v>1144</v>
      </c>
    </row>
    <row r="400" spans="21:21" x14ac:dyDescent="0.25">
      <c r="U400" t="s">
        <v>1145</v>
      </c>
    </row>
    <row r="401" spans="21:21" x14ac:dyDescent="0.25">
      <c r="U401" t="s">
        <v>1146</v>
      </c>
    </row>
    <row r="402" spans="21:21" x14ac:dyDescent="0.25">
      <c r="U402" t="s">
        <v>1147</v>
      </c>
    </row>
    <row r="403" spans="21:21" x14ac:dyDescent="0.25">
      <c r="U403" t="s">
        <v>1148</v>
      </c>
    </row>
    <row r="404" spans="21:21" x14ac:dyDescent="0.25">
      <c r="U404" t="s">
        <v>1149</v>
      </c>
    </row>
    <row r="405" spans="21:21" x14ac:dyDescent="0.25">
      <c r="U405" t="s">
        <v>1150</v>
      </c>
    </row>
    <row r="406" spans="21:21" x14ac:dyDescent="0.25">
      <c r="U406" t="s">
        <v>1151</v>
      </c>
    </row>
    <row r="407" spans="21:21" x14ac:dyDescent="0.25">
      <c r="U407" t="s">
        <v>1152</v>
      </c>
    </row>
    <row r="408" spans="21:21" x14ac:dyDescent="0.25">
      <c r="U408" t="s">
        <v>1153</v>
      </c>
    </row>
    <row r="409" spans="21:21" x14ac:dyDescent="0.25">
      <c r="U409" t="s">
        <v>1154</v>
      </c>
    </row>
    <row r="410" spans="21:21" x14ac:dyDescent="0.25">
      <c r="U410" t="s">
        <v>1155</v>
      </c>
    </row>
    <row r="411" spans="21:21" x14ac:dyDescent="0.25">
      <c r="U411" t="s">
        <v>1156</v>
      </c>
    </row>
    <row r="412" spans="21:21" x14ac:dyDescent="0.25">
      <c r="U412" t="s">
        <v>1157</v>
      </c>
    </row>
    <row r="413" spans="21:21" x14ac:dyDescent="0.25">
      <c r="U413" t="s">
        <v>1158</v>
      </c>
    </row>
    <row r="414" spans="21:21" x14ac:dyDescent="0.25">
      <c r="U414" t="s">
        <v>1159</v>
      </c>
    </row>
    <row r="415" spans="21:21" x14ac:dyDescent="0.25">
      <c r="U415" t="s">
        <v>1160</v>
      </c>
    </row>
    <row r="416" spans="21:21" x14ac:dyDescent="0.25">
      <c r="U416" t="s">
        <v>1161</v>
      </c>
    </row>
    <row r="417" spans="21:21" x14ac:dyDescent="0.25">
      <c r="U417" t="s">
        <v>1162</v>
      </c>
    </row>
    <row r="418" spans="21:21" x14ac:dyDescent="0.25">
      <c r="U418" t="s">
        <v>1163</v>
      </c>
    </row>
    <row r="419" spans="21:21" x14ac:dyDescent="0.25">
      <c r="U419" t="s">
        <v>1164</v>
      </c>
    </row>
    <row r="420" spans="21:21" x14ac:dyDescent="0.25">
      <c r="U420" t="s">
        <v>1165</v>
      </c>
    </row>
    <row r="421" spans="21:21" x14ac:dyDescent="0.25">
      <c r="U421" t="s">
        <v>1166</v>
      </c>
    </row>
    <row r="422" spans="21:21" x14ac:dyDescent="0.25">
      <c r="U422" t="s">
        <v>1167</v>
      </c>
    </row>
    <row r="423" spans="21:21" x14ac:dyDescent="0.25">
      <c r="U423" t="s">
        <v>1168</v>
      </c>
    </row>
    <row r="424" spans="21:21" x14ac:dyDescent="0.25">
      <c r="U424" t="s">
        <v>1169</v>
      </c>
    </row>
    <row r="425" spans="21:21" x14ac:dyDescent="0.25">
      <c r="U425" t="s">
        <v>1170</v>
      </c>
    </row>
    <row r="426" spans="21:21" x14ac:dyDescent="0.25">
      <c r="U426" t="s">
        <v>1171</v>
      </c>
    </row>
    <row r="427" spans="21:21" x14ac:dyDescent="0.25">
      <c r="U427" t="s">
        <v>1172</v>
      </c>
    </row>
    <row r="428" spans="21:21" x14ac:dyDescent="0.25">
      <c r="U428" t="s">
        <v>1173</v>
      </c>
    </row>
    <row r="429" spans="21:21" x14ac:dyDescent="0.25">
      <c r="U429" t="s">
        <v>1174</v>
      </c>
    </row>
    <row r="430" spans="21:21" x14ac:dyDescent="0.25">
      <c r="U430" t="s">
        <v>1175</v>
      </c>
    </row>
    <row r="431" spans="21:21" x14ac:dyDescent="0.25">
      <c r="U431" t="s">
        <v>1176</v>
      </c>
    </row>
    <row r="432" spans="21:21" x14ac:dyDescent="0.25">
      <c r="U432" t="s">
        <v>1177</v>
      </c>
    </row>
    <row r="433" spans="21:21" x14ac:dyDescent="0.25">
      <c r="U433" t="s">
        <v>1178</v>
      </c>
    </row>
    <row r="434" spans="21:21" x14ac:dyDescent="0.25">
      <c r="U434" t="s">
        <v>1179</v>
      </c>
    </row>
    <row r="435" spans="21:21" x14ac:dyDescent="0.25">
      <c r="U435" t="s">
        <v>1180</v>
      </c>
    </row>
    <row r="436" spans="21:21" x14ac:dyDescent="0.25">
      <c r="U436" t="s">
        <v>1181</v>
      </c>
    </row>
    <row r="437" spans="21:21" x14ac:dyDescent="0.25">
      <c r="U437" t="s">
        <v>1182</v>
      </c>
    </row>
    <row r="438" spans="21:21" x14ac:dyDescent="0.25">
      <c r="U438" t="s">
        <v>1183</v>
      </c>
    </row>
    <row r="439" spans="21:21" x14ac:dyDescent="0.25">
      <c r="U439" t="s">
        <v>1184</v>
      </c>
    </row>
    <row r="440" spans="21:21" x14ac:dyDescent="0.25">
      <c r="U440" t="s">
        <v>1185</v>
      </c>
    </row>
    <row r="441" spans="21:21" x14ac:dyDescent="0.25">
      <c r="U441" t="s">
        <v>1186</v>
      </c>
    </row>
    <row r="442" spans="21:21" x14ac:dyDescent="0.25">
      <c r="U442" t="s">
        <v>1187</v>
      </c>
    </row>
    <row r="443" spans="21:21" x14ac:dyDescent="0.25">
      <c r="U443" t="s">
        <v>1188</v>
      </c>
    </row>
    <row r="444" spans="21:21" x14ac:dyDescent="0.25">
      <c r="U444" t="s">
        <v>1189</v>
      </c>
    </row>
    <row r="445" spans="21:21" x14ac:dyDescent="0.25">
      <c r="U445" t="s">
        <v>1190</v>
      </c>
    </row>
    <row r="446" spans="21:21" x14ac:dyDescent="0.25">
      <c r="U446" t="s">
        <v>1191</v>
      </c>
    </row>
    <row r="447" spans="21:21" x14ac:dyDescent="0.25">
      <c r="U447" t="s">
        <v>1192</v>
      </c>
    </row>
    <row r="448" spans="21:21" x14ac:dyDescent="0.25">
      <c r="U448" t="s">
        <v>1193</v>
      </c>
    </row>
    <row r="449" spans="21:21" x14ac:dyDescent="0.25">
      <c r="U449" t="s">
        <v>1194</v>
      </c>
    </row>
    <row r="450" spans="21:21" x14ac:dyDescent="0.25">
      <c r="U450" t="s">
        <v>1195</v>
      </c>
    </row>
    <row r="451" spans="21:21" x14ac:dyDescent="0.25">
      <c r="U451" t="s">
        <v>1196</v>
      </c>
    </row>
    <row r="452" spans="21:21" x14ac:dyDescent="0.25">
      <c r="U452" t="s">
        <v>1197</v>
      </c>
    </row>
    <row r="453" spans="21:21" x14ac:dyDescent="0.25">
      <c r="U453" t="s">
        <v>1198</v>
      </c>
    </row>
    <row r="454" spans="21:21" x14ac:dyDescent="0.25">
      <c r="U454" t="s">
        <v>1199</v>
      </c>
    </row>
    <row r="455" spans="21:21" x14ac:dyDescent="0.25">
      <c r="U455" t="s">
        <v>1200</v>
      </c>
    </row>
    <row r="456" spans="21:21" x14ac:dyDescent="0.25">
      <c r="U456" t="s">
        <v>1201</v>
      </c>
    </row>
    <row r="457" spans="21:21" x14ac:dyDescent="0.25">
      <c r="U457" t="s">
        <v>1202</v>
      </c>
    </row>
    <row r="458" spans="21:21" x14ac:dyDescent="0.25">
      <c r="U458" t="s">
        <v>1203</v>
      </c>
    </row>
    <row r="459" spans="21:21" x14ac:dyDescent="0.25">
      <c r="U459" t="s">
        <v>1204</v>
      </c>
    </row>
    <row r="460" spans="21:21" x14ac:dyDescent="0.25">
      <c r="U460" t="s">
        <v>1205</v>
      </c>
    </row>
    <row r="461" spans="21:21" x14ac:dyDescent="0.25">
      <c r="U461" t="s">
        <v>1206</v>
      </c>
    </row>
    <row r="462" spans="21:21" x14ac:dyDescent="0.25">
      <c r="U462" t="s">
        <v>1207</v>
      </c>
    </row>
    <row r="463" spans="21:21" x14ac:dyDescent="0.25">
      <c r="U463" t="s">
        <v>1208</v>
      </c>
    </row>
    <row r="464" spans="21:21" x14ac:dyDescent="0.25">
      <c r="U464" t="s">
        <v>1209</v>
      </c>
    </row>
    <row r="465" spans="21:21" x14ac:dyDescent="0.25">
      <c r="U465" t="s">
        <v>1210</v>
      </c>
    </row>
    <row r="466" spans="21:21" x14ac:dyDescent="0.25">
      <c r="U466" t="s">
        <v>1211</v>
      </c>
    </row>
    <row r="467" spans="21:21" x14ac:dyDescent="0.25">
      <c r="U467" t="s">
        <v>1212</v>
      </c>
    </row>
    <row r="468" spans="21:21" x14ac:dyDescent="0.25">
      <c r="U468" t="s">
        <v>1213</v>
      </c>
    </row>
    <row r="469" spans="21:21" x14ac:dyDescent="0.25">
      <c r="U469" t="s">
        <v>1214</v>
      </c>
    </row>
    <row r="470" spans="21:21" x14ac:dyDescent="0.25">
      <c r="U470" t="s">
        <v>1215</v>
      </c>
    </row>
    <row r="471" spans="21:21" x14ac:dyDescent="0.25">
      <c r="U471" t="s">
        <v>1216</v>
      </c>
    </row>
    <row r="472" spans="21:21" x14ac:dyDescent="0.25">
      <c r="U472" t="s">
        <v>1217</v>
      </c>
    </row>
    <row r="473" spans="21:21" x14ac:dyDescent="0.25">
      <c r="U473" t="s">
        <v>1218</v>
      </c>
    </row>
    <row r="474" spans="21:21" x14ac:dyDescent="0.25">
      <c r="U474" t="s">
        <v>1219</v>
      </c>
    </row>
    <row r="475" spans="21:21" x14ac:dyDescent="0.25">
      <c r="U475" t="s">
        <v>1220</v>
      </c>
    </row>
    <row r="476" spans="21:21" x14ac:dyDescent="0.25">
      <c r="U476" t="s">
        <v>1221</v>
      </c>
    </row>
    <row r="477" spans="21:21" x14ac:dyDescent="0.25">
      <c r="U477" t="s">
        <v>1222</v>
      </c>
    </row>
    <row r="478" spans="21:21" x14ac:dyDescent="0.25">
      <c r="U478" t="s">
        <v>1223</v>
      </c>
    </row>
    <row r="479" spans="21:21" x14ac:dyDescent="0.25">
      <c r="U479" t="s">
        <v>1224</v>
      </c>
    </row>
    <row r="480" spans="21:21" x14ac:dyDescent="0.25">
      <c r="U480" t="s">
        <v>1225</v>
      </c>
    </row>
    <row r="481" spans="21:21" x14ac:dyDescent="0.25">
      <c r="U481" t="s">
        <v>1226</v>
      </c>
    </row>
    <row r="482" spans="21:21" x14ac:dyDescent="0.25">
      <c r="U482" t="s">
        <v>1227</v>
      </c>
    </row>
    <row r="483" spans="21:21" x14ac:dyDescent="0.25">
      <c r="U483" t="s">
        <v>1228</v>
      </c>
    </row>
    <row r="484" spans="21:21" x14ac:dyDescent="0.25">
      <c r="U484" t="s">
        <v>1229</v>
      </c>
    </row>
    <row r="485" spans="21:21" x14ac:dyDescent="0.25">
      <c r="U485" t="s">
        <v>1230</v>
      </c>
    </row>
    <row r="486" spans="21:21" x14ac:dyDescent="0.25">
      <c r="U486" t="s">
        <v>1231</v>
      </c>
    </row>
    <row r="487" spans="21:21" x14ac:dyDescent="0.25">
      <c r="U487" t="s">
        <v>1232</v>
      </c>
    </row>
    <row r="488" spans="21:21" x14ac:dyDescent="0.25">
      <c r="U488" t="s">
        <v>1233</v>
      </c>
    </row>
    <row r="489" spans="21:21" x14ac:dyDescent="0.25">
      <c r="U489" t="s">
        <v>1234</v>
      </c>
    </row>
    <row r="490" spans="21:21" x14ac:dyDescent="0.25">
      <c r="U490" t="s">
        <v>1235</v>
      </c>
    </row>
    <row r="491" spans="21:21" x14ac:dyDescent="0.25">
      <c r="U491" t="s">
        <v>1236</v>
      </c>
    </row>
    <row r="492" spans="21:21" x14ac:dyDescent="0.25">
      <c r="U492" t="s">
        <v>1237</v>
      </c>
    </row>
    <row r="493" spans="21:21" x14ac:dyDescent="0.25">
      <c r="U493" t="s">
        <v>1238</v>
      </c>
    </row>
    <row r="494" spans="21:21" x14ac:dyDescent="0.25">
      <c r="U494" t="s">
        <v>1239</v>
      </c>
    </row>
    <row r="495" spans="21:21" x14ac:dyDescent="0.25">
      <c r="U495" t="s">
        <v>1240</v>
      </c>
    </row>
    <row r="496" spans="21:21" x14ac:dyDescent="0.25">
      <c r="U496" t="s">
        <v>1241</v>
      </c>
    </row>
    <row r="497" spans="21:21" x14ac:dyDescent="0.25">
      <c r="U497" t="s">
        <v>1242</v>
      </c>
    </row>
    <row r="498" spans="21:21" x14ac:dyDescent="0.25">
      <c r="U498" t="s">
        <v>1243</v>
      </c>
    </row>
    <row r="499" spans="21:21" x14ac:dyDescent="0.25">
      <c r="U499" t="s">
        <v>1244</v>
      </c>
    </row>
    <row r="500" spans="21:21" x14ac:dyDescent="0.25">
      <c r="U500" t="s">
        <v>1245</v>
      </c>
    </row>
    <row r="501" spans="21:21" x14ac:dyDescent="0.25">
      <c r="U501" t="s">
        <v>1246</v>
      </c>
    </row>
    <row r="502" spans="21:21" x14ac:dyDescent="0.25">
      <c r="U502" t="s">
        <v>1247</v>
      </c>
    </row>
    <row r="503" spans="21:21" x14ac:dyDescent="0.25">
      <c r="U503" t="s">
        <v>1248</v>
      </c>
    </row>
    <row r="504" spans="21:21" x14ac:dyDescent="0.25">
      <c r="U504" t="s">
        <v>1249</v>
      </c>
    </row>
    <row r="505" spans="21:21" x14ac:dyDescent="0.25">
      <c r="U505" t="s">
        <v>1250</v>
      </c>
    </row>
    <row r="506" spans="21:21" x14ac:dyDescent="0.25">
      <c r="U506" t="s">
        <v>1251</v>
      </c>
    </row>
    <row r="507" spans="21:21" x14ac:dyDescent="0.25">
      <c r="U507" t="s">
        <v>1252</v>
      </c>
    </row>
    <row r="508" spans="21:21" x14ac:dyDescent="0.25">
      <c r="U508" t="s">
        <v>1253</v>
      </c>
    </row>
    <row r="509" spans="21:21" x14ac:dyDescent="0.25">
      <c r="U509" t="s">
        <v>1254</v>
      </c>
    </row>
    <row r="510" spans="21:21" x14ac:dyDescent="0.25">
      <c r="U510" t="s">
        <v>1255</v>
      </c>
    </row>
    <row r="511" spans="21:21" x14ac:dyDescent="0.25">
      <c r="U511" t="s">
        <v>1256</v>
      </c>
    </row>
    <row r="512" spans="21:21" x14ac:dyDescent="0.25">
      <c r="U512" t="s">
        <v>1257</v>
      </c>
    </row>
    <row r="513" spans="21:21" x14ac:dyDescent="0.25">
      <c r="U513" t="s">
        <v>1258</v>
      </c>
    </row>
    <row r="514" spans="21:21" x14ac:dyDescent="0.25">
      <c r="U514" t="s">
        <v>1259</v>
      </c>
    </row>
    <row r="515" spans="21:21" x14ac:dyDescent="0.25">
      <c r="U515" t="s">
        <v>1260</v>
      </c>
    </row>
    <row r="516" spans="21:21" x14ac:dyDescent="0.25">
      <c r="U516" t="s">
        <v>1261</v>
      </c>
    </row>
    <row r="517" spans="21:21" x14ac:dyDescent="0.25">
      <c r="U517" t="s">
        <v>1262</v>
      </c>
    </row>
    <row r="518" spans="21:21" x14ac:dyDescent="0.25">
      <c r="U518" t="s">
        <v>1263</v>
      </c>
    </row>
    <row r="519" spans="21:21" x14ac:dyDescent="0.25">
      <c r="U519" t="s">
        <v>1264</v>
      </c>
    </row>
    <row r="520" spans="21:21" x14ac:dyDescent="0.25">
      <c r="U520" t="s">
        <v>1265</v>
      </c>
    </row>
    <row r="521" spans="21:21" x14ac:dyDescent="0.25">
      <c r="U521" t="s">
        <v>1266</v>
      </c>
    </row>
    <row r="522" spans="21:21" x14ac:dyDescent="0.25">
      <c r="U522" t="s">
        <v>1267</v>
      </c>
    </row>
    <row r="523" spans="21:21" x14ac:dyDescent="0.25">
      <c r="U523" t="s">
        <v>1268</v>
      </c>
    </row>
    <row r="524" spans="21:21" x14ac:dyDescent="0.25">
      <c r="U524" t="s">
        <v>1269</v>
      </c>
    </row>
    <row r="525" spans="21:21" x14ac:dyDescent="0.25">
      <c r="U525" t="s">
        <v>1270</v>
      </c>
    </row>
    <row r="526" spans="21:21" x14ac:dyDescent="0.25">
      <c r="U526" t="s">
        <v>1271</v>
      </c>
    </row>
    <row r="527" spans="21:21" x14ac:dyDescent="0.25">
      <c r="U527" t="s">
        <v>1272</v>
      </c>
    </row>
    <row r="528" spans="21:21" x14ac:dyDescent="0.25">
      <c r="U528" t="s">
        <v>1273</v>
      </c>
    </row>
    <row r="529" spans="21:21" x14ac:dyDescent="0.25">
      <c r="U529" t="s">
        <v>1274</v>
      </c>
    </row>
    <row r="530" spans="21:21" x14ac:dyDescent="0.25">
      <c r="U530" t="s">
        <v>1275</v>
      </c>
    </row>
    <row r="531" spans="21:21" x14ac:dyDescent="0.25">
      <c r="U531" t="s">
        <v>1276</v>
      </c>
    </row>
    <row r="532" spans="21:21" x14ac:dyDescent="0.25">
      <c r="U532" t="s">
        <v>1277</v>
      </c>
    </row>
    <row r="533" spans="21:21" x14ac:dyDescent="0.25">
      <c r="U533" t="s">
        <v>1278</v>
      </c>
    </row>
    <row r="534" spans="21:21" x14ac:dyDescent="0.25">
      <c r="U534" t="s">
        <v>1279</v>
      </c>
    </row>
    <row r="535" spans="21:21" x14ac:dyDescent="0.25">
      <c r="U535" t="s">
        <v>1280</v>
      </c>
    </row>
    <row r="536" spans="21:21" x14ac:dyDescent="0.25">
      <c r="U536" t="s">
        <v>1281</v>
      </c>
    </row>
    <row r="537" spans="21:21" x14ac:dyDescent="0.25">
      <c r="U537" t="s">
        <v>1282</v>
      </c>
    </row>
    <row r="538" spans="21:21" x14ac:dyDescent="0.25">
      <c r="U538" t="s">
        <v>1283</v>
      </c>
    </row>
    <row r="539" spans="21:21" x14ac:dyDescent="0.25">
      <c r="U539" t="s">
        <v>1284</v>
      </c>
    </row>
    <row r="540" spans="21:21" x14ac:dyDescent="0.25">
      <c r="U540" t="s">
        <v>1285</v>
      </c>
    </row>
    <row r="541" spans="21:21" x14ac:dyDescent="0.25">
      <c r="U541" t="s">
        <v>1286</v>
      </c>
    </row>
    <row r="542" spans="21:21" x14ac:dyDescent="0.25">
      <c r="U542" t="s">
        <v>1287</v>
      </c>
    </row>
    <row r="543" spans="21:21" x14ac:dyDescent="0.25">
      <c r="U543" t="s">
        <v>1288</v>
      </c>
    </row>
    <row r="544" spans="21:21" x14ac:dyDescent="0.25">
      <c r="U544" t="s">
        <v>1289</v>
      </c>
    </row>
    <row r="545" spans="21:21" x14ac:dyDescent="0.25">
      <c r="U545" t="s">
        <v>1290</v>
      </c>
    </row>
    <row r="546" spans="21:21" x14ac:dyDescent="0.25">
      <c r="U546" t="s">
        <v>1291</v>
      </c>
    </row>
    <row r="547" spans="21:21" x14ac:dyDescent="0.25">
      <c r="U547" t="s">
        <v>1292</v>
      </c>
    </row>
    <row r="548" spans="21:21" x14ac:dyDescent="0.25">
      <c r="U548" t="s">
        <v>1293</v>
      </c>
    </row>
    <row r="549" spans="21:21" x14ac:dyDescent="0.25">
      <c r="U549" t="s">
        <v>1294</v>
      </c>
    </row>
    <row r="550" spans="21:21" x14ac:dyDescent="0.25">
      <c r="U550" t="s">
        <v>1295</v>
      </c>
    </row>
    <row r="551" spans="21:21" x14ac:dyDescent="0.25">
      <c r="U551" t="s">
        <v>1296</v>
      </c>
    </row>
    <row r="552" spans="21:21" x14ac:dyDescent="0.25">
      <c r="U552" t="s">
        <v>1297</v>
      </c>
    </row>
    <row r="553" spans="21:21" x14ac:dyDescent="0.25">
      <c r="U553" t="s">
        <v>1298</v>
      </c>
    </row>
    <row r="554" spans="21:21" x14ac:dyDescent="0.25">
      <c r="U554" t="s">
        <v>1299</v>
      </c>
    </row>
    <row r="555" spans="21:21" x14ac:dyDescent="0.25">
      <c r="U555" t="s">
        <v>1300</v>
      </c>
    </row>
    <row r="556" spans="21:21" x14ac:dyDescent="0.25">
      <c r="U556" t="s">
        <v>1301</v>
      </c>
    </row>
    <row r="557" spans="21:21" x14ac:dyDescent="0.25">
      <c r="U557" t="s">
        <v>1302</v>
      </c>
    </row>
    <row r="558" spans="21:21" x14ac:dyDescent="0.25">
      <c r="U558" t="s">
        <v>1303</v>
      </c>
    </row>
    <row r="559" spans="21:21" x14ac:dyDescent="0.25">
      <c r="U559" t="s">
        <v>1304</v>
      </c>
    </row>
    <row r="560" spans="21:21" x14ac:dyDescent="0.25">
      <c r="U560" t="s">
        <v>1305</v>
      </c>
    </row>
    <row r="561" spans="21:21" x14ac:dyDescent="0.25">
      <c r="U561" t="s">
        <v>1306</v>
      </c>
    </row>
    <row r="562" spans="21:21" x14ac:dyDescent="0.25">
      <c r="U562" t="s">
        <v>1307</v>
      </c>
    </row>
    <row r="563" spans="21:21" x14ac:dyDescent="0.25">
      <c r="U563" t="s">
        <v>1308</v>
      </c>
    </row>
    <row r="564" spans="21:21" x14ac:dyDescent="0.25">
      <c r="U564" t="s">
        <v>1309</v>
      </c>
    </row>
    <row r="565" spans="21:21" x14ac:dyDescent="0.25">
      <c r="U565" t="s">
        <v>1310</v>
      </c>
    </row>
    <row r="566" spans="21:21" x14ac:dyDescent="0.25">
      <c r="U566" t="s">
        <v>1311</v>
      </c>
    </row>
    <row r="567" spans="21:21" x14ac:dyDescent="0.25">
      <c r="U567" t="s">
        <v>1312</v>
      </c>
    </row>
    <row r="568" spans="21:21" x14ac:dyDescent="0.25">
      <c r="U568" t="s">
        <v>1313</v>
      </c>
    </row>
    <row r="569" spans="21:21" x14ac:dyDescent="0.25">
      <c r="U569" t="s">
        <v>1314</v>
      </c>
    </row>
    <row r="570" spans="21:21" x14ac:dyDescent="0.25">
      <c r="U570" t="s">
        <v>1315</v>
      </c>
    </row>
    <row r="571" spans="21:21" x14ac:dyDescent="0.25">
      <c r="U571" t="s">
        <v>1316</v>
      </c>
    </row>
    <row r="572" spans="21:21" x14ac:dyDescent="0.25">
      <c r="U572" t="s">
        <v>1317</v>
      </c>
    </row>
    <row r="573" spans="21:21" x14ac:dyDescent="0.25">
      <c r="U573" t="s">
        <v>1318</v>
      </c>
    </row>
    <row r="574" spans="21:21" x14ac:dyDescent="0.25">
      <c r="U574" t="s">
        <v>1319</v>
      </c>
    </row>
    <row r="575" spans="21:21" x14ac:dyDescent="0.25">
      <c r="U575" t="s">
        <v>1320</v>
      </c>
    </row>
    <row r="576" spans="21:21" x14ac:dyDescent="0.25">
      <c r="U576" t="s">
        <v>1321</v>
      </c>
    </row>
    <row r="577" spans="21:21" x14ac:dyDescent="0.25">
      <c r="U577" t="s">
        <v>1322</v>
      </c>
    </row>
    <row r="578" spans="21:21" x14ac:dyDescent="0.25">
      <c r="U578" t="s">
        <v>1323</v>
      </c>
    </row>
    <row r="579" spans="21:21" x14ac:dyDescent="0.25">
      <c r="U579" t="s">
        <v>1324</v>
      </c>
    </row>
    <row r="580" spans="21:21" x14ac:dyDescent="0.25">
      <c r="U580" t="s">
        <v>1325</v>
      </c>
    </row>
    <row r="581" spans="21:21" x14ac:dyDescent="0.25">
      <c r="U581" t="s">
        <v>1326</v>
      </c>
    </row>
    <row r="582" spans="21:21" x14ac:dyDescent="0.25">
      <c r="U582" t="s">
        <v>1327</v>
      </c>
    </row>
    <row r="583" spans="21:21" x14ac:dyDescent="0.25">
      <c r="U583" t="s">
        <v>1328</v>
      </c>
    </row>
    <row r="584" spans="21:21" x14ac:dyDescent="0.25">
      <c r="U584" t="s">
        <v>1329</v>
      </c>
    </row>
    <row r="585" spans="21:21" x14ac:dyDescent="0.25">
      <c r="U585" t="s">
        <v>1330</v>
      </c>
    </row>
    <row r="586" spans="21:21" x14ac:dyDescent="0.25">
      <c r="U586" t="s">
        <v>1331</v>
      </c>
    </row>
    <row r="587" spans="21:21" x14ac:dyDescent="0.25">
      <c r="U587" t="s">
        <v>1332</v>
      </c>
    </row>
    <row r="588" spans="21:21" x14ac:dyDescent="0.25">
      <c r="U588" t="s">
        <v>1333</v>
      </c>
    </row>
    <row r="589" spans="21:21" x14ac:dyDescent="0.25">
      <c r="U589" t="s">
        <v>1334</v>
      </c>
    </row>
    <row r="590" spans="21:21" x14ac:dyDescent="0.25">
      <c r="U590" t="s">
        <v>1335</v>
      </c>
    </row>
    <row r="591" spans="21:21" x14ac:dyDescent="0.25">
      <c r="U591" t="s">
        <v>1336</v>
      </c>
    </row>
    <row r="592" spans="21:21" x14ac:dyDescent="0.25">
      <c r="U592" t="s">
        <v>1337</v>
      </c>
    </row>
    <row r="593" spans="21:21" x14ac:dyDescent="0.25">
      <c r="U593" t="s">
        <v>1338</v>
      </c>
    </row>
    <row r="594" spans="21:21" x14ac:dyDescent="0.25">
      <c r="U594" t="s">
        <v>1339</v>
      </c>
    </row>
  </sheetData>
  <phoneticPr fontId="42"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87506-A858-4EE7-9EBB-C0CF53AAF0E3}">
  <sheetPr codeName="Config_Humidifier"/>
  <dimension ref="A1:C63"/>
  <sheetViews>
    <sheetView workbookViewId="0"/>
  </sheetViews>
  <sheetFormatPr defaultRowHeight="15" x14ac:dyDescent="0.25"/>
  <cols>
    <col min="2" max="2" width="15" bestFit="1" customWidth="1"/>
    <col min="3" max="3" width="15.85546875" bestFit="1" customWidth="1"/>
  </cols>
  <sheetData>
    <row r="1" spans="1:3" x14ac:dyDescent="0.25">
      <c r="A1" t="s">
        <v>140</v>
      </c>
      <c r="B1" t="str">
        <f>A1&amp;" Humidifiers"</f>
        <v>A110 Humidifiers</v>
      </c>
      <c r="C1" t="s">
        <v>723</v>
      </c>
    </row>
    <row r="2" spans="1:3" x14ac:dyDescent="0.25">
      <c r="A2" t="s">
        <v>141</v>
      </c>
      <c r="B2" t="str">
        <f>A2&amp;" Humidifiers"</f>
        <v>A120 Humidifiers</v>
      </c>
      <c r="C2" t="s">
        <v>723</v>
      </c>
    </row>
    <row r="3" spans="1:3" x14ac:dyDescent="0.25">
      <c r="A3" t="s">
        <v>142</v>
      </c>
      <c r="B3" t="str">
        <f>A3&amp;" Humidifiers"</f>
        <v>A130 Humidifiers</v>
      </c>
      <c r="C3" t="s">
        <v>723</v>
      </c>
    </row>
    <row r="4" spans="1:3" x14ac:dyDescent="0.25">
      <c r="A4" t="s">
        <v>143</v>
      </c>
      <c r="B4" t="str">
        <f>A4&amp;" Humidifiers"</f>
        <v>A140 Humidifiers</v>
      </c>
      <c r="C4" t="s">
        <v>723</v>
      </c>
    </row>
    <row r="5" spans="1:3" x14ac:dyDescent="0.25">
      <c r="A5" t="s">
        <v>144</v>
      </c>
      <c r="B5" t="str">
        <f t="shared" ref="B5:B63" si="0">A5&amp;" Humidifiers"</f>
        <v>A150 Humidifiers</v>
      </c>
      <c r="C5" t="s">
        <v>723</v>
      </c>
    </row>
    <row r="6" spans="1:3" x14ac:dyDescent="0.25">
      <c r="A6" t="s">
        <v>145</v>
      </c>
      <c r="B6" t="str">
        <f t="shared" si="0"/>
        <v>B110 Humidifiers</v>
      </c>
      <c r="C6" t="s">
        <v>723</v>
      </c>
    </row>
    <row r="7" spans="1:3" x14ac:dyDescent="0.25">
      <c r="A7" t="s">
        <v>146</v>
      </c>
      <c r="B7" t="str">
        <f t="shared" si="0"/>
        <v>B120 Humidifiers</v>
      </c>
      <c r="C7" t="s">
        <v>723</v>
      </c>
    </row>
    <row r="8" spans="1:3" x14ac:dyDescent="0.25">
      <c r="A8" t="s">
        <v>147</v>
      </c>
      <c r="B8" t="str">
        <f t="shared" si="0"/>
        <v>B130 Humidifiers</v>
      </c>
      <c r="C8" t="s">
        <v>723</v>
      </c>
    </row>
    <row r="9" spans="1:3" x14ac:dyDescent="0.25">
      <c r="A9" t="s">
        <v>148</v>
      </c>
      <c r="B9" t="str">
        <f t="shared" si="0"/>
        <v>B140 Humidifiers</v>
      </c>
      <c r="C9" t="s">
        <v>723</v>
      </c>
    </row>
    <row r="10" spans="1:3" x14ac:dyDescent="0.25">
      <c r="A10" t="s">
        <v>149</v>
      </c>
      <c r="B10" t="str">
        <f t="shared" si="0"/>
        <v>D110 Humidifiers</v>
      </c>
      <c r="C10" t="s">
        <v>723</v>
      </c>
    </row>
    <row r="11" spans="1:3" x14ac:dyDescent="0.25">
      <c r="A11" t="s">
        <v>150</v>
      </c>
      <c r="B11" t="str">
        <f t="shared" si="0"/>
        <v>D120 Humidifiers</v>
      </c>
      <c r="C11" t="s">
        <v>723</v>
      </c>
    </row>
    <row r="12" spans="1:3" x14ac:dyDescent="0.25">
      <c r="A12" t="s">
        <v>151</v>
      </c>
      <c r="B12" t="str">
        <f t="shared" si="0"/>
        <v>D130 Humidifiers</v>
      </c>
      <c r="C12" t="s">
        <v>1340</v>
      </c>
    </row>
    <row r="13" spans="1:3" x14ac:dyDescent="0.25">
      <c r="A13" t="s">
        <v>152</v>
      </c>
      <c r="B13" t="str">
        <f t="shared" si="0"/>
        <v>F130 Humidifiers</v>
      </c>
      <c r="C13" t="s">
        <v>723</v>
      </c>
    </row>
    <row r="14" spans="1:3" x14ac:dyDescent="0.25">
      <c r="A14" t="s">
        <v>153</v>
      </c>
      <c r="B14" t="str">
        <f t="shared" si="0"/>
        <v>F140 Humidifiers</v>
      </c>
      <c r="C14" t="s">
        <v>723</v>
      </c>
    </row>
    <row r="15" spans="1:3" x14ac:dyDescent="0.25">
      <c r="A15" t="s">
        <v>154</v>
      </c>
      <c r="B15" t="str">
        <f t="shared" si="0"/>
        <v>F150 Humidifiers</v>
      </c>
      <c r="C15" t="s">
        <v>723</v>
      </c>
    </row>
    <row r="16" spans="1:3" x14ac:dyDescent="0.25">
      <c r="A16" t="s">
        <v>155</v>
      </c>
      <c r="B16" t="str">
        <f t="shared" si="0"/>
        <v>F160 Humidifiers</v>
      </c>
      <c r="C16" t="s">
        <v>723</v>
      </c>
    </row>
    <row r="17" spans="1:3" x14ac:dyDescent="0.25">
      <c r="A17" t="s">
        <v>156</v>
      </c>
      <c r="B17" t="str">
        <f t="shared" si="0"/>
        <v>F170 Humidifiers</v>
      </c>
      <c r="C17" t="s">
        <v>723</v>
      </c>
    </row>
    <row r="18" spans="1:3" x14ac:dyDescent="0.25">
      <c r="A18" t="s">
        <v>108</v>
      </c>
      <c r="B18" t="str">
        <f t="shared" si="0"/>
        <v>G100 Humidifiers</v>
      </c>
      <c r="C18" t="s">
        <v>1341</v>
      </c>
    </row>
    <row r="19" spans="1:3" x14ac:dyDescent="0.25">
      <c r="A19" t="s">
        <v>109</v>
      </c>
      <c r="B19" t="str">
        <f t="shared" si="0"/>
        <v>G102 Humidifiers</v>
      </c>
      <c r="C19" t="s">
        <v>1341</v>
      </c>
    </row>
    <row r="20" spans="1:3" x14ac:dyDescent="0.25">
      <c r="A20" t="s">
        <v>110</v>
      </c>
      <c r="B20" t="str">
        <f t="shared" si="0"/>
        <v>G104 Humidifiers</v>
      </c>
      <c r="C20" t="s">
        <v>1341</v>
      </c>
    </row>
    <row r="21" spans="1:3" x14ac:dyDescent="0.25">
      <c r="A21" t="s">
        <v>111</v>
      </c>
      <c r="B21" t="str">
        <f t="shared" si="0"/>
        <v>G106 Humidifiers</v>
      </c>
      <c r="C21" t="s">
        <v>1341</v>
      </c>
    </row>
    <row r="22" spans="1:3" x14ac:dyDescent="0.25">
      <c r="A22" t="s">
        <v>112</v>
      </c>
      <c r="B22" t="str">
        <f t="shared" si="0"/>
        <v>G108 Humidifiers</v>
      </c>
      <c r="C22" t="s">
        <v>1341</v>
      </c>
    </row>
    <row r="23" spans="1:3" x14ac:dyDescent="0.25">
      <c r="A23" t="s">
        <v>113</v>
      </c>
      <c r="B23" t="str">
        <f t="shared" si="0"/>
        <v>G110 Humidifiers</v>
      </c>
      <c r="C23" t="s">
        <v>1342</v>
      </c>
    </row>
    <row r="24" spans="1:3" x14ac:dyDescent="0.25">
      <c r="A24" t="s">
        <v>114</v>
      </c>
      <c r="B24" t="str">
        <f t="shared" si="0"/>
        <v>G114 Humidifiers</v>
      </c>
      <c r="C24" t="s">
        <v>1342</v>
      </c>
    </row>
    <row r="25" spans="1:3" x14ac:dyDescent="0.25">
      <c r="A25" t="s">
        <v>115</v>
      </c>
      <c r="B25" t="str">
        <f t="shared" si="0"/>
        <v>G116 Humidifiers</v>
      </c>
      <c r="C25" t="s">
        <v>1342</v>
      </c>
    </row>
    <row r="26" spans="1:3" x14ac:dyDescent="0.25">
      <c r="A26" t="s">
        <v>116</v>
      </c>
      <c r="B26" t="str">
        <f t="shared" si="0"/>
        <v>G118 Humidifiers</v>
      </c>
      <c r="C26" t="s">
        <v>1342</v>
      </c>
    </row>
    <row r="27" spans="1:3" x14ac:dyDescent="0.25">
      <c r="A27" t="s">
        <v>117</v>
      </c>
      <c r="B27" t="str">
        <f t="shared" si="0"/>
        <v>G120 Humidifiers</v>
      </c>
      <c r="C27" t="s">
        <v>1342</v>
      </c>
    </row>
    <row r="28" spans="1:3" x14ac:dyDescent="0.25">
      <c r="A28" t="s">
        <v>118</v>
      </c>
      <c r="B28" t="str">
        <f t="shared" si="0"/>
        <v>G200 Humidifiers</v>
      </c>
      <c r="C28" t="s">
        <v>1341</v>
      </c>
    </row>
    <row r="29" spans="1:3" x14ac:dyDescent="0.25">
      <c r="A29" t="s">
        <v>119</v>
      </c>
      <c r="B29" t="str">
        <f t="shared" si="0"/>
        <v>G202 Humidifiers</v>
      </c>
      <c r="C29" t="s">
        <v>1341</v>
      </c>
    </row>
    <row r="30" spans="1:3" x14ac:dyDescent="0.25">
      <c r="A30" t="s">
        <v>120</v>
      </c>
      <c r="B30" t="str">
        <f t="shared" si="0"/>
        <v>G204 Humidifiers</v>
      </c>
      <c r="C30" t="s">
        <v>1341</v>
      </c>
    </row>
    <row r="31" spans="1:3" x14ac:dyDescent="0.25">
      <c r="A31" t="s">
        <v>121</v>
      </c>
      <c r="B31" t="str">
        <f t="shared" si="0"/>
        <v>G206 Humidifiers</v>
      </c>
      <c r="C31" t="s">
        <v>1341</v>
      </c>
    </row>
    <row r="32" spans="1:3" x14ac:dyDescent="0.25">
      <c r="A32" t="s">
        <v>122</v>
      </c>
      <c r="B32" t="str">
        <f t="shared" si="0"/>
        <v>G208 Humidifiers</v>
      </c>
      <c r="C32" t="s">
        <v>1341</v>
      </c>
    </row>
    <row r="33" spans="1:3" x14ac:dyDescent="0.25">
      <c r="A33" t="s">
        <v>123</v>
      </c>
      <c r="B33" t="str">
        <f t="shared" si="0"/>
        <v>G210 Humidifiers</v>
      </c>
      <c r="C33" t="s">
        <v>1342</v>
      </c>
    </row>
    <row r="34" spans="1:3" x14ac:dyDescent="0.25">
      <c r="A34" t="s">
        <v>124</v>
      </c>
      <c r="B34" t="str">
        <f t="shared" si="0"/>
        <v>G212 Humidifiers</v>
      </c>
      <c r="C34" t="s">
        <v>1342</v>
      </c>
    </row>
    <row r="35" spans="1:3" x14ac:dyDescent="0.25">
      <c r="A35" t="s">
        <v>125</v>
      </c>
      <c r="B35" t="str">
        <f t="shared" si="0"/>
        <v>G214 Humidifiers</v>
      </c>
      <c r="C35" t="s">
        <v>1342</v>
      </c>
    </row>
    <row r="36" spans="1:3" x14ac:dyDescent="0.25">
      <c r="A36" t="s">
        <v>126</v>
      </c>
      <c r="B36" t="str">
        <f t="shared" si="0"/>
        <v>G216 Humidifiers</v>
      </c>
      <c r="C36" t="s">
        <v>1342</v>
      </c>
    </row>
    <row r="37" spans="1:3" x14ac:dyDescent="0.25">
      <c r="A37" t="s">
        <v>127</v>
      </c>
      <c r="B37" t="str">
        <f t="shared" si="0"/>
        <v>G218 Humidifiers</v>
      </c>
      <c r="C37" t="s">
        <v>1342</v>
      </c>
    </row>
    <row r="38" spans="1:3" x14ac:dyDescent="0.25">
      <c r="A38" t="s">
        <v>128</v>
      </c>
      <c r="B38" t="str">
        <f t="shared" si="0"/>
        <v>G220 Humidifiers</v>
      </c>
      <c r="C38" t="s">
        <v>1342</v>
      </c>
    </row>
    <row r="39" spans="1:3" x14ac:dyDescent="0.25">
      <c r="A39" t="s">
        <v>157</v>
      </c>
      <c r="B39" t="str">
        <f t="shared" si="0"/>
        <v>H100 Humidifiers</v>
      </c>
      <c r="C39" t="s">
        <v>1340</v>
      </c>
    </row>
    <row r="40" spans="1:3" x14ac:dyDescent="0.25">
      <c r="A40" t="s">
        <v>158</v>
      </c>
      <c r="B40" t="str">
        <f t="shared" si="0"/>
        <v>H106 Humidifiers</v>
      </c>
      <c r="C40" t="s">
        <v>1340</v>
      </c>
    </row>
    <row r="41" spans="1:3" x14ac:dyDescent="0.25">
      <c r="A41" t="s">
        <v>159</v>
      </c>
      <c r="B41" t="str">
        <f t="shared" si="0"/>
        <v>H200 Humidifiers</v>
      </c>
      <c r="C41" t="s">
        <v>1340</v>
      </c>
    </row>
    <row r="42" spans="1:3" x14ac:dyDescent="0.25">
      <c r="A42" t="s">
        <v>160</v>
      </c>
      <c r="B42" t="str">
        <f t="shared" si="0"/>
        <v>H206 Humidifiers</v>
      </c>
      <c r="C42" t="s">
        <v>1340</v>
      </c>
    </row>
    <row r="43" spans="1:3" x14ac:dyDescent="0.25">
      <c r="A43" t="s">
        <v>161</v>
      </c>
      <c r="B43" t="str">
        <f t="shared" si="0"/>
        <v>J100 Humidifiers</v>
      </c>
      <c r="C43" t="s">
        <v>1340</v>
      </c>
    </row>
    <row r="44" spans="1:3" x14ac:dyDescent="0.25">
      <c r="A44" t="s">
        <v>162</v>
      </c>
      <c r="B44" t="str">
        <f t="shared" si="0"/>
        <v>J102 Humidifiers</v>
      </c>
      <c r="C44" t="s">
        <v>1340</v>
      </c>
    </row>
    <row r="45" spans="1:3" x14ac:dyDescent="0.25">
      <c r="A45" t="s">
        <v>163</v>
      </c>
      <c r="B45" t="str">
        <f t="shared" si="0"/>
        <v>J106 Humidifiers</v>
      </c>
      <c r="C45" t="s">
        <v>1340</v>
      </c>
    </row>
    <row r="46" spans="1:3" x14ac:dyDescent="0.25">
      <c r="A46" t="s">
        <v>164</v>
      </c>
      <c r="B46" t="str">
        <f t="shared" si="0"/>
        <v>J200 Humidifiers</v>
      </c>
      <c r="C46" t="s">
        <v>1340</v>
      </c>
    </row>
    <row r="47" spans="1:3" x14ac:dyDescent="0.25">
      <c r="A47" t="s">
        <v>165</v>
      </c>
      <c r="B47" t="str">
        <f t="shared" si="0"/>
        <v>J202 Humidifiers</v>
      </c>
      <c r="C47" t="s">
        <v>1340</v>
      </c>
    </row>
    <row r="48" spans="1:3" x14ac:dyDescent="0.25">
      <c r="A48" t="s">
        <v>166</v>
      </c>
      <c r="B48" t="str">
        <f t="shared" si="0"/>
        <v>J206 Humidifiers</v>
      </c>
      <c r="C48" t="s">
        <v>1340</v>
      </c>
    </row>
    <row r="49" spans="1:3" x14ac:dyDescent="0.25">
      <c r="A49" t="s">
        <v>129</v>
      </c>
      <c r="B49" t="str">
        <f t="shared" si="0"/>
        <v>K100 Humidifiers</v>
      </c>
      <c r="C49" t="s">
        <v>1342</v>
      </c>
    </row>
    <row r="50" spans="1:3" x14ac:dyDescent="0.25">
      <c r="A50" t="s">
        <v>130</v>
      </c>
      <c r="B50" t="str">
        <f t="shared" si="0"/>
        <v>K102 Humidifiers</v>
      </c>
      <c r="C50" t="s">
        <v>1342</v>
      </c>
    </row>
    <row r="51" spans="1:3" x14ac:dyDescent="0.25">
      <c r="A51" t="s">
        <v>167</v>
      </c>
      <c r="B51" t="str">
        <f t="shared" si="0"/>
        <v>K104 Humidifiers</v>
      </c>
      <c r="C51" t="s">
        <v>1342</v>
      </c>
    </row>
    <row r="52" spans="1:3" x14ac:dyDescent="0.25">
      <c r="A52" t="s">
        <v>168</v>
      </c>
      <c r="B52" t="str">
        <f t="shared" si="0"/>
        <v>K106 Humidifiers</v>
      </c>
      <c r="C52" t="s">
        <v>1342</v>
      </c>
    </row>
    <row r="53" spans="1:3" x14ac:dyDescent="0.25">
      <c r="A53" t="s">
        <v>169</v>
      </c>
      <c r="B53" t="str">
        <f t="shared" si="0"/>
        <v>K108 Humidifiers</v>
      </c>
      <c r="C53" t="s">
        <v>1342</v>
      </c>
    </row>
    <row r="54" spans="1:3" x14ac:dyDescent="0.25">
      <c r="A54" t="s">
        <v>170</v>
      </c>
      <c r="B54" t="str">
        <f t="shared" si="0"/>
        <v>K110 Humidifiers</v>
      </c>
      <c r="C54" t="s">
        <v>1342</v>
      </c>
    </row>
    <row r="55" spans="1:3" x14ac:dyDescent="0.25">
      <c r="A55" t="s">
        <v>171</v>
      </c>
      <c r="B55" t="str">
        <f t="shared" si="0"/>
        <v>K112 Humidifiers</v>
      </c>
      <c r="C55" t="s">
        <v>1342</v>
      </c>
    </row>
    <row r="56" spans="1:3" x14ac:dyDescent="0.25">
      <c r="A56" t="s">
        <v>172</v>
      </c>
      <c r="B56" t="str">
        <f t="shared" si="0"/>
        <v>K114 Humidifiers</v>
      </c>
      <c r="C56" t="s">
        <v>1342</v>
      </c>
    </row>
    <row r="57" spans="1:3" x14ac:dyDescent="0.25">
      <c r="A57" t="s">
        <v>16</v>
      </c>
      <c r="B57" t="str">
        <f t="shared" si="0"/>
        <v>K200 Humidifiers</v>
      </c>
      <c r="C57" t="s">
        <v>1342</v>
      </c>
    </row>
    <row r="58" spans="1:3" x14ac:dyDescent="0.25">
      <c r="A58" t="s">
        <v>131</v>
      </c>
      <c r="B58" t="str">
        <f t="shared" si="0"/>
        <v>K202 Humidifiers</v>
      </c>
      <c r="C58" t="s">
        <v>1342</v>
      </c>
    </row>
    <row r="59" spans="1:3" x14ac:dyDescent="0.25">
      <c r="A59" t="s">
        <v>173</v>
      </c>
      <c r="B59" t="str">
        <f t="shared" si="0"/>
        <v>K204 Humidifiers</v>
      </c>
      <c r="C59" t="s">
        <v>1342</v>
      </c>
    </row>
    <row r="60" spans="1:3" x14ac:dyDescent="0.25">
      <c r="A60" t="s">
        <v>174</v>
      </c>
      <c r="B60" t="str">
        <f t="shared" si="0"/>
        <v>K206 Humidifiers</v>
      </c>
      <c r="C60" t="s">
        <v>1342</v>
      </c>
    </row>
    <row r="61" spans="1:3" x14ac:dyDescent="0.25">
      <c r="A61" t="s">
        <v>175</v>
      </c>
      <c r="B61" t="str">
        <f t="shared" si="0"/>
        <v>K208 Humidifiers</v>
      </c>
      <c r="C61" t="s">
        <v>1342</v>
      </c>
    </row>
    <row r="62" spans="1:3" x14ac:dyDescent="0.25">
      <c r="A62" t="s">
        <v>176</v>
      </c>
      <c r="B62" t="str">
        <f t="shared" si="0"/>
        <v>K210 Humidifiers</v>
      </c>
      <c r="C62" t="s">
        <v>1342</v>
      </c>
    </row>
    <row r="63" spans="1:3" x14ac:dyDescent="0.25">
      <c r="A63" t="s">
        <v>177</v>
      </c>
      <c r="B63" t="str">
        <f t="shared" si="0"/>
        <v>K212 Humidifiers</v>
      </c>
      <c r="C63" t="s">
        <v>1342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82820-EA55-417D-B392-4526285B8D3E}">
  <sheetPr codeName="Config_Split_Sys"/>
  <dimension ref="A1:D42"/>
  <sheetViews>
    <sheetView workbookViewId="0">
      <selection activeCell="H24" sqref="H24"/>
    </sheetView>
  </sheetViews>
  <sheetFormatPr defaultRowHeight="15" x14ac:dyDescent="0.25"/>
  <cols>
    <col min="1" max="1" width="9.7109375" customWidth="1"/>
    <col min="2" max="2" width="24.7109375" bestFit="1" customWidth="1"/>
    <col min="3" max="3" width="18" bestFit="1" customWidth="1"/>
  </cols>
  <sheetData>
    <row r="1" spans="1:4" x14ac:dyDescent="0.25">
      <c r="C1" t="s">
        <v>1343</v>
      </c>
    </row>
    <row r="2" spans="1:4" x14ac:dyDescent="0.25">
      <c r="A2" t="s">
        <v>664</v>
      </c>
      <c r="B2" t="str">
        <f>A2&amp;" Split System A/C Units"</f>
        <v>G-PBB Split System A/C Units</v>
      </c>
      <c r="D2" t="s">
        <v>4710</v>
      </c>
    </row>
    <row r="3" spans="1:4" x14ac:dyDescent="0.25">
      <c r="A3" t="s">
        <v>671</v>
      </c>
      <c r="B3" t="str">
        <f>A3&amp;" Split System A/C Units"</f>
        <v>H-PBB Split System A/C Units</v>
      </c>
      <c r="D3" t="s">
        <v>1344</v>
      </c>
    </row>
    <row r="4" spans="1:4" x14ac:dyDescent="0.25">
      <c r="A4" t="s">
        <v>676</v>
      </c>
      <c r="B4" t="str">
        <f>A4&amp;" Split System A/C Units"</f>
        <v>J-PBB Split System A/C Units</v>
      </c>
      <c r="D4" t="s">
        <v>4711</v>
      </c>
    </row>
    <row r="5" spans="1:4" x14ac:dyDescent="0.25">
      <c r="A5" t="s">
        <v>678</v>
      </c>
      <c r="B5" t="str">
        <f>A5&amp;" Split System A/C Units"</f>
        <v>K-PBB Split System A/C Units</v>
      </c>
      <c r="D5" t="s">
        <v>4711</v>
      </c>
    </row>
    <row r="6" spans="1:4" x14ac:dyDescent="0.25">
      <c r="A6" t="s">
        <v>151</v>
      </c>
      <c r="B6" t="str">
        <f t="shared" ref="B6:B42" si="0">A6&amp;" Split System A/C Units"</f>
        <v>D130 Split System A/C Units</v>
      </c>
      <c r="C6">
        <v>4</v>
      </c>
    </row>
    <row r="7" spans="1:4" x14ac:dyDescent="0.25">
      <c r="A7" t="s">
        <v>108</v>
      </c>
      <c r="B7" t="str">
        <f t="shared" si="0"/>
        <v>G100 Split System A/C Units</v>
      </c>
      <c r="C7">
        <v>2</v>
      </c>
    </row>
    <row r="8" spans="1:4" x14ac:dyDescent="0.25">
      <c r="A8" t="s">
        <v>109</v>
      </c>
      <c r="B8" t="str">
        <f t="shared" si="0"/>
        <v>G102 Split System A/C Units</v>
      </c>
      <c r="C8">
        <v>2</v>
      </c>
    </row>
    <row r="9" spans="1:4" x14ac:dyDescent="0.25">
      <c r="A9" t="s">
        <v>110</v>
      </c>
      <c r="B9" t="str">
        <f t="shared" si="0"/>
        <v>G104 Split System A/C Units</v>
      </c>
      <c r="C9">
        <v>2</v>
      </c>
    </row>
    <row r="10" spans="1:4" x14ac:dyDescent="0.25">
      <c r="A10" t="s">
        <v>111</v>
      </c>
      <c r="B10" t="str">
        <f t="shared" si="0"/>
        <v>G106 Split System A/C Units</v>
      </c>
      <c r="C10">
        <v>2</v>
      </c>
    </row>
    <row r="11" spans="1:4" x14ac:dyDescent="0.25">
      <c r="A11" t="s">
        <v>112</v>
      </c>
      <c r="B11" t="str">
        <f t="shared" si="0"/>
        <v>G108 Split System A/C Units</v>
      </c>
      <c r="C11">
        <v>2</v>
      </c>
    </row>
    <row r="12" spans="1:4" x14ac:dyDescent="0.25">
      <c r="A12" t="s">
        <v>113</v>
      </c>
      <c r="B12" t="str">
        <f t="shared" si="0"/>
        <v>G110 Split System A/C Units</v>
      </c>
      <c r="C12">
        <v>4</v>
      </c>
    </row>
    <row r="13" spans="1:4" x14ac:dyDescent="0.25">
      <c r="A13" t="s">
        <v>114</v>
      </c>
      <c r="B13" t="str">
        <f t="shared" si="0"/>
        <v>G114 Split System A/C Units</v>
      </c>
      <c r="C13">
        <v>2</v>
      </c>
    </row>
    <row r="14" spans="1:4" x14ac:dyDescent="0.25">
      <c r="A14" t="s">
        <v>115</v>
      </c>
      <c r="B14" t="str">
        <f t="shared" si="0"/>
        <v>G116 Split System A/C Units</v>
      </c>
      <c r="C14">
        <v>2</v>
      </c>
    </row>
    <row r="15" spans="1:4" x14ac:dyDescent="0.25">
      <c r="A15" t="s">
        <v>116</v>
      </c>
      <c r="B15" t="str">
        <f t="shared" si="0"/>
        <v>G118 Split System A/C Units</v>
      </c>
      <c r="C15">
        <v>2</v>
      </c>
    </row>
    <row r="16" spans="1:4" x14ac:dyDescent="0.25">
      <c r="A16" t="s">
        <v>117</v>
      </c>
      <c r="B16" t="str">
        <f t="shared" si="0"/>
        <v>G120 Split System A/C Units</v>
      </c>
      <c r="C16">
        <v>2</v>
      </c>
    </row>
    <row r="17" spans="1:3" x14ac:dyDescent="0.25">
      <c r="A17" t="s">
        <v>118</v>
      </c>
      <c r="B17" t="str">
        <f t="shared" si="0"/>
        <v>G200 Split System A/C Units</v>
      </c>
      <c r="C17">
        <v>2</v>
      </c>
    </row>
    <row r="18" spans="1:3" x14ac:dyDescent="0.25">
      <c r="A18" t="s">
        <v>119</v>
      </c>
      <c r="B18" t="str">
        <f t="shared" si="0"/>
        <v>G202 Split System A/C Units</v>
      </c>
      <c r="C18">
        <v>2</v>
      </c>
    </row>
    <row r="19" spans="1:3" x14ac:dyDescent="0.25">
      <c r="A19" t="s">
        <v>120</v>
      </c>
      <c r="B19" t="str">
        <f t="shared" si="0"/>
        <v>G204 Split System A/C Units</v>
      </c>
      <c r="C19">
        <v>2</v>
      </c>
    </row>
    <row r="20" spans="1:3" x14ac:dyDescent="0.25">
      <c r="A20" t="s">
        <v>121</v>
      </c>
      <c r="B20" t="str">
        <f t="shared" si="0"/>
        <v>G206 Split System A/C Units</v>
      </c>
      <c r="C20">
        <v>2</v>
      </c>
    </row>
    <row r="21" spans="1:3" x14ac:dyDescent="0.25">
      <c r="A21" t="s">
        <v>122</v>
      </c>
      <c r="B21" t="str">
        <f t="shared" si="0"/>
        <v>G208 Split System A/C Units</v>
      </c>
      <c r="C21">
        <v>2</v>
      </c>
    </row>
    <row r="22" spans="1:3" x14ac:dyDescent="0.25">
      <c r="A22" t="s">
        <v>123</v>
      </c>
      <c r="B22" t="str">
        <f t="shared" si="0"/>
        <v>G210 Split System A/C Units</v>
      </c>
      <c r="C22">
        <v>2</v>
      </c>
    </row>
    <row r="23" spans="1:3" x14ac:dyDescent="0.25">
      <c r="A23" t="s">
        <v>124</v>
      </c>
      <c r="B23" t="str">
        <f t="shared" si="0"/>
        <v>G212 Split System A/C Units</v>
      </c>
      <c r="C23">
        <v>2</v>
      </c>
    </row>
    <row r="24" spans="1:3" x14ac:dyDescent="0.25">
      <c r="A24" t="s">
        <v>125</v>
      </c>
      <c r="B24" t="str">
        <f t="shared" si="0"/>
        <v>G214 Split System A/C Units</v>
      </c>
      <c r="C24">
        <v>2</v>
      </c>
    </row>
    <row r="25" spans="1:3" x14ac:dyDescent="0.25">
      <c r="A25" t="s">
        <v>126</v>
      </c>
      <c r="B25" t="str">
        <f t="shared" si="0"/>
        <v>G216 Split System A/C Units</v>
      </c>
      <c r="C25">
        <v>2</v>
      </c>
    </row>
    <row r="26" spans="1:3" x14ac:dyDescent="0.25">
      <c r="A26" t="s">
        <v>127</v>
      </c>
      <c r="B26" t="str">
        <f t="shared" si="0"/>
        <v>G218 Split System A/C Units</v>
      </c>
      <c r="C26">
        <v>2</v>
      </c>
    </row>
    <row r="27" spans="1:3" x14ac:dyDescent="0.25">
      <c r="A27" t="s">
        <v>128</v>
      </c>
      <c r="B27" t="str">
        <f t="shared" si="0"/>
        <v>G220 Split System A/C Units</v>
      </c>
      <c r="C27">
        <v>2</v>
      </c>
    </row>
    <row r="28" spans="1:3" x14ac:dyDescent="0.25">
      <c r="A28" t="s">
        <v>129</v>
      </c>
      <c r="B28" t="str">
        <f t="shared" si="0"/>
        <v>K100 Split System A/C Units</v>
      </c>
      <c r="C28">
        <v>2</v>
      </c>
    </row>
    <row r="29" spans="1:3" x14ac:dyDescent="0.25">
      <c r="A29" t="s">
        <v>130</v>
      </c>
      <c r="B29" t="str">
        <f t="shared" si="0"/>
        <v>K102 Split System A/C Units</v>
      </c>
      <c r="C29">
        <v>2</v>
      </c>
    </row>
    <row r="30" spans="1:3" x14ac:dyDescent="0.25">
      <c r="A30" t="s">
        <v>167</v>
      </c>
      <c r="B30" t="str">
        <f t="shared" si="0"/>
        <v>K104 Split System A/C Units</v>
      </c>
      <c r="C30">
        <v>2</v>
      </c>
    </row>
    <row r="31" spans="1:3" x14ac:dyDescent="0.25">
      <c r="A31" t="s">
        <v>168</v>
      </c>
      <c r="B31" t="str">
        <f t="shared" si="0"/>
        <v>K106 Split System A/C Units</v>
      </c>
      <c r="C31">
        <v>2</v>
      </c>
    </row>
    <row r="32" spans="1:3" x14ac:dyDescent="0.25">
      <c r="A32" t="s">
        <v>169</v>
      </c>
      <c r="B32" t="str">
        <f t="shared" si="0"/>
        <v>K108 Split System A/C Units</v>
      </c>
      <c r="C32">
        <v>2</v>
      </c>
    </row>
    <row r="33" spans="1:3" x14ac:dyDescent="0.25">
      <c r="A33" t="s">
        <v>170</v>
      </c>
      <c r="B33" t="str">
        <f t="shared" si="0"/>
        <v>K110 Split System A/C Units</v>
      </c>
      <c r="C33">
        <v>2</v>
      </c>
    </row>
    <row r="34" spans="1:3" x14ac:dyDescent="0.25">
      <c r="A34" t="s">
        <v>171</v>
      </c>
      <c r="B34" t="str">
        <f t="shared" si="0"/>
        <v>K112 Split System A/C Units</v>
      </c>
      <c r="C34">
        <v>2</v>
      </c>
    </row>
    <row r="35" spans="1:3" x14ac:dyDescent="0.25">
      <c r="A35" t="s">
        <v>172</v>
      </c>
      <c r="B35" t="str">
        <f t="shared" si="0"/>
        <v>K114 Split System A/C Units</v>
      </c>
      <c r="C35">
        <v>2</v>
      </c>
    </row>
    <row r="36" spans="1:3" x14ac:dyDescent="0.25">
      <c r="A36" t="s">
        <v>16</v>
      </c>
      <c r="B36" t="str">
        <f t="shared" si="0"/>
        <v>K200 Split System A/C Units</v>
      </c>
      <c r="C36">
        <v>2</v>
      </c>
    </row>
    <row r="37" spans="1:3" x14ac:dyDescent="0.25">
      <c r="A37" t="s">
        <v>131</v>
      </c>
      <c r="B37" t="str">
        <f t="shared" si="0"/>
        <v>K202 Split System A/C Units</v>
      </c>
      <c r="C37">
        <v>2</v>
      </c>
    </row>
    <row r="38" spans="1:3" x14ac:dyDescent="0.25">
      <c r="A38" t="s">
        <v>173</v>
      </c>
      <c r="B38" t="str">
        <f t="shared" si="0"/>
        <v>K204 Split System A/C Units</v>
      </c>
      <c r="C38">
        <v>2</v>
      </c>
    </row>
    <row r="39" spans="1:3" x14ac:dyDescent="0.25">
      <c r="A39" t="s">
        <v>174</v>
      </c>
      <c r="B39" t="str">
        <f t="shared" si="0"/>
        <v>K206 Split System A/C Units</v>
      </c>
      <c r="C39">
        <v>2</v>
      </c>
    </row>
    <row r="40" spans="1:3" x14ac:dyDescent="0.25">
      <c r="A40" t="s">
        <v>175</v>
      </c>
      <c r="B40" t="str">
        <f t="shared" si="0"/>
        <v>K208 Split System A/C Units</v>
      </c>
      <c r="C40">
        <v>2</v>
      </c>
    </row>
    <row r="41" spans="1:3" x14ac:dyDescent="0.25">
      <c r="A41" t="s">
        <v>176</v>
      </c>
      <c r="B41" t="str">
        <f t="shared" si="0"/>
        <v>K210 Split System A/C Units</v>
      </c>
      <c r="C41">
        <v>2</v>
      </c>
    </row>
    <row r="42" spans="1:3" x14ac:dyDescent="0.25">
      <c r="A42" t="s">
        <v>177</v>
      </c>
      <c r="B42" t="str">
        <f t="shared" si="0"/>
        <v>K212 Split System A/C Units</v>
      </c>
      <c r="C42">
        <v>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D39A4-054E-4037-AD5E-AE7468DB2B55}">
  <sheetPr codeName="Config_DEEM"/>
  <dimension ref="A1:H54"/>
  <sheetViews>
    <sheetView workbookViewId="0"/>
  </sheetViews>
  <sheetFormatPr defaultRowHeight="15" x14ac:dyDescent="0.25"/>
  <cols>
    <col min="2" max="2" width="13.140625" bestFit="1" customWidth="1"/>
    <col min="3" max="6" width="11.5703125" bestFit="1" customWidth="1"/>
    <col min="7" max="7" width="11.85546875" bestFit="1" customWidth="1"/>
    <col min="8" max="8" width="17.42578125" bestFit="1" customWidth="1"/>
  </cols>
  <sheetData>
    <row r="1" spans="1:8" x14ac:dyDescent="0.25">
      <c r="C1" t="str">
        <f>IFERROR(LEFT(DEEMSuite1), "ERROR")</f>
        <v>ERROR</v>
      </c>
    </row>
    <row r="2" spans="1:8" x14ac:dyDescent="0.25">
      <c r="A2" t="s">
        <v>1345</v>
      </c>
      <c r="B2" t="s">
        <v>1346</v>
      </c>
      <c r="C2" t="s">
        <v>1347</v>
      </c>
      <c r="D2" t="s">
        <v>1348</v>
      </c>
      <c r="E2" t="s">
        <v>1349</v>
      </c>
      <c r="F2" t="s">
        <v>346</v>
      </c>
      <c r="G2" t="s">
        <v>1350</v>
      </c>
      <c r="H2" t="s">
        <v>1351</v>
      </c>
    </row>
    <row r="3" spans="1:8" x14ac:dyDescent="0.25">
      <c r="A3" t="s">
        <v>500</v>
      </c>
      <c r="B3" t="s">
        <v>1352</v>
      </c>
      <c r="C3" t="s">
        <v>108</v>
      </c>
      <c r="D3" t="s">
        <v>109</v>
      </c>
      <c r="E3" t="s">
        <v>119</v>
      </c>
      <c r="F3" t="s">
        <v>203</v>
      </c>
      <c r="G3" t="s">
        <v>1353</v>
      </c>
      <c r="H3" t="s">
        <v>1354</v>
      </c>
    </row>
    <row r="4" spans="1:8" x14ac:dyDescent="0.25">
      <c r="A4" t="s">
        <v>503</v>
      </c>
      <c r="B4" t="s">
        <v>1355</v>
      </c>
      <c r="C4" t="s">
        <v>123</v>
      </c>
      <c r="D4" t="s">
        <v>124</v>
      </c>
      <c r="E4" t="s">
        <v>125</v>
      </c>
      <c r="F4" t="s">
        <v>203</v>
      </c>
      <c r="G4" t="s">
        <v>1356</v>
      </c>
      <c r="H4" t="s">
        <v>1357</v>
      </c>
    </row>
    <row r="5" spans="1:8" x14ac:dyDescent="0.25">
      <c r="A5" t="s">
        <v>506</v>
      </c>
      <c r="B5" t="s">
        <v>1355</v>
      </c>
      <c r="C5" t="s">
        <v>117</v>
      </c>
      <c r="D5" t="s">
        <v>126</v>
      </c>
      <c r="E5" t="s">
        <v>127</v>
      </c>
      <c r="F5" t="s">
        <v>128</v>
      </c>
      <c r="G5" t="s">
        <v>1358</v>
      </c>
      <c r="H5" t="s">
        <v>1359</v>
      </c>
    </row>
    <row r="6" spans="1:8" x14ac:dyDescent="0.25">
      <c r="A6" t="s">
        <v>586</v>
      </c>
      <c r="B6" t="s">
        <v>1355</v>
      </c>
      <c r="C6" t="s">
        <v>129</v>
      </c>
      <c r="D6" t="s">
        <v>16</v>
      </c>
      <c r="E6" t="s">
        <v>131</v>
      </c>
      <c r="F6" t="s">
        <v>203</v>
      </c>
      <c r="G6" t="s">
        <v>1360</v>
      </c>
      <c r="H6" t="s">
        <v>1361</v>
      </c>
    </row>
    <row r="7" spans="1:8" x14ac:dyDescent="0.25">
      <c r="A7" t="s">
        <v>587</v>
      </c>
      <c r="B7" t="s">
        <v>1355</v>
      </c>
      <c r="C7" t="s">
        <v>130</v>
      </c>
      <c r="D7" t="s">
        <v>167</v>
      </c>
      <c r="E7" t="s">
        <v>173</v>
      </c>
      <c r="F7" t="s">
        <v>203</v>
      </c>
      <c r="G7" t="s">
        <v>1362</v>
      </c>
      <c r="H7" t="s">
        <v>1363</v>
      </c>
    </row>
    <row r="8" spans="1:8" x14ac:dyDescent="0.25">
      <c r="A8" t="s">
        <v>588</v>
      </c>
      <c r="B8" t="s">
        <v>1355</v>
      </c>
      <c r="C8" t="s">
        <v>168</v>
      </c>
      <c r="D8" t="s">
        <v>169</v>
      </c>
      <c r="E8" t="s">
        <v>174</v>
      </c>
      <c r="F8" t="s">
        <v>175</v>
      </c>
      <c r="G8" t="s">
        <v>1364</v>
      </c>
      <c r="H8" t="s">
        <v>1365</v>
      </c>
    </row>
    <row r="9" spans="1:8" x14ac:dyDescent="0.25">
      <c r="A9" t="s">
        <v>589</v>
      </c>
      <c r="B9" t="s">
        <v>1355</v>
      </c>
      <c r="C9" t="s">
        <v>170</v>
      </c>
      <c r="D9" t="s">
        <v>171</v>
      </c>
      <c r="E9" t="s">
        <v>172</v>
      </c>
      <c r="F9" t="s">
        <v>176</v>
      </c>
      <c r="G9" t="s">
        <v>1366</v>
      </c>
      <c r="H9" t="s">
        <v>1354</v>
      </c>
    </row>
    <row r="10" spans="1:8" x14ac:dyDescent="0.25">
      <c r="A10" t="s">
        <v>129</v>
      </c>
      <c r="B10" t="s">
        <v>1355</v>
      </c>
      <c r="C10" t="s">
        <v>129</v>
      </c>
      <c r="G10" t="s">
        <v>1367</v>
      </c>
    </row>
    <row r="11" spans="1:8" x14ac:dyDescent="0.25">
      <c r="A11" t="s">
        <v>130</v>
      </c>
      <c r="B11" t="s">
        <v>1355</v>
      </c>
      <c r="C11" t="s">
        <v>130</v>
      </c>
      <c r="G11" t="s">
        <v>1368</v>
      </c>
    </row>
    <row r="12" spans="1:8" x14ac:dyDescent="0.25">
      <c r="A12" t="s">
        <v>167</v>
      </c>
      <c r="B12" t="s">
        <v>1355</v>
      </c>
      <c r="C12" t="s">
        <v>167</v>
      </c>
      <c r="G12" t="s">
        <v>1369</v>
      </c>
    </row>
    <row r="13" spans="1:8" x14ac:dyDescent="0.25">
      <c r="A13" t="s">
        <v>168</v>
      </c>
      <c r="B13" t="s">
        <v>1355</v>
      </c>
      <c r="C13" t="s">
        <v>168</v>
      </c>
      <c r="G13" t="s">
        <v>1370</v>
      </c>
    </row>
    <row r="14" spans="1:8" x14ac:dyDescent="0.25">
      <c r="A14" t="s">
        <v>169</v>
      </c>
      <c r="B14" t="s">
        <v>1355</v>
      </c>
      <c r="C14" t="s">
        <v>169</v>
      </c>
      <c r="G14" t="s">
        <v>1371</v>
      </c>
    </row>
    <row r="15" spans="1:8" x14ac:dyDescent="0.25">
      <c r="A15" t="s">
        <v>170</v>
      </c>
      <c r="B15" t="s">
        <v>1355</v>
      </c>
      <c r="C15" t="s">
        <v>170</v>
      </c>
      <c r="G15" t="s">
        <v>1372</v>
      </c>
    </row>
    <row r="16" spans="1:8" x14ac:dyDescent="0.25">
      <c r="A16" t="s">
        <v>171</v>
      </c>
      <c r="B16" t="s">
        <v>1355</v>
      </c>
      <c r="C16" t="s">
        <v>171</v>
      </c>
      <c r="G16" t="s">
        <v>1373</v>
      </c>
    </row>
    <row r="17" spans="1:8" x14ac:dyDescent="0.25">
      <c r="A17" t="s">
        <v>172</v>
      </c>
      <c r="B17" t="s">
        <v>1355</v>
      </c>
      <c r="C17" t="s">
        <v>172</v>
      </c>
      <c r="G17" t="s">
        <v>1374</v>
      </c>
    </row>
    <row r="18" spans="1:8" x14ac:dyDescent="0.25">
      <c r="A18" t="s">
        <v>16</v>
      </c>
      <c r="B18" t="s">
        <v>1355</v>
      </c>
      <c r="C18" t="s">
        <v>16</v>
      </c>
      <c r="G18" t="s">
        <v>1375</v>
      </c>
    </row>
    <row r="19" spans="1:8" x14ac:dyDescent="0.25">
      <c r="A19" t="s">
        <v>131</v>
      </c>
      <c r="B19" t="s">
        <v>1355</v>
      </c>
      <c r="C19" t="s">
        <v>131</v>
      </c>
      <c r="G19" t="s">
        <v>1376</v>
      </c>
    </row>
    <row r="20" spans="1:8" x14ac:dyDescent="0.25">
      <c r="A20" t="s">
        <v>173</v>
      </c>
      <c r="B20" t="s">
        <v>1355</v>
      </c>
      <c r="C20" t="s">
        <v>173</v>
      </c>
      <c r="G20" t="s">
        <v>1377</v>
      </c>
    </row>
    <row r="21" spans="1:8" x14ac:dyDescent="0.25">
      <c r="A21" t="s">
        <v>174</v>
      </c>
      <c r="B21" t="s">
        <v>1355</v>
      </c>
      <c r="C21" t="s">
        <v>174</v>
      </c>
      <c r="G21" t="s">
        <v>1378</v>
      </c>
    </row>
    <row r="22" spans="1:8" x14ac:dyDescent="0.25">
      <c r="A22" t="s">
        <v>175</v>
      </c>
      <c r="B22" t="s">
        <v>1355</v>
      </c>
      <c r="C22" t="s">
        <v>175</v>
      </c>
      <c r="G22" t="s">
        <v>1379</v>
      </c>
    </row>
    <row r="23" spans="1:8" x14ac:dyDescent="0.25">
      <c r="A23" t="s">
        <v>176</v>
      </c>
      <c r="B23" t="s">
        <v>1355</v>
      </c>
      <c r="C23" t="s">
        <v>176</v>
      </c>
      <c r="G23" t="s">
        <v>1380</v>
      </c>
    </row>
    <row r="24" spans="1:8" x14ac:dyDescent="0.25">
      <c r="A24" t="s">
        <v>1381</v>
      </c>
      <c r="B24" t="s">
        <v>1355</v>
      </c>
      <c r="C24" t="s">
        <v>177</v>
      </c>
      <c r="G24" t="s">
        <v>1382</v>
      </c>
    </row>
    <row r="25" spans="1:8" x14ac:dyDescent="0.25">
      <c r="A25" t="s">
        <v>1383</v>
      </c>
      <c r="B25" t="s">
        <v>1355</v>
      </c>
      <c r="C25" t="s">
        <v>177</v>
      </c>
      <c r="G25" t="s">
        <v>1384</v>
      </c>
    </row>
    <row r="26" spans="1:8" x14ac:dyDescent="0.25">
      <c r="A26" t="s">
        <v>1385</v>
      </c>
      <c r="B26" t="s">
        <v>1355</v>
      </c>
      <c r="C26" t="s">
        <v>177</v>
      </c>
      <c r="G26" t="s">
        <v>1386</v>
      </c>
    </row>
    <row r="29" spans="1:8" x14ac:dyDescent="0.25">
      <c r="A29" t="s">
        <v>492</v>
      </c>
      <c r="G29" t="s">
        <v>1387</v>
      </c>
      <c r="H29" t="s">
        <v>1361</v>
      </c>
    </row>
    <row r="30" spans="1:8" x14ac:dyDescent="0.25">
      <c r="A30" t="s">
        <v>494</v>
      </c>
      <c r="G30" t="s">
        <v>1388</v>
      </c>
      <c r="H30" t="s">
        <v>1363</v>
      </c>
    </row>
    <row r="31" spans="1:8" x14ac:dyDescent="0.25">
      <c r="A31" t="s">
        <v>497</v>
      </c>
      <c r="G31" t="s">
        <v>1389</v>
      </c>
      <c r="H31" t="s">
        <v>1365</v>
      </c>
    </row>
    <row r="32" spans="1:8" x14ac:dyDescent="0.25">
      <c r="A32" t="s">
        <v>108</v>
      </c>
      <c r="G32" t="s">
        <v>1390</v>
      </c>
    </row>
    <row r="33" spans="1:7" x14ac:dyDescent="0.25">
      <c r="A33" t="s">
        <v>109</v>
      </c>
      <c r="G33" t="s">
        <v>1391</v>
      </c>
    </row>
    <row r="34" spans="1:7" x14ac:dyDescent="0.25">
      <c r="A34" t="s">
        <v>110</v>
      </c>
      <c r="G34" t="s">
        <v>1392</v>
      </c>
    </row>
    <row r="35" spans="1:7" x14ac:dyDescent="0.25">
      <c r="A35" t="s">
        <v>111</v>
      </c>
      <c r="G35" t="s">
        <v>1393</v>
      </c>
    </row>
    <row r="36" spans="1:7" x14ac:dyDescent="0.25">
      <c r="A36" t="s">
        <v>112</v>
      </c>
      <c r="G36" t="s">
        <v>1394</v>
      </c>
    </row>
    <row r="37" spans="1:7" x14ac:dyDescent="0.25">
      <c r="A37" t="s">
        <v>1395</v>
      </c>
      <c r="G37" t="s">
        <v>1396</v>
      </c>
    </row>
    <row r="38" spans="1:7" x14ac:dyDescent="0.25">
      <c r="A38" t="s">
        <v>1397</v>
      </c>
      <c r="G38" t="s">
        <v>1398</v>
      </c>
    </row>
    <row r="39" spans="1:7" x14ac:dyDescent="0.25">
      <c r="A39" t="s">
        <v>1399</v>
      </c>
      <c r="G39" t="s">
        <v>1400</v>
      </c>
    </row>
    <row r="40" spans="1:7" x14ac:dyDescent="0.25">
      <c r="A40" t="s">
        <v>114</v>
      </c>
      <c r="G40" t="s">
        <v>1401</v>
      </c>
    </row>
    <row r="41" spans="1:7" x14ac:dyDescent="0.25">
      <c r="A41" t="s">
        <v>115</v>
      </c>
    </row>
    <row r="42" spans="1:7" x14ac:dyDescent="0.25">
      <c r="A42" t="s">
        <v>116</v>
      </c>
    </row>
    <row r="43" spans="1:7" x14ac:dyDescent="0.25">
      <c r="A43" t="s">
        <v>117</v>
      </c>
    </row>
    <row r="44" spans="1:7" x14ac:dyDescent="0.25">
      <c r="A44" t="s">
        <v>118</v>
      </c>
      <c r="G44" t="s">
        <v>1402</v>
      </c>
    </row>
    <row r="45" spans="1:7" x14ac:dyDescent="0.25">
      <c r="A45" t="s">
        <v>119</v>
      </c>
      <c r="G45" t="s">
        <v>1403</v>
      </c>
    </row>
    <row r="46" spans="1:7" x14ac:dyDescent="0.25">
      <c r="A46" t="s">
        <v>120</v>
      </c>
      <c r="G46" t="s">
        <v>1404</v>
      </c>
    </row>
    <row r="47" spans="1:7" x14ac:dyDescent="0.25">
      <c r="A47" t="s">
        <v>121</v>
      </c>
      <c r="G47" t="s">
        <v>1405</v>
      </c>
    </row>
    <row r="48" spans="1:7" x14ac:dyDescent="0.25">
      <c r="A48" t="s">
        <v>122</v>
      </c>
      <c r="G48" t="s">
        <v>1406</v>
      </c>
    </row>
    <row r="49" spans="1:7" x14ac:dyDescent="0.25">
      <c r="A49" t="s">
        <v>123</v>
      </c>
      <c r="G49" t="s">
        <v>1407</v>
      </c>
    </row>
    <row r="50" spans="1:7" x14ac:dyDescent="0.25">
      <c r="A50" t="s">
        <v>124</v>
      </c>
      <c r="G50" t="s">
        <v>1408</v>
      </c>
    </row>
    <row r="51" spans="1:7" x14ac:dyDescent="0.25">
      <c r="A51" t="s">
        <v>125</v>
      </c>
      <c r="G51" t="s">
        <v>1409</v>
      </c>
    </row>
    <row r="52" spans="1:7" x14ac:dyDescent="0.25">
      <c r="A52" t="s">
        <v>126</v>
      </c>
      <c r="G52" t="s">
        <v>1410</v>
      </c>
    </row>
    <row r="53" spans="1:7" x14ac:dyDescent="0.25">
      <c r="A53" t="s">
        <v>127</v>
      </c>
      <c r="G53" t="s">
        <v>1411</v>
      </c>
    </row>
    <row r="54" spans="1:7" x14ac:dyDescent="0.25">
      <c r="A54" t="s">
        <v>128</v>
      </c>
      <c r="G54" t="s">
        <v>1412</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21C8-D1EF-4F5B-A028-07D120BD4293}">
  <sheetPr codeName="Config_E24"/>
  <dimension ref="A1:L9"/>
  <sheetViews>
    <sheetView workbookViewId="0"/>
  </sheetViews>
  <sheetFormatPr defaultRowHeight="15" x14ac:dyDescent="0.25"/>
  <cols>
    <col min="1" max="1" width="2.140625" bestFit="1" customWidth="1"/>
    <col min="2" max="2" width="5.7109375" bestFit="1" customWidth="1"/>
    <col min="4" max="4" width="3.7109375" bestFit="1" customWidth="1"/>
    <col min="5" max="5" width="25.85546875" bestFit="1" customWidth="1"/>
    <col min="6" max="6" width="12.28515625" bestFit="1" customWidth="1"/>
  </cols>
  <sheetData>
    <row r="1" spans="1:12" x14ac:dyDescent="0.25">
      <c r="A1" s="26" t="s">
        <v>547</v>
      </c>
      <c r="B1" s="26" t="s">
        <v>1413</v>
      </c>
      <c r="C1" s="27">
        <v>61868</v>
      </c>
      <c r="D1" s="27" t="s">
        <v>1414</v>
      </c>
      <c r="E1" s="27" t="s">
        <v>1415</v>
      </c>
      <c r="F1" t="s">
        <v>1416</v>
      </c>
      <c r="L1" s="153"/>
    </row>
    <row r="2" spans="1:12" x14ac:dyDescent="0.25">
      <c r="A2" s="26" t="s">
        <v>548</v>
      </c>
      <c r="B2" s="26" t="s">
        <v>1417</v>
      </c>
      <c r="C2" s="27" t="s">
        <v>1418</v>
      </c>
      <c r="D2" s="27" t="s">
        <v>1419</v>
      </c>
      <c r="E2" s="27" t="s">
        <v>1420</v>
      </c>
      <c r="F2" t="s">
        <v>1421</v>
      </c>
      <c r="L2" s="153"/>
    </row>
    <row r="3" spans="1:12" x14ac:dyDescent="0.25">
      <c r="A3" s="26" t="s">
        <v>572</v>
      </c>
      <c r="B3" s="26" t="s">
        <v>1422</v>
      </c>
      <c r="C3" s="27">
        <v>513195</v>
      </c>
      <c r="D3" s="27" t="s">
        <v>1419</v>
      </c>
      <c r="E3" s="27" t="s">
        <v>1423</v>
      </c>
      <c r="F3" t="s">
        <v>1424</v>
      </c>
      <c r="L3" s="153"/>
    </row>
    <row r="4" spans="1:12" x14ac:dyDescent="0.25">
      <c r="A4" s="26" t="s">
        <v>594</v>
      </c>
      <c r="B4" s="26" t="s">
        <v>1425</v>
      </c>
      <c r="C4" s="27" t="s">
        <v>1426</v>
      </c>
      <c r="D4" s="27" t="s">
        <v>1419</v>
      </c>
      <c r="E4" s="27" t="s">
        <v>1427</v>
      </c>
      <c r="F4" t="s">
        <v>1428</v>
      </c>
      <c r="L4" s="153"/>
    </row>
    <row r="5" spans="1:12" x14ac:dyDescent="0.25">
      <c r="A5" s="26" t="s">
        <v>1429</v>
      </c>
      <c r="B5" s="26" t="s">
        <v>1430</v>
      </c>
      <c r="C5" s="27" t="s">
        <v>1431</v>
      </c>
      <c r="D5" s="27" t="s">
        <v>1414</v>
      </c>
      <c r="E5" s="27" t="s">
        <v>1432</v>
      </c>
      <c r="F5" t="s">
        <v>1433</v>
      </c>
      <c r="L5" s="153"/>
    </row>
    <row r="6" spans="1:12" x14ac:dyDescent="0.25">
      <c r="A6" s="26" t="s">
        <v>1434</v>
      </c>
      <c r="B6" s="26" t="s">
        <v>1435</v>
      </c>
      <c r="C6" s="27" t="s">
        <v>1436</v>
      </c>
      <c r="D6" s="27" t="s">
        <v>1437</v>
      </c>
      <c r="E6" s="27" t="s">
        <v>1438</v>
      </c>
      <c r="F6" t="s">
        <v>1439</v>
      </c>
      <c r="L6" s="153"/>
    </row>
    <row r="7" spans="1:12" x14ac:dyDescent="0.25">
      <c r="A7" s="26" t="s">
        <v>1440</v>
      </c>
      <c r="B7" s="26" t="s">
        <v>1441</v>
      </c>
      <c r="C7" s="27" t="s">
        <v>1442</v>
      </c>
      <c r="D7" s="27" t="s">
        <v>1443</v>
      </c>
      <c r="E7" s="27" t="s">
        <v>1444</v>
      </c>
      <c r="F7" t="s">
        <v>1445</v>
      </c>
      <c r="L7" s="153"/>
    </row>
    <row r="8" spans="1:12" x14ac:dyDescent="0.25">
      <c r="A8" s="26" t="s">
        <v>1446</v>
      </c>
      <c r="B8" s="26" t="s">
        <v>1447</v>
      </c>
      <c r="C8" s="27" t="s">
        <v>1448</v>
      </c>
      <c r="D8" s="27" t="s">
        <v>1449</v>
      </c>
      <c r="E8" s="27" t="s">
        <v>1450</v>
      </c>
      <c r="F8" t="s">
        <v>1451</v>
      </c>
      <c r="L8" s="153"/>
    </row>
    <row r="9" spans="1:12" x14ac:dyDescent="0.25">
      <c r="E9" s="2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E57EC-51A3-4ACB-A068-89F790F0F316}">
  <sheetPr codeName="eXL_A">
    <pageSetUpPr fitToPage="1"/>
  </sheetPr>
  <dimension ref="A1:K275"/>
  <sheetViews>
    <sheetView view="pageBreakPreview" topLeftCell="A261" zoomScale="90" zoomScaleNormal="100" zoomScaleSheetLayoutView="90" workbookViewId="0">
      <selection activeCell="A263" sqref="A263:XFD268"/>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517" t="s">
        <v>1455</v>
      </c>
      <c r="B5" s="518" t="s">
        <v>8</v>
      </c>
      <c r="C5" s="518" t="s">
        <v>1456</v>
      </c>
      <c r="D5" s="517" t="s">
        <v>1457</v>
      </c>
      <c r="E5" s="518" t="s">
        <v>1458</v>
      </c>
      <c r="F5" s="518" t="s">
        <v>1459</v>
      </c>
      <c r="G5" s="517" t="s">
        <v>1460</v>
      </c>
    </row>
    <row r="6" spans="1:9" x14ac:dyDescent="0.3">
      <c r="A6" s="519">
        <v>1</v>
      </c>
      <c r="B6" s="702" t="s">
        <v>1461</v>
      </c>
      <c r="C6" s="704"/>
      <c r="D6" s="704"/>
      <c r="E6" s="704"/>
      <c r="F6" s="704"/>
      <c r="G6" s="704"/>
    </row>
    <row r="7" spans="1:9" x14ac:dyDescent="0.25">
      <c r="A7" s="519">
        <f>A6+1</f>
        <v>2</v>
      </c>
      <c r="B7" s="499" t="s">
        <v>1462</v>
      </c>
      <c r="C7" s="499" t="s">
        <v>84</v>
      </c>
      <c r="D7" s="191" t="s">
        <v>1463</v>
      </c>
      <c r="E7" s="499" t="s">
        <v>1464</v>
      </c>
      <c r="F7" s="500"/>
      <c r="G7" s="519"/>
    </row>
    <row r="8" spans="1:9" x14ac:dyDescent="0.3">
      <c r="A8" s="519">
        <f t="shared" ref="A8:A73" si="0">A7+1</f>
        <v>3</v>
      </c>
      <c r="B8" s="702" t="s">
        <v>1465</v>
      </c>
      <c r="C8" s="704"/>
      <c r="D8" s="704"/>
      <c r="E8" s="704"/>
      <c r="F8" s="704"/>
      <c r="G8" s="704"/>
    </row>
    <row r="9" spans="1:9" ht="37.5" x14ac:dyDescent="0.25">
      <c r="A9" s="519">
        <f t="shared" si="0"/>
        <v>4</v>
      </c>
      <c r="B9" s="500" t="str">
        <f>Suite&amp;" Electrical Rooms"</f>
        <v>G104 Electrical Rooms</v>
      </c>
      <c r="C9" s="499" t="str" cm="1">
        <f t="array" ref="C9">Suite &amp; " UPS Systems"</f>
        <v>G104 UPS Systems</v>
      </c>
      <c r="D9" s="191" t="str" cm="1">
        <f t="array" ref="D9">"Verify " &amp; Suite &amp; " UPS systems are on-line with no critical alarms present."</f>
        <v>Verify G104 UPS systems are on-line with no critical alarms present.</v>
      </c>
      <c r="E9" s="499" t="s">
        <v>1464</v>
      </c>
      <c r="F9" s="500"/>
      <c r="G9" s="519"/>
    </row>
    <row r="10" spans="1:9" ht="37.5" x14ac:dyDescent="0.25">
      <c r="A10" s="519">
        <f t="shared" si="0"/>
        <v>5</v>
      </c>
      <c r="B10" s="500" t="str">
        <f>Suite&amp;" Electrical Room A"</f>
        <v>G104 Electrical Room A</v>
      </c>
      <c r="C10" s="499" t="s">
        <v>1466</v>
      </c>
      <c r="D10" s="191" t="s">
        <v>1467</v>
      </c>
      <c r="E10" s="499" t="s">
        <v>1464</v>
      </c>
      <c r="F10" s="500"/>
      <c r="G10" s="519"/>
    </row>
    <row r="11" spans="1:9" ht="37.5" x14ac:dyDescent="0.25">
      <c r="A11" s="519">
        <f t="shared" si="0"/>
        <v>6</v>
      </c>
      <c r="B11" s="500" t="str">
        <f>Suite&amp;" Electrical Room A"</f>
        <v>G104 Electrical Room A</v>
      </c>
      <c r="C11" s="499" t="s">
        <v>1468</v>
      </c>
      <c r="D11" s="191" t="s">
        <v>1469</v>
      </c>
      <c r="E11" s="499" t="s">
        <v>1464</v>
      </c>
      <c r="F11" s="500"/>
      <c r="G11" s="519"/>
    </row>
    <row r="12" spans="1:9" ht="37.5" x14ac:dyDescent="0.25">
      <c r="A12" s="519">
        <f t="shared" si="0"/>
        <v>7</v>
      </c>
      <c r="B12" s="500" t="str">
        <f>Suite&amp;" Electrical Room A"</f>
        <v>G104 Electrical Room A</v>
      </c>
      <c r="C12" s="499" t="s">
        <v>1470</v>
      </c>
      <c r="D12" s="191" t="s">
        <v>1471</v>
      </c>
      <c r="E12" s="499" t="s">
        <v>1464</v>
      </c>
      <c r="F12" s="500"/>
      <c r="G12" s="519"/>
    </row>
    <row r="13" spans="1:9" ht="37.5" x14ac:dyDescent="0.25">
      <c r="A13" s="519">
        <f t="shared" si="0"/>
        <v>8</v>
      </c>
      <c r="B13" s="500" t="str">
        <f>Suite&amp;" Electrical Room B"</f>
        <v>G104 Electrical Room B</v>
      </c>
      <c r="C13" s="499" t="s">
        <v>1472</v>
      </c>
      <c r="D13" s="191" t="s">
        <v>1473</v>
      </c>
      <c r="E13" s="499" t="s">
        <v>1464</v>
      </c>
      <c r="F13" s="500"/>
      <c r="G13" s="519"/>
    </row>
    <row r="14" spans="1:9" ht="37.5" x14ac:dyDescent="0.25">
      <c r="A14" s="519">
        <f t="shared" si="0"/>
        <v>9</v>
      </c>
      <c r="B14" s="500" t="str">
        <f>Suite&amp;" Electrical Room B"</f>
        <v>G104 Electrical Room B</v>
      </c>
      <c r="C14" s="499" t="s">
        <v>1474</v>
      </c>
      <c r="D14" s="191" t="s">
        <v>1475</v>
      </c>
      <c r="E14" s="499" t="s">
        <v>1464</v>
      </c>
      <c r="F14" s="500"/>
      <c r="G14" s="519"/>
    </row>
    <row r="15" spans="1:9" ht="37.5" x14ac:dyDescent="0.25">
      <c r="A15" s="519">
        <f t="shared" si="0"/>
        <v>10</v>
      </c>
      <c r="B15" s="500" t="str">
        <f>Suite&amp;" Electrical Room B"</f>
        <v>G104 Electrical Room B</v>
      </c>
      <c r="C15" s="499" t="s">
        <v>1476</v>
      </c>
      <c r="D15" s="191" t="s">
        <v>1477</v>
      </c>
      <c r="E15" s="499" t="s">
        <v>1464</v>
      </c>
      <c r="F15" s="500"/>
      <c r="G15" s="519"/>
    </row>
    <row r="16" spans="1:9" ht="37.5" hidden="1" x14ac:dyDescent="0.25">
      <c r="A16" s="519">
        <f t="shared" si="0"/>
        <v>11</v>
      </c>
      <c r="B16" s="500" t="str">
        <f>Suite&amp;" Electrical Room C"</f>
        <v>G104 Electrical Room C</v>
      </c>
      <c r="C16" s="499" t="s">
        <v>1478</v>
      </c>
      <c r="D16" s="191" t="s">
        <v>1479</v>
      </c>
      <c r="E16" s="499" t="s">
        <v>1464</v>
      </c>
      <c r="F16" s="500"/>
      <c r="G16" s="519"/>
    </row>
    <row r="17" spans="1:11" ht="37.5" hidden="1" x14ac:dyDescent="0.25">
      <c r="A17" s="519">
        <f t="shared" si="0"/>
        <v>12</v>
      </c>
      <c r="B17" s="500" t="str">
        <f>Suite&amp;" Electrical Room C"</f>
        <v>G104 Electrical Room C</v>
      </c>
      <c r="C17" s="499" t="s">
        <v>1480</v>
      </c>
      <c r="D17" s="191" t="s">
        <v>1481</v>
      </c>
      <c r="E17" s="499" t="s">
        <v>1464</v>
      </c>
      <c r="F17" s="500"/>
      <c r="G17" s="519"/>
    </row>
    <row r="18" spans="1:11" ht="37.5" hidden="1" x14ac:dyDescent="0.25">
      <c r="A18" s="519">
        <f t="shared" si="0"/>
        <v>13</v>
      </c>
      <c r="B18" s="500" t="str">
        <f>Suite&amp;" Electrical Room C"</f>
        <v>G104 Electrical Room C</v>
      </c>
      <c r="C18" s="499" t="s">
        <v>1482</v>
      </c>
      <c r="D18" s="191" t="s">
        <v>1483</v>
      </c>
      <c r="E18" s="499" t="s">
        <v>1464</v>
      </c>
      <c r="F18" s="500"/>
      <c r="G18" s="519"/>
    </row>
    <row r="19" spans="1:11" ht="37.5" hidden="1" x14ac:dyDescent="0.25">
      <c r="A19" s="519">
        <f t="shared" si="0"/>
        <v>14</v>
      </c>
      <c r="B19" s="500" t="str">
        <f>Suite&amp;" Electrical Room D"</f>
        <v>G104 Electrical Room D</v>
      </c>
      <c r="C19" s="499" t="s">
        <v>1484</v>
      </c>
      <c r="D19" s="191" t="s">
        <v>1485</v>
      </c>
      <c r="E19" s="499" t="s">
        <v>1464</v>
      </c>
      <c r="F19" s="500"/>
      <c r="G19" s="519"/>
      <c r="K19" s="523"/>
    </row>
    <row r="20" spans="1:11" ht="37.5" hidden="1" x14ac:dyDescent="0.25">
      <c r="A20" s="519">
        <f t="shared" si="0"/>
        <v>15</v>
      </c>
      <c r="B20" s="500" t="str">
        <f>Suite&amp;" Electrical Room D"</f>
        <v>G104 Electrical Room D</v>
      </c>
      <c r="C20" s="499" t="s">
        <v>1486</v>
      </c>
      <c r="D20" s="191" t="s">
        <v>1487</v>
      </c>
      <c r="E20" s="499" t="s">
        <v>1464</v>
      </c>
      <c r="F20" s="500"/>
      <c r="G20" s="519"/>
      <c r="K20" s="4"/>
    </row>
    <row r="21" spans="1:11" ht="37.5" hidden="1" x14ac:dyDescent="0.25">
      <c r="A21" s="519">
        <f t="shared" si="0"/>
        <v>16</v>
      </c>
      <c r="B21" s="500" t="str">
        <f>Suite&amp;" Electrical Room D"</f>
        <v>G104 Electrical Room D</v>
      </c>
      <c r="C21" s="499" t="s">
        <v>1488</v>
      </c>
      <c r="D21" s="191" t="s">
        <v>1489</v>
      </c>
      <c r="E21" s="499" t="s">
        <v>1464</v>
      </c>
      <c r="F21" s="500"/>
      <c r="G21" s="519"/>
      <c r="K21" s="4"/>
    </row>
    <row r="22" spans="1:11" ht="37.5" hidden="1" x14ac:dyDescent="0.25">
      <c r="A22" s="519">
        <f t="shared" si="0"/>
        <v>17</v>
      </c>
      <c r="B22" s="500" t="str">
        <f>Suite&amp;" Electrical Room F"</f>
        <v>G104 Electrical Room F</v>
      </c>
      <c r="C22" s="499" t="s">
        <v>1490</v>
      </c>
      <c r="D22" s="191" t="s">
        <v>1491</v>
      </c>
      <c r="E22" s="499" t="s">
        <v>1464</v>
      </c>
      <c r="F22" s="500"/>
      <c r="G22" s="519"/>
      <c r="K22" s="4"/>
    </row>
    <row r="23" spans="1:11" ht="37.5" hidden="1" x14ac:dyDescent="0.25">
      <c r="A23" s="519">
        <f t="shared" si="0"/>
        <v>18</v>
      </c>
      <c r="B23" s="500" t="str">
        <f>Suite&amp;" Electrical Room F"</f>
        <v>G104 Electrical Room F</v>
      </c>
      <c r="C23" s="499" t="s">
        <v>1492</v>
      </c>
      <c r="D23" s="191" t="s">
        <v>1493</v>
      </c>
      <c r="E23" s="499" t="s">
        <v>1464</v>
      </c>
      <c r="F23" s="500"/>
      <c r="G23" s="519"/>
      <c r="K23" s="524"/>
    </row>
    <row r="24" spans="1:11" ht="37.5" hidden="1" x14ac:dyDescent="0.25">
      <c r="A24" s="519">
        <f t="shared" si="0"/>
        <v>19</v>
      </c>
      <c r="B24" s="500" t="str">
        <f>Suite&amp;" Electrical Room F"</f>
        <v>G104 Electrical Room F</v>
      </c>
      <c r="C24" s="499" t="s">
        <v>1494</v>
      </c>
      <c r="D24" s="191" t="s">
        <v>1495</v>
      </c>
      <c r="E24" s="499" t="s">
        <v>1464</v>
      </c>
      <c r="F24" s="500"/>
      <c r="G24" s="519"/>
      <c r="K24" s="4"/>
    </row>
    <row r="25" spans="1:11" ht="56.25" x14ac:dyDescent="0.25">
      <c r="A25" s="519" cm="1">
        <f t="array" ref="A25">IF(NumberOfSW=2,A21+1,IF(NumberOfSW=3,A22+1,IF(NumberOfSW=4,A23+1,A24+1)))</f>
        <v>20</v>
      </c>
      <c r="B25" s="500" t="str" cm="1">
        <f t="array" ref="B25">Suite &amp; " Electrical Rooms"</f>
        <v>G104 Electrical Rooms</v>
      </c>
      <c r="C25" s="499" t="str" cm="1">
        <f t="array" ref="C25">Suite &amp; " UPS System"</f>
        <v>G104 UPS System</v>
      </c>
      <c r="D25" s="190" t="s">
        <v>4621</v>
      </c>
      <c r="E25" s="499" t="s">
        <v>1464</v>
      </c>
      <c r="F25" s="500"/>
      <c r="G25" s="519"/>
      <c r="K25" s="4"/>
    </row>
    <row r="26" spans="1:11" ht="37.5" x14ac:dyDescent="0.25">
      <c r="A26" s="519">
        <f>A25+1</f>
        <v>21</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11" x14ac:dyDescent="0.3">
      <c r="A27" s="519">
        <f t="shared" ref="A27:A28" si="1">A26+1</f>
        <v>22</v>
      </c>
      <c r="B27" s="702" t="str" cm="1">
        <f t="array" ref="B27">"Prepare UP" &amp; SWOne &amp; " for Transfer to Maintenance Bypass"</f>
        <v>Prepare UPXXX for Transfer to Maintenance Bypass</v>
      </c>
      <c r="C27" s="704"/>
      <c r="D27" s="704"/>
      <c r="E27" s="704"/>
      <c r="F27" s="704"/>
      <c r="G27" s="704"/>
    </row>
    <row r="28" spans="1:11" ht="37.5" x14ac:dyDescent="0.25">
      <c r="A28" s="519">
        <f t="shared" si="1"/>
        <v>23</v>
      </c>
      <c r="B28" s="500" t="str">
        <f>Suite&amp;" Electrical Room "&amp;SWOne</f>
        <v>G104 Electrical Room XXX</v>
      </c>
      <c r="C28" s="499" t="str" cm="1">
        <f t="array" ref="C28">"UP" &amp; SWOne</f>
        <v>UPXXX</v>
      </c>
      <c r="D28" s="190" t="str" cm="1">
        <f t="array" ref="D28">"At breaker MBUP" &amp; SWOne &amp; ", (MBB) pump charging handle repeatedly to compress spring and charge breaker."</f>
        <v>At breaker MBUPXXX, (MBB) pump charging handle repeatedly to compress spring and charge breaker.</v>
      </c>
      <c r="E28" s="499" t="s">
        <v>1464</v>
      </c>
      <c r="F28" s="500"/>
      <c r="G28" s="519"/>
    </row>
    <row r="29" spans="1:11" x14ac:dyDescent="0.3">
      <c r="A29" s="519">
        <f t="shared" si="0"/>
        <v>24</v>
      </c>
      <c r="B29" s="702" t="str" cm="1">
        <f t="array" ref="B29">"Transfer UPS System " &amp; SWOne &amp; " to Static Bypass"</f>
        <v>Transfer UPS System XXX to Static Bypass</v>
      </c>
      <c r="C29" s="704"/>
      <c r="D29" s="704"/>
      <c r="E29" s="704"/>
      <c r="F29" s="704"/>
      <c r="G29" s="704"/>
    </row>
    <row r="30" spans="1:11" ht="37.5" x14ac:dyDescent="0.25">
      <c r="A30" s="519">
        <f t="shared" si="0"/>
        <v>25</v>
      </c>
      <c r="B30" s="500" t="str">
        <f>Suite&amp;" Electrical Room "&amp;SWOne</f>
        <v>G104 Electrical Room XXX</v>
      </c>
      <c r="C30" s="499" t="str" cm="1">
        <f t="array" ref="C30">"UPS " &amp; SWOne &amp; "1"</f>
        <v>UPS XXX1</v>
      </c>
      <c r="D30" s="190" t="s">
        <v>1496</v>
      </c>
      <c r="E30" s="499" t="s">
        <v>1464</v>
      </c>
      <c r="F30" s="500"/>
      <c r="G30" s="519"/>
    </row>
    <row r="31" spans="1:11" ht="37.5" x14ac:dyDescent="0.25">
      <c r="A31" s="519">
        <f t="shared" si="0"/>
        <v>26</v>
      </c>
      <c r="B31" s="500" t="str">
        <f>Suite&amp;" Electrical Room "&amp;SWOne</f>
        <v>G104 Electrical Room XXX</v>
      </c>
      <c r="C31" s="499" t="str" cm="1">
        <f t="array" ref="C31">"UPS " &amp; SWOne &amp; "1"</f>
        <v>UPS XXX1</v>
      </c>
      <c r="D31" s="233" t="s">
        <v>1497</v>
      </c>
      <c r="E31" s="499" t="s">
        <v>1464</v>
      </c>
      <c r="F31" s="500"/>
      <c r="G31" s="519"/>
    </row>
    <row r="32" spans="1:11" ht="37.5" x14ac:dyDescent="0.25">
      <c r="A32" s="519">
        <f t="shared" si="0"/>
        <v>27</v>
      </c>
      <c r="B32" s="500" t="str">
        <f>Suite&amp;" Electrical Room "&amp;SWOne</f>
        <v>G104 Electrical Room XXX</v>
      </c>
      <c r="C32" s="499" t="str" cm="1">
        <f t="array" ref="C32">"UPS " &amp; SWOne &amp; "1"</f>
        <v>UPS XXX1</v>
      </c>
      <c r="D32" s="190" t="s">
        <v>1498</v>
      </c>
      <c r="E32" s="499" t="s">
        <v>1464</v>
      </c>
      <c r="F32" s="500"/>
      <c r="G32" s="519"/>
    </row>
    <row r="33" spans="1:7" ht="37.5" x14ac:dyDescent="0.25">
      <c r="A33" s="519">
        <f t="shared" si="0"/>
        <v>28</v>
      </c>
      <c r="B33" s="500" t="str">
        <f>Suite&amp;" Electrical Room "&amp;SWOne</f>
        <v>G104 Electrical Room XXX</v>
      </c>
      <c r="C33" s="499" t="str" cm="1">
        <f t="array" ref="C33">"UPS " &amp; SWOne &amp; "1"</f>
        <v>UPS XXX1</v>
      </c>
      <c r="D33" s="190" t="s">
        <v>1499</v>
      </c>
      <c r="E33" s="499" t="s">
        <v>1464</v>
      </c>
      <c r="F33" s="500"/>
      <c r="G33" s="519"/>
    </row>
    <row r="34" spans="1:7" ht="37.5" x14ac:dyDescent="0.25">
      <c r="A34" s="519">
        <f t="shared" si="0"/>
        <v>29</v>
      </c>
      <c r="B34" s="500" t="str">
        <f>Suite&amp;" Electrical Room "&amp;SWOne</f>
        <v>G104 Electrical Room XXX</v>
      </c>
      <c r="C34" s="499" t="str" cm="1">
        <f t="array" ref="C34">"UPS " &amp; SWOne &amp; "1"</f>
        <v>UPS XXX1</v>
      </c>
      <c r="D34" s="190" t="s">
        <v>1500</v>
      </c>
      <c r="E34" s="499" t="s">
        <v>1464</v>
      </c>
      <c r="F34" s="500"/>
      <c r="G34" s="519"/>
    </row>
    <row r="35" spans="1:7" ht="37.5" x14ac:dyDescent="0.25">
      <c r="A35" s="519">
        <f t="shared" si="0"/>
        <v>30</v>
      </c>
      <c r="B35" s="500" t="str">
        <f>Suite&amp;" Electrical Room "&amp;SWOne</f>
        <v>G104 Electrical Room XXX</v>
      </c>
      <c r="C35" s="499" t="str" cm="1">
        <f t="array" ref="C35">"UPS " &amp; SWOne</f>
        <v>UPS XXX</v>
      </c>
      <c r="D35" s="233" t="s">
        <v>1501</v>
      </c>
      <c r="E35" s="499" t="s">
        <v>1464</v>
      </c>
      <c r="F35" s="500"/>
      <c r="G35" s="519"/>
    </row>
    <row r="36" spans="1:7" ht="37.5" x14ac:dyDescent="0.25">
      <c r="A36" s="519">
        <f t="shared" si="0"/>
        <v>31</v>
      </c>
      <c r="B36" s="500" t="str">
        <f>Suite&amp;" Electrical Room "&amp;SWOne</f>
        <v>G104 Electrical Room XXX</v>
      </c>
      <c r="C36" s="499" t="str" cm="1">
        <f t="array" ref="C36">"UP" &amp; SWOne</f>
        <v>UPXXX</v>
      </c>
      <c r="D36" s="190" t="str" cm="1">
        <f t="array" ref="D36">"Notate the kW reading at UP" &amp; SWOne &amp; " Critical Bus Panel Meter: _________"</f>
        <v>Notate the kW reading at UPXXX Critical Bus Panel Meter: _________</v>
      </c>
      <c r="E36" s="499" t="s">
        <v>1464</v>
      </c>
      <c r="F36" s="500"/>
      <c r="G36" s="519"/>
    </row>
    <row r="37" spans="1:7" ht="37.5" x14ac:dyDescent="0.25">
      <c r="A37" s="519">
        <f t="shared" si="0"/>
        <v>32</v>
      </c>
      <c r="B37" s="500" t="str">
        <f>Suite&amp;" Electrical Room "&amp;SWOne</f>
        <v>G104 Electrical Room XXX</v>
      </c>
      <c r="C37" s="499" t="str" cm="1">
        <f t="array" ref="C37">"UP" &amp; SWOne</f>
        <v>UPXXX</v>
      </c>
      <c r="D37" s="190" t="str">
        <f>"Verify the readings in step " &amp; A12 &amp; " and " &amp; A36 &amp; " are within 3% of each other. (new kW divided by original kW must be ≤1.03 and ≥0.97)."</f>
        <v>Verify the readings in step 7 and 31 are within 3% of each other. (new kW divided by original kW must be ≤1.03 and ≥0.97).</v>
      </c>
      <c r="E37" s="499" t="s">
        <v>1464</v>
      </c>
      <c r="F37" s="500"/>
      <c r="G37" s="519"/>
    </row>
    <row r="38" spans="1:7" x14ac:dyDescent="0.25">
      <c r="A38" s="519">
        <f t="shared" si="0"/>
        <v>33</v>
      </c>
      <c r="B38" s="702" t="s">
        <v>1502</v>
      </c>
      <c r="C38" s="703"/>
      <c r="D38" s="703"/>
      <c r="E38" s="703"/>
      <c r="F38" s="703"/>
      <c r="G38" s="703"/>
    </row>
    <row r="39" spans="1:7" ht="37.5" x14ac:dyDescent="0.25">
      <c r="A39" s="519">
        <f t="shared" si="0"/>
        <v>34</v>
      </c>
      <c r="B39" s="500" t="str">
        <f>Suite&amp;" Electrical Room "&amp;SWOne</f>
        <v>G104 Electrical Room XXX</v>
      </c>
      <c r="C39" s="499" t="str" cm="1">
        <f t="array" ref="C39">"UP" &amp; SWOne</f>
        <v>UPXXX</v>
      </c>
      <c r="D39" s="233" t="s">
        <v>1503</v>
      </c>
      <c r="E39" s="499" t="s">
        <v>1464</v>
      </c>
      <c r="F39" s="500"/>
      <c r="G39" s="519"/>
    </row>
    <row r="40" spans="1:7" ht="37.5" x14ac:dyDescent="0.25">
      <c r="A40" s="519">
        <f t="shared" si="0"/>
        <v>35</v>
      </c>
      <c r="B40" s="500" t="str">
        <f>Suite&amp;" Electrical Room "&amp;SWOne</f>
        <v>G104 Electrical Room XXX</v>
      </c>
      <c r="C40" s="499" t="str" cm="1">
        <f t="array" ref="C40">"UP" &amp; SWOne</f>
        <v>UPXXX</v>
      </c>
      <c r="D40" s="233" t="s">
        <v>1504</v>
      </c>
      <c r="E40" s="499" t="s">
        <v>1464</v>
      </c>
      <c r="F40" s="500"/>
      <c r="G40" s="519"/>
    </row>
    <row r="41" spans="1:7" ht="37.5" x14ac:dyDescent="0.25">
      <c r="A41" s="519">
        <f t="shared" si="0"/>
        <v>36</v>
      </c>
      <c r="B41" s="500" t="str">
        <f>Suite&amp;" Electrical Room "&amp;SWOne</f>
        <v>G104 Electrical Room XXX</v>
      </c>
      <c r="C41" s="499" t="str" cm="1">
        <f t="array" ref="C41">"UP" &amp; SWOne</f>
        <v>UPXXX</v>
      </c>
      <c r="D41" s="233" t="s">
        <v>1505</v>
      </c>
      <c r="E41" s="499" t="s">
        <v>1464</v>
      </c>
      <c r="F41" s="500"/>
      <c r="G41" s="519"/>
    </row>
    <row r="42" spans="1:7" ht="37.5" x14ac:dyDescent="0.25">
      <c r="A42" s="519">
        <f t="shared" si="0"/>
        <v>37</v>
      </c>
      <c r="B42" s="500" t="str">
        <f>Suite&amp;" Electrical Room "&amp;SWOne</f>
        <v>G104 Electrical Room XXX</v>
      </c>
      <c r="C42" s="499" t="str" cm="1">
        <f t="array" ref="C42">"UP" &amp; SWOne</f>
        <v>UPXXX</v>
      </c>
      <c r="D42" s="233" t="str" cm="1">
        <f t="array" ref="D42">"Insert the interlock key into the MBUP" &amp; SWOne &amp; " breaker lock cylinder."</f>
        <v>Insert the interlock key into the MBUPXXX breaker lock cylinder.</v>
      </c>
      <c r="E42" s="499" t="s">
        <v>1464</v>
      </c>
      <c r="F42" s="500"/>
      <c r="G42" s="519"/>
    </row>
    <row r="43" spans="1:7" ht="37.5" x14ac:dyDescent="0.25">
      <c r="A43" s="519">
        <f t="shared" si="0"/>
        <v>38</v>
      </c>
      <c r="B43" s="500" t="str">
        <f>Suite&amp;" Electrical Room "&amp;SWOne</f>
        <v>G104 Electrical Room XXX</v>
      </c>
      <c r="C43" s="499" t="str" cm="1">
        <f t="array" ref="C43">"UP" &amp; SWOne</f>
        <v>UPXXX</v>
      </c>
      <c r="D43" s="233" t="str" cm="1">
        <f t="array" ref="D43">"Rotate the interlock key 90 degrees to UNLOCK the MBUP" &amp; SWOne &amp; " breaker."</f>
        <v>Rotate the interlock key 90 degrees to UNLOCK the MBUPXXX breaker.</v>
      </c>
      <c r="E43" s="499" t="s">
        <v>1464</v>
      </c>
      <c r="F43" s="500"/>
      <c r="G43" s="519"/>
    </row>
    <row r="44" spans="1:7" ht="37.5" x14ac:dyDescent="0.25">
      <c r="A44" s="519">
        <f t="shared" si="0"/>
        <v>39</v>
      </c>
      <c r="B44" s="500" t="str">
        <f>Suite&amp;" Electrical Room "&amp;SWOne</f>
        <v>G104 Electrical Room XXX</v>
      </c>
      <c r="C44" s="499" t="str" cm="1">
        <f t="array" ref="C44">"UP" &amp; SWOne</f>
        <v>UPXXX</v>
      </c>
      <c r="D44" s="233" t="str" cm="1">
        <f t="array" ref="D44">"Close breaker MBUP" &amp; SWOne &amp; "."</f>
        <v>Close breaker MBUPXXX.</v>
      </c>
      <c r="E44" s="499" t="s">
        <v>1464</v>
      </c>
      <c r="F44" s="500"/>
      <c r="G44" s="519"/>
    </row>
    <row r="45" spans="1:7" ht="37.5" x14ac:dyDescent="0.25">
      <c r="A45" s="519">
        <f t="shared" si="0"/>
        <v>40</v>
      </c>
      <c r="B45" s="500" t="str">
        <f>Suite&amp;" Electrical Room "&amp;SWOne</f>
        <v>G104 Electrical Room XXX</v>
      </c>
      <c r="C45" s="499" t="str" cm="1">
        <f t="array" ref="C45">"UP" &amp; SWOne</f>
        <v>UPXXX</v>
      </c>
      <c r="D45" s="233" t="str" cm="1">
        <f t="array" ref="D45">"Verify MBUP" &amp; SWOne &amp; " breaker flag indicates CLOSED."</f>
        <v>Verify MBUPXXX breaker flag indicates CLOSED.</v>
      </c>
      <c r="E45" s="499" t="s">
        <v>1464</v>
      </c>
      <c r="F45" s="500"/>
      <c r="G45" s="519"/>
    </row>
    <row r="46" spans="1:7" ht="37.5" x14ac:dyDescent="0.25">
      <c r="A46" s="519">
        <f t="shared" si="0"/>
        <v>41</v>
      </c>
      <c r="B46" s="500" t="str">
        <f>Suite&amp;" Electrical Room "&amp;SWOne</f>
        <v>G104 Electrical Room XXX</v>
      </c>
      <c r="C46" s="499" t="str" cm="1">
        <f t="array" ref="C46">"UP" &amp; SWOne</f>
        <v>UPXXX</v>
      </c>
      <c r="D46" s="233" t="str" cm="1">
        <f t="array" ref="D46">"Verify breaker MBUP" &amp; SWOne &amp; " is carrying a portion of critical customer load using breaker mounted metering."</f>
        <v>Verify breaker MBUPXXX is carrying a portion of critical customer load using breaker mounted metering.</v>
      </c>
      <c r="E46" s="499" t="s">
        <v>1464</v>
      </c>
      <c r="F46" s="500"/>
      <c r="G46" s="519"/>
    </row>
    <row r="47" spans="1:7" ht="37.5" x14ac:dyDescent="0.25">
      <c r="A47" s="519">
        <f t="shared" si="0"/>
        <v>42</v>
      </c>
      <c r="B47" s="500" t="str">
        <f>Suite&amp;" Electrical Room "&amp;SWOne</f>
        <v>G104 Electrical Room XXX</v>
      </c>
      <c r="C47" s="499" t="str" cm="1">
        <f t="array" ref="C47">"UP" &amp; SWOne</f>
        <v>UPXXX</v>
      </c>
      <c r="D47" s="233" t="str" cm="1">
        <f t="array" ref="D47">"Verify breaker MCBUP" &amp; SWOne &amp; " is carrying a portion of critical customer load using breaker mounted metering."</f>
        <v>Verify breaker MCBUPXXX is carrying a portion of critical customer load using breaker mounted metering.</v>
      </c>
      <c r="E47" s="499" t="s">
        <v>1464</v>
      </c>
      <c r="F47" s="500"/>
      <c r="G47" s="519"/>
    </row>
    <row r="48" spans="1:7" ht="37.5" x14ac:dyDescent="0.25">
      <c r="A48" s="519">
        <f t="shared" si="0"/>
        <v>43</v>
      </c>
      <c r="B48" s="500" t="str">
        <f>Suite&amp;" Electrical Room "&amp;SWOne</f>
        <v>G104 Electrical Room XXX</v>
      </c>
      <c r="C48" s="499" t="str" cm="1">
        <f t="array" ref="C48">"UP" &amp; SWOne</f>
        <v>UPXXX</v>
      </c>
      <c r="D48" s="233" t="str" cm="1">
        <f t="array" ref="D48">"Notate the kW reading at UP" &amp; SWOne &amp; " Critical Bus Panel Meter: _________"</f>
        <v>Notate the kW reading at UPXXX Critical Bus Panel Meter: _________</v>
      </c>
      <c r="E48" s="499" t="s">
        <v>1464</v>
      </c>
      <c r="F48" s="500"/>
      <c r="G48" s="519"/>
    </row>
    <row r="49" spans="1:7" ht="37.5" x14ac:dyDescent="0.25">
      <c r="A49" s="519">
        <f t="shared" si="0"/>
        <v>44</v>
      </c>
      <c r="B49" s="500" t="str">
        <f>Suite&amp;" Electrical Room "&amp;SWOne</f>
        <v>G104 Electrical Room XXX</v>
      </c>
      <c r="C49" s="499" t="str" cm="1">
        <f t="array" ref="C49">"UP" &amp; SWOne</f>
        <v>UPXXX</v>
      </c>
      <c r="D49" s="233" t="str">
        <f>"Verify the readings in step " &amp; A36 &amp; " and " &amp; A48 &amp; " are within 3% of each other. (new kW divided by original kW must be ≤1.03 and ≥0.97)."</f>
        <v>Verify the readings in step 31 and 43 are within 3% of each other. (new kW divided by original kW must be ≤1.03 and ≥0.97).</v>
      </c>
      <c r="E49" s="499" t="s">
        <v>1464</v>
      </c>
      <c r="F49" s="500"/>
      <c r="G49" s="519"/>
    </row>
    <row r="50" spans="1:7" ht="37.5" x14ac:dyDescent="0.25">
      <c r="A50" s="519">
        <f t="shared" si="0"/>
        <v>45</v>
      </c>
      <c r="B50" s="500" t="str">
        <f>Suite&amp;" Electrical Room "&amp;SWOne</f>
        <v>G104 Electrical Room XXX</v>
      </c>
      <c r="C50" s="499" t="str" cm="1">
        <f t="array" ref="C50">"UP" &amp; SWOne</f>
        <v>UPXXX</v>
      </c>
      <c r="D50" s="233" t="str" cm="1">
        <f t="array" ref="D50">"Pump the MCBUP" &amp; SWOne &amp; " breaker charging handle repeatedly to compress the charging spring and charge the breaker."</f>
        <v>Pump the MCBUPXXX breaker charging handle repeatedly to compress the charging spring and charge the breaker.</v>
      </c>
      <c r="E50" s="499" t="s">
        <v>1464</v>
      </c>
      <c r="F50" s="500"/>
      <c r="G50" s="519"/>
    </row>
    <row r="51" spans="1:7" ht="56.25" x14ac:dyDescent="0.25">
      <c r="A51" s="519">
        <f t="shared" si="0"/>
        <v>46</v>
      </c>
      <c r="B51" s="500" t="str">
        <f>Suite&amp;" Electrical Room "&amp;SWOne</f>
        <v>G104 Electrical Room XXX</v>
      </c>
      <c r="C51" s="499" t="str" cm="1">
        <f t="array" ref="C51">"UP" &amp; SWOne</f>
        <v>UPXXX</v>
      </c>
      <c r="D51" s="233" t="str" cm="1">
        <f t="array" ref="D51">"Note: If breaker MCBUP" &amp; SWOne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51" s="499" t="s">
        <v>1464</v>
      </c>
      <c r="F51" s="500"/>
      <c r="G51" s="519"/>
    </row>
    <row r="52" spans="1:7" ht="37.5" x14ac:dyDescent="0.25">
      <c r="A52" s="519">
        <f t="shared" si="0"/>
        <v>47</v>
      </c>
      <c r="B52" s="500" t="str">
        <f>Suite&amp;" Electrical Room "&amp;SWOne</f>
        <v>G104 Electrical Room XXX</v>
      </c>
      <c r="C52" s="499" t="str" cm="1">
        <f t="array" ref="C52">"UP" &amp; SWOne</f>
        <v>UPXXX</v>
      </c>
      <c r="D52" s="233" t="str" cm="1">
        <f t="array" ref="D52">"Open breaker MCBUP" &amp; SWOne &amp; "."</f>
        <v>Open breaker MCBUPXXX.</v>
      </c>
      <c r="E52" s="499" t="s">
        <v>1464</v>
      </c>
      <c r="F52" s="500"/>
      <c r="G52" s="519"/>
    </row>
    <row r="53" spans="1:7" ht="37.5" x14ac:dyDescent="0.25">
      <c r="A53" s="519">
        <f t="shared" si="0"/>
        <v>48</v>
      </c>
      <c r="B53" s="500" t="str">
        <f>Suite&amp;" Electrical Room "&amp;SWOne</f>
        <v>G104 Electrical Room XXX</v>
      </c>
      <c r="C53" s="499" t="str" cm="1">
        <f t="array" ref="C53">"UP" &amp; SWOne</f>
        <v>UPXXX</v>
      </c>
      <c r="D53" s="233" t="s">
        <v>1506</v>
      </c>
      <c r="E53" s="499" t="s">
        <v>1464</v>
      </c>
      <c r="F53" s="500"/>
      <c r="G53" s="519"/>
    </row>
    <row r="54" spans="1:7" ht="37.5" x14ac:dyDescent="0.25">
      <c r="A54" s="519">
        <f t="shared" si="0"/>
        <v>49</v>
      </c>
      <c r="B54" s="500" t="str">
        <f>Suite&amp;" Electrical Room "&amp;SWOne</f>
        <v>G104 Electrical Room XXX</v>
      </c>
      <c r="C54" s="499" t="str" cm="1">
        <f t="array" ref="C54">"UP" &amp; SWOne</f>
        <v>UPXXX</v>
      </c>
      <c r="D54" s="233" t="str" cm="1">
        <f t="array" ref="D54">"Verify MCBUP" &amp; SWOne &amp; " breaker flag indicates OPEN."</f>
        <v>Verify MCBUPXXX breaker flag indicates OPEN.</v>
      </c>
      <c r="E54" s="499" t="s">
        <v>1464</v>
      </c>
      <c r="F54" s="500"/>
      <c r="G54" s="519"/>
    </row>
    <row r="55" spans="1:7" ht="37.5" x14ac:dyDescent="0.25">
      <c r="A55" s="519">
        <f t="shared" si="0"/>
        <v>50</v>
      </c>
      <c r="B55" s="500" t="str">
        <f>Suite&amp;" Electrical Room "&amp;SWOne</f>
        <v>G104 Electrical Room XXX</v>
      </c>
      <c r="C55" s="499" t="str" cm="1">
        <f t="array" ref="C55">"UP" &amp; SWOne</f>
        <v>UPXXX</v>
      </c>
      <c r="D55" s="233" t="str" cm="1">
        <f t="array" ref="D55">"Notate the kW reading at UP" &amp; SWOne &amp; " Critical Bus Panel Meter: _________"</f>
        <v>Notate the kW reading at UPXXX Critical Bus Panel Meter: _________</v>
      </c>
      <c r="E55" s="499" t="s">
        <v>1464</v>
      </c>
      <c r="F55" s="500"/>
      <c r="G55" s="519"/>
    </row>
    <row r="56" spans="1:7" ht="37.5" x14ac:dyDescent="0.25">
      <c r="A56" s="519">
        <f t="shared" si="0"/>
        <v>51</v>
      </c>
      <c r="B56" s="500" t="str">
        <f>Suite&amp;" Electrical Room "&amp;SWOne</f>
        <v>G104 Electrical Room XXX</v>
      </c>
      <c r="C56" s="499" t="str" cm="1">
        <f t="array" ref="C56">"UP" &amp; SWOne</f>
        <v>UPXXX</v>
      </c>
      <c r="D56" s="233" t="str">
        <f>"Verify the readings in step " &amp; A48 &amp; " and " &amp; A55 &amp; " are within 3% of each other. (new kW divided by original kW must be ≤1.03 and ≥0.97)."</f>
        <v>Verify the readings in step 43 and 50 are within 3% of each other. (new kW divided by original kW must be ≤1.03 and ≥0.97).</v>
      </c>
      <c r="E56" s="499" t="s">
        <v>1464</v>
      </c>
      <c r="F56" s="500"/>
      <c r="G56" s="519"/>
    </row>
    <row r="57" spans="1:7" ht="37.5" x14ac:dyDescent="0.25">
      <c r="A57" s="519">
        <f t="shared" si="0"/>
        <v>52</v>
      </c>
      <c r="B57" s="500" t="str">
        <f>Suite&amp;" Electrical Room "&amp;SWOne</f>
        <v>G104 Electrical Room XXX</v>
      </c>
      <c r="C57" s="499" t="str" cm="1">
        <f t="array" ref="C57">"UP" &amp; SWOne</f>
        <v>UPXXX</v>
      </c>
      <c r="D57" s="233" t="str" cm="1">
        <f t="array" ref="D57">"Rotate the interlock key 90 degrees to LOCK the MCBUP"&amp;SWOne&amp;" breaker."</f>
        <v>Rotate the interlock key 90 degrees to LOCK the MCBUPXXX breaker.</v>
      </c>
      <c r="E57" s="499" t="s">
        <v>1464</v>
      </c>
      <c r="F57" s="500"/>
      <c r="G57" s="519"/>
    </row>
    <row r="58" spans="1:7" ht="37.5" x14ac:dyDescent="0.25">
      <c r="A58" s="519">
        <f t="shared" si="0"/>
        <v>53</v>
      </c>
      <c r="B58" s="500" t="str">
        <f>Suite&amp;" Electrical Room "&amp;SWOne</f>
        <v>G104 Electrical Room XXX</v>
      </c>
      <c r="C58" s="499" t="str" cm="1">
        <f t="array" ref="C58">"UP" &amp; SWOne</f>
        <v>UPXXX</v>
      </c>
      <c r="D58" s="233" t="str" cm="1">
        <f t="array" ref="D58">"Remove the interlock key from the MCBUP"&amp;SWOne&amp;" breaker lock cylinder."</f>
        <v>Remove the interlock key from the MCBUPXXX breaker lock cylinder.</v>
      </c>
      <c r="E58" s="499" t="s">
        <v>1464</v>
      </c>
      <c r="F58" s="500"/>
      <c r="G58" s="519"/>
    </row>
    <row r="59" spans="1:7" ht="37.5" x14ac:dyDescent="0.25">
      <c r="A59" s="519">
        <f t="shared" si="0"/>
        <v>54</v>
      </c>
      <c r="B59" s="500" t="str">
        <f>Suite&amp;" Electrical Room "&amp;SWOne</f>
        <v>G104 Electrical Room XXX</v>
      </c>
      <c r="C59" s="499" t="str" cm="1">
        <f t="array" ref="C59">"UP" &amp; SWOne</f>
        <v>UPXXX</v>
      </c>
      <c r="D59" s="233" t="s">
        <v>1507</v>
      </c>
      <c r="E59" s="499" t="s">
        <v>1464</v>
      </c>
      <c r="F59" s="500"/>
      <c r="G59" s="519"/>
    </row>
    <row r="60" spans="1:7" ht="37.5" x14ac:dyDescent="0.25">
      <c r="A60" s="519">
        <f t="shared" si="0"/>
        <v>55</v>
      </c>
      <c r="B60" s="500" t="str">
        <f>Suite&amp;" Electrical Room "&amp;SWOne</f>
        <v>G104 Electrical Room XXX</v>
      </c>
      <c r="C60" s="499" t="str" cm="1">
        <f t="array" ref="C60">"UP" &amp; SWOne</f>
        <v>UPXXX</v>
      </c>
      <c r="D60" s="233" t="s">
        <v>1508</v>
      </c>
      <c r="E60" s="499" t="s">
        <v>1464</v>
      </c>
      <c r="F60" s="500"/>
      <c r="G60" s="519"/>
    </row>
    <row r="61" spans="1:7" ht="37.5" x14ac:dyDescent="0.25">
      <c r="A61" s="519">
        <f t="shared" si="0"/>
        <v>56</v>
      </c>
      <c r="B61" s="500" t="str">
        <f>Suite&amp;" Electrical Room "&amp;SWOne</f>
        <v>G104 Electrical Room XXX</v>
      </c>
      <c r="C61" s="499" t="str" cm="1">
        <f t="array" ref="C61">"UP" &amp; SWOne</f>
        <v>UPXXX</v>
      </c>
      <c r="D61" s="233" t="s">
        <v>1509</v>
      </c>
      <c r="E61" s="499" t="s">
        <v>1464</v>
      </c>
      <c r="F61" s="500"/>
      <c r="G61" s="519"/>
    </row>
    <row r="62" spans="1:7" ht="37.5" x14ac:dyDescent="0.25">
      <c r="A62" s="519">
        <f t="shared" si="0"/>
        <v>57</v>
      </c>
      <c r="B62" s="500" t="str">
        <f>Suite&amp;" Electrical Room "&amp;SWOne</f>
        <v>G104 Electrical Room XXX</v>
      </c>
      <c r="C62" s="499" t="str" cm="1">
        <f t="array" ref="C62">"UP" &amp; SWOne</f>
        <v>UPXXX</v>
      </c>
      <c r="D62" s="233" t="s">
        <v>1510</v>
      </c>
      <c r="E62" s="499" t="s">
        <v>1464</v>
      </c>
      <c r="F62" s="500"/>
      <c r="G62" s="519"/>
    </row>
    <row r="63" spans="1:7" x14ac:dyDescent="0.25">
      <c r="A63" s="519">
        <f t="shared" si="0"/>
        <v>58</v>
      </c>
      <c r="B63" s="702" t="str" cm="1">
        <f t="array" ref="B63">"Shut Down UPS System " &amp; SWOne</f>
        <v>Shut Down UPS System XXX</v>
      </c>
      <c r="C63" s="703"/>
      <c r="D63" s="703"/>
      <c r="E63" s="703"/>
      <c r="F63" s="703"/>
      <c r="G63" s="703"/>
    </row>
    <row r="64" spans="1:7" ht="37.5" x14ac:dyDescent="0.25">
      <c r="A64" s="519">
        <f t="shared" si="0"/>
        <v>59</v>
      </c>
      <c r="B64" s="500" t="str">
        <f>Suite&amp;" Electrical Room "&amp;SWOne</f>
        <v>G104 Electrical Room XXX</v>
      </c>
      <c r="C64" s="499" t="str" cm="1">
        <f t="array" ref="C64">"UPS " &amp; SWOne &amp; "1"</f>
        <v>UPS XXX1</v>
      </c>
      <c r="D64" s="190" t="s">
        <v>1511</v>
      </c>
      <c r="E64" s="499" t="s">
        <v>1464</v>
      </c>
      <c r="F64" s="500"/>
      <c r="G64" s="519"/>
    </row>
    <row r="65" spans="1:7" ht="37.5" x14ac:dyDescent="0.25">
      <c r="A65" s="519">
        <f t="shared" si="0"/>
        <v>60</v>
      </c>
      <c r="B65" s="500" t="str">
        <f>Suite&amp;" Electrical Room "&amp;SWOne</f>
        <v>G104 Electrical Room XXX</v>
      </c>
      <c r="C65" s="499" t="str" cm="1">
        <f t="array" ref="C65">"UPS " &amp; SWOne &amp; "1"</f>
        <v>UPS XXX1</v>
      </c>
      <c r="D65" s="233" t="s">
        <v>1497</v>
      </c>
      <c r="E65" s="499" t="s">
        <v>1464</v>
      </c>
      <c r="F65" s="500"/>
      <c r="G65" s="519"/>
    </row>
    <row r="66" spans="1:7" ht="37.5" x14ac:dyDescent="0.25">
      <c r="A66" s="519">
        <f t="shared" si="0"/>
        <v>61</v>
      </c>
      <c r="B66" s="500" t="str">
        <f>Suite&amp;" Electrical Room "&amp;SWOne</f>
        <v>G104 Electrical Room XXX</v>
      </c>
      <c r="C66" s="499" t="str" cm="1">
        <f t="array" ref="C66">"UPS " &amp; SWOne &amp; "1"</f>
        <v>UPS XXX1</v>
      </c>
      <c r="D66" s="190" t="s">
        <v>1512</v>
      </c>
      <c r="E66" s="499" t="s">
        <v>1464</v>
      </c>
      <c r="F66" s="500"/>
      <c r="G66" s="519"/>
    </row>
    <row r="67" spans="1:7" ht="56.25" x14ac:dyDescent="0.25">
      <c r="A67" s="519">
        <f t="shared" si="0"/>
        <v>62</v>
      </c>
      <c r="B67" s="500" t="str">
        <f>Suite&amp;" Electrical Room "&amp;SWOne</f>
        <v>G104 Electrical Room XXX</v>
      </c>
      <c r="C67" s="499" t="str" cm="1">
        <f t="array" ref="C67">"UPS " &amp; SWOne &amp; "1"</f>
        <v>UPS XXX1</v>
      </c>
      <c r="D67" s="190" t="s">
        <v>1513</v>
      </c>
      <c r="E67" s="499" t="s">
        <v>1464</v>
      </c>
      <c r="F67" s="500"/>
      <c r="G67" s="519"/>
    </row>
    <row r="68" spans="1:7" ht="37.5" x14ac:dyDescent="0.25">
      <c r="A68" s="519">
        <f t="shared" si="0"/>
        <v>63</v>
      </c>
      <c r="B68" s="500" t="str">
        <f>Suite&amp;" Electrical Room "&amp;SWOne</f>
        <v>G104 Electrical Room XXX</v>
      </c>
      <c r="C68" s="499" t="str" cm="1">
        <f t="array" ref="C68">"UPS " &amp; SWOne &amp; "1"</f>
        <v>UPS XXX1</v>
      </c>
      <c r="D68" s="190" t="s">
        <v>1514</v>
      </c>
      <c r="E68" s="499" t="s">
        <v>1464</v>
      </c>
      <c r="F68" s="500"/>
      <c r="G68" s="519"/>
    </row>
    <row r="69" spans="1:7" ht="37.5" x14ac:dyDescent="0.25">
      <c r="A69" s="519">
        <f t="shared" si="0"/>
        <v>64</v>
      </c>
      <c r="B69" s="500" t="str">
        <f>Suite&amp;" Electrical Room "&amp;SWOne</f>
        <v>G104 Electrical Room XXX</v>
      </c>
      <c r="C69" s="499" t="str" cm="1">
        <f t="array" ref="C69">"UPS " &amp; SWOne &amp; "1"</f>
        <v>UPS XXX1</v>
      </c>
      <c r="D69" s="190" t="s">
        <v>1515</v>
      </c>
      <c r="E69" s="499" t="s">
        <v>1464</v>
      </c>
      <c r="F69" s="500"/>
      <c r="G69" s="519"/>
    </row>
    <row r="70" spans="1:7" ht="37.5" x14ac:dyDescent="0.25">
      <c r="A70" s="519">
        <f t="shared" si="0"/>
        <v>65</v>
      </c>
      <c r="B70" s="500" t="str">
        <f>Suite&amp;" Electrical Room "&amp;SWOne</f>
        <v>G104 Electrical Room XXX</v>
      </c>
      <c r="C70" s="499" t="str" cm="1">
        <f t="array" ref="C70">"UPS " &amp; SWOne &amp; "1"</f>
        <v>UPS XXX1</v>
      </c>
      <c r="D70" s="190" t="s">
        <v>1516</v>
      </c>
      <c r="E70" s="499" t="s">
        <v>1464</v>
      </c>
      <c r="F70" s="500"/>
      <c r="G70" s="519"/>
    </row>
    <row r="71" spans="1:7" ht="37.5" x14ac:dyDescent="0.25">
      <c r="A71" s="519">
        <f t="shared" si="0"/>
        <v>66</v>
      </c>
      <c r="B71" s="500" t="str">
        <f>Suite&amp;" Electrical Room "&amp;SWOne</f>
        <v>G104 Electrical Room XXX</v>
      </c>
      <c r="C71" s="499" t="str" cm="1">
        <f t="array" ref="C71">"UPS " &amp; SWOne</f>
        <v>UPS XXX</v>
      </c>
      <c r="D71" s="190" t="s">
        <v>1517</v>
      </c>
      <c r="E71" s="499" t="s">
        <v>1464</v>
      </c>
      <c r="F71" s="500"/>
      <c r="G71" s="519"/>
    </row>
    <row r="72" spans="1:7" ht="56.25" x14ac:dyDescent="0.25">
      <c r="A72" s="519">
        <f t="shared" si="0"/>
        <v>67</v>
      </c>
      <c r="B72" s="500" t="str">
        <f>Suite&amp;" Electrical Room "&amp;SWOne</f>
        <v>G104 Electrical Room XXX</v>
      </c>
      <c r="C72" s="499" t="str" cm="1">
        <f t="array" ref="C72">"UPS " &amp; SWOne &amp; " Battery Cabinets"</f>
        <v>UPS XXX Battery Cabinets</v>
      </c>
      <c r="D72" s="190" t="str" cm="1">
        <f t="array" ref="D72">"Verify battery breaker for cabinet " &amp; SWOne &amp; "1-1 is in the tripped position."</f>
        <v>Verify battery breaker for cabinet XXX1-1 is in the tripped position.</v>
      </c>
      <c r="E72" s="499" t="s">
        <v>1464</v>
      </c>
      <c r="F72" s="500"/>
      <c r="G72" s="519"/>
    </row>
    <row r="73" spans="1:7" ht="56.25" x14ac:dyDescent="0.25">
      <c r="A73" s="519">
        <f t="shared" si="0"/>
        <v>68</v>
      </c>
      <c r="B73" s="500" t="str">
        <f>Suite&amp;" Electrical Room "&amp;SWOne</f>
        <v>G104 Electrical Room XXX</v>
      </c>
      <c r="C73" s="499" t="str" cm="1">
        <f t="array" ref="C73">"UPS " &amp; SWOne &amp; " Battery Cabinets"</f>
        <v>UPS XXX Battery Cabinets</v>
      </c>
      <c r="D73" s="190" t="str" cm="1">
        <f t="array" ref="D73">"Open battery breaker " &amp; SWOne &amp; "1-1."</f>
        <v>Open battery breaker XXX1-1.</v>
      </c>
      <c r="E73" s="499" t="s">
        <v>1464</v>
      </c>
      <c r="F73" s="500"/>
      <c r="G73" s="519"/>
    </row>
    <row r="74" spans="1:7" ht="56.25" x14ac:dyDescent="0.25">
      <c r="A74" s="519">
        <f t="shared" ref="A74:A130" si="2">A73+1</f>
        <v>69</v>
      </c>
      <c r="B74" s="500" t="str">
        <f>Suite&amp;" Electrical Room "&amp;SWOne</f>
        <v>G104 Electrical Room XXX</v>
      </c>
      <c r="C74" s="499" t="str" cm="1">
        <f t="array" ref="C74">"UPS " &amp; SWOne &amp; " Battery Cabinets"</f>
        <v>UPS XXX Battery Cabinets</v>
      </c>
      <c r="D74" s="190" t="str" cm="1">
        <f t="array" ref="D74">"Apply LOTO to battery breaker " &amp; SWOne &amp; "1-1."</f>
        <v>Apply LOTO to battery breaker XXX1-1.</v>
      </c>
      <c r="E74" s="499" t="s">
        <v>1464</v>
      </c>
      <c r="F74" s="500"/>
      <c r="G74" s="519"/>
    </row>
    <row r="75" spans="1:7" ht="56.25" x14ac:dyDescent="0.25">
      <c r="A75" s="519">
        <f t="shared" si="2"/>
        <v>70</v>
      </c>
      <c r="B75" s="500" t="str">
        <f>Suite&amp;" Electrical Room "&amp;SWOne</f>
        <v>G104 Electrical Room XXX</v>
      </c>
      <c r="C75" s="499" t="str" cm="1">
        <f t="array" ref="C75">"UPS " &amp; SWOne &amp; " Battery Cabinets"</f>
        <v>UPS XXX Battery Cabinets</v>
      </c>
      <c r="D75" s="233" t="s">
        <v>1518</v>
      </c>
      <c r="E75" s="499" t="s">
        <v>1464</v>
      </c>
      <c r="F75" s="500" t="s">
        <v>1519</v>
      </c>
      <c r="G75" s="519"/>
    </row>
    <row r="76" spans="1:7" ht="56.25" x14ac:dyDescent="0.25">
      <c r="A76" s="519">
        <f t="shared" si="2"/>
        <v>71</v>
      </c>
      <c r="B76" s="500" t="str">
        <f>Suite&amp;" Electrical Room "&amp;SWOne</f>
        <v>G104 Electrical Room XXX</v>
      </c>
      <c r="C76" s="499" t="str" cm="1">
        <f t="array" ref="C76">"UPS " &amp; SWOne &amp; " Battery Cabinets"</f>
        <v>UPS XXX Battery Cabinets</v>
      </c>
      <c r="D76" s="190" t="str" cm="1">
        <f t="array" ref="D76">"Verify battery breaker for cabinet " &amp; SWOne &amp; "1-2 is in the tripped position."</f>
        <v>Verify battery breaker for cabinet XXX1-2 is in the tripped position.</v>
      </c>
      <c r="E76" s="499" t="s">
        <v>1464</v>
      </c>
      <c r="F76" s="500"/>
      <c r="G76" s="519"/>
    </row>
    <row r="77" spans="1:7" ht="56.25" x14ac:dyDescent="0.25">
      <c r="A77" s="519">
        <f t="shared" si="2"/>
        <v>72</v>
      </c>
      <c r="B77" s="500" t="str">
        <f>Suite&amp;" Electrical Room "&amp;SWOne</f>
        <v>G104 Electrical Room XXX</v>
      </c>
      <c r="C77" s="499" t="str" cm="1">
        <f t="array" ref="C77">"UPS " &amp; SWOne &amp; " Battery Cabinets"</f>
        <v>UPS XXX Battery Cabinets</v>
      </c>
      <c r="D77" s="190" t="str" cm="1">
        <f t="array" ref="D77">"Open battery breaker " &amp; SWOne &amp; "1-2."</f>
        <v>Open battery breaker XXX1-2.</v>
      </c>
      <c r="E77" s="499" t="s">
        <v>1464</v>
      </c>
      <c r="F77" s="500"/>
      <c r="G77" s="519"/>
    </row>
    <row r="78" spans="1:7" ht="56.25" x14ac:dyDescent="0.25">
      <c r="A78" s="519">
        <f t="shared" si="2"/>
        <v>73</v>
      </c>
      <c r="B78" s="500" t="str">
        <f>Suite&amp;" Electrical Room "&amp;SWOne</f>
        <v>G104 Electrical Room XXX</v>
      </c>
      <c r="C78" s="499" t="str" cm="1">
        <f t="array" ref="C78">"UPS " &amp; SWOne &amp; " Battery Cabinets"</f>
        <v>UPS XXX Battery Cabinets</v>
      </c>
      <c r="D78" s="190" t="str" cm="1">
        <f t="array" ref="D78">"Apply LOTO to battery breaker " &amp; SWOne &amp; "1-2."</f>
        <v>Apply LOTO to battery breaker XXX1-2.</v>
      </c>
      <c r="E78" s="499" t="s">
        <v>1464</v>
      </c>
      <c r="F78" s="500"/>
      <c r="G78" s="519"/>
    </row>
    <row r="79" spans="1:7" ht="56.25" x14ac:dyDescent="0.25">
      <c r="A79" s="519">
        <f t="shared" si="2"/>
        <v>74</v>
      </c>
      <c r="B79" s="500" t="str">
        <f>Suite&amp;" Electrical Room "&amp;SWOne</f>
        <v>G104 Electrical Room XXX</v>
      </c>
      <c r="C79" s="499" t="str" cm="1">
        <f t="array" ref="C79">"UPS " &amp; SWOne &amp; " Battery Cabinets"</f>
        <v>UPS XXX Battery Cabinets</v>
      </c>
      <c r="D79" s="233" t="s">
        <v>1518</v>
      </c>
      <c r="E79" s="499" t="s">
        <v>1464</v>
      </c>
      <c r="F79" s="500"/>
      <c r="G79" s="519"/>
    </row>
    <row r="80" spans="1:7" ht="56.25" x14ac:dyDescent="0.25">
      <c r="A80" s="519">
        <f t="shared" si="2"/>
        <v>75</v>
      </c>
      <c r="B80" s="500" t="str">
        <f>Suite&amp;" Electrical Room "&amp;SWOne</f>
        <v>G104 Electrical Room XXX</v>
      </c>
      <c r="C80" s="499" t="str" cm="1">
        <f t="array" ref="C80">"UPS " &amp; SWOne &amp; " Battery Cabinets"</f>
        <v>UPS XXX Battery Cabinets</v>
      </c>
      <c r="D80" s="190" t="str" cm="1">
        <f t="array" ref="D80">"Verify battery breaker for cabinet " &amp; SWOne &amp; "1-3 is in the tripped position."</f>
        <v>Verify battery breaker for cabinet XXX1-3 is in the tripped position.</v>
      </c>
      <c r="E80" s="499" t="s">
        <v>1464</v>
      </c>
      <c r="F80" s="500"/>
      <c r="G80" s="519"/>
    </row>
    <row r="81" spans="1:7" ht="56.25" x14ac:dyDescent="0.25">
      <c r="A81" s="519">
        <f t="shared" si="2"/>
        <v>76</v>
      </c>
      <c r="B81" s="500" t="str">
        <f>Suite&amp;" Electrical Room "&amp;SWOne</f>
        <v>G104 Electrical Room XXX</v>
      </c>
      <c r="C81" s="499" t="str" cm="1">
        <f t="array" ref="C81">"UPS " &amp; SWOne &amp; " Battery Cabinets"</f>
        <v>UPS XXX Battery Cabinets</v>
      </c>
      <c r="D81" s="190" t="str" cm="1">
        <f t="array" ref="D81">"Open battery breaker " &amp; SWOne &amp; "1-3."</f>
        <v>Open battery breaker XXX1-3.</v>
      </c>
      <c r="E81" s="499" t="s">
        <v>1464</v>
      </c>
      <c r="F81" s="500"/>
      <c r="G81" s="519"/>
    </row>
    <row r="82" spans="1:7" ht="56.25" x14ac:dyDescent="0.25">
      <c r="A82" s="519">
        <f t="shared" si="2"/>
        <v>77</v>
      </c>
      <c r="B82" s="500" t="str">
        <f>Suite&amp;" Electrical Room "&amp;SWOne</f>
        <v>G104 Electrical Room XXX</v>
      </c>
      <c r="C82" s="499" t="str" cm="1">
        <f t="array" ref="C82">"UPS " &amp; SWOne &amp; " Battery Cabinets"</f>
        <v>UPS XXX Battery Cabinets</v>
      </c>
      <c r="D82" s="190" t="str" cm="1">
        <f t="array" ref="D82">"Apply LOTO to battery breaker " &amp; SWOne &amp; "1-3."</f>
        <v>Apply LOTO to battery breaker XXX1-3.</v>
      </c>
      <c r="E82" s="499" t="s">
        <v>1464</v>
      </c>
      <c r="F82" s="500"/>
      <c r="G82" s="519"/>
    </row>
    <row r="83" spans="1:7" ht="56.25" x14ac:dyDescent="0.25">
      <c r="A83" s="519">
        <f t="shared" si="2"/>
        <v>78</v>
      </c>
      <c r="B83" s="500" t="str">
        <f>Suite&amp;" Electrical Room "&amp;SWOne</f>
        <v>G104 Electrical Room XXX</v>
      </c>
      <c r="C83" s="499" t="str" cm="1">
        <f t="array" ref="C83">"UPS " &amp; SWOne &amp; " Battery Cabinets"</f>
        <v>UPS XXX Battery Cabinets</v>
      </c>
      <c r="D83" s="233" t="s">
        <v>1518</v>
      </c>
      <c r="E83" s="499" t="s">
        <v>1464</v>
      </c>
      <c r="F83" s="500"/>
      <c r="G83" s="519"/>
    </row>
    <row r="84" spans="1:7" ht="56.25" x14ac:dyDescent="0.25">
      <c r="A84" s="519">
        <f t="shared" si="2"/>
        <v>79</v>
      </c>
      <c r="B84" s="500" t="str">
        <f>Suite&amp;" Electrical Room "&amp;SWOne</f>
        <v>G104 Electrical Room XXX</v>
      </c>
      <c r="C84" s="499" t="str" cm="1">
        <f t="array" ref="C84">"UPS " &amp; SWOne &amp; " Battery Cabinets"</f>
        <v>UPS XXX Battery Cabinets</v>
      </c>
      <c r="D84" s="190" t="str" cm="1">
        <f t="array" ref="D84">"Verify battery breaker for cabinet " &amp; SWOne &amp; "2-1 is in the tripped position."</f>
        <v>Verify battery breaker for cabinet XXX2-1 is in the tripped position.</v>
      </c>
      <c r="E84" s="499" t="s">
        <v>1464</v>
      </c>
      <c r="F84" s="500"/>
      <c r="G84" s="519"/>
    </row>
    <row r="85" spans="1:7" ht="56.25" x14ac:dyDescent="0.25">
      <c r="A85" s="519">
        <f t="shared" si="2"/>
        <v>80</v>
      </c>
      <c r="B85" s="500" t="str">
        <f>Suite&amp;" Electrical Room "&amp;SWOne</f>
        <v>G104 Electrical Room XXX</v>
      </c>
      <c r="C85" s="499" t="str" cm="1">
        <f t="array" ref="C85">"UPS " &amp; SWOne &amp; " Battery Cabinets"</f>
        <v>UPS XXX Battery Cabinets</v>
      </c>
      <c r="D85" s="190" t="str" cm="1">
        <f t="array" ref="D85">"Open battery breaker " &amp; SWOne &amp; "2-1."</f>
        <v>Open battery breaker XXX2-1.</v>
      </c>
      <c r="E85" s="499" t="s">
        <v>1464</v>
      </c>
      <c r="F85" s="500"/>
      <c r="G85" s="519"/>
    </row>
    <row r="86" spans="1:7" ht="56.25" x14ac:dyDescent="0.25">
      <c r="A86" s="519">
        <f t="shared" si="2"/>
        <v>81</v>
      </c>
      <c r="B86" s="500" t="str">
        <f>Suite&amp;" Electrical Room "&amp;SWOne</f>
        <v>G104 Electrical Room XXX</v>
      </c>
      <c r="C86" s="499" t="str" cm="1">
        <f t="array" ref="C86">"UPS " &amp; SWOne &amp; " Battery Cabinets"</f>
        <v>UPS XXX Battery Cabinets</v>
      </c>
      <c r="D86" s="190" t="str" cm="1">
        <f t="array" ref="D86">"Apply LOTO to battery breaker " &amp; SWOne &amp; "2-1."</f>
        <v>Apply LOTO to battery breaker XXX2-1.</v>
      </c>
      <c r="E86" s="499" t="s">
        <v>1464</v>
      </c>
      <c r="F86" s="500"/>
      <c r="G86" s="519"/>
    </row>
    <row r="87" spans="1:7" ht="56.25" x14ac:dyDescent="0.25">
      <c r="A87" s="519">
        <f t="shared" si="2"/>
        <v>82</v>
      </c>
      <c r="B87" s="500" t="str">
        <f>Suite&amp;" Electrical Room "&amp;SWOne</f>
        <v>G104 Electrical Room XXX</v>
      </c>
      <c r="C87" s="499" t="str" cm="1">
        <f t="array" ref="C87">"UPS " &amp; SWOne &amp; " Battery Cabinets"</f>
        <v>UPS XXX Battery Cabinets</v>
      </c>
      <c r="D87" s="233" t="s">
        <v>1518</v>
      </c>
      <c r="E87" s="499" t="s">
        <v>1464</v>
      </c>
      <c r="F87" s="500"/>
      <c r="G87" s="519"/>
    </row>
    <row r="88" spans="1:7" ht="56.25" x14ac:dyDescent="0.25">
      <c r="A88" s="519">
        <f t="shared" si="2"/>
        <v>83</v>
      </c>
      <c r="B88" s="500" t="str">
        <f>Suite&amp;" Electrical Room "&amp;SWOne</f>
        <v>G104 Electrical Room XXX</v>
      </c>
      <c r="C88" s="499" t="str" cm="1">
        <f t="array" ref="C88">"UPS " &amp; SWOne &amp; " Battery Cabinets"</f>
        <v>UPS XXX Battery Cabinets</v>
      </c>
      <c r="D88" s="190" t="str" cm="1">
        <f t="array" ref="D88">"Verify battery breaker for cabinet " &amp; SWOne &amp; "2-2 is in the tripped position."</f>
        <v>Verify battery breaker for cabinet XXX2-2 is in the tripped position.</v>
      </c>
      <c r="E88" s="499" t="s">
        <v>1464</v>
      </c>
      <c r="F88" s="500"/>
      <c r="G88" s="519"/>
    </row>
    <row r="89" spans="1:7" ht="56.25" x14ac:dyDescent="0.25">
      <c r="A89" s="519">
        <f t="shared" si="2"/>
        <v>84</v>
      </c>
      <c r="B89" s="500" t="str">
        <f>Suite&amp;" Electrical Room "&amp;SWOne</f>
        <v>G104 Electrical Room XXX</v>
      </c>
      <c r="C89" s="499" t="str" cm="1">
        <f t="array" ref="C89">"UPS " &amp; SWOne &amp; " Battery Cabinets"</f>
        <v>UPS XXX Battery Cabinets</v>
      </c>
      <c r="D89" s="190" t="str" cm="1">
        <f t="array" ref="D89">"Open battery breaker " &amp; SWOne &amp; "2-2."</f>
        <v>Open battery breaker XXX2-2.</v>
      </c>
      <c r="E89" s="499" t="s">
        <v>1464</v>
      </c>
      <c r="F89" s="500"/>
      <c r="G89" s="519"/>
    </row>
    <row r="90" spans="1:7" ht="56.25" x14ac:dyDescent="0.25">
      <c r="A90" s="519">
        <f t="shared" si="2"/>
        <v>85</v>
      </c>
      <c r="B90" s="500" t="str">
        <f>Suite&amp;" Electrical Room "&amp;SWOne</f>
        <v>G104 Electrical Room XXX</v>
      </c>
      <c r="C90" s="499" t="str" cm="1">
        <f t="array" ref="C90">"UPS " &amp; SWOne &amp; " Battery Cabinets"</f>
        <v>UPS XXX Battery Cabinets</v>
      </c>
      <c r="D90" s="190" t="str" cm="1">
        <f t="array" ref="D90">"Apply LOTO to battery breaker " &amp; SWOne &amp; "2-2."</f>
        <v>Apply LOTO to battery breaker XXX2-2.</v>
      </c>
      <c r="E90" s="499" t="s">
        <v>1464</v>
      </c>
      <c r="F90" s="500"/>
      <c r="G90" s="519"/>
    </row>
    <row r="91" spans="1:7" ht="56.25" x14ac:dyDescent="0.25">
      <c r="A91" s="519">
        <f t="shared" si="2"/>
        <v>86</v>
      </c>
      <c r="B91" s="500" t="str">
        <f>Suite&amp;" Electrical Room "&amp;SWOne</f>
        <v>G104 Electrical Room XXX</v>
      </c>
      <c r="C91" s="499" t="str" cm="1">
        <f t="array" ref="C91">"UPS " &amp; SWOne &amp; " Battery Cabinets"</f>
        <v>UPS XXX Battery Cabinets</v>
      </c>
      <c r="D91" s="233" t="s">
        <v>1518</v>
      </c>
      <c r="E91" s="499" t="s">
        <v>1464</v>
      </c>
      <c r="F91" s="500"/>
      <c r="G91" s="519"/>
    </row>
    <row r="92" spans="1:7" ht="56.25" x14ac:dyDescent="0.25">
      <c r="A92" s="519">
        <f t="shared" si="2"/>
        <v>87</v>
      </c>
      <c r="B92" s="500" t="str">
        <f>Suite&amp;" Electrical Room "&amp;SWOne</f>
        <v>G104 Electrical Room XXX</v>
      </c>
      <c r="C92" s="499" t="str" cm="1">
        <f t="array" ref="C92">"UPS " &amp; SWOne &amp; " Battery Cabinets"</f>
        <v>UPS XXX Battery Cabinets</v>
      </c>
      <c r="D92" s="190" t="str" cm="1">
        <f t="array" ref="D92">"Verify battery breaker for cabinet " &amp; SWOne &amp; "2-3 is in the tripped position."</f>
        <v>Verify battery breaker for cabinet XXX2-3 is in the tripped position.</v>
      </c>
      <c r="E92" s="499" t="s">
        <v>1464</v>
      </c>
      <c r="F92" s="500"/>
      <c r="G92" s="519"/>
    </row>
    <row r="93" spans="1:7" ht="56.25" x14ac:dyDescent="0.25">
      <c r="A93" s="519">
        <f t="shared" si="2"/>
        <v>88</v>
      </c>
      <c r="B93" s="500" t="str">
        <f>Suite&amp;" Electrical Room "&amp;SWOne</f>
        <v>G104 Electrical Room XXX</v>
      </c>
      <c r="C93" s="499" t="str" cm="1">
        <f t="array" ref="C93">"UPS " &amp; SWOne &amp; " Battery Cabinets"</f>
        <v>UPS XXX Battery Cabinets</v>
      </c>
      <c r="D93" s="190" t="str" cm="1">
        <f t="array" ref="D93">"Open battery breaker " &amp; SWOne &amp; "2-3."</f>
        <v>Open battery breaker XXX2-3.</v>
      </c>
      <c r="E93" s="499" t="s">
        <v>1464</v>
      </c>
      <c r="F93" s="500"/>
      <c r="G93" s="519"/>
    </row>
    <row r="94" spans="1:7" ht="56.25" x14ac:dyDescent="0.25">
      <c r="A94" s="519">
        <f t="shared" si="2"/>
        <v>89</v>
      </c>
      <c r="B94" s="500" t="str">
        <f>Suite&amp;" Electrical Room "&amp;SWOne</f>
        <v>G104 Electrical Room XXX</v>
      </c>
      <c r="C94" s="499" t="str" cm="1">
        <f t="array" ref="C94">"UPS " &amp; SWOne &amp; " Battery Cabinets"</f>
        <v>UPS XXX Battery Cabinets</v>
      </c>
      <c r="D94" s="190" t="str" cm="1">
        <f t="array" ref="D94">"Apply LOTO to battery breaker " &amp; SWOne &amp; "2-3."</f>
        <v>Apply LOTO to battery breaker XXX2-3.</v>
      </c>
      <c r="E94" s="499" t="s">
        <v>1464</v>
      </c>
      <c r="F94" s="500"/>
      <c r="G94" s="519"/>
    </row>
    <row r="95" spans="1:7" ht="56.25" x14ac:dyDescent="0.25">
      <c r="A95" s="519">
        <f t="shared" si="2"/>
        <v>90</v>
      </c>
      <c r="B95" s="500" t="str">
        <f>Suite&amp;" Electrical Room "&amp;SWOne</f>
        <v>G104 Electrical Room XXX</v>
      </c>
      <c r="C95" s="499" t="str" cm="1">
        <f t="array" ref="C95">"UPS " &amp; SWOne &amp; " Battery Cabinets"</f>
        <v>UPS XXX Battery Cabinets</v>
      </c>
      <c r="D95" s="233" t="s">
        <v>1518</v>
      </c>
      <c r="E95" s="499" t="s">
        <v>1464</v>
      </c>
      <c r="F95" s="500"/>
      <c r="G95" s="519"/>
    </row>
    <row r="96" spans="1:7" ht="37.5" x14ac:dyDescent="0.25">
      <c r="A96" s="519">
        <f t="shared" si="2"/>
        <v>91</v>
      </c>
      <c r="B96" s="500" t="str">
        <f>Suite&amp;" Electrical Room "&amp;SWOne</f>
        <v>G104 Electrical Room XXX</v>
      </c>
      <c r="C96" s="499" t="str" cm="1">
        <f t="array" ref="C96">"UP" &amp; SWOne</f>
        <v>UPXXX</v>
      </c>
      <c r="D96" s="190" t="str" cm="1">
        <f t="array" ref="D96">"Open breaker DP-" &amp; SWOne &amp; "1."</f>
        <v>Open breaker DP-XXX1.</v>
      </c>
      <c r="E96" s="499" t="s">
        <v>1464</v>
      </c>
      <c r="F96" s="500"/>
      <c r="G96" s="519"/>
    </row>
    <row r="97" spans="1:7" ht="37.5" x14ac:dyDescent="0.25">
      <c r="A97" s="519">
        <f t="shared" si="2"/>
        <v>92</v>
      </c>
      <c r="B97" s="500" t="str">
        <f>Suite&amp;" Electrical Room "&amp;SWOne</f>
        <v>G104 Electrical Room XXX</v>
      </c>
      <c r="C97" s="499" t="str" cm="1">
        <f t="array" ref="C97">"UP" &amp; SWOne</f>
        <v>UPXXX</v>
      </c>
      <c r="D97" s="190" t="str" cm="1">
        <f t="array" ref="D97">"Apply LOTO to breaker DP-" &amp; SWOne &amp; "1."</f>
        <v>Apply LOTO to breaker DP-XXX1.</v>
      </c>
      <c r="E97" s="499" t="s">
        <v>1464</v>
      </c>
      <c r="F97" s="500"/>
      <c r="G97" s="519"/>
    </row>
    <row r="98" spans="1:7" ht="37.5" x14ac:dyDescent="0.25">
      <c r="A98" s="519">
        <f t="shared" si="2"/>
        <v>93</v>
      </c>
      <c r="B98" s="500" t="str">
        <f>Suite&amp;" Electrical Room "&amp;SWOne</f>
        <v>G104 Electrical Room XXX</v>
      </c>
      <c r="C98" s="499" t="str" cm="1">
        <f t="array" ref="C98">"UP" &amp; SWOne</f>
        <v>UPXXX</v>
      </c>
      <c r="D98" s="233" t="s">
        <v>1518</v>
      </c>
      <c r="E98" s="499" t="s">
        <v>1464</v>
      </c>
      <c r="F98" s="500"/>
      <c r="G98" s="519"/>
    </row>
    <row r="99" spans="1:7" ht="37.5" x14ac:dyDescent="0.25">
      <c r="A99" s="519">
        <f t="shared" si="2"/>
        <v>94</v>
      </c>
      <c r="B99" s="500" t="str">
        <f>Suite&amp;" Electrical Room "&amp;SWOne</f>
        <v>G104 Electrical Room XXX</v>
      </c>
      <c r="C99" s="499" t="str" cm="1">
        <f t="array" ref="C99">"UP" &amp; SWOne</f>
        <v>UPXXX</v>
      </c>
      <c r="D99" s="190" t="str" cm="1">
        <f t="array" ref="D99">"Open breaker DP-" &amp; SWOne &amp; "2."</f>
        <v>Open breaker DP-XXX2.</v>
      </c>
      <c r="E99" s="499" t="s">
        <v>1464</v>
      </c>
      <c r="F99" s="500"/>
      <c r="G99" s="519"/>
    </row>
    <row r="100" spans="1:7" ht="37.5" x14ac:dyDescent="0.25">
      <c r="A100" s="519">
        <f t="shared" si="2"/>
        <v>95</v>
      </c>
      <c r="B100" s="500" t="str">
        <f>Suite&amp;" Electrical Room "&amp;SWOne</f>
        <v>G104 Electrical Room XXX</v>
      </c>
      <c r="C100" s="499" t="str" cm="1">
        <f t="array" ref="C100">"UP" &amp; SWOne</f>
        <v>UPXXX</v>
      </c>
      <c r="D100" s="190" t="str" cm="1">
        <f t="array" ref="D100">"Apply LOTO to breaker DP-" &amp; SWOne &amp; "2."</f>
        <v>Apply LOTO to breaker DP-XXX2.</v>
      </c>
      <c r="E100" s="499" t="s">
        <v>1464</v>
      </c>
      <c r="F100" s="500"/>
      <c r="G100" s="519"/>
    </row>
    <row r="101" spans="1:7" ht="37.5" x14ac:dyDescent="0.25">
      <c r="A101" s="519">
        <f t="shared" si="2"/>
        <v>96</v>
      </c>
      <c r="B101" s="500" t="str">
        <f>Suite&amp;" Electrical Room "&amp;SWOne</f>
        <v>G104 Electrical Room XXX</v>
      </c>
      <c r="C101" s="499" t="str" cm="1">
        <f t="array" ref="C101">"UP" &amp; SWOne</f>
        <v>UPXXX</v>
      </c>
      <c r="D101" s="233" t="s">
        <v>1518</v>
      </c>
      <c r="E101" s="499" t="s">
        <v>1464</v>
      </c>
      <c r="F101" s="500"/>
      <c r="G101" s="519"/>
    </row>
    <row r="102" spans="1:7" ht="37.5" x14ac:dyDescent="0.25">
      <c r="A102" s="519">
        <f t="shared" si="2"/>
        <v>97</v>
      </c>
      <c r="B102" s="500" t="str">
        <f>Suite&amp;" Electrical Room "&amp;SWOne</f>
        <v>G104 Electrical Room XXX</v>
      </c>
      <c r="C102" s="499" t="str" cm="1">
        <f t="array" ref="C102">"UPS " &amp; SWOne &amp; "1"</f>
        <v>UPS XXX1</v>
      </c>
      <c r="D102" s="501" t="s">
        <v>1520</v>
      </c>
      <c r="E102" s="499" t="s">
        <v>1464</v>
      </c>
      <c r="F102" s="500"/>
      <c r="G102" s="519"/>
    </row>
    <row r="103" spans="1:7" ht="37.5" x14ac:dyDescent="0.25">
      <c r="A103" s="519">
        <f t="shared" si="2"/>
        <v>98</v>
      </c>
      <c r="B103" s="500" t="str">
        <f>Suite&amp;" Electrical Room "&amp;SWOne</f>
        <v>G104 Electrical Room XXX</v>
      </c>
      <c r="C103" s="499" t="str" cm="1">
        <f t="array" ref="C103">"SW" &amp; SWOne</f>
        <v>SWXXX</v>
      </c>
      <c r="D103" s="190" t="str" cm="1">
        <f t="array" ref="D103">"Open breaker UPS-" &amp; SWOne &amp; "1."</f>
        <v>Open breaker UPS-XXX1.</v>
      </c>
      <c r="E103" s="499" t="s">
        <v>1464</v>
      </c>
      <c r="F103" s="500"/>
      <c r="G103" s="519"/>
    </row>
    <row r="104" spans="1:7" ht="37.5" x14ac:dyDescent="0.25">
      <c r="A104" s="519">
        <f t="shared" si="2"/>
        <v>99</v>
      </c>
      <c r="B104" s="500" t="str">
        <f>Suite&amp;" Electrical Room "&amp;SWOne</f>
        <v>G104 Electrical Room XXX</v>
      </c>
      <c r="C104" s="499" t="str" cm="1">
        <f t="array" ref="C104">"SW" &amp; SWOne</f>
        <v>SWXXX</v>
      </c>
      <c r="D104" s="190" t="str" cm="1">
        <f t="array" ref="D104">"Apply LOTO to breaker UPS-" &amp; SWOne &amp; "1."</f>
        <v>Apply LOTO to breaker UPS-XXX1.</v>
      </c>
      <c r="E104" s="499" t="s">
        <v>1464</v>
      </c>
      <c r="F104" s="500"/>
      <c r="G104" s="519"/>
    </row>
    <row r="105" spans="1:7" ht="37.5" x14ac:dyDescent="0.25">
      <c r="A105" s="519">
        <f t="shared" si="2"/>
        <v>100</v>
      </c>
      <c r="B105" s="500" t="str">
        <f>Suite&amp;" Electrical Room "&amp;SWOne</f>
        <v>G104 Electrical Room XXX</v>
      </c>
      <c r="C105" s="499" t="str" cm="1">
        <f t="array" ref="C105">"SW" &amp; SWOne</f>
        <v>SWXXX</v>
      </c>
      <c r="D105" s="233" t="s">
        <v>1518</v>
      </c>
      <c r="E105" s="499" t="s">
        <v>1464</v>
      </c>
      <c r="F105" s="500"/>
      <c r="G105" s="519"/>
    </row>
    <row r="106" spans="1:7" ht="37.5" x14ac:dyDescent="0.25">
      <c r="A106" s="519">
        <f t="shared" si="2"/>
        <v>101</v>
      </c>
      <c r="B106" s="500" t="str">
        <f>Suite&amp;" Electrical Room "&amp;SWOne</f>
        <v>G104 Electrical Room XXX</v>
      </c>
      <c r="C106" s="499" t="str" cm="1">
        <f t="array" ref="C106">"SW" &amp; SWOne</f>
        <v>SWXXX</v>
      </c>
      <c r="D106" s="190" t="str" cm="1">
        <f t="array" ref="D106">"Open breaker UPS-" &amp; SWOne &amp; "2."</f>
        <v>Open breaker UPS-XXX2.</v>
      </c>
      <c r="E106" s="499" t="s">
        <v>1464</v>
      </c>
      <c r="F106" s="500"/>
      <c r="G106" s="519"/>
    </row>
    <row r="107" spans="1:7" ht="37.5" x14ac:dyDescent="0.25">
      <c r="A107" s="519">
        <f t="shared" si="2"/>
        <v>102</v>
      </c>
      <c r="B107" s="500" t="str">
        <f>Suite&amp;" Electrical Room "&amp;SWOne</f>
        <v>G104 Electrical Room XXX</v>
      </c>
      <c r="C107" s="499" t="str" cm="1">
        <f t="array" ref="C107">"SW" &amp; SWOne</f>
        <v>SWXXX</v>
      </c>
      <c r="D107" s="190" t="str" cm="1">
        <f t="array" ref="D107">"Apply LOTO to breaker UPS-" &amp; SWOne &amp; "2."</f>
        <v>Apply LOTO to breaker UPS-XXX2.</v>
      </c>
      <c r="E107" s="499" t="s">
        <v>1464</v>
      </c>
      <c r="F107" s="500"/>
      <c r="G107" s="519"/>
    </row>
    <row r="108" spans="1:7" ht="37.5" x14ac:dyDescent="0.25">
      <c r="A108" s="519">
        <f t="shared" si="2"/>
        <v>103</v>
      </c>
      <c r="B108" s="500" t="str">
        <f>Suite&amp;" Electrical Room "&amp;SWOne</f>
        <v>G104 Electrical Room XXX</v>
      </c>
      <c r="C108" s="499" t="str" cm="1">
        <f t="array" ref="C108">"SW" &amp; SWOne</f>
        <v>SWXXX</v>
      </c>
      <c r="D108" s="233" t="s">
        <v>1518</v>
      </c>
      <c r="E108" s="499" t="s">
        <v>1464</v>
      </c>
      <c r="F108" s="500"/>
      <c r="G108" s="519"/>
    </row>
    <row r="109" spans="1:7" ht="56.25" x14ac:dyDescent="0.25">
      <c r="A109" s="519">
        <f t="shared" si="2"/>
        <v>104</v>
      </c>
      <c r="B109" s="500" t="str">
        <f>Suite&amp;" Electrical Room "&amp;SWOne</f>
        <v>G104 Electrical Room XXX</v>
      </c>
      <c r="C109" s="499" t="str" cm="1">
        <f t="array" ref="C109">"UPS " &amp; SWOne &amp; "1"</f>
        <v>UPS XXX1</v>
      </c>
      <c r="D109" s="190" t="str" cm="1">
        <f t="array" ref="D109">"Verify UPS-" &amp;SWOne&amp; "1 CB1 breaker is in the ''Tripped'' position. 
Note: The CB1 breaker will automatically reset and close during system startup."</f>
        <v>Verify UPS-XXX1 CB1 breaker is in the ''Tripped'' position. 
Note: The CB1 breaker will automatically reset and close during system startup.</v>
      </c>
      <c r="E109" s="499" t="s">
        <v>1464</v>
      </c>
      <c r="F109" s="500"/>
      <c r="G109" s="519"/>
    </row>
    <row r="110" spans="1:7" ht="56.25" x14ac:dyDescent="0.25">
      <c r="A110" s="519">
        <f t="shared" si="2"/>
        <v>105</v>
      </c>
      <c r="B110" s="500" t="str">
        <f>Suite&amp;" Electrical Room "&amp;SWOne</f>
        <v>G104 Electrical Room XXX</v>
      </c>
      <c r="C110" s="499" t="str" cm="1">
        <f t="array" ref="C110">"UPS " &amp; SWOne &amp; "2"</f>
        <v>UPS XXX2</v>
      </c>
      <c r="D110" s="190" t="str" cm="1">
        <f t="array" ref="D110">"Verify UPS-" &amp;SWOne&amp; "2 CB1 breaker is in the ''Tripped'' position. 
Note: The CB1 breaker will automatically reset and close during system startup."</f>
        <v>Verify UPS-XXX2 CB1 breaker is in the ''Tripped'' position. 
Note: The CB1 breaker will automatically reset and close during system startup.</v>
      </c>
      <c r="E110" s="499" t="s">
        <v>1464</v>
      </c>
      <c r="F110" s="500"/>
      <c r="G110" s="519"/>
    </row>
    <row r="111" spans="1:7" ht="37.5" x14ac:dyDescent="0.25">
      <c r="A111" s="519">
        <f t="shared" si="2"/>
        <v>106</v>
      </c>
      <c r="B111" s="500" t="str">
        <f>Suite&amp;" Electrical Room "&amp;SWOne</f>
        <v>G104 Electrical Room XXX</v>
      </c>
      <c r="C111" s="499" t="str" cm="1">
        <f t="array" ref="C111">"UPS " &amp; SWOne &amp; "1"</f>
        <v>UPS XXX1</v>
      </c>
      <c r="D111" s="190" t="str" cm="1">
        <f t="array" ref="D111">"Verify UPS-" &amp;SWOne&amp; "1 Backfeed Breaker breaker is in the ''Tripped'' position."</f>
        <v>Verify UPS-XXX1 Backfeed Breaker breaker is in the ''Tripped'' position.</v>
      </c>
      <c r="E111" s="499" t="s">
        <v>1464</v>
      </c>
      <c r="F111" s="500"/>
      <c r="G111" s="519"/>
    </row>
    <row r="112" spans="1:7" ht="37.5" x14ac:dyDescent="0.25">
      <c r="A112" s="519">
        <f t="shared" si="2"/>
        <v>107</v>
      </c>
      <c r="B112" s="500" t="str">
        <f>Suite&amp;" Electrical Room "&amp;SWOne</f>
        <v>G104 Electrical Room XXX</v>
      </c>
      <c r="C112" s="499" t="str" cm="1">
        <f t="array" ref="C112">"UPS " &amp; SWOne &amp; "1"</f>
        <v>UPS XXX1</v>
      </c>
      <c r="D112" s="233" t="str" cm="1">
        <f t="array" ref="D112">"Open UPS-" &amp;SWOne&amp; "1 Backfeed Breaker."</f>
        <v>Open UPS-XXX1 Backfeed Breaker.</v>
      </c>
      <c r="E112" s="499" t="s">
        <v>1464</v>
      </c>
      <c r="F112" s="500"/>
      <c r="G112" s="519"/>
    </row>
    <row r="113" spans="1:7" ht="37.5" x14ac:dyDescent="0.25">
      <c r="A113" s="519">
        <f t="shared" si="2"/>
        <v>108</v>
      </c>
      <c r="B113" s="500" t="str">
        <f>Suite&amp;" Electrical Room "&amp;SWOne</f>
        <v>G104 Electrical Room XXX</v>
      </c>
      <c r="C113" s="499" t="str" cm="1">
        <f t="array" ref="C113">"UPS " &amp; SWOne &amp; "2"</f>
        <v>UPS XXX2</v>
      </c>
      <c r="D113" s="190" t="str" cm="1">
        <f t="array" ref="D113">"Verify UPS-" &amp;SWOne&amp; "2 Backfeed Breaker breaker is in the ''Tripped'' position."</f>
        <v>Verify UPS-XXX2 Backfeed Breaker breaker is in the ''Tripped'' position.</v>
      </c>
      <c r="E113" s="499" t="s">
        <v>1464</v>
      </c>
      <c r="F113" s="500"/>
      <c r="G113" s="519"/>
    </row>
    <row r="114" spans="1:7" ht="37.5" x14ac:dyDescent="0.25">
      <c r="A114" s="519">
        <f t="shared" si="2"/>
        <v>109</v>
      </c>
      <c r="B114" s="500" t="str">
        <f>Suite&amp;" Electrical Room "&amp;SWOne</f>
        <v>G104 Electrical Room XXX</v>
      </c>
      <c r="C114" s="499" t="str" cm="1">
        <f t="array" ref="C114">"UPS " &amp; SWOne &amp; "2"</f>
        <v>UPS XXX2</v>
      </c>
      <c r="D114" s="233" t="str" cm="1">
        <f t="array" ref="D114">"Open UPS-" &amp;SWOne&amp; "2 Backfeed Breaker."</f>
        <v>Open UPS-XXX2 Backfeed Breaker.</v>
      </c>
      <c r="E114" s="499" t="s">
        <v>1464</v>
      </c>
      <c r="F114" s="500"/>
      <c r="G114" s="519"/>
    </row>
    <row r="115" spans="1:7" ht="37.5" x14ac:dyDescent="0.25">
      <c r="A115" s="519">
        <f t="shared" si="2"/>
        <v>110</v>
      </c>
      <c r="B115" s="500" t="str">
        <f>Suite&amp;" Electrical Room "&amp;SWOne</f>
        <v>G104 Electrical Room XXX</v>
      </c>
      <c r="C115" s="499" t="str" cm="1">
        <f t="array" ref="C115">"UPS " &amp; SWOne &amp; "1"</f>
        <v>UPS XXX1</v>
      </c>
      <c r="D115" s="190" t="str" cm="1">
        <f t="array" ref="D115">"Verify UPS-" &amp;SWOne&amp; "1 CB2 breaker is in the ''Tripped'' position."</f>
        <v>Verify UPS-XXX1 CB2 breaker is in the ''Tripped'' position.</v>
      </c>
      <c r="E115" s="499" t="s">
        <v>1464</v>
      </c>
      <c r="F115" s="500"/>
      <c r="G115" s="519"/>
    </row>
    <row r="116" spans="1:7" ht="37.5" x14ac:dyDescent="0.25">
      <c r="A116" s="519">
        <f t="shared" si="2"/>
        <v>111</v>
      </c>
      <c r="B116" s="500" t="str">
        <f>Suite&amp;" Electrical Room "&amp;SWOne</f>
        <v>G104 Electrical Room XXX</v>
      </c>
      <c r="C116" s="499" t="str" cm="1">
        <f t="array" ref="C116">"UPS " &amp; SWOne &amp; "1"</f>
        <v>UPS XXX1</v>
      </c>
      <c r="D116" s="233" t="str" cm="1">
        <f t="array" ref="D116">"Open UPS-" &amp;SWOne&amp; "1 CB2 breaker."</f>
        <v>Open UPS-XXX1 CB2 breaker.</v>
      </c>
      <c r="E116" s="499" t="s">
        <v>1464</v>
      </c>
      <c r="F116" s="500"/>
      <c r="G116" s="519"/>
    </row>
    <row r="117" spans="1:7" ht="37.5" x14ac:dyDescent="0.25">
      <c r="A117" s="519">
        <f t="shared" si="2"/>
        <v>112</v>
      </c>
      <c r="B117" s="500" t="str">
        <f>Suite&amp;" Electrical Room "&amp;SWOne</f>
        <v>G104 Electrical Room XXX</v>
      </c>
      <c r="C117" s="499" t="str" cm="1">
        <f t="array" ref="C117">"UPS " &amp; SWOne &amp; "2"</f>
        <v>UPS XXX2</v>
      </c>
      <c r="D117" s="190" t="str" cm="1">
        <f t="array" ref="D117">"Verify UPS-" &amp;SWOne&amp; "2 CB2 breaker is in the ''Tripped'' position."</f>
        <v>Verify UPS-XXX2 CB2 breaker is in the ''Tripped'' position.</v>
      </c>
      <c r="E117" s="499" t="s">
        <v>1464</v>
      </c>
      <c r="F117" s="500"/>
      <c r="G117" s="519"/>
    </row>
    <row r="118" spans="1:7" ht="37.5" x14ac:dyDescent="0.25">
      <c r="A118" s="519">
        <f t="shared" si="2"/>
        <v>113</v>
      </c>
      <c r="B118" s="500" t="str">
        <f>Suite&amp;" Electrical Room "&amp;SWOne</f>
        <v>G104 Electrical Room XXX</v>
      </c>
      <c r="C118" s="499" t="str" cm="1">
        <f t="array" ref="C118">"UPS " &amp; SWOne &amp; "2"</f>
        <v>UPS XXX2</v>
      </c>
      <c r="D118" s="233" t="str" cm="1">
        <f t="array" ref="D118">"Open UPS-" &amp;SWOne&amp; "2 CB2 breaker."</f>
        <v>Open UPS-XXX2 CB2 breaker.</v>
      </c>
      <c r="E118" s="499" t="s">
        <v>1464</v>
      </c>
      <c r="F118" s="500"/>
      <c r="G118" s="519"/>
    </row>
    <row r="119" spans="1:7" ht="37.5" x14ac:dyDescent="0.25">
      <c r="A119" s="519">
        <f t="shared" si="2"/>
        <v>114</v>
      </c>
      <c r="B119" s="500" t="str">
        <f>Suite&amp;" Electrical Room "&amp;SWOne</f>
        <v>G104 Electrical Room XXX</v>
      </c>
      <c r="C119" s="499" t="str" cm="1">
        <f t="array" ref="C119">"UPS " &amp; SWOne</f>
        <v>UPS XXX</v>
      </c>
      <c r="D119" s="233" t="str" cm="1">
        <f t="array" ref="D119">"UPS SYSTEM " &amp;SWOne&amp; " is now completely offline. Critical Customer Load remains on Maintenance Bypass."</f>
        <v>UPS SYSTEM XXX is now completely offline. Critical Customer Load remains on Maintenance Bypass.</v>
      </c>
      <c r="E119" s="499" t="s">
        <v>1464</v>
      </c>
      <c r="F119" s="500"/>
      <c r="G119" s="519"/>
    </row>
    <row r="120" spans="1:7" ht="37.5" x14ac:dyDescent="0.25">
      <c r="A120" s="519">
        <f t="shared" si="2"/>
        <v>115</v>
      </c>
      <c r="B120" s="500" t="str">
        <f>Suite&amp;" Electrical Room A"</f>
        <v>G104 Electrical Room A</v>
      </c>
      <c r="C120" s="499" t="s">
        <v>1521</v>
      </c>
      <c r="D120" s="191" t="s">
        <v>1471</v>
      </c>
      <c r="E120" s="499" t="s">
        <v>1464</v>
      </c>
      <c r="F120" s="500"/>
      <c r="G120" s="519"/>
    </row>
    <row r="121" spans="1:7" ht="37.5" x14ac:dyDescent="0.25">
      <c r="A121" s="519">
        <f t="shared" si="2"/>
        <v>116</v>
      </c>
      <c r="B121" s="500" t="str">
        <f>Suite&amp;" Electrical Room A"</f>
        <v>G104 Electrical Room A</v>
      </c>
      <c r="C121" s="499" t="s">
        <v>1521</v>
      </c>
      <c r="D121" s="233" t="str">
        <f>"Verify the readings in step " &amp; A120 &amp; " and " &amp; A12 &amp; " are within 3% of each other. (new kW divided by original kW must be ≤1.03 and ≥0.97)."</f>
        <v>Verify the readings in step 115 and 7 are within 3% of each other. (new kW divided by original kW must be ≤1.03 and ≥0.97).</v>
      </c>
      <c r="E121" s="499" t="s">
        <v>1464</v>
      </c>
      <c r="F121" s="500"/>
      <c r="G121" s="519"/>
    </row>
    <row r="122" spans="1:7" ht="37.5" x14ac:dyDescent="0.25">
      <c r="A122" s="519">
        <f t="shared" si="2"/>
        <v>117</v>
      </c>
      <c r="B122" s="500" t="str">
        <f>Suite&amp;" Electrical Room B"</f>
        <v>G104 Electrical Room B</v>
      </c>
      <c r="C122" s="499" t="s">
        <v>1522</v>
      </c>
      <c r="D122" s="191" t="s">
        <v>1477</v>
      </c>
      <c r="E122" s="499" t="s">
        <v>1464</v>
      </c>
      <c r="F122" s="500"/>
      <c r="G122" s="519"/>
    </row>
    <row r="123" spans="1:7" ht="37.5" x14ac:dyDescent="0.25">
      <c r="A123" s="519">
        <f t="shared" si="2"/>
        <v>118</v>
      </c>
      <c r="B123" s="500" t="str">
        <f>Suite&amp;" Electrical Room B"</f>
        <v>G104 Electrical Room B</v>
      </c>
      <c r="C123" s="499" t="s">
        <v>1522</v>
      </c>
      <c r="D123" s="233" t="str">
        <f>"Verify the readings in step " &amp; A122 &amp; " and " &amp; A15 &amp; " are within 3% of each other. (new kW divided by original kW must be ≤1.03 and ≥0.97)."</f>
        <v>Verify the readings in step 117 and 10 are within 3% of each other. (new kW divided by original kW must be ≤1.03 and ≥0.97).</v>
      </c>
      <c r="E123" s="499" t="s">
        <v>1464</v>
      </c>
      <c r="F123" s="500"/>
      <c r="G123" s="519"/>
    </row>
    <row r="124" spans="1:7" ht="37.5" hidden="1" x14ac:dyDescent="0.25">
      <c r="A124" s="519">
        <f t="shared" si="2"/>
        <v>119</v>
      </c>
      <c r="B124" s="500" t="str">
        <f>Suite&amp;" Electrical Room C"</f>
        <v>G104 Electrical Room C</v>
      </c>
      <c r="C124" s="499" t="s">
        <v>1523</v>
      </c>
      <c r="D124" s="191" t="s">
        <v>1483</v>
      </c>
      <c r="E124" s="499" t="s">
        <v>1464</v>
      </c>
      <c r="F124" s="500"/>
      <c r="G124" s="519"/>
    </row>
    <row r="125" spans="1:7" ht="37.5" hidden="1" x14ac:dyDescent="0.25">
      <c r="A125" s="519">
        <f t="shared" si="2"/>
        <v>120</v>
      </c>
      <c r="B125" s="500" t="str">
        <f>Suite&amp;" Electrical Room C"</f>
        <v>G104 Electrical Room C</v>
      </c>
      <c r="C125" s="499" t="s">
        <v>1523</v>
      </c>
      <c r="D125" s="233" t="str">
        <f>"Verify the readings in step " &amp; A124 &amp; " and " &amp; A18 &amp; " are within 3% of each other. (new kW divided by original kW must be ≤1.03 and ≥0.97)."</f>
        <v>Verify the readings in step 119 and 13 are within 3% of each other. (new kW divided by original kW must be ≤1.03 and ≥0.97).</v>
      </c>
      <c r="E125" s="499" t="s">
        <v>1464</v>
      </c>
      <c r="F125" s="500"/>
      <c r="G125" s="519"/>
    </row>
    <row r="126" spans="1:7" ht="37.5" hidden="1" x14ac:dyDescent="0.25">
      <c r="A126" s="519">
        <f t="shared" si="2"/>
        <v>121</v>
      </c>
      <c r="B126" s="500" t="str">
        <f>Suite&amp;" Electrical Room D"</f>
        <v>G104 Electrical Room D</v>
      </c>
      <c r="C126" s="499" t="s">
        <v>1524</v>
      </c>
      <c r="D126" s="191" t="s">
        <v>1489</v>
      </c>
      <c r="E126" s="499" t="s">
        <v>1464</v>
      </c>
      <c r="F126" s="500"/>
      <c r="G126" s="519"/>
    </row>
    <row r="127" spans="1:7" ht="37.5" hidden="1" x14ac:dyDescent="0.25">
      <c r="A127" s="519">
        <f t="shared" si="2"/>
        <v>122</v>
      </c>
      <c r="B127" s="500" t="str">
        <f>Suite&amp;" Electrical Room D"</f>
        <v>G104 Electrical Room D</v>
      </c>
      <c r="C127" s="499" t="s">
        <v>1524</v>
      </c>
      <c r="D127" s="233" t="str">
        <f>"Verify the readings in step " &amp; A126 &amp; " and " &amp; A21 &amp; " are within 3% of each other. (new kW divided by original kW must be ≤1.03 and ≥0.97)."</f>
        <v>Verify the readings in step 121 and 16 are within 3% of each other. (new kW divided by original kW must be ≤1.03 and ≥0.97).</v>
      </c>
      <c r="E127" s="499" t="s">
        <v>1464</v>
      </c>
      <c r="F127" s="500"/>
      <c r="G127" s="519"/>
    </row>
    <row r="128" spans="1:7" ht="37.5" hidden="1" x14ac:dyDescent="0.25">
      <c r="A128" s="519">
        <f t="shared" si="2"/>
        <v>123</v>
      </c>
      <c r="B128" s="500" t="str">
        <f>Suite&amp;" Electrical Room F"</f>
        <v>G104 Electrical Room F</v>
      </c>
      <c r="C128" s="499" t="s">
        <v>1525</v>
      </c>
      <c r="D128" s="191" t="s">
        <v>1495</v>
      </c>
      <c r="E128" s="499" t="s">
        <v>1464</v>
      </c>
      <c r="F128" s="500"/>
      <c r="G128" s="519"/>
    </row>
    <row r="129" spans="1:7" ht="37.5" hidden="1" x14ac:dyDescent="0.25">
      <c r="A129" s="519">
        <f t="shared" si="2"/>
        <v>124</v>
      </c>
      <c r="B129" s="500" t="str">
        <f>Suite&amp;" Electrical Room F"</f>
        <v>G104 Electrical Room F</v>
      </c>
      <c r="C129" s="499" t="s">
        <v>1525</v>
      </c>
      <c r="D129" s="233" t="str">
        <f>"Verify the readings in step " &amp; A128 &amp; " and " &amp; A24 &amp; " are within 3% of each other. (new kW divided by original kW must be ≤1.03 and ≥0.97)."</f>
        <v>Verify the readings in step 123 and 19 are within 3% of each other. (new kW divided by original kW must be ≤1.03 and ≥0.97).</v>
      </c>
      <c r="E129" s="499" t="s">
        <v>1464</v>
      </c>
      <c r="F129" s="500"/>
      <c r="G129" s="519"/>
    </row>
    <row r="130" spans="1:7" ht="75" x14ac:dyDescent="0.25">
      <c r="A130" s="519">
        <f t="shared" si="2"/>
        <v>125</v>
      </c>
      <c r="B130" s="500" t="str">
        <f>Suite&amp;" Electrical Room "&amp;SWOne</f>
        <v>G104 Electrical Room XXX</v>
      </c>
      <c r="C130" s="499" t="str" cm="1">
        <f t="array" ref="C130">"UPS " &amp; SWOne</f>
        <v>UPS XXX</v>
      </c>
      <c r="D130" s="190" t="s">
        <v>1526</v>
      </c>
      <c r="E130" s="499" t="s">
        <v>1464</v>
      </c>
      <c r="F130" s="500"/>
      <c r="G130" s="519"/>
    </row>
    <row r="131" spans="1:7" x14ac:dyDescent="0.25">
      <c r="A131" s="519">
        <f t="shared" ref="A131:A181" si="3">A130+1</f>
        <v>126</v>
      </c>
      <c r="B131" s="702" t="str" cm="1">
        <f t="array" ref="B131">"Restart UPS System " &amp; SWOne</f>
        <v>Restart UPS System XXX</v>
      </c>
      <c r="C131" s="703"/>
      <c r="D131" s="703"/>
      <c r="E131" s="703"/>
      <c r="F131" s="703"/>
      <c r="G131" s="703"/>
    </row>
    <row r="132" spans="1:7" ht="37.5" x14ac:dyDescent="0.25">
      <c r="A132" s="519">
        <f t="shared" si="3"/>
        <v>127</v>
      </c>
      <c r="B132" s="500" t="str">
        <f>Suite&amp;" Electrical Room "&amp;SWOne</f>
        <v>G104 Electrical Room XXX</v>
      </c>
      <c r="C132" s="499" t="str" cm="1">
        <f t="array" ref="C132">"UPS " &amp; SWOne</f>
        <v>UPS XXX</v>
      </c>
      <c r="D132" s="190" t="s">
        <v>1527</v>
      </c>
      <c r="E132" s="499" t="s">
        <v>1464</v>
      </c>
      <c r="F132" s="500"/>
      <c r="G132" s="519"/>
    </row>
    <row r="133" spans="1:7" ht="37.5" x14ac:dyDescent="0.25">
      <c r="A133" s="519">
        <f t="shared" si="3"/>
        <v>128</v>
      </c>
      <c r="B133" s="500" t="str">
        <f>Suite&amp;" Electrical Room "&amp;SWOne</f>
        <v>G104 Electrical Room XXX</v>
      </c>
      <c r="C133" s="499" t="str" cm="1">
        <f t="array" ref="C133">"UPS " &amp; SWOne</f>
        <v>UPS XXX</v>
      </c>
      <c r="D133" s="190" t="s">
        <v>1528</v>
      </c>
      <c r="E133" s="499" t="s">
        <v>1464</v>
      </c>
      <c r="F133" s="500"/>
      <c r="G133" s="519"/>
    </row>
    <row r="134" spans="1:7" ht="37.5" x14ac:dyDescent="0.25">
      <c r="A134" s="519">
        <f t="shared" si="3"/>
        <v>129</v>
      </c>
      <c r="B134" s="500" t="str">
        <f>Suite&amp;" Electrical Room "&amp;SWOne</f>
        <v>G104 Electrical Room XXX</v>
      </c>
      <c r="C134" s="499" t="str" cm="1">
        <f t="array" ref="C134">"UPS " &amp; SWOne</f>
        <v>UPS XXX</v>
      </c>
      <c r="D134" s="190" t="str" cm="1">
        <f t="array" ref="D134">"By my signature below I certify that UPS-" &amp; SWOne &amp; "1 and UPS-" &amp; SWOne &amp; "2 are ready to be returned to service."</f>
        <v>By my signature below I certify that UPS-XXX1 and UPS-XXX2 are ready to be returned to service.</v>
      </c>
      <c r="E134" s="499" t="s">
        <v>1529</v>
      </c>
      <c r="F134" s="500"/>
      <c r="G134" s="519"/>
    </row>
    <row r="135" spans="1:7" ht="37.5" x14ac:dyDescent="0.25">
      <c r="A135" s="519">
        <f t="shared" si="3"/>
        <v>130</v>
      </c>
      <c r="B135" s="500" t="str">
        <f>Suite&amp;" Electrical Room "&amp;SWOne</f>
        <v>G104 Electrical Room XXX</v>
      </c>
      <c r="C135" s="499" t="str" cm="1">
        <f t="array" ref="C135">"UPS " &amp; SWOne</f>
        <v>UPS XXX</v>
      </c>
      <c r="D135" s="191" t="s">
        <v>1530</v>
      </c>
      <c r="E135" s="499" t="s">
        <v>1529</v>
      </c>
      <c r="F135" s="500"/>
      <c r="G135" s="519"/>
    </row>
    <row r="136" spans="1:7" ht="37.5" x14ac:dyDescent="0.25">
      <c r="A136" s="519">
        <f t="shared" si="3"/>
        <v>131</v>
      </c>
      <c r="B136" s="500" t="str">
        <f>Suite&amp;" Electrical Room "&amp;SWOne</f>
        <v>G104 Electrical Room XXX</v>
      </c>
      <c r="C136" s="499" t="str" cm="1">
        <f t="array" ref="C136">"UP" &amp; SWOne</f>
        <v>UPXXX</v>
      </c>
      <c r="D136" s="233" t="str" cm="1">
        <f t="array" ref="D136">"Notate the kW reading at UP" &amp; SWOne &amp; " Critical Bus Panel Meter: _________"</f>
        <v>Notate the kW reading at UPXXX Critical Bus Panel Meter: _________</v>
      </c>
      <c r="E136" s="499" t="s">
        <v>1464</v>
      </c>
      <c r="F136" s="500"/>
      <c r="G136" s="519"/>
    </row>
    <row r="137" spans="1:7" ht="37.5" x14ac:dyDescent="0.25">
      <c r="A137" s="519">
        <f t="shared" si="3"/>
        <v>132</v>
      </c>
      <c r="B137" s="500" t="str">
        <f>Suite&amp;" Electrical Room "&amp;SWOne</f>
        <v>G104 Electrical Room XXX</v>
      </c>
      <c r="C137" s="499" t="str" cm="1">
        <f t="array" ref="C137">"UP" &amp; SWOne</f>
        <v>UPXXX</v>
      </c>
      <c r="D137" s="233" t="str">
        <f>"Verify the readings in step " &amp; A136 &amp; " and " &amp; A120 &amp; " are within 3% of each other. (new kW divided by original kW must be ≤1.03 and ≥0.97)."</f>
        <v>Verify the readings in step 131 and 115 are within 3% of each other. (new kW divided by original kW must be ≤1.03 and ≥0.97).</v>
      </c>
      <c r="E137" s="499" t="s">
        <v>1464</v>
      </c>
      <c r="F137" s="500"/>
      <c r="G137" s="519"/>
    </row>
    <row r="138" spans="1:7" ht="37.5" x14ac:dyDescent="0.25">
      <c r="A138" s="519">
        <f t="shared" si="3"/>
        <v>133</v>
      </c>
      <c r="B138" s="500" t="str">
        <f>Suite&amp;" Electrical Room "&amp;SWOne</f>
        <v>G104 Electrical Room XXX</v>
      </c>
      <c r="C138" s="499" t="str" cm="1">
        <f t="array" ref="C138">"SW" &amp; SWOne</f>
        <v>SWXXX</v>
      </c>
      <c r="D138" s="190" t="str" cm="1">
        <f t="array" ref="D138">"Remove LOTO from input breaker UPS-" &amp; SWOne &amp; "1."</f>
        <v>Remove LOTO from input breaker UPS-XXX1.</v>
      </c>
      <c r="E138" s="499" t="s">
        <v>1464</v>
      </c>
      <c r="F138" s="500"/>
      <c r="G138" s="519"/>
    </row>
    <row r="139" spans="1:7" ht="37.5" x14ac:dyDescent="0.25">
      <c r="A139" s="519">
        <f t="shared" si="3"/>
        <v>134</v>
      </c>
      <c r="B139" s="500" t="str">
        <f>Suite&amp;" Electrical Room "&amp;SWOne</f>
        <v>G104 Electrical Room XXX</v>
      </c>
      <c r="C139" s="499" t="str" cm="1">
        <f t="array" ref="C139">"SW" &amp; SWOne</f>
        <v>SWXXX</v>
      </c>
      <c r="D139" s="233" t="s">
        <v>1518</v>
      </c>
      <c r="E139" s="499" t="s">
        <v>1464</v>
      </c>
      <c r="F139" s="500"/>
      <c r="G139" s="519"/>
    </row>
    <row r="140" spans="1:7" ht="37.5" x14ac:dyDescent="0.25">
      <c r="A140" s="519">
        <f t="shared" si="3"/>
        <v>135</v>
      </c>
      <c r="B140" s="500" t="str">
        <f>Suite&amp;" Electrical Room "&amp;SWOne</f>
        <v>G104 Electrical Room XXX</v>
      </c>
      <c r="C140" s="499" t="str" cm="1">
        <f t="array" ref="C140">"SW" &amp; SWOne</f>
        <v>SWXXX</v>
      </c>
      <c r="D140" s="190" t="str" cm="1">
        <f t="array" ref="D140">"Close breaker UPS-" &amp; SWOne &amp; "1."</f>
        <v>Close breaker UPS-XXX1.</v>
      </c>
      <c r="E140" s="499" t="s">
        <v>1464</v>
      </c>
      <c r="F140" s="500"/>
      <c r="G140" s="519"/>
    </row>
    <row r="141" spans="1:7" ht="37.5" x14ac:dyDescent="0.25">
      <c r="A141" s="519">
        <f t="shared" si="3"/>
        <v>136</v>
      </c>
      <c r="B141" s="500" t="str">
        <f>Suite&amp;" Electrical Room "&amp;SWOne</f>
        <v>G104 Electrical Room XXX</v>
      </c>
      <c r="C141" s="499" t="str" cm="1">
        <f t="array" ref="C141">"SW" &amp; SWOne</f>
        <v>SWXXX</v>
      </c>
      <c r="D141" s="190" t="str" cm="1">
        <f t="array" ref="D141">"Remove LOTO from input breaker UPS-" &amp; SWOne &amp; "2."</f>
        <v>Remove LOTO from input breaker UPS-XXX2.</v>
      </c>
      <c r="E141" s="499" t="s">
        <v>1464</v>
      </c>
      <c r="F141" s="500"/>
      <c r="G141" s="519"/>
    </row>
    <row r="142" spans="1:7" ht="37.5" x14ac:dyDescent="0.25">
      <c r="A142" s="519">
        <f t="shared" si="3"/>
        <v>137</v>
      </c>
      <c r="B142" s="500" t="str">
        <f>Suite&amp;" Electrical Room "&amp;SWOne</f>
        <v>G104 Electrical Room XXX</v>
      </c>
      <c r="C142" s="499" t="str" cm="1">
        <f t="array" ref="C142">"SW" &amp; SWOne</f>
        <v>SWXXX</v>
      </c>
      <c r="D142" s="233" t="s">
        <v>1518</v>
      </c>
      <c r="E142" s="499" t="s">
        <v>1464</v>
      </c>
      <c r="F142" s="500"/>
      <c r="G142" s="519"/>
    </row>
    <row r="143" spans="1:7" ht="37.5" x14ac:dyDescent="0.25">
      <c r="A143" s="519">
        <f t="shared" si="3"/>
        <v>138</v>
      </c>
      <c r="B143" s="500" t="str">
        <f>Suite&amp;" Electrical Room "&amp;SWOne</f>
        <v>G104 Electrical Room XXX</v>
      </c>
      <c r="C143" s="499" t="str" cm="1">
        <f t="array" ref="C143">"SW" &amp; SWOne</f>
        <v>SWXXX</v>
      </c>
      <c r="D143" s="190" t="str" cm="1">
        <f t="array" ref="D143">"Close breaker UPS-" &amp; SWOne &amp; "2."</f>
        <v>Close breaker UPS-XXX2.</v>
      </c>
      <c r="E143" s="499" t="s">
        <v>1464</v>
      </c>
      <c r="F143" s="500"/>
      <c r="G143" s="519"/>
    </row>
    <row r="144" spans="1:7" ht="37.5" x14ac:dyDescent="0.25">
      <c r="A144" s="519">
        <f t="shared" si="3"/>
        <v>139</v>
      </c>
      <c r="B144" s="500" t="str">
        <f>Suite&amp;" Electrical Room "&amp;SWOne</f>
        <v>G104 Electrical Room XXX</v>
      </c>
      <c r="C144" s="499" t="str" cm="1">
        <f t="array" ref="C144">"UPS " &amp; SWOne</f>
        <v>UPS XXX</v>
      </c>
      <c r="D144" s="190" t="str" cm="1">
        <f t="array" ref="D144">"Allow time for both UPS-" &amp; SWOne &amp; "1 and UPS-" &amp; SWOne &amp; "2 module displays to boot up."</f>
        <v>Allow time for both UPS-XXX1 and UPS-XXX2 module displays to boot up.</v>
      </c>
      <c r="E144" s="499" t="s">
        <v>1464</v>
      </c>
      <c r="F144" s="500"/>
      <c r="G144" s="519"/>
    </row>
    <row r="145" spans="1:7" ht="37.5" x14ac:dyDescent="0.25">
      <c r="A145" s="519">
        <f t="shared" si="3"/>
        <v>140</v>
      </c>
      <c r="B145" s="500" t="str">
        <f>Suite&amp;" Electrical Room "&amp;SWOne</f>
        <v>G104 Electrical Room XXX</v>
      </c>
      <c r="C145" s="499" t="str" cm="1">
        <f t="array" ref="C145">"UPS " &amp; SWOne &amp; "1"</f>
        <v>UPS XXX1</v>
      </c>
      <c r="D145" s="190" t="s">
        <v>1511</v>
      </c>
      <c r="E145" s="499" t="s">
        <v>1464</v>
      </c>
      <c r="F145" s="500"/>
      <c r="G145" s="519"/>
    </row>
    <row r="146" spans="1:7" ht="37.5" x14ac:dyDescent="0.25">
      <c r="A146" s="519">
        <f t="shared" si="3"/>
        <v>141</v>
      </c>
      <c r="B146" s="500" t="str">
        <f>Suite&amp;" Electrical Room "&amp;SWOne</f>
        <v>G104 Electrical Room XXX</v>
      </c>
      <c r="C146" s="499" t="str" cm="1">
        <f t="array" ref="C146">"UPS " &amp; SWOne &amp; "1"</f>
        <v>UPS XXX1</v>
      </c>
      <c r="D146" s="233" t="s">
        <v>1497</v>
      </c>
      <c r="E146" s="499" t="s">
        <v>1464</v>
      </c>
      <c r="F146" s="500"/>
      <c r="G146" s="519"/>
    </row>
    <row r="147" spans="1:7" ht="37.5" x14ac:dyDescent="0.25">
      <c r="A147" s="519">
        <f t="shared" si="3"/>
        <v>142</v>
      </c>
      <c r="B147" s="500" t="str">
        <f>Suite&amp;" Electrical Room "&amp;SWOne</f>
        <v>G104 Electrical Room XXX</v>
      </c>
      <c r="C147" s="499" t="str" cm="1">
        <f t="array" ref="C147">"UPS " &amp; SWOne &amp; "1"</f>
        <v>UPS XXX1</v>
      </c>
      <c r="D147" s="190" t="s">
        <v>1531</v>
      </c>
      <c r="E147" s="499" t="s">
        <v>1464</v>
      </c>
      <c r="F147" s="500"/>
      <c r="G147" s="519"/>
    </row>
    <row r="148" spans="1:7" ht="37.5" x14ac:dyDescent="0.25">
      <c r="A148" s="519">
        <f t="shared" si="3"/>
        <v>143</v>
      </c>
      <c r="B148" s="500" t="str">
        <f>Suite&amp;" Electrical Room "&amp;SWOne</f>
        <v>G104 Electrical Room XXX</v>
      </c>
      <c r="C148" s="499" t="str" cm="1">
        <f t="array" ref="C148">"UPS " &amp; SWOne &amp; "1"</f>
        <v>UPS XXX1</v>
      </c>
      <c r="D148" s="190" t="s">
        <v>1532</v>
      </c>
      <c r="E148" s="499" t="s">
        <v>1464</v>
      </c>
      <c r="F148" s="500"/>
      <c r="G148" s="519"/>
    </row>
    <row r="149" spans="1:7" ht="37.5" x14ac:dyDescent="0.25">
      <c r="A149" s="519">
        <f t="shared" si="3"/>
        <v>144</v>
      </c>
      <c r="B149" s="500" t="str">
        <f>Suite&amp;" Electrical Room "&amp;SWOne</f>
        <v>G104 Electrical Room XXX</v>
      </c>
      <c r="C149" s="499" t="str" cm="1">
        <f t="array" ref="C149">"UPS " &amp; SWOne &amp; "1"</f>
        <v>UPS XXX1</v>
      </c>
      <c r="D149" s="190" t="s">
        <v>1516</v>
      </c>
      <c r="E149" s="499" t="s">
        <v>1464</v>
      </c>
      <c r="F149" s="500"/>
      <c r="G149" s="519"/>
    </row>
    <row r="150" spans="1:7" ht="37.5" x14ac:dyDescent="0.25">
      <c r="A150" s="519">
        <f t="shared" si="3"/>
        <v>145</v>
      </c>
      <c r="B150" s="500" t="str">
        <f>Suite&amp;" Electrical Room "&amp;SWOne</f>
        <v>G104 Electrical Room XXX</v>
      </c>
      <c r="C150" s="499" t="str" cm="1">
        <f t="array" ref="C150">"UPS " &amp; SWOne &amp; "1"</f>
        <v>UPS XXX1</v>
      </c>
      <c r="D150" s="190" t="s">
        <v>1533</v>
      </c>
      <c r="E150" s="499" t="s">
        <v>1464</v>
      </c>
      <c r="F150" s="500"/>
      <c r="G150" s="519"/>
    </row>
    <row r="151" spans="1:7" ht="56.25" x14ac:dyDescent="0.25">
      <c r="A151" s="519">
        <f t="shared" si="3"/>
        <v>146</v>
      </c>
      <c r="B151" s="500" t="str">
        <f>Suite&amp;" Electrical Room "&amp;SWOne</f>
        <v>G104 Electrical Room XXX</v>
      </c>
      <c r="C151" s="499" t="str" cm="1">
        <f t="array" ref="C151">"UPS " &amp; SWOne &amp; "1"</f>
        <v>UPS XXX1</v>
      </c>
      <c r="D151" s="190" t="s">
        <v>4608</v>
      </c>
      <c r="E151" s="499" t="s">
        <v>1464</v>
      </c>
      <c r="F151" s="500"/>
      <c r="G151" s="519"/>
    </row>
    <row r="152" spans="1:7" ht="37.5" x14ac:dyDescent="0.25">
      <c r="A152" s="519">
        <f t="shared" si="3"/>
        <v>147</v>
      </c>
      <c r="B152" s="500" t="str">
        <f>Suite&amp;" Electrical Room "&amp;SWOne</f>
        <v>G104 Electrical Room XXX</v>
      </c>
      <c r="C152" s="499" t="str" cm="1">
        <f t="array" ref="C152">"UPS " &amp; SWOne &amp; "1"</f>
        <v>UPS XXX1</v>
      </c>
      <c r="D152" s="190" t="s">
        <v>1534</v>
      </c>
      <c r="E152" s="499" t="s">
        <v>1464</v>
      </c>
      <c r="F152" s="500"/>
      <c r="G152" s="519"/>
    </row>
    <row r="153" spans="1:7" ht="37.5" x14ac:dyDescent="0.25">
      <c r="A153" s="519">
        <f t="shared" si="3"/>
        <v>148</v>
      </c>
      <c r="B153" s="500" t="str">
        <f>Suite&amp;" Electrical Room "&amp;SWOne</f>
        <v>G104 Electrical Room XXX</v>
      </c>
      <c r="C153" s="499" t="str" cm="1">
        <f t="array" ref="C153">"UPS " &amp; SWOne &amp; "1"</f>
        <v>UPS XXX1</v>
      </c>
      <c r="D153" s="190" t="s">
        <v>1535</v>
      </c>
      <c r="E153" s="499" t="s">
        <v>1464</v>
      </c>
      <c r="F153" s="500"/>
      <c r="G153" s="519"/>
    </row>
    <row r="154" spans="1:7" ht="37.5" x14ac:dyDescent="0.25">
      <c r="A154" s="519">
        <f t="shared" si="3"/>
        <v>149</v>
      </c>
      <c r="B154" s="500" t="str">
        <f>Suite&amp;" Electrical Room "&amp;SWOne</f>
        <v>G104 Electrical Room XXX</v>
      </c>
      <c r="C154" s="499" t="str" cm="1">
        <f t="array" ref="C154">"UPS " &amp; SWOne &amp; "1"</f>
        <v>UPS XXX1</v>
      </c>
      <c r="D154" s="190" t="s">
        <v>1536</v>
      </c>
      <c r="E154" s="499" t="s">
        <v>1464</v>
      </c>
      <c r="F154" s="500"/>
      <c r="G154" s="519"/>
    </row>
    <row r="155" spans="1:7" ht="37.5" x14ac:dyDescent="0.25">
      <c r="A155" s="519">
        <f t="shared" si="3"/>
        <v>150</v>
      </c>
      <c r="B155" s="500" t="str">
        <f>Suite&amp;" Electrical Room "&amp;SWOne</f>
        <v>G104 Electrical Room XXX</v>
      </c>
      <c r="C155" s="499" t="str" cm="1">
        <f t="array" ref="C155">"UPS " &amp; SWOne &amp; "1"</f>
        <v>UPS XXX1</v>
      </c>
      <c r="D155" s="190" t="str" cm="1">
        <f t="array" ref="D155">"Remove LOTO from battery breaker for cabinet " &amp; SWOne &amp; "1-1."</f>
        <v>Remove LOTO from battery breaker for cabinet XXX1-1.</v>
      </c>
      <c r="E155" s="499" t="s">
        <v>1464</v>
      </c>
      <c r="F155" s="500"/>
      <c r="G155" s="519"/>
    </row>
    <row r="156" spans="1:7" ht="37.5" x14ac:dyDescent="0.25">
      <c r="A156" s="519">
        <f t="shared" si="3"/>
        <v>151</v>
      </c>
      <c r="B156" s="500" t="str">
        <f>Suite&amp;" Electrical Room "&amp;SWOne</f>
        <v>G104 Electrical Room XXX</v>
      </c>
      <c r="C156" s="499" t="str" cm="1">
        <f t="array" ref="C156">"UPS " &amp; SWOne &amp; "1"</f>
        <v>UPS XXX1</v>
      </c>
      <c r="D156" s="233" t="s">
        <v>1518</v>
      </c>
      <c r="E156" s="499" t="s">
        <v>1464</v>
      </c>
      <c r="F156" s="500"/>
      <c r="G156" s="519"/>
    </row>
    <row r="157" spans="1:7" ht="37.5" x14ac:dyDescent="0.25">
      <c r="A157" s="519">
        <f t="shared" si="3"/>
        <v>152</v>
      </c>
      <c r="B157" s="500" t="str">
        <f>Suite&amp;" Electrical Room "&amp;SWOne</f>
        <v>G104 Electrical Room XXX</v>
      </c>
      <c r="C157" s="499" t="str" cm="1">
        <f t="array" ref="C157">"UPS " &amp; SWOne &amp; "1"</f>
        <v>UPS XXX1</v>
      </c>
      <c r="D157" s="190" t="str" cm="1">
        <f t="array" ref="D157">"Close battery breaker for cabinet " &amp; SWOne &amp; "1-1."</f>
        <v>Close battery breaker for cabinet XXX1-1.</v>
      </c>
      <c r="E157" s="499" t="s">
        <v>1464</v>
      </c>
      <c r="F157" s="500"/>
      <c r="G157" s="519"/>
    </row>
    <row r="158" spans="1:7" ht="37.5" x14ac:dyDescent="0.25">
      <c r="A158" s="519">
        <f t="shared" si="3"/>
        <v>153</v>
      </c>
      <c r="B158" s="500" t="str">
        <f>Suite&amp;" Electrical Room "&amp;SWOne</f>
        <v>G104 Electrical Room XXX</v>
      </c>
      <c r="C158" s="499" t="str" cm="1">
        <f t="array" ref="C158">"UPS " &amp; SWOne &amp; "1"</f>
        <v>UPS XXX1</v>
      </c>
      <c r="D158" s="190" t="str" cm="1">
        <f t="array" ref="D158">"Remove LOTO from battery breaker for cabinet " &amp; SWOne &amp; "1-2."</f>
        <v>Remove LOTO from battery breaker for cabinet XXX1-2.</v>
      </c>
      <c r="E158" s="499" t="s">
        <v>1464</v>
      </c>
      <c r="F158" s="500"/>
      <c r="G158" s="519"/>
    </row>
    <row r="159" spans="1:7" ht="37.5" x14ac:dyDescent="0.25">
      <c r="A159" s="519">
        <f t="shared" si="3"/>
        <v>154</v>
      </c>
      <c r="B159" s="500" t="str">
        <f>Suite&amp;" Electrical Room "&amp;SWOne</f>
        <v>G104 Electrical Room XXX</v>
      </c>
      <c r="C159" s="499" t="str" cm="1">
        <f t="array" ref="C159">"UPS " &amp; SWOne &amp; "1"</f>
        <v>UPS XXX1</v>
      </c>
      <c r="D159" s="233" t="s">
        <v>1518</v>
      </c>
      <c r="E159" s="499" t="s">
        <v>1464</v>
      </c>
      <c r="F159" s="500"/>
      <c r="G159" s="519"/>
    </row>
    <row r="160" spans="1:7" ht="37.5" x14ac:dyDescent="0.25">
      <c r="A160" s="519">
        <f t="shared" si="3"/>
        <v>155</v>
      </c>
      <c r="B160" s="500" t="str">
        <f>Suite&amp;" Electrical Room "&amp;SWOne</f>
        <v>G104 Electrical Room XXX</v>
      </c>
      <c r="C160" s="499" t="str" cm="1">
        <f t="array" ref="C160">"UPS " &amp; SWOne &amp; "1"</f>
        <v>UPS XXX1</v>
      </c>
      <c r="D160" s="190" t="str" cm="1">
        <f t="array" ref="D160">"Close battery breaker for cabinet " &amp; SWOne &amp; "1-2."</f>
        <v>Close battery breaker for cabinet XXX1-2.</v>
      </c>
      <c r="E160" s="499" t="s">
        <v>1464</v>
      </c>
      <c r="F160" s="500"/>
      <c r="G160" s="519"/>
    </row>
    <row r="161" spans="1:7" ht="37.5" x14ac:dyDescent="0.25">
      <c r="A161" s="519">
        <f t="shared" si="3"/>
        <v>156</v>
      </c>
      <c r="B161" s="500" t="str">
        <f>Suite&amp;" Electrical Room "&amp;SWOne</f>
        <v>G104 Electrical Room XXX</v>
      </c>
      <c r="C161" s="499" t="str" cm="1">
        <f t="array" ref="C161">"UPS " &amp; SWOne &amp; "1"</f>
        <v>UPS XXX1</v>
      </c>
      <c r="D161" s="190" t="str" cm="1">
        <f t="array" ref="D161">"Remove LOTO from battery breaker for cabinet " &amp; SWOne &amp; "1-3."</f>
        <v>Remove LOTO from battery breaker for cabinet XXX1-3.</v>
      </c>
      <c r="E161" s="499" t="s">
        <v>1464</v>
      </c>
      <c r="F161" s="500"/>
      <c r="G161" s="519"/>
    </row>
    <row r="162" spans="1:7" ht="37.5" x14ac:dyDescent="0.25">
      <c r="A162" s="519">
        <f t="shared" si="3"/>
        <v>157</v>
      </c>
      <c r="B162" s="500" t="str">
        <f>Suite&amp;" Electrical Room "&amp;SWOne</f>
        <v>G104 Electrical Room XXX</v>
      </c>
      <c r="C162" s="499" t="str" cm="1">
        <f t="array" ref="C162">"UPS " &amp; SWOne &amp; "1"</f>
        <v>UPS XXX1</v>
      </c>
      <c r="D162" s="233" t="s">
        <v>1518</v>
      </c>
      <c r="E162" s="499" t="s">
        <v>1464</v>
      </c>
      <c r="F162" s="500"/>
      <c r="G162" s="519"/>
    </row>
    <row r="163" spans="1:7" ht="37.5" x14ac:dyDescent="0.25">
      <c r="A163" s="519">
        <f t="shared" si="3"/>
        <v>158</v>
      </c>
      <c r="B163" s="500" t="str">
        <f>Suite&amp;" Electrical Room "&amp;SWOne</f>
        <v>G104 Electrical Room XXX</v>
      </c>
      <c r="C163" s="499" t="str" cm="1">
        <f t="array" ref="C163">"UPS " &amp; SWOne &amp; "1"</f>
        <v>UPS XXX1</v>
      </c>
      <c r="D163" s="190" t="str" cm="1">
        <f t="array" ref="D163">"Close battery breaker for cabinet " &amp; SWOne &amp; "1-3."</f>
        <v>Close battery breaker for cabinet XXX1-3.</v>
      </c>
      <c r="E163" s="499" t="s">
        <v>1464</v>
      </c>
      <c r="F163" s="500"/>
      <c r="G163" s="519"/>
    </row>
    <row r="164" spans="1:7" ht="37.5" x14ac:dyDescent="0.25">
      <c r="A164" s="519">
        <f t="shared" si="3"/>
        <v>159</v>
      </c>
      <c r="B164" s="500" t="str">
        <f>Suite&amp;" Electrical Room "&amp;SWOne</f>
        <v>G104 Electrical Room XXX</v>
      </c>
      <c r="C164" s="499" t="str" cm="1">
        <f t="array" ref="C164">"UPS " &amp; SWOne &amp; "2"</f>
        <v>UPS XXX2</v>
      </c>
      <c r="D164" s="190" t="s">
        <v>1511</v>
      </c>
      <c r="E164" s="499" t="s">
        <v>1464</v>
      </c>
      <c r="F164" s="500"/>
      <c r="G164" s="519"/>
    </row>
    <row r="165" spans="1:7" ht="37.5" x14ac:dyDescent="0.25">
      <c r="A165" s="519">
        <f t="shared" si="3"/>
        <v>160</v>
      </c>
      <c r="B165" s="500" t="str">
        <f>Suite&amp;" Electrical Room "&amp;SWOne</f>
        <v>G104 Electrical Room XXX</v>
      </c>
      <c r="C165" s="499" t="str" cm="1">
        <f t="array" ref="C165">"UPS " &amp; SWOne &amp; "2"</f>
        <v>UPS XXX2</v>
      </c>
      <c r="D165" s="233" t="s">
        <v>1497</v>
      </c>
      <c r="E165" s="499" t="s">
        <v>1464</v>
      </c>
      <c r="F165" s="500"/>
      <c r="G165" s="519"/>
    </row>
    <row r="166" spans="1:7" ht="37.5" x14ac:dyDescent="0.25">
      <c r="A166" s="519">
        <f t="shared" si="3"/>
        <v>161</v>
      </c>
      <c r="B166" s="500" t="str">
        <f>Suite&amp;" Electrical Room "&amp;SWOne</f>
        <v>G104 Electrical Room XXX</v>
      </c>
      <c r="C166" s="499" t="str" cm="1">
        <f t="array" ref="C166">"UPS " &amp; SWOne &amp; "2"</f>
        <v>UPS XXX2</v>
      </c>
      <c r="D166" s="190" t="s">
        <v>1531</v>
      </c>
      <c r="E166" s="499" t="s">
        <v>1464</v>
      </c>
      <c r="F166" s="500"/>
      <c r="G166" s="519"/>
    </row>
    <row r="167" spans="1:7" ht="37.5" x14ac:dyDescent="0.25">
      <c r="A167" s="519">
        <f t="shared" si="3"/>
        <v>162</v>
      </c>
      <c r="B167" s="500" t="str">
        <f>Suite&amp;" Electrical Room "&amp;SWOne</f>
        <v>G104 Electrical Room XXX</v>
      </c>
      <c r="C167" s="499" t="str" cm="1">
        <f t="array" ref="C167">"UPS " &amp; SWOne &amp; "2"</f>
        <v>UPS XXX2</v>
      </c>
      <c r="D167" s="190" t="s">
        <v>1537</v>
      </c>
      <c r="E167" s="499" t="s">
        <v>1464</v>
      </c>
      <c r="F167" s="500"/>
      <c r="G167" s="519"/>
    </row>
    <row r="168" spans="1:7" ht="37.5" x14ac:dyDescent="0.25">
      <c r="A168" s="519">
        <f t="shared" si="3"/>
        <v>163</v>
      </c>
      <c r="B168" s="500" t="str">
        <f>Suite&amp;" Electrical Room "&amp;SWOne</f>
        <v>G104 Electrical Room XXX</v>
      </c>
      <c r="C168" s="499" t="str" cm="1">
        <f t="array" ref="C168">"UPS " &amp; SWOne &amp; "2"</f>
        <v>UPS XXX2</v>
      </c>
      <c r="D168" s="190" t="s">
        <v>1516</v>
      </c>
      <c r="E168" s="499" t="s">
        <v>1464</v>
      </c>
      <c r="F168" s="500"/>
      <c r="G168" s="519"/>
    </row>
    <row r="169" spans="1:7" ht="37.5" x14ac:dyDescent="0.25">
      <c r="A169" s="519">
        <f t="shared" si="3"/>
        <v>164</v>
      </c>
      <c r="B169" s="500" t="str">
        <f>Suite&amp;" Electrical Room "&amp;SWOne</f>
        <v>G104 Electrical Room XXX</v>
      </c>
      <c r="C169" s="499" t="str" cm="1">
        <f t="array" ref="C169">"UPS " &amp; SWOne &amp; "2"</f>
        <v>UPS XXX2</v>
      </c>
      <c r="D169" s="190" t="s">
        <v>1533</v>
      </c>
      <c r="E169" s="499" t="s">
        <v>1464</v>
      </c>
      <c r="F169" s="500"/>
      <c r="G169" s="519"/>
    </row>
    <row r="170" spans="1:7" ht="56.25" x14ac:dyDescent="0.25">
      <c r="A170" s="519">
        <f t="shared" si="3"/>
        <v>165</v>
      </c>
      <c r="B170" s="500" t="str">
        <f>Suite&amp;" Electrical Room "&amp;SWOne</f>
        <v>G104 Electrical Room XXX</v>
      </c>
      <c r="C170" s="499" t="str" cm="1">
        <f t="array" ref="C170">"UPS " &amp; SWOne &amp; "2"</f>
        <v>UPS XXX2</v>
      </c>
      <c r="D170" s="190" t="s">
        <v>4608</v>
      </c>
      <c r="E170" s="499" t="s">
        <v>1464</v>
      </c>
      <c r="F170" s="500"/>
      <c r="G170" s="519"/>
    </row>
    <row r="171" spans="1:7" ht="37.5" x14ac:dyDescent="0.25">
      <c r="A171" s="519">
        <f t="shared" si="3"/>
        <v>166</v>
      </c>
      <c r="B171" s="500" t="str">
        <f>Suite&amp;" Electrical Room "&amp;SWOne</f>
        <v>G104 Electrical Room XXX</v>
      </c>
      <c r="C171" s="499" t="str" cm="1">
        <f t="array" ref="C171">"UPS " &amp; SWOne &amp; "2"</f>
        <v>UPS XXX2</v>
      </c>
      <c r="D171" s="190" t="s">
        <v>1534</v>
      </c>
      <c r="E171" s="499" t="s">
        <v>1464</v>
      </c>
      <c r="F171" s="500"/>
      <c r="G171" s="519"/>
    </row>
    <row r="172" spans="1:7" ht="37.5" x14ac:dyDescent="0.25">
      <c r="A172" s="519">
        <f t="shared" si="3"/>
        <v>167</v>
      </c>
      <c r="B172" s="500" t="str">
        <f>Suite&amp;" Electrical Room "&amp;SWOne</f>
        <v>G104 Electrical Room XXX</v>
      </c>
      <c r="C172" s="499" t="str" cm="1">
        <f t="array" ref="C172">"UPS " &amp; SWOne &amp; "2"</f>
        <v>UPS XXX2</v>
      </c>
      <c r="D172" s="190" t="s">
        <v>1535</v>
      </c>
      <c r="E172" s="499" t="s">
        <v>1464</v>
      </c>
      <c r="F172" s="500"/>
      <c r="G172" s="519"/>
    </row>
    <row r="173" spans="1:7" ht="37.5" x14ac:dyDescent="0.25">
      <c r="A173" s="519">
        <f t="shared" si="3"/>
        <v>168</v>
      </c>
      <c r="B173" s="500" t="str">
        <f>Suite&amp;" Electrical Room "&amp;SWOne</f>
        <v>G104 Electrical Room XXX</v>
      </c>
      <c r="C173" s="499" t="str" cm="1">
        <f t="array" ref="C173">"UPS " &amp; SWOne &amp; "2"</f>
        <v>UPS XXX2</v>
      </c>
      <c r="D173" s="190" t="s">
        <v>1536</v>
      </c>
      <c r="E173" s="499" t="s">
        <v>1464</v>
      </c>
      <c r="F173" s="500"/>
      <c r="G173" s="519"/>
    </row>
    <row r="174" spans="1:7" ht="37.5" x14ac:dyDescent="0.25">
      <c r="A174" s="519">
        <f t="shared" si="3"/>
        <v>169</v>
      </c>
      <c r="B174" s="500" t="str">
        <f>Suite&amp;" Electrical Room "&amp;SWOne</f>
        <v>G104 Electrical Room XXX</v>
      </c>
      <c r="C174" s="499" t="str" cm="1">
        <f t="array" ref="C174">"UPS " &amp; SWOne &amp; "2"</f>
        <v>UPS XXX2</v>
      </c>
      <c r="D174" s="190" t="str" cm="1">
        <f t="array" ref="D174">"Remove LOTO from battery breaker for cabinet " &amp; SWOne &amp; "2-1."</f>
        <v>Remove LOTO from battery breaker for cabinet XXX2-1.</v>
      </c>
      <c r="E174" s="499" t="s">
        <v>1464</v>
      </c>
      <c r="F174" s="500"/>
      <c r="G174" s="519"/>
    </row>
    <row r="175" spans="1:7" ht="37.5" x14ac:dyDescent="0.25">
      <c r="A175" s="519">
        <f t="shared" si="3"/>
        <v>170</v>
      </c>
      <c r="B175" s="500" t="str">
        <f>Suite&amp;" Electrical Room "&amp;SWOne</f>
        <v>G104 Electrical Room XXX</v>
      </c>
      <c r="C175" s="499" t="str" cm="1">
        <f t="array" ref="C175">"UPS " &amp; SWOne &amp; "2"</f>
        <v>UPS XXX2</v>
      </c>
      <c r="D175" s="233" t="s">
        <v>1518</v>
      </c>
      <c r="E175" s="499" t="s">
        <v>1464</v>
      </c>
      <c r="F175" s="500"/>
      <c r="G175" s="519"/>
    </row>
    <row r="176" spans="1:7" ht="37.5" x14ac:dyDescent="0.25">
      <c r="A176" s="519">
        <f t="shared" si="3"/>
        <v>171</v>
      </c>
      <c r="B176" s="500" t="str">
        <f>Suite&amp;" Electrical Room "&amp;SWOne</f>
        <v>G104 Electrical Room XXX</v>
      </c>
      <c r="C176" s="499" t="str" cm="1">
        <f t="array" ref="C176">"UPS " &amp; SWOne &amp; "2"</f>
        <v>UPS XXX2</v>
      </c>
      <c r="D176" s="190" t="str" cm="1">
        <f t="array" ref="D176">"Close battery breaker for cabinet " &amp; SWOne &amp; "2-1."</f>
        <v>Close battery breaker for cabinet XXX2-1.</v>
      </c>
      <c r="E176" s="499" t="s">
        <v>1464</v>
      </c>
      <c r="F176" s="500"/>
      <c r="G176" s="519"/>
    </row>
    <row r="177" spans="1:7" ht="37.5" x14ac:dyDescent="0.25">
      <c r="A177" s="519">
        <f t="shared" si="3"/>
        <v>172</v>
      </c>
      <c r="B177" s="500" t="str">
        <f>Suite&amp;" Electrical Room "&amp;SWOne</f>
        <v>G104 Electrical Room XXX</v>
      </c>
      <c r="C177" s="499" t="str" cm="1">
        <f t="array" ref="C177">"UPS " &amp; SWOne &amp; "2"</f>
        <v>UPS XXX2</v>
      </c>
      <c r="D177" s="190" t="str" cm="1">
        <f t="array" ref="D177">"Remove LOTO from battery breaker for cabinet " &amp; SWOne &amp; "2-2."</f>
        <v>Remove LOTO from battery breaker for cabinet XXX2-2.</v>
      </c>
      <c r="E177" s="499" t="s">
        <v>1464</v>
      </c>
      <c r="F177" s="500"/>
      <c r="G177" s="519"/>
    </row>
    <row r="178" spans="1:7" ht="37.5" x14ac:dyDescent="0.25">
      <c r="A178" s="519">
        <f t="shared" si="3"/>
        <v>173</v>
      </c>
      <c r="B178" s="500" t="str">
        <f>Suite&amp;" Electrical Room "&amp;SWOne</f>
        <v>G104 Electrical Room XXX</v>
      </c>
      <c r="C178" s="499" t="str" cm="1">
        <f t="array" ref="C178">"UPS " &amp; SWOne &amp; "2"</f>
        <v>UPS XXX2</v>
      </c>
      <c r="D178" s="233" t="s">
        <v>1518</v>
      </c>
      <c r="E178" s="499" t="s">
        <v>1464</v>
      </c>
      <c r="F178" s="500"/>
      <c r="G178" s="519"/>
    </row>
    <row r="179" spans="1:7" ht="37.5" x14ac:dyDescent="0.25">
      <c r="A179" s="519">
        <f t="shared" si="3"/>
        <v>174</v>
      </c>
      <c r="B179" s="500" t="str">
        <f>Suite&amp;" Electrical Room "&amp;SWOne</f>
        <v>G104 Electrical Room XXX</v>
      </c>
      <c r="C179" s="499" t="str" cm="1">
        <f t="array" ref="C179">"UPS " &amp; SWOne &amp; "2"</f>
        <v>UPS XXX2</v>
      </c>
      <c r="D179" s="190" t="str" cm="1">
        <f t="array" ref="D179">"Close battery breaker for cabinet " &amp; SWOne &amp; "2-2."</f>
        <v>Close battery breaker for cabinet XXX2-2.</v>
      </c>
      <c r="E179" s="499" t="s">
        <v>1464</v>
      </c>
      <c r="F179" s="500"/>
      <c r="G179" s="519"/>
    </row>
    <row r="180" spans="1:7" ht="37.5" x14ac:dyDescent="0.25">
      <c r="A180" s="519">
        <f t="shared" si="3"/>
        <v>175</v>
      </c>
      <c r="B180" s="500" t="str">
        <f>Suite&amp;" Electrical Room "&amp;SWOne</f>
        <v>G104 Electrical Room XXX</v>
      </c>
      <c r="C180" s="499" t="str" cm="1">
        <f t="array" ref="C180">"UPS " &amp; SWOne &amp; "2"</f>
        <v>UPS XXX2</v>
      </c>
      <c r="D180" s="190" t="str" cm="1">
        <f t="array" ref="D180">"Remove LOTO from battery breaker for cabinet " &amp; SWOne &amp; "2-3."</f>
        <v>Remove LOTO from battery breaker for cabinet XXX2-3.</v>
      </c>
      <c r="E180" s="499" t="s">
        <v>1464</v>
      </c>
      <c r="F180" s="500"/>
      <c r="G180" s="519"/>
    </row>
    <row r="181" spans="1:7" ht="37.5" x14ac:dyDescent="0.25">
      <c r="A181" s="519">
        <f t="shared" si="3"/>
        <v>176</v>
      </c>
      <c r="B181" s="500" t="str">
        <f>Suite&amp;" Electrical Room "&amp;SWOne</f>
        <v>G104 Electrical Room XXX</v>
      </c>
      <c r="C181" s="499" t="str" cm="1">
        <f t="array" ref="C181">"UPS " &amp; SWOne &amp; "2"</f>
        <v>UPS XXX2</v>
      </c>
      <c r="D181" s="233" t="s">
        <v>1518</v>
      </c>
      <c r="E181" s="499" t="s">
        <v>1464</v>
      </c>
      <c r="F181" s="500"/>
      <c r="G181" s="519"/>
    </row>
    <row r="182" spans="1:7" ht="37.5" x14ac:dyDescent="0.25">
      <c r="A182" s="519">
        <f t="shared" ref="A182:A245" si="4">A181+1</f>
        <v>177</v>
      </c>
      <c r="B182" s="500" t="str">
        <f>Suite&amp;" Electrical Room "&amp;SWOne</f>
        <v>G104 Electrical Room XXX</v>
      </c>
      <c r="C182" s="499" t="str" cm="1">
        <f t="array" ref="C182">"UPS " &amp; SWOne &amp; "2"</f>
        <v>UPS XXX2</v>
      </c>
      <c r="D182" s="190" t="str" cm="1">
        <f t="array" ref="D182">"Close battery breaker for cabinet " &amp; SWOne &amp; "2-3."</f>
        <v>Close battery breaker for cabinet XXX2-3.</v>
      </c>
      <c r="E182" s="499" t="s">
        <v>1464</v>
      </c>
      <c r="F182" s="500"/>
      <c r="G182" s="519"/>
    </row>
    <row r="183" spans="1:7" ht="37.5" x14ac:dyDescent="0.25">
      <c r="A183" s="519">
        <f t="shared" si="4"/>
        <v>178</v>
      </c>
      <c r="B183" s="500" t="str">
        <f>Suite&amp;" Electrical Room "&amp;SWOne</f>
        <v>G104 Electrical Room XXX</v>
      </c>
      <c r="C183" s="499" t="str" cm="1">
        <f t="array" ref="C183">"UP" &amp; SWOne</f>
        <v>UPXXX</v>
      </c>
      <c r="D183" s="190" t="str" cm="1">
        <f t="array" ref="D183">"Remove LOTO from DP-" &amp; SWOne &amp; "1 breaker (MOB)."</f>
        <v>Remove LOTO from DP-XXX1 breaker (MOB).</v>
      </c>
      <c r="E183" s="499" t="s">
        <v>1464</v>
      </c>
      <c r="F183" s="500"/>
      <c r="G183" s="519"/>
    </row>
    <row r="184" spans="1:7" ht="37.5" x14ac:dyDescent="0.25">
      <c r="A184" s="519">
        <f t="shared" si="4"/>
        <v>179</v>
      </c>
      <c r="B184" s="500" t="str">
        <f>Suite&amp;" Electrical Room "&amp;SWOne</f>
        <v>G104 Electrical Room XXX</v>
      </c>
      <c r="C184" s="499" t="str" cm="1">
        <f t="array" ref="C184">"UP" &amp; SWOne</f>
        <v>UPXXX</v>
      </c>
      <c r="D184" s="233" t="s">
        <v>1518</v>
      </c>
      <c r="E184" s="499" t="s">
        <v>1464</v>
      </c>
      <c r="F184" s="500"/>
      <c r="G184" s="519"/>
    </row>
    <row r="185" spans="1:7" ht="37.5" x14ac:dyDescent="0.25">
      <c r="A185" s="519">
        <f t="shared" si="4"/>
        <v>180</v>
      </c>
      <c r="B185" s="500" t="str">
        <f>Suite&amp;" Electrical Room "&amp;SWOne</f>
        <v>G104 Electrical Room XXX</v>
      </c>
      <c r="C185" s="499" t="str" cm="1">
        <f t="array" ref="C185">"UP" &amp; SWOne</f>
        <v>UPXXX</v>
      </c>
      <c r="D185" s="190" t="str" cm="1">
        <f t="array" ref="D185">"Remove LOTO from DP-" &amp; SWOne &amp; "2 breaker (MOB)."</f>
        <v>Remove LOTO from DP-XXX2 breaker (MOB).</v>
      </c>
      <c r="E185" s="499" t="s">
        <v>1464</v>
      </c>
      <c r="F185" s="500"/>
      <c r="G185" s="519"/>
    </row>
    <row r="186" spans="1:7" ht="37.5" x14ac:dyDescent="0.25">
      <c r="A186" s="519">
        <f t="shared" si="4"/>
        <v>181</v>
      </c>
      <c r="B186" s="500" t="str">
        <f>Suite&amp;" Electrical Room "&amp;SWOne</f>
        <v>G104 Electrical Room XXX</v>
      </c>
      <c r="C186" s="499" t="str" cm="1">
        <f t="array" ref="C186">"UP" &amp; SWOne</f>
        <v>UPXXX</v>
      </c>
      <c r="D186" s="233" t="s">
        <v>1518</v>
      </c>
      <c r="E186" s="499" t="s">
        <v>1464</v>
      </c>
      <c r="F186" s="500"/>
      <c r="G186" s="519"/>
    </row>
    <row r="187" spans="1:7" ht="37.5" x14ac:dyDescent="0.25">
      <c r="A187" s="519">
        <f t="shared" si="4"/>
        <v>182</v>
      </c>
      <c r="B187" s="500" t="str">
        <f>Suite&amp;" Electrical Room "&amp;SWOne</f>
        <v>G104 Electrical Room XXX</v>
      </c>
      <c r="C187" s="499" t="str" cm="1">
        <f t="array" ref="C187">"UPS " &amp; SWOne &amp; "1"</f>
        <v>UPS XXX1</v>
      </c>
      <c r="D187" s="190" t="s">
        <v>1538</v>
      </c>
      <c r="E187" s="499" t="s">
        <v>1464</v>
      </c>
      <c r="F187" s="500"/>
      <c r="G187" s="519"/>
    </row>
    <row r="188" spans="1:7" ht="37.5" x14ac:dyDescent="0.25">
      <c r="A188" s="519">
        <f t="shared" si="4"/>
        <v>183</v>
      </c>
      <c r="B188" s="500" t="str">
        <f>Suite&amp;" Electrical Room "&amp;SWOne</f>
        <v>G104 Electrical Room XXX</v>
      </c>
      <c r="C188" s="499" t="str" cm="1">
        <f t="array" ref="C188">"UP" &amp; SWOne</f>
        <v>UPXXX</v>
      </c>
      <c r="D188" s="190" t="str" cm="1">
        <f t="array" ref="D188">"Close DP-" &amp; SWOne &amp; "1 breaker."</f>
        <v>Close DP-XXX1 breaker.</v>
      </c>
      <c r="E188" s="499" t="s">
        <v>1464</v>
      </c>
      <c r="F188" s="500"/>
      <c r="G188" s="519"/>
    </row>
    <row r="189" spans="1:7" ht="37.5" x14ac:dyDescent="0.25">
      <c r="A189" s="519">
        <f t="shared" si="4"/>
        <v>184</v>
      </c>
      <c r="B189" s="500" t="str">
        <f>Suite&amp;" Electrical Room "&amp;SWOne</f>
        <v>G104 Electrical Room XXX</v>
      </c>
      <c r="C189" s="499" t="str" cm="1">
        <f t="array" ref="C189">"UP" &amp; SWOne</f>
        <v>UPXXX</v>
      </c>
      <c r="D189" s="190" t="str" cm="1">
        <f t="array" ref="D189">"Close DP-" &amp; SWOne &amp; "2 breaker."</f>
        <v>Close DP-XXX2 breaker.</v>
      </c>
      <c r="E189" s="499" t="s">
        <v>1464</v>
      </c>
      <c r="F189" s="500"/>
      <c r="G189" s="519"/>
    </row>
    <row r="190" spans="1:7" ht="37.5" x14ac:dyDescent="0.25">
      <c r="A190" s="519">
        <f t="shared" si="4"/>
        <v>185</v>
      </c>
      <c r="B190" s="500" t="str">
        <f>Suite&amp;" Electrical Room "&amp;SWOne</f>
        <v>G104 Electrical Room XXX</v>
      </c>
      <c r="C190" s="499" t="str" cm="1">
        <f t="array" ref="C190">"UPS " &amp; SWOne &amp; "1"</f>
        <v>UPS XXX1</v>
      </c>
      <c r="D190" s="190" t="s">
        <v>1539</v>
      </c>
      <c r="E190" s="499" t="s">
        <v>1464</v>
      </c>
      <c r="F190" s="500"/>
      <c r="G190" s="519"/>
    </row>
    <row r="191" spans="1:7" ht="37.5" x14ac:dyDescent="0.25">
      <c r="A191" s="519">
        <f t="shared" si="4"/>
        <v>186</v>
      </c>
      <c r="B191" s="500" t="str">
        <f>Suite&amp;" Electrical Room "&amp;SWOne</f>
        <v>G104 Electrical Room XXX</v>
      </c>
      <c r="C191" s="499" t="str" cm="1">
        <f t="array" ref="C191">"UPS " &amp; SWOne &amp; "1"</f>
        <v>UPS XXX1</v>
      </c>
      <c r="D191" s="190" t="s">
        <v>1540</v>
      </c>
      <c r="E191" s="499" t="s">
        <v>1464</v>
      </c>
      <c r="F191" s="500"/>
      <c r="G191" s="519"/>
    </row>
    <row r="192" spans="1:7" ht="37.5" x14ac:dyDescent="0.25">
      <c r="A192" s="519">
        <f t="shared" si="4"/>
        <v>187</v>
      </c>
      <c r="B192" s="500" t="str">
        <f>Suite&amp;" Electrical Room "&amp;SWOne</f>
        <v>G104 Electrical Room XXX</v>
      </c>
      <c r="C192" s="499" t="str" cm="1">
        <f t="array" ref="C192">"UPS " &amp; SWOne &amp; "1"</f>
        <v>UPS XXX1</v>
      </c>
      <c r="D192" s="190" t="s">
        <v>1541</v>
      </c>
      <c r="E192" s="499" t="s">
        <v>1464</v>
      </c>
      <c r="F192" s="500"/>
      <c r="G192" s="519"/>
    </row>
    <row r="193" spans="1:7" ht="37.5" x14ac:dyDescent="0.25">
      <c r="A193" s="519">
        <f t="shared" si="4"/>
        <v>188</v>
      </c>
      <c r="B193" s="500" t="str">
        <f>Suite&amp;" Electrical Room "&amp;SWOne</f>
        <v>G104 Electrical Room XXX</v>
      </c>
      <c r="C193" s="499" t="str" cm="1">
        <f t="array" ref="C193">"UPS " &amp; SWOne</f>
        <v>UPS XXX</v>
      </c>
      <c r="D193" s="190" t="str" cm="1">
        <f t="array" ref="D193">"When prompted, close the CB2 breaker on module DP-"&amp;SWOne&amp;"1."</f>
        <v>When prompted, close the CB2 breaker on module DP-XXX1.</v>
      </c>
      <c r="E193" s="499" t="s">
        <v>1464</v>
      </c>
      <c r="F193" s="500"/>
      <c r="G193" s="519"/>
    </row>
    <row r="194" spans="1:7" ht="37.5" x14ac:dyDescent="0.25">
      <c r="A194" s="519">
        <f t="shared" si="4"/>
        <v>189</v>
      </c>
      <c r="B194" s="500" t="str">
        <f>Suite&amp;" Electrical Room "&amp;SWOne</f>
        <v>G104 Electrical Room XXX</v>
      </c>
      <c r="C194" s="499" t="str" cm="1">
        <f t="array" ref="C194">"UPS " &amp; SWOne</f>
        <v>UPS XXX</v>
      </c>
      <c r="D194" s="190" t="str" cm="1">
        <f t="array" ref="D194">"When prompted, close the CB2 breaker on module DP-"&amp;SWOne&amp;"2."</f>
        <v>When prompted, close the CB2 breaker on module DP-XXX2.</v>
      </c>
      <c r="E194" s="499" t="s">
        <v>1464</v>
      </c>
      <c r="F194" s="500"/>
      <c r="G194" s="519"/>
    </row>
    <row r="195" spans="1:7" ht="37.5" x14ac:dyDescent="0.25">
      <c r="A195" s="519">
        <f t="shared" si="4"/>
        <v>190</v>
      </c>
      <c r="B195" s="500" t="str">
        <f>Suite&amp;" Electrical Room "&amp;SWOne</f>
        <v>G104 Electrical Room XXX</v>
      </c>
      <c r="C195" s="499" t="str" cm="1">
        <f t="array" ref="C195">"UPS " &amp; SWOne &amp; "1"</f>
        <v>UPS XXX1</v>
      </c>
      <c r="D195" s="190" t="str" cm="1">
        <f t="array" ref="D195">"Close UPS-" &amp; SWOne &amp; "1 CB2 breaker."</f>
        <v>Close UPS-XXX1 CB2 breaker.</v>
      </c>
      <c r="E195" s="499" t="s">
        <v>1464</v>
      </c>
      <c r="F195" s="500"/>
      <c r="G195" s="519"/>
    </row>
    <row r="196" spans="1:7" ht="37.5" x14ac:dyDescent="0.25">
      <c r="A196" s="519">
        <f t="shared" si="4"/>
        <v>191</v>
      </c>
      <c r="B196" s="500" t="str">
        <f>Suite&amp;" Electrical Room "&amp;SWOne</f>
        <v>G104 Electrical Room XXX</v>
      </c>
      <c r="C196" s="499" t="str" cm="1">
        <f t="array" ref="C196">"UPS " &amp; SWOne &amp; "2"</f>
        <v>UPS XXX2</v>
      </c>
      <c r="D196" s="190" t="str" cm="1">
        <f t="array" ref="D196">"Close UPS-" &amp; SWOne &amp; "2 CB2 breaker."</f>
        <v>Close UPS-XXX2 CB2 breaker.</v>
      </c>
      <c r="E196" s="499" t="s">
        <v>1464</v>
      </c>
      <c r="F196" s="500"/>
      <c r="G196" s="519"/>
    </row>
    <row r="197" spans="1:7" ht="37.5" x14ac:dyDescent="0.25">
      <c r="A197" s="519">
        <f t="shared" si="4"/>
        <v>192</v>
      </c>
      <c r="B197" s="500" t="str">
        <f>Suite&amp;" Electrical Room "&amp;SWOne</f>
        <v>G104 Electrical Room XXX</v>
      </c>
      <c r="C197" s="499" t="str" cm="1">
        <f t="array" ref="C197">"UPS " &amp; SWOne &amp; "1"</f>
        <v>UPS XXX1</v>
      </c>
      <c r="D197" s="190" t="s">
        <v>1542</v>
      </c>
      <c r="E197" s="499" t="s">
        <v>1464</v>
      </c>
      <c r="F197" s="500"/>
      <c r="G197" s="519"/>
    </row>
    <row r="198" spans="1:7" ht="37.5" x14ac:dyDescent="0.25">
      <c r="A198" s="519">
        <f t="shared" si="4"/>
        <v>193</v>
      </c>
      <c r="B198" s="500" t="str">
        <f>Suite&amp;" Electrical Room "&amp;SWOne</f>
        <v>G104 Electrical Room XXX</v>
      </c>
      <c r="C198" s="499" t="str" cm="1">
        <f t="array" ref="C198">"UPS " &amp; SWOne &amp; "1"</f>
        <v>UPS XXX1</v>
      </c>
      <c r="D198" s="190" t="s">
        <v>1543</v>
      </c>
      <c r="E198" s="499" t="s">
        <v>1464</v>
      </c>
      <c r="F198" s="500"/>
      <c r="G198" s="519"/>
    </row>
    <row r="199" spans="1:7" ht="37.5" x14ac:dyDescent="0.25">
      <c r="A199" s="519">
        <f t="shared" si="4"/>
        <v>194</v>
      </c>
      <c r="B199" s="500" t="str">
        <f>Suite&amp;" Electrical Room "&amp;SWOne</f>
        <v>G104 Electrical Room XXX</v>
      </c>
      <c r="C199" s="499" t="str" cm="1">
        <f t="array" ref="C199">"UPS " &amp; SWOne &amp; "1"</f>
        <v>UPS XXX1</v>
      </c>
      <c r="D199" s="190" t="s">
        <v>1544</v>
      </c>
      <c r="E199" s="499" t="s">
        <v>1464</v>
      </c>
      <c r="F199" s="500"/>
      <c r="G199" s="519"/>
    </row>
    <row r="200" spans="1:7" ht="37.5" x14ac:dyDescent="0.25">
      <c r="A200" s="519">
        <f t="shared" si="4"/>
        <v>195</v>
      </c>
      <c r="B200" s="500" t="str">
        <f>Suite&amp;" Electrical Room "&amp;SWOne</f>
        <v>G104 Electrical Room XXX</v>
      </c>
      <c r="C200" s="499" t="str" cm="1">
        <f t="array" ref="C200">"UPS " &amp; SWOne &amp; "1"</f>
        <v>UPS XXX1</v>
      </c>
      <c r="D200" s="190" t="s">
        <v>1545</v>
      </c>
      <c r="E200" s="499" t="s">
        <v>1464</v>
      </c>
      <c r="F200" s="500"/>
      <c r="G200" s="519"/>
    </row>
    <row r="201" spans="1:7" ht="37.5" x14ac:dyDescent="0.25">
      <c r="A201" s="519">
        <f t="shared" si="4"/>
        <v>196</v>
      </c>
      <c r="B201" s="500" t="str">
        <f>Suite&amp;" Electrical Room "&amp;SWOne</f>
        <v>G104 Electrical Room XXX</v>
      </c>
      <c r="C201" s="499" t="str" cm="1">
        <f t="array" ref="C201">"UPS " &amp; SWOne &amp; "1"</f>
        <v>UPS XXX1</v>
      </c>
      <c r="D201" s="190" t="s">
        <v>1546</v>
      </c>
      <c r="E201" s="499" t="s">
        <v>1464</v>
      </c>
      <c r="F201" s="500"/>
      <c r="G201" s="519"/>
    </row>
    <row r="202" spans="1:7" ht="37.5" x14ac:dyDescent="0.25">
      <c r="A202" s="519">
        <f t="shared" si="4"/>
        <v>197</v>
      </c>
      <c r="B202" s="500" t="str">
        <f>Suite&amp;" Electrical Room "&amp;SWOne</f>
        <v>G104 Electrical Room XXX</v>
      </c>
      <c r="C202" s="499" t="str" cm="1">
        <f t="array" ref="C202">"UPS " &amp; SWOne &amp; "1"</f>
        <v>UPS XXX1</v>
      </c>
      <c r="D202" s="190" t="s">
        <v>1511</v>
      </c>
      <c r="E202" s="499" t="s">
        <v>1464</v>
      </c>
      <c r="F202" s="500"/>
      <c r="G202" s="519"/>
    </row>
    <row r="203" spans="1:7" ht="37.5" x14ac:dyDescent="0.25">
      <c r="A203" s="519">
        <f t="shared" si="4"/>
        <v>198</v>
      </c>
      <c r="B203" s="500" t="str">
        <f>Suite&amp;" Electrical Room "&amp;SWOne</f>
        <v>G104 Electrical Room XXX</v>
      </c>
      <c r="C203" s="499" t="str" cm="1">
        <f t="array" ref="C203">"UPS " &amp; SWOne &amp; "1"</f>
        <v>UPS XXX1</v>
      </c>
      <c r="D203" s="190" t="s">
        <v>1498</v>
      </c>
      <c r="E203" s="499" t="s">
        <v>1464</v>
      </c>
      <c r="F203" s="500"/>
      <c r="G203" s="519"/>
    </row>
    <row r="204" spans="1:7" ht="37.5" x14ac:dyDescent="0.25">
      <c r="A204" s="519">
        <f t="shared" si="4"/>
        <v>199</v>
      </c>
      <c r="B204" s="500" t="str">
        <f>Suite&amp;" Electrical Room "&amp;SWOne</f>
        <v>G104 Electrical Room XXX</v>
      </c>
      <c r="C204" s="499" t="str" cm="1">
        <f t="array" ref="C204">"UPS " &amp; SWOne &amp; "1"</f>
        <v>UPS XXX1</v>
      </c>
      <c r="D204" s="190" t="s">
        <v>1547</v>
      </c>
      <c r="E204" s="499" t="s">
        <v>1464</v>
      </c>
      <c r="F204" s="500"/>
      <c r="G204" s="519"/>
    </row>
    <row r="205" spans="1:7" ht="37.5" x14ac:dyDescent="0.25">
      <c r="A205" s="519">
        <f t="shared" si="4"/>
        <v>200</v>
      </c>
      <c r="B205" s="500" t="str">
        <f>Suite&amp;" Electrical Room "&amp;SWOne</f>
        <v>G104 Electrical Room XXX</v>
      </c>
      <c r="C205" s="499" t="str" cm="1">
        <f t="array" ref="C205">"UPS " &amp; SWOne &amp; "1"</f>
        <v>UPS XXX1</v>
      </c>
      <c r="D205" s="190" t="s">
        <v>1548</v>
      </c>
      <c r="E205" s="499" t="s">
        <v>1464</v>
      </c>
      <c r="F205" s="500"/>
      <c r="G205" s="519"/>
    </row>
    <row r="206" spans="1:7" ht="37.5" x14ac:dyDescent="0.25">
      <c r="A206" s="519">
        <f t="shared" si="4"/>
        <v>201</v>
      </c>
      <c r="B206" s="500" t="str">
        <f>Suite&amp;" Electrical Room "&amp;SWOne</f>
        <v>G104 Electrical Room XXX</v>
      </c>
      <c r="C206" s="499" t="str" cm="1">
        <f t="array" ref="C206">"UPS " &amp; SWOne &amp; "1"</f>
        <v>UPS XXX1</v>
      </c>
      <c r="D206" s="190" t="s">
        <v>1544</v>
      </c>
      <c r="E206" s="499" t="s">
        <v>1464</v>
      </c>
      <c r="F206" s="500"/>
      <c r="G206" s="519"/>
    </row>
    <row r="207" spans="1:7" ht="37.5" x14ac:dyDescent="0.25">
      <c r="A207" s="519">
        <f t="shared" si="4"/>
        <v>202</v>
      </c>
      <c r="B207" s="500" t="str">
        <f>Suite&amp;" Electrical Room "&amp;SWOne</f>
        <v>G104 Electrical Room XXX</v>
      </c>
      <c r="C207" s="499" t="str" cm="1">
        <f t="array" ref="C207">"UPS " &amp; SWOne &amp; "1"</f>
        <v>UPS XXX1</v>
      </c>
      <c r="D207" s="190" t="s">
        <v>1545</v>
      </c>
      <c r="E207" s="499" t="s">
        <v>1464</v>
      </c>
      <c r="F207" s="500"/>
      <c r="G207" s="519"/>
    </row>
    <row r="208" spans="1:7" ht="37.5" x14ac:dyDescent="0.25">
      <c r="A208" s="519">
        <f t="shared" si="4"/>
        <v>203</v>
      </c>
      <c r="B208" s="500" t="str">
        <f>Suite&amp;" Electrical Room "&amp;SWOne</f>
        <v>G104 Electrical Room XXX</v>
      </c>
      <c r="C208" s="499" t="str" cm="1">
        <f t="array" ref="C208">"UPS " &amp; SWOne</f>
        <v>UPS XXX</v>
      </c>
      <c r="D208" s="190" t="s">
        <v>1549</v>
      </c>
      <c r="E208" s="499" t="s">
        <v>1464</v>
      </c>
      <c r="F208" s="500"/>
      <c r="G208" s="519"/>
    </row>
    <row r="209" spans="1:7" ht="37.5" x14ac:dyDescent="0.25">
      <c r="A209" s="519">
        <f t="shared" si="4"/>
        <v>204</v>
      </c>
      <c r="B209" s="500" t="str">
        <f>Suite&amp;" Electrical Room "&amp;SWOne</f>
        <v>G104 Electrical Room XXX</v>
      </c>
      <c r="C209" s="499" t="str" cm="1">
        <f t="array" ref="C209">"UPS " &amp; SWOne</f>
        <v>UPS XXX</v>
      </c>
      <c r="D209" s="190" t="s">
        <v>1550</v>
      </c>
      <c r="E209" s="499" t="s">
        <v>1464</v>
      </c>
      <c r="F209" s="500"/>
      <c r="G209" s="519"/>
    </row>
    <row r="210" spans="1:7" ht="37.5" x14ac:dyDescent="0.25">
      <c r="A210" s="519">
        <f t="shared" si="4"/>
        <v>205</v>
      </c>
      <c r="B210" s="500" t="str">
        <f>Suite&amp;" Electrical Room "&amp;SWOne</f>
        <v>G104 Electrical Room XXX</v>
      </c>
      <c r="C210" s="499" t="str" cm="1">
        <f t="array" ref="C210">"UPS " &amp; SWOne</f>
        <v>UPS XXX</v>
      </c>
      <c r="D210" s="233" t="str" cm="1">
        <f t="array" ref="D210">"UPS SYSTEM " &amp;SWOne&amp;" is now in Static Bypass. Critical customer loads remains on maintenance bypass."</f>
        <v>UPS SYSTEM XXX is now in Static Bypass. Critical customer loads remains on maintenance bypass.</v>
      </c>
      <c r="E210" s="499" t="s">
        <v>1464</v>
      </c>
      <c r="F210" s="500"/>
      <c r="G210" s="519"/>
    </row>
    <row r="211" spans="1:7" ht="37.5" x14ac:dyDescent="0.25">
      <c r="A211" s="519">
        <f t="shared" si="4"/>
        <v>206</v>
      </c>
      <c r="B211" s="500" t="str">
        <f>Suite&amp;" Electrical Room "&amp;SWOne</f>
        <v>G104 Electrical Room XXX</v>
      </c>
      <c r="C211" s="499" t="str" cm="1">
        <f t="array" ref="C211">"UP" &amp; SWOne</f>
        <v>UPXXX</v>
      </c>
      <c r="D211" s="233" t="str" cm="1">
        <f t="array" ref="D211">"Notate the kW reading at UP" &amp; SWOne &amp; " Critical Bus Panel Meter: _________"</f>
        <v>Notate the kW reading at UPXXX Critical Bus Panel Meter: _________</v>
      </c>
      <c r="E211" s="499" t="s">
        <v>1464</v>
      </c>
      <c r="F211" s="500"/>
      <c r="G211" s="519"/>
    </row>
    <row r="212" spans="1:7" ht="37.5" x14ac:dyDescent="0.25">
      <c r="A212" s="519">
        <f t="shared" si="4"/>
        <v>207</v>
      </c>
      <c r="B212" s="500" t="str">
        <f>Suite&amp;" Electrical Room "&amp;SWOne</f>
        <v>G104 Electrical Room XXX</v>
      </c>
      <c r="C212" s="499" t="str" cm="1">
        <f t="array" ref="C212">"UP" &amp; SWOne</f>
        <v>UPXXX</v>
      </c>
      <c r="D212" s="233" t="str">
        <f>"Verify the readings in step " &amp; A211 &amp; " and " &amp; A136 &amp; " are within 3% of each other. (new kW divided by original kW must be ≤1.03 and ≥0.97)."</f>
        <v>Verify the readings in step 206 and 131 are within 3% of each other. (new kW divided by original kW must be ≤1.03 and ≥0.97).</v>
      </c>
      <c r="E212" s="499" t="s">
        <v>1464</v>
      </c>
      <c r="F212" s="500"/>
      <c r="G212" s="519"/>
    </row>
    <row r="213" spans="1:7" x14ac:dyDescent="0.25">
      <c r="A213" s="519">
        <f t="shared" si="4"/>
        <v>208</v>
      </c>
      <c r="B213" s="702" t="s">
        <v>1551</v>
      </c>
      <c r="C213" s="703"/>
      <c r="D213" s="703"/>
      <c r="E213" s="703"/>
      <c r="F213" s="703"/>
      <c r="G213" s="703"/>
    </row>
    <row r="214" spans="1:7" ht="37.5" x14ac:dyDescent="0.25">
      <c r="A214" s="519">
        <f t="shared" si="4"/>
        <v>209</v>
      </c>
      <c r="B214" s="500" t="str">
        <f>Suite&amp;" Electrical Room "&amp;SWOne</f>
        <v>G104 Electrical Room XXX</v>
      </c>
      <c r="C214" s="499" t="str" cm="1">
        <f t="array" ref="C214">"UP" &amp; SWOne</f>
        <v>UPXXX</v>
      </c>
      <c r="D214" s="233" t="s">
        <v>1503</v>
      </c>
      <c r="E214" s="499" t="s">
        <v>1464</v>
      </c>
      <c r="F214" s="502"/>
      <c r="G214" s="503" t="s">
        <v>1519</v>
      </c>
    </row>
    <row r="215" spans="1:7" ht="37.5" x14ac:dyDescent="0.25">
      <c r="A215" s="519">
        <f t="shared" si="4"/>
        <v>210</v>
      </c>
      <c r="B215" s="500" t="str">
        <f>Suite&amp;" Electrical Room "&amp;SWOne</f>
        <v>G104 Electrical Room XXX</v>
      </c>
      <c r="C215" s="499" t="str" cm="1">
        <f t="array" ref="C215">"UP" &amp; SWOne</f>
        <v>UPXXX</v>
      </c>
      <c r="D215" s="233" t="s">
        <v>1552</v>
      </c>
      <c r="E215" s="499" t="s">
        <v>1464</v>
      </c>
      <c r="F215" s="502"/>
      <c r="G215" s="503" t="s">
        <v>1519</v>
      </c>
    </row>
    <row r="216" spans="1:7" ht="37.5" x14ac:dyDescent="0.25">
      <c r="A216" s="519">
        <f t="shared" si="4"/>
        <v>211</v>
      </c>
      <c r="B216" s="500" t="str">
        <f>Suite&amp;" Electrical Room "&amp;SWOne</f>
        <v>G104 Electrical Room XXX</v>
      </c>
      <c r="C216" s="499" t="str" cm="1">
        <f t="array" ref="C216">"UP" &amp; SWOne</f>
        <v>UPXXX</v>
      </c>
      <c r="D216" s="233" t="s">
        <v>1505</v>
      </c>
      <c r="E216" s="499" t="s">
        <v>1464</v>
      </c>
      <c r="F216" s="502"/>
      <c r="G216" s="503" t="s">
        <v>1519</v>
      </c>
    </row>
    <row r="217" spans="1:7" ht="37.5" x14ac:dyDescent="0.25">
      <c r="A217" s="519">
        <f t="shared" si="4"/>
        <v>212</v>
      </c>
      <c r="B217" s="500" t="str">
        <f>Suite&amp;" Electrical Room "&amp;SWOne</f>
        <v>G104 Electrical Room XXX</v>
      </c>
      <c r="C217" s="499" t="str" cm="1">
        <f t="array" ref="C217">"UP" &amp; SWOne</f>
        <v>UPXXX</v>
      </c>
      <c r="D217" s="233" t="str" cm="1">
        <f t="array" ref="D217">"Insert the interlock key into the MCBUP" &amp; SWOne &amp; " breaker lock cylinder."</f>
        <v>Insert the interlock key into the MCBUPXXX breaker lock cylinder.</v>
      </c>
      <c r="E217" s="499" t="s">
        <v>1464</v>
      </c>
      <c r="F217" s="502"/>
      <c r="G217" s="503" t="s">
        <v>1519</v>
      </c>
    </row>
    <row r="218" spans="1:7" ht="37.5" x14ac:dyDescent="0.25">
      <c r="A218" s="519">
        <f t="shared" si="4"/>
        <v>213</v>
      </c>
      <c r="B218" s="500" t="str">
        <f>Suite&amp;" Electrical Room "&amp;SWOne</f>
        <v>G104 Electrical Room XXX</v>
      </c>
      <c r="C218" s="499" t="str" cm="1">
        <f t="array" ref="C218">"UP" &amp; SWOne</f>
        <v>UPXXX</v>
      </c>
      <c r="D218" s="233" t="str" cm="1">
        <f t="array" ref="D218">"ROTATE the interlock key 90 degrees to UNLOCK the MCBUP" &amp; SWOne &amp; " breaker."</f>
        <v>ROTATE the interlock key 90 degrees to UNLOCK the MCBUPXXX breaker.</v>
      </c>
      <c r="E218" s="499" t="s">
        <v>1464</v>
      </c>
      <c r="F218" s="502"/>
      <c r="G218" s="503" t="s">
        <v>1519</v>
      </c>
    </row>
    <row r="219" spans="1:7" ht="37.5" x14ac:dyDescent="0.25">
      <c r="A219" s="519">
        <f t="shared" si="4"/>
        <v>214</v>
      </c>
      <c r="B219" s="500" t="str">
        <f>Suite&amp;" Electrical Room "&amp;SWOne</f>
        <v>G104 Electrical Room XXX</v>
      </c>
      <c r="C219" s="499" t="str" cm="1">
        <f t="array" ref="C219">"UP" &amp; SWOne</f>
        <v>UPXXX</v>
      </c>
      <c r="D219" s="233" t="str" cm="1">
        <f t="array" ref="D219">"Close breaker MCBUP"&amp;SWOne&amp;"."</f>
        <v>Close breaker MCBUPXXX.</v>
      </c>
      <c r="E219" s="499" t="s">
        <v>1464</v>
      </c>
      <c r="F219" s="502"/>
      <c r="G219" s="503" t="s">
        <v>1519</v>
      </c>
    </row>
    <row r="220" spans="1:7" ht="37.5" x14ac:dyDescent="0.25">
      <c r="A220" s="519">
        <f t="shared" si="4"/>
        <v>215</v>
      </c>
      <c r="B220" s="500" t="str">
        <f>Suite&amp;" Electrical Room "&amp;SWOne</f>
        <v>G104 Electrical Room XXX</v>
      </c>
      <c r="C220" s="499" t="str" cm="1">
        <f t="array" ref="C220">"UP" &amp; SWOne</f>
        <v>UPXXX</v>
      </c>
      <c r="D220" s="233" t="str" cm="1">
        <f t="array" ref="D220">"Verify MCBUP" &amp; SWOne &amp; " breaker flag indicates CLOSED."</f>
        <v>Verify MCBUPXXX breaker flag indicates CLOSED.</v>
      </c>
      <c r="E220" s="499" t="s">
        <v>1464</v>
      </c>
      <c r="F220" s="502"/>
      <c r="G220" s="503" t="s">
        <v>1519</v>
      </c>
    </row>
    <row r="221" spans="1:7" ht="37.5" x14ac:dyDescent="0.25">
      <c r="A221" s="519">
        <f t="shared" si="4"/>
        <v>216</v>
      </c>
      <c r="B221" s="500" t="str">
        <f>Suite&amp;" Electrical Room "&amp;SWOne</f>
        <v>G104 Electrical Room XXX</v>
      </c>
      <c r="C221" s="499" t="str" cm="1">
        <f t="array" ref="C221">"UP" &amp; SWOne</f>
        <v>UPXXX</v>
      </c>
      <c r="D221" s="233" t="str" cm="1">
        <f t="array" ref="D221">"Verify breaker MCBUP"&amp;SWOne&amp;" is carrying a portion of critical customer load using breaker mounted metering."</f>
        <v>Verify breaker MCBUPXXX is carrying a portion of critical customer load using breaker mounted metering.</v>
      </c>
      <c r="E221" s="499" t="s">
        <v>1464</v>
      </c>
      <c r="F221" s="502"/>
      <c r="G221" s="503" t="s">
        <v>1519</v>
      </c>
    </row>
    <row r="222" spans="1:7" ht="37.5" x14ac:dyDescent="0.25">
      <c r="A222" s="519">
        <f t="shared" si="4"/>
        <v>217</v>
      </c>
      <c r="B222" s="500" t="str">
        <f>Suite&amp;" Electrical Room "&amp;SWOne</f>
        <v>G104 Electrical Room XXX</v>
      </c>
      <c r="C222" s="499" t="str" cm="1">
        <f t="array" ref="C222">"UP" &amp; SWOne</f>
        <v>UPXXX</v>
      </c>
      <c r="D222" s="233" t="str" cm="1">
        <f t="array" ref="D222">"Verify breaker MBUP"&amp;SWOne&amp;" is carrying a portion of critical customer load using breaker mounted metering."</f>
        <v>Verify breaker MBUPXXX is carrying a portion of critical customer load using breaker mounted metering.</v>
      </c>
      <c r="E222" s="499" t="s">
        <v>1464</v>
      </c>
      <c r="F222" s="502"/>
      <c r="G222" s="503" t="s">
        <v>1519</v>
      </c>
    </row>
    <row r="223" spans="1:7" ht="37.5" x14ac:dyDescent="0.25">
      <c r="A223" s="519">
        <f t="shared" si="4"/>
        <v>218</v>
      </c>
      <c r="B223" s="500" t="str">
        <f>Suite&amp;" Electrical Room "&amp;SWOne</f>
        <v>G104 Electrical Room XXX</v>
      </c>
      <c r="C223" s="499" t="str" cm="1">
        <f t="array" ref="C223">"UP" &amp; SWOne</f>
        <v>UPXXX</v>
      </c>
      <c r="D223" s="233" t="str" cm="1">
        <f t="array" ref="D223">"Notate the kW reading at UP" &amp; SWOne &amp; " Critical Bus Panel Meter: _________"</f>
        <v>Notate the kW reading at UPXXX Critical Bus Panel Meter: _________</v>
      </c>
      <c r="E223" s="499" t="s">
        <v>1464</v>
      </c>
      <c r="F223" s="502"/>
      <c r="G223" s="503" t="s">
        <v>1519</v>
      </c>
    </row>
    <row r="224" spans="1:7" ht="37.5" x14ac:dyDescent="0.25">
      <c r="A224" s="519">
        <f t="shared" si="4"/>
        <v>219</v>
      </c>
      <c r="B224" s="500" t="str">
        <f>Suite&amp;" Electrical Room "&amp;SWOne</f>
        <v>G104 Electrical Room XXX</v>
      </c>
      <c r="C224" s="499" t="str" cm="1">
        <f t="array" ref="C224">"UP" &amp; SWOne</f>
        <v>UPXXX</v>
      </c>
      <c r="D224" s="233" t="str">
        <f>"Verify the readings in step " &amp; A211 &amp; " and " &amp; A223 &amp; " are within 3% of each other. (new kW divided by original kW must be ≤1.03 and ≥0.97)."</f>
        <v>Verify the readings in step 206 and 218 are within 3% of each other. (new kW divided by original kW must be ≤1.03 and ≥0.97).</v>
      </c>
      <c r="E224" s="499" t="s">
        <v>1464</v>
      </c>
      <c r="F224" s="502"/>
      <c r="G224" s="503" t="s">
        <v>1519</v>
      </c>
    </row>
    <row r="225" spans="1:7" ht="37.5" x14ac:dyDescent="0.25">
      <c r="A225" s="519">
        <f t="shared" si="4"/>
        <v>220</v>
      </c>
      <c r="B225" s="500" t="str">
        <f>Suite&amp;" Electrical Room "&amp;SWOne</f>
        <v>G104 Electrical Room XXX</v>
      </c>
      <c r="C225" s="499" t="str" cm="1">
        <f t="array" ref="C225">"UP" &amp; SWOne</f>
        <v>UPXXX</v>
      </c>
      <c r="D225" s="233" t="str" cm="1">
        <f t="array" ref="D225">"Open breaker MBUP"&amp;SWOne&amp;"."</f>
        <v>Open breaker MBUPXXX.</v>
      </c>
      <c r="E225" s="499" t="s">
        <v>1464</v>
      </c>
      <c r="F225" s="502"/>
      <c r="G225" s="503" t="s">
        <v>1519</v>
      </c>
    </row>
    <row r="226" spans="1:7" ht="37.5" x14ac:dyDescent="0.25">
      <c r="A226" s="519">
        <f t="shared" si="4"/>
        <v>221</v>
      </c>
      <c r="B226" s="500" t="str">
        <f>Suite&amp;" Electrical Room "&amp;SWOne</f>
        <v>G104 Electrical Room XXX</v>
      </c>
      <c r="C226" s="499" t="str" cm="1">
        <f t="array" ref="C226">"UP" &amp; SWOne</f>
        <v>UPXXX</v>
      </c>
      <c r="D226" s="233" t="s">
        <v>1501</v>
      </c>
      <c r="E226" s="499" t="s">
        <v>1464</v>
      </c>
      <c r="F226" s="502"/>
      <c r="G226" s="503" t="s">
        <v>1519</v>
      </c>
    </row>
    <row r="227" spans="1:7" ht="37.5" x14ac:dyDescent="0.25">
      <c r="A227" s="519">
        <f t="shared" si="4"/>
        <v>222</v>
      </c>
      <c r="B227" s="500" t="str">
        <f>Suite&amp;" Electrical Room "&amp;SWOne</f>
        <v>G104 Electrical Room XXX</v>
      </c>
      <c r="C227" s="499" t="str" cm="1">
        <f t="array" ref="C227">"UP" &amp; SWOne</f>
        <v>UPXXX</v>
      </c>
      <c r="D227" s="233" t="str" cm="1">
        <f t="array" ref="D227">"Verify MBUP" &amp; SWOne &amp; " breaker flag indicates OPEN."</f>
        <v>Verify MBUPXXX breaker flag indicates OPEN.</v>
      </c>
      <c r="E227" s="499" t="s">
        <v>1464</v>
      </c>
      <c r="F227" s="502"/>
      <c r="G227" s="503" t="s">
        <v>1519</v>
      </c>
    </row>
    <row r="228" spans="1:7" ht="37.5" x14ac:dyDescent="0.25">
      <c r="A228" s="519">
        <f t="shared" si="4"/>
        <v>223</v>
      </c>
      <c r="B228" s="500" t="str">
        <f>Suite&amp;" Electrical Room "&amp;SWOne</f>
        <v>G104 Electrical Room XXX</v>
      </c>
      <c r="C228" s="499" t="str" cm="1">
        <f t="array" ref="C228">"UP" &amp; SWOne</f>
        <v>UPXXX</v>
      </c>
      <c r="D228" s="233" t="str" cm="1">
        <f t="array" ref="D228">"Notate the kW reading at UP" &amp; SWOne &amp; " Critical Bus Panel Meter: _________"</f>
        <v>Notate the kW reading at UPXXX Critical Bus Panel Meter: _________</v>
      </c>
      <c r="E228" s="499" t="s">
        <v>1464</v>
      </c>
      <c r="F228" s="502"/>
      <c r="G228" s="503" t="s">
        <v>1519</v>
      </c>
    </row>
    <row r="229" spans="1:7" ht="37.5" x14ac:dyDescent="0.25">
      <c r="A229" s="519">
        <f t="shared" si="4"/>
        <v>224</v>
      </c>
      <c r="B229" s="500" t="str">
        <f>Suite&amp;" Electrical Room "&amp;SWOne</f>
        <v>G104 Electrical Room XXX</v>
      </c>
      <c r="C229" s="499" t="str" cm="1">
        <f t="array" ref="C229">"UP" &amp; SWOne</f>
        <v>UPXXX</v>
      </c>
      <c r="D229" s="233" t="str">
        <f>"Verify the readings in step " &amp; A223 &amp; " and " &amp; A228 &amp; " are within 3% of each other. (new kW divided by original kW must be ≤1.03 and ≥0.97)."</f>
        <v>Verify the readings in step 218 and 223 are within 3% of each other. (new kW divided by original kW must be ≤1.03 and ≥0.97).</v>
      </c>
      <c r="E229" s="499" t="s">
        <v>1464</v>
      </c>
      <c r="F229" s="502"/>
      <c r="G229" s="503" t="s">
        <v>1519</v>
      </c>
    </row>
    <row r="230" spans="1:7" ht="37.5" x14ac:dyDescent="0.25">
      <c r="A230" s="519">
        <f t="shared" si="4"/>
        <v>225</v>
      </c>
      <c r="B230" s="500" t="str">
        <f>Suite&amp;" Electrical Room "&amp;SWOne</f>
        <v>G104 Electrical Room XXX</v>
      </c>
      <c r="C230" s="499" t="str" cm="1">
        <f t="array" ref="C230">"UP" &amp; SWOne</f>
        <v>UPXXX</v>
      </c>
      <c r="D230" s="233" t="s">
        <v>1553</v>
      </c>
      <c r="E230" s="499" t="s">
        <v>1464</v>
      </c>
      <c r="F230" s="502"/>
      <c r="G230" s="503" t="s">
        <v>1519</v>
      </c>
    </row>
    <row r="231" spans="1:7" ht="37.5" x14ac:dyDescent="0.25">
      <c r="A231" s="519">
        <f t="shared" si="4"/>
        <v>226</v>
      </c>
      <c r="B231" s="500" t="str">
        <f>Suite&amp;" Electrical Room "&amp;SWOne</f>
        <v>G104 Electrical Room XXX</v>
      </c>
      <c r="C231" s="499" t="str" cm="1">
        <f t="array" ref="C231">"UP" &amp; SWOne</f>
        <v>UPXXX</v>
      </c>
      <c r="D231" s="233" t="str" cm="1">
        <f t="array" ref="D231">"Rotate the interlock key 90 degrees to LOCK the MBUP"&amp;SWOne&amp;" breaker."</f>
        <v>Rotate the interlock key 90 degrees to LOCK the MBUPXXX breaker.</v>
      </c>
      <c r="E231" s="499" t="s">
        <v>1464</v>
      </c>
      <c r="F231" s="502"/>
      <c r="G231" s="503" t="s">
        <v>1519</v>
      </c>
    </row>
    <row r="232" spans="1:7" ht="37.5" x14ac:dyDescent="0.25">
      <c r="A232" s="519">
        <f t="shared" si="4"/>
        <v>227</v>
      </c>
      <c r="B232" s="500" t="str">
        <f>Suite&amp;" Electrical Room "&amp;SWOne</f>
        <v>G104 Electrical Room XXX</v>
      </c>
      <c r="C232" s="499" t="str" cm="1">
        <f t="array" ref="C232">"UP" &amp; SWOne</f>
        <v>UPXXX</v>
      </c>
      <c r="D232" s="233" t="str" cm="1">
        <f t="array" ref="D232">"Remove the interlock key from the MBUP"&amp;SWOne&amp;" breaker lock cylinder."</f>
        <v>Remove the interlock key from the MBUPXXX breaker lock cylinder.</v>
      </c>
      <c r="E232" s="499" t="s">
        <v>1464</v>
      </c>
      <c r="F232" s="502"/>
      <c r="G232" s="503" t="s">
        <v>1519</v>
      </c>
    </row>
    <row r="233" spans="1:7" ht="37.5" x14ac:dyDescent="0.25">
      <c r="A233" s="519">
        <f t="shared" si="4"/>
        <v>228</v>
      </c>
      <c r="B233" s="500" t="str">
        <f>Suite&amp;" Electrical Room "&amp;SWOne</f>
        <v>G104 Electrical Room XXX</v>
      </c>
      <c r="C233" s="499" t="str" cm="1">
        <f t="array" ref="C233">"UP" &amp; SWOne</f>
        <v>UPXXX</v>
      </c>
      <c r="D233" s="233" t="s">
        <v>1507</v>
      </c>
      <c r="E233" s="499" t="s">
        <v>1464</v>
      </c>
      <c r="F233" s="502"/>
      <c r="G233" s="503" t="s">
        <v>1519</v>
      </c>
    </row>
    <row r="234" spans="1:7" ht="37.5" x14ac:dyDescent="0.25">
      <c r="A234" s="519">
        <f t="shared" si="4"/>
        <v>229</v>
      </c>
      <c r="B234" s="500" t="str">
        <f>Suite&amp;" Electrical Room "&amp;SWOne</f>
        <v>G104 Electrical Room XXX</v>
      </c>
      <c r="C234" s="499" t="str" cm="1">
        <f t="array" ref="C234">"UP" &amp; SWOne</f>
        <v>UPXXX</v>
      </c>
      <c r="D234" s="233" t="s">
        <v>1508</v>
      </c>
      <c r="E234" s="499" t="s">
        <v>1464</v>
      </c>
      <c r="F234" s="502"/>
      <c r="G234" s="503" t="s">
        <v>1519</v>
      </c>
    </row>
    <row r="235" spans="1:7" ht="37.5" x14ac:dyDescent="0.25">
      <c r="A235" s="519">
        <f t="shared" si="4"/>
        <v>230</v>
      </c>
      <c r="B235" s="500" t="str">
        <f>Suite&amp;" Electrical Room "&amp;SWOne</f>
        <v>G104 Electrical Room XXX</v>
      </c>
      <c r="C235" s="499" t="str" cm="1">
        <f t="array" ref="C235">"UP" &amp; SWOne</f>
        <v>UPXXX</v>
      </c>
      <c r="D235" s="233" t="s">
        <v>1509</v>
      </c>
      <c r="E235" s="499" t="s">
        <v>1464</v>
      </c>
      <c r="F235" s="502"/>
      <c r="G235" s="503" t="s">
        <v>1519</v>
      </c>
    </row>
    <row r="236" spans="1:7" ht="37.5" x14ac:dyDescent="0.25">
      <c r="A236" s="519">
        <f t="shared" si="4"/>
        <v>231</v>
      </c>
      <c r="B236" s="500" t="str">
        <f>Suite&amp;" Electrical Room "&amp;SWOne</f>
        <v>G104 Electrical Room XXX</v>
      </c>
      <c r="C236" s="499" t="str" cm="1">
        <f t="array" ref="C236">"UP" &amp; SWOne</f>
        <v>UPXXX</v>
      </c>
      <c r="D236" s="233" t="s">
        <v>1510</v>
      </c>
      <c r="E236" s="499" t="s">
        <v>1464</v>
      </c>
      <c r="F236" s="502"/>
      <c r="G236" s="503" t="s">
        <v>1519</v>
      </c>
    </row>
    <row r="237" spans="1:7" x14ac:dyDescent="0.25">
      <c r="A237" s="519">
        <f t="shared" si="4"/>
        <v>232</v>
      </c>
      <c r="B237" s="702" t="str" cm="1">
        <f t="array" ref="B237">"Transfer UPS System " &amp; SWOne &amp; " to Inverter Service"</f>
        <v>Transfer UPS System XXX to Inverter Service</v>
      </c>
      <c r="C237" s="703"/>
      <c r="D237" s="703"/>
      <c r="E237" s="703"/>
      <c r="F237" s="703"/>
      <c r="G237" s="703"/>
    </row>
    <row r="238" spans="1:7" ht="37.5" x14ac:dyDescent="0.25">
      <c r="A238" s="519">
        <f t="shared" si="4"/>
        <v>233</v>
      </c>
      <c r="B238" s="500" t="str">
        <f>Suite&amp;" Electrical Room "&amp;SWOne</f>
        <v>G104 Electrical Room XXX</v>
      </c>
      <c r="C238" s="499" t="str" cm="1">
        <f t="array" ref="C238">"UPS " &amp; SWOne &amp; "1"</f>
        <v>UPS XXX1</v>
      </c>
      <c r="D238" s="190" t="s">
        <v>1554</v>
      </c>
      <c r="E238" s="499" t="s">
        <v>1464</v>
      </c>
      <c r="F238" s="500" t="s">
        <v>1519</v>
      </c>
      <c r="G238" s="519"/>
    </row>
    <row r="239" spans="1:7" ht="37.5" x14ac:dyDescent="0.25">
      <c r="A239" s="519">
        <f t="shared" si="4"/>
        <v>234</v>
      </c>
      <c r="B239" s="500" t="str">
        <f>Suite&amp;" Electrical Room "&amp;SWOne</f>
        <v>G104 Electrical Room XXX</v>
      </c>
      <c r="C239" s="499" t="str" cm="1">
        <f t="array" ref="C239">"UPS " &amp; SWOne &amp; "1"</f>
        <v>UPS XXX1</v>
      </c>
      <c r="D239" s="233" t="s">
        <v>1497</v>
      </c>
      <c r="E239" s="499" t="s">
        <v>1464</v>
      </c>
      <c r="F239" s="500"/>
      <c r="G239" s="519"/>
    </row>
    <row r="240" spans="1:7" ht="37.5" x14ac:dyDescent="0.25">
      <c r="A240" s="519">
        <f t="shared" si="4"/>
        <v>235</v>
      </c>
      <c r="B240" s="500" t="str">
        <f>Suite&amp;" Electrical Room "&amp;SWOne</f>
        <v>G104 Electrical Room XXX</v>
      </c>
      <c r="C240" s="499" t="str" cm="1">
        <f t="array" ref="C240">"UPS " &amp; SWOne &amp; "1"</f>
        <v>UPS XXX1</v>
      </c>
      <c r="D240" s="190" t="s">
        <v>1498</v>
      </c>
      <c r="E240" s="499" t="s">
        <v>1464</v>
      </c>
      <c r="F240" s="500"/>
      <c r="G240" s="519"/>
    </row>
    <row r="241" spans="1:7" ht="37.5" x14ac:dyDescent="0.25">
      <c r="A241" s="519">
        <f t="shared" si="4"/>
        <v>236</v>
      </c>
      <c r="B241" s="500" t="str">
        <f>Suite&amp;" Electrical Room "&amp;SWOne</f>
        <v>G104 Electrical Room XXX</v>
      </c>
      <c r="C241" s="499" t="str" cm="1">
        <f t="array" ref="C241">"UPS " &amp; SWOne &amp; "1"</f>
        <v>UPS XXX1</v>
      </c>
      <c r="D241" s="190" t="s">
        <v>1499</v>
      </c>
      <c r="E241" s="499" t="s">
        <v>1464</v>
      </c>
      <c r="F241" s="500"/>
      <c r="G241" s="519"/>
    </row>
    <row r="242" spans="1:7" ht="37.5" x14ac:dyDescent="0.25">
      <c r="A242" s="519">
        <f t="shared" si="4"/>
        <v>237</v>
      </c>
      <c r="B242" s="500" t="str">
        <f>Suite&amp;" Electrical Room "&amp;SWOne</f>
        <v>G104 Electrical Room XXX</v>
      </c>
      <c r="C242" s="499" t="str" cm="1">
        <f t="array" ref="C242">"UPS " &amp; SWOne &amp; "1"</f>
        <v>UPS XXX1</v>
      </c>
      <c r="D242" s="190" t="s">
        <v>1555</v>
      </c>
      <c r="E242" s="499" t="s">
        <v>1464</v>
      </c>
      <c r="F242" s="500"/>
      <c r="G242" s="519"/>
    </row>
    <row r="243" spans="1:7" ht="37.5" x14ac:dyDescent="0.25">
      <c r="A243" s="519">
        <f t="shared" si="4"/>
        <v>238</v>
      </c>
      <c r="B243" s="500" t="str">
        <f>Suite&amp;" Electrical Room "&amp;SWOne</f>
        <v>G104 Electrical Room XXX</v>
      </c>
      <c r="C243" s="499" t="str" cm="1">
        <f t="array" ref="C243">"UPS " &amp; SWOne</f>
        <v>UPS XXX</v>
      </c>
      <c r="D243" s="190" t="s">
        <v>1556</v>
      </c>
      <c r="E243" s="499" t="s">
        <v>1464</v>
      </c>
      <c r="F243" s="500"/>
      <c r="G243" s="519"/>
    </row>
    <row r="244" spans="1:7" ht="37.5" x14ac:dyDescent="0.25">
      <c r="A244" s="519">
        <f t="shared" si="4"/>
        <v>239</v>
      </c>
      <c r="B244" s="500" t="str">
        <f>Suite&amp;" Electrical Room "&amp;SWOne</f>
        <v>G104 Electrical Room XXX</v>
      </c>
      <c r="C244" s="499" t="str" cm="1">
        <f t="array" ref="C244">"UPS " &amp; SWOne</f>
        <v>UPS XXX</v>
      </c>
      <c r="D244" s="233" t="s">
        <v>1557</v>
      </c>
      <c r="E244" s="499" t="s">
        <v>1464</v>
      </c>
      <c r="F244" s="500"/>
      <c r="G244" s="519"/>
    </row>
    <row r="245" spans="1:7" ht="37.5" x14ac:dyDescent="0.25">
      <c r="A245" s="519">
        <f t="shared" si="4"/>
        <v>240</v>
      </c>
      <c r="B245" s="500" t="str">
        <f>Suite&amp;" Electrical Room A"</f>
        <v>G104 Electrical Room A</v>
      </c>
      <c r="C245" s="499" t="s">
        <v>1466</v>
      </c>
      <c r="D245" s="191" t="s">
        <v>1467</v>
      </c>
      <c r="E245" s="499" t="s">
        <v>1464</v>
      </c>
      <c r="F245" s="500"/>
      <c r="G245" s="519"/>
    </row>
    <row r="246" spans="1:7" ht="37.5" x14ac:dyDescent="0.25">
      <c r="A246" s="519">
        <f t="shared" ref="A246:A274" si="5">A245+1</f>
        <v>241</v>
      </c>
      <c r="B246" s="500" t="str">
        <f>Suite&amp;" Electrical Room A"</f>
        <v>G104 Electrical Room A</v>
      </c>
      <c r="C246" s="499" t="s">
        <v>1466</v>
      </c>
      <c r="D246" s="233" t="str">
        <f>"Verify the readings in step " &amp; A245 &amp; " and " &amp;A10 &amp; " are within 3% of each other. (new kW divided by original kW must be ≤1.03 and ≥0.97)."</f>
        <v>Verify the readings in step 240 and 5 are within 3% of each other. (new kW divided by original kW must be ≤1.03 and ≥0.97).</v>
      </c>
      <c r="E246" s="499" t="s">
        <v>1464</v>
      </c>
      <c r="F246" s="500"/>
      <c r="G246" s="519"/>
    </row>
    <row r="247" spans="1:7" ht="37.5" x14ac:dyDescent="0.25">
      <c r="A247" s="519">
        <f t="shared" si="5"/>
        <v>242</v>
      </c>
      <c r="B247" s="500" t="str">
        <f>Suite&amp;" Electrical Room A"</f>
        <v>G104 Electrical Room A</v>
      </c>
      <c r="C247" s="499" t="s">
        <v>1468</v>
      </c>
      <c r="D247" s="191" t="s">
        <v>1469</v>
      </c>
      <c r="E247" s="499" t="s">
        <v>1464</v>
      </c>
      <c r="F247" s="500"/>
      <c r="G247" s="519"/>
    </row>
    <row r="248" spans="1:7" ht="37.5" x14ac:dyDescent="0.25">
      <c r="A248" s="519">
        <f t="shared" si="5"/>
        <v>243</v>
      </c>
      <c r="B248" s="500" t="str">
        <f>Suite&amp;" Electrical Room A"</f>
        <v>G104 Electrical Room A</v>
      </c>
      <c r="C248" s="499" t="s">
        <v>1468</v>
      </c>
      <c r="D248" s="233" t="str">
        <f>"Verify the readings in step " &amp; A247 &amp; " and " &amp; A11 &amp; " are within 3% of each other. (new kW divided by original kW must be ≤1.03 and ≥0.97)."</f>
        <v>Verify the readings in step 242 and 6 are within 3% of each other. (new kW divided by original kW must be ≤1.03 and ≥0.97).</v>
      </c>
      <c r="E248" s="499" t="s">
        <v>1464</v>
      </c>
      <c r="F248" s="500"/>
      <c r="G248" s="519"/>
    </row>
    <row r="249" spans="1:7" ht="37.5" x14ac:dyDescent="0.25">
      <c r="A249" s="519">
        <f t="shared" si="5"/>
        <v>244</v>
      </c>
      <c r="B249" s="500" t="str">
        <f>Suite&amp;" Electrical Room A"</f>
        <v>G104 Electrical Room A</v>
      </c>
      <c r="C249" s="499" t="s">
        <v>1521</v>
      </c>
      <c r="D249" s="191" t="s">
        <v>1471</v>
      </c>
      <c r="E249" s="499" t="s">
        <v>1464</v>
      </c>
      <c r="F249" s="500"/>
      <c r="G249" s="519"/>
    </row>
    <row r="250" spans="1:7" ht="37.5" x14ac:dyDescent="0.25">
      <c r="A250" s="519">
        <f t="shared" si="5"/>
        <v>245</v>
      </c>
      <c r="B250" s="500" t="str">
        <f>Suite&amp;" Electrical Room A"</f>
        <v>G104 Electrical Room A</v>
      </c>
      <c r="C250" s="499" t="s">
        <v>1521</v>
      </c>
      <c r="D250" s="233" t="str">
        <f>"Verify the readings in step " &amp; A249 &amp; " and " &amp; A228 &amp; " are within 3% of each other. (new kW divided by original kW must be ≤1.03 and ≥0.97)."</f>
        <v>Verify the readings in step 244 and 223 are within 3% of each other. (new kW divided by original kW must be ≤1.03 and ≥0.97).</v>
      </c>
      <c r="E250" s="499" t="s">
        <v>1464</v>
      </c>
      <c r="F250" s="500"/>
      <c r="G250" s="519"/>
    </row>
    <row r="251" spans="1:7" ht="37.5" x14ac:dyDescent="0.25">
      <c r="A251" s="519">
        <f t="shared" si="5"/>
        <v>246</v>
      </c>
      <c r="B251" s="500" t="str">
        <f>Suite&amp;" Electrical Room B"</f>
        <v>G104 Electrical Room B</v>
      </c>
      <c r="C251" s="499" t="s">
        <v>1472</v>
      </c>
      <c r="D251" s="191" t="s">
        <v>1473</v>
      </c>
      <c r="E251" s="499" t="s">
        <v>1464</v>
      </c>
      <c r="F251" s="500"/>
      <c r="G251" s="519"/>
    </row>
    <row r="252" spans="1:7" ht="37.5" x14ac:dyDescent="0.25">
      <c r="A252" s="519">
        <f t="shared" si="5"/>
        <v>247</v>
      </c>
      <c r="B252" s="500" t="str">
        <f>Suite&amp;" Electrical Room B"</f>
        <v>G104 Electrical Room B</v>
      </c>
      <c r="C252" s="499" t="s">
        <v>1472</v>
      </c>
      <c r="D252" s="233" t="str">
        <f>"Verify the readings in step " &amp; A251 &amp; " and " &amp; A13 &amp; " are within 3% of each other. (new kW divided by original kW must be ≤1.03 and ≥0.97)."</f>
        <v>Verify the readings in step 246 and 8 are within 3% of each other. (new kW divided by original kW must be ≤1.03 and ≥0.97).</v>
      </c>
      <c r="E252" s="499" t="s">
        <v>1464</v>
      </c>
      <c r="F252" s="500"/>
      <c r="G252" s="519"/>
    </row>
    <row r="253" spans="1:7" ht="37.5" x14ac:dyDescent="0.25">
      <c r="A253" s="519">
        <f t="shared" si="5"/>
        <v>248</v>
      </c>
      <c r="B253" s="500" t="str">
        <f>Suite&amp;" Electrical Room B"</f>
        <v>G104 Electrical Room B</v>
      </c>
      <c r="C253" s="499" t="s">
        <v>1474</v>
      </c>
      <c r="D253" s="191" t="s">
        <v>1475</v>
      </c>
      <c r="E253" s="499" t="s">
        <v>1464</v>
      </c>
      <c r="F253" s="500"/>
      <c r="G253" s="519"/>
    </row>
    <row r="254" spans="1:7" ht="37.5" x14ac:dyDescent="0.25">
      <c r="A254" s="519">
        <f t="shared" si="5"/>
        <v>249</v>
      </c>
      <c r="B254" s="500" t="str">
        <f>Suite&amp;" Electrical Room B"</f>
        <v>G104 Electrical Room B</v>
      </c>
      <c r="C254" s="499" t="s">
        <v>1474</v>
      </c>
      <c r="D254" s="233" t="str">
        <f>"Verify the readings in step " &amp; A253 &amp; " and " &amp; A14 &amp; " are within 3% of each other. (new kW divided by original kW must be ≤1.03 and ≥0.97)."</f>
        <v>Verify the readings in step 248 and 9 are within 3% of each other. (new kW divided by original kW must be ≤1.03 and ≥0.97).</v>
      </c>
      <c r="E254" s="499" t="s">
        <v>1464</v>
      </c>
      <c r="F254" s="500"/>
      <c r="G254" s="519"/>
    </row>
    <row r="255" spans="1:7" ht="37.5" x14ac:dyDescent="0.25">
      <c r="A255" s="519">
        <f t="shared" si="5"/>
        <v>250</v>
      </c>
      <c r="B255" s="500" t="str">
        <f>Suite&amp;" Electrical Room B"</f>
        <v>G104 Electrical Room B</v>
      </c>
      <c r="C255" s="499" t="s">
        <v>1522</v>
      </c>
      <c r="D255" s="191" t="s">
        <v>1477</v>
      </c>
      <c r="E255" s="499" t="s">
        <v>1464</v>
      </c>
      <c r="F255" s="500"/>
      <c r="G255" s="519"/>
    </row>
    <row r="256" spans="1:7" ht="37.5" x14ac:dyDescent="0.25">
      <c r="A256" s="519">
        <f t="shared" si="5"/>
        <v>251</v>
      </c>
      <c r="B256" s="500" t="str">
        <f>Suite&amp;" Electrical Room B"</f>
        <v>G104 Electrical Room B</v>
      </c>
      <c r="C256" s="499" t="s">
        <v>1522</v>
      </c>
      <c r="D256" s="233" t="str">
        <f>"Verify the readings in step " &amp; A255 &amp; " and " &amp; A122 &amp; " are within 3% of each other. (new kW divided by original kW must be ≤1.03 and ≥0.97)."</f>
        <v>Verify the readings in step 250 and 117 are within 3% of each other. (new kW divided by original kW must be ≤1.03 and ≥0.97).</v>
      </c>
      <c r="E256" s="499" t="s">
        <v>1464</v>
      </c>
      <c r="F256" s="500"/>
      <c r="G256" s="519"/>
    </row>
    <row r="257" spans="1:7" ht="37.5" x14ac:dyDescent="0.25">
      <c r="A257" s="519">
        <f t="shared" si="5"/>
        <v>252</v>
      </c>
      <c r="B257" s="500" t="str">
        <f>Suite&amp;" Electrical Room C"</f>
        <v>G104 Electrical Room C</v>
      </c>
      <c r="C257" s="499" t="s">
        <v>1478</v>
      </c>
      <c r="D257" s="191" t="s">
        <v>1479</v>
      </c>
      <c r="E257" s="499" t="s">
        <v>1464</v>
      </c>
      <c r="F257" s="500"/>
      <c r="G257" s="519"/>
    </row>
    <row r="258" spans="1:7" ht="37.5" x14ac:dyDescent="0.25">
      <c r="A258" s="519">
        <f t="shared" si="5"/>
        <v>253</v>
      </c>
      <c r="B258" s="500" t="str">
        <f>Suite&amp;" Electrical Room C"</f>
        <v>G104 Electrical Room C</v>
      </c>
      <c r="C258" s="499" t="s">
        <v>1478</v>
      </c>
      <c r="D258" s="233" t="str">
        <f>"Verify the readings in step " &amp; A257 &amp; " and " &amp; A16 &amp; " are within 3% of each other. (new kW divided by original kW must be ≤1.03 and ≥0.97)."</f>
        <v>Verify the readings in step 252 and 11 are within 3% of each other. (new kW divided by original kW must be ≤1.03 and ≥0.97).</v>
      </c>
      <c r="E258" s="499" t="s">
        <v>1464</v>
      </c>
      <c r="F258" s="500"/>
      <c r="G258" s="519"/>
    </row>
    <row r="259" spans="1:7" ht="37.5" x14ac:dyDescent="0.25">
      <c r="A259" s="519">
        <f t="shared" si="5"/>
        <v>254</v>
      </c>
      <c r="B259" s="500" t="str">
        <f>Suite&amp;" Electrical Room C"</f>
        <v>G104 Electrical Room C</v>
      </c>
      <c r="C259" s="499" t="s">
        <v>1480</v>
      </c>
      <c r="D259" s="191" t="s">
        <v>1481</v>
      </c>
      <c r="E259" s="499" t="s">
        <v>1464</v>
      </c>
      <c r="F259" s="500"/>
      <c r="G259" s="519"/>
    </row>
    <row r="260" spans="1:7" ht="37.5" x14ac:dyDescent="0.25">
      <c r="A260" s="519">
        <f t="shared" si="5"/>
        <v>255</v>
      </c>
      <c r="B260" s="500" t="str">
        <f>Suite&amp;" Electrical Room C"</f>
        <v>G104 Electrical Room C</v>
      </c>
      <c r="C260" s="499" t="s">
        <v>1480</v>
      </c>
      <c r="D260" s="233" t="str">
        <f>"Verify the readings in step " &amp; A259 &amp; " and " &amp; A17 &amp; " are within 3% of each other. (new kW divided by original kW must be ≤1.03 and ≥0.97)."</f>
        <v>Verify the readings in step 254 and 12 are within 3% of each other. (new kW divided by original kW must be ≤1.03 and ≥0.97).</v>
      </c>
      <c r="E260" s="499" t="s">
        <v>1464</v>
      </c>
      <c r="F260" s="500"/>
      <c r="G260" s="519"/>
    </row>
    <row r="261" spans="1:7" ht="37.5" x14ac:dyDescent="0.25">
      <c r="A261" s="519">
        <f t="shared" si="5"/>
        <v>256</v>
      </c>
      <c r="B261" s="500" t="str">
        <f>Suite&amp;" Electrical Room C"</f>
        <v>G104 Electrical Room C</v>
      </c>
      <c r="C261" s="499" t="s">
        <v>1523</v>
      </c>
      <c r="D261" s="191" t="s">
        <v>1483</v>
      </c>
      <c r="E261" s="499" t="s">
        <v>1464</v>
      </c>
      <c r="F261" s="500"/>
      <c r="G261" s="519"/>
    </row>
    <row r="262" spans="1:7" ht="37.5" x14ac:dyDescent="0.25">
      <c r="A262" s="519">
        <f t="shared" si="5"/>
        <v>257</v>
      </c>
      <c r="B262" s="500" t="str">
        <f>Suite&amp;" Electrical Room C"</f>
        <v>G104 Electrical Room C</v>
      </c>
      <c r="C262" s="499" t="s">
        <v>1523</v>
      </c>
      <c r="D262" s="233" t="str">
        <f>"Verify the readings in step " &amp; A261 &amp; " and " &amp; A124 &amp; " are within 3% of each other. (new kW divided by original kW must be ≤1.03 and ≥0.97)."</f>
        <v>Verify the readings in step 256 and 119 are within 3% of each other. (new kW divided by original kW must be ≤1.03 and ≥0.97).</v>
      </c>
      <c r="E262" s="499" t="s">
        <v>1464</v>
      </c>
      <c r="F262" s="500"/>
      <c r="G262" s="519"/>
    </row>
    <row r="263" spans="1:7" ht="37.5" x14ac:dyDescent="0.25">
      <c r="A263" s="519">
        <f t="shared" si="5"/>
        <v>258</v>
      </c>
      <c r="B263" s="500" t="str">
        <f>Suite&amp;" Electrical Room D"</f>
        <v>G104 Electrical Room D</v>
      </c>
      <c r="C263" s="499" t="s">
        <v>1484</v>
      </c>
      <c r="D263" s="191" t="s">
        <v>1485</v>
      </c>
      <c r="E263" s="499" t="s">
        <v>1464</v>
      </c>
      <c r="F263" s="500"/>
      <c r="G263" s="519"/>
    </row>
    <row r="264" spans="1:7" ht="37.5" x14ac:dyDescent="0.25">
      <c r="A264" s="519">
        <f t="shared" si="5"/>
        <v>259</v>
      </c>
      <c r="B264" s="500" t="str">
        <f>Suite&amp;" Electrical Room D"</f>
        <v>G104 Electrical Room D</v>
      </c>
      <c r="C264" s="499" t="s">
        <v>1484</v>
      </c>
      <c r="D264" s="233" t="str">
        <f>"Verify the readings in step " &amp; A263 &amp; " and " &amp; A19 &amp; " are within 3% of each other. (new kW divided by original kW must be ≤1.03 and ≥0.97)."</f>
        <v>Verify the readings in step 258 and 14 are within 3% of each other. (new kW divided by original kW must be ≤1.03 and ≥0.97).</v>
      </c>
      <c r="E264" s="499" t="s">
        <v>1464</v>
      </c>
      <c r="F264" s="500"/>
      <c r="G264" s="519"/>
    </row>
    <row r="265" spans="1:7" ht="37.5" x14ac:dyDescent="0.25">
      <c r="A265" s="519">
        <f t="shared" si="5"/>
        <v>260</v>
      </c>
      <c r="B265" s="500" t="str">
        <f>Suite&amp;" Electrical Room D"</f>
        <v>G104 Electrical Room D</v>
      </c>
      <c r="C265" s="499" t="s">
        <v>1486</v>
      </c>
      <c r="D265" s="191" t="s">
        <v>1487</v>
      </c>
      <c r="E265" s="499" t="s">
        <v>1464</v>
      </c>
      <c r="F265" s="500"/>
      <c r="G265" s="519"/>
    </row>
    <row r="266" spans="1:7" ht="37.5" x14ac:dyDescent="0.25">
      <c r="A266" s="519">
        <f t="shared" si="5"/>
        <v>261</v>
      </c>
      <c r="B266" s="500" t="str">
        <f>Suite&amp;" Electrical Room D"</f>
        <v>G104 Electrical Room D</v>
      </c>
      <c r="C266" s="499" t="s">
        <v>1486</v>
      </c>
      <c r="D266" s="233" t="str">
        <f>"Verify the readings in step " &amp; A265 &amp; " and " &amp; A20 &amp; " are within 3% of each other. (new kW divided by original kW must be ≤1.03 and ≥0.97)."</f>
        <v>Verify the readings in step 260 and 15 are within 3% of each other. (new kW divided by original kW must be ≤1.03 and ≥0.97).</v>
      </c>
      <c r="E266" s="499" t="s">
        <v>1464</v>
      </c>
      <c r="F266" s="500"/>
      <c r="G266" s="519"/>
    </row>
    <row r="267" spans="1:7" ht="37.5" x14ac:dyDescent="0.25">
      <c r="A267" s="519">
        <f t="shared" si="5"/>
        <v>262</v>
      </c>
      <c r="B267" s="500" t="str">
        <f>Suite&amp;" Electrical Room D"</f>
        <v>G104 Electrical Room D</v>
      </c>
      <c r="C267" s="499" t="s">
        <v>1524</v>
      </c>
      <c r="D267" s="191" t="s">
        <v>1489</v>
      </c>
      <c r="E267" s="499" t="s">
        <v>1464</v>
      </c>
      <c r="F267" s="500"/>
      <c r="G267" s="519"/>
    </row>
    <row r="268" spans="1:7" ht="37.5" x14ac:dyDescent="0.25">
      <c r="A268" s="519">
        <f t="shared" si="5"/>
        <v>263</v>
      </c>
      <c r="B268" s="500" t="str">
        <f>Suite&amp;" Electrical Room D"</f>
        <v>G104 Electrical Room D</v>
      </c>
      <c r="C268" s="499" t="s">
        <v>1524</v>
      </c>
      <c r="D268" s="233" t="str">
        <f>"Verify the readings in step " &amp; A267 &amp; " and " &amp; A126 &amp; " are within 3% of each other. (new kW divided by original kW must be ≤1.03 and ≥0.97)."</f>
        <v>Verify the readings in step 262 and 121 are within 3% of each other. (new kW divided by original kW must be ≤1.03 and ≥0.97).</v>
      </c>
      <c r="E268" s="499" t="s">
        <v>1464</v>
      </c>
      <c r="F268" s="500"/>
      <c r="G268" s="519"/>
    </row>
    <row r="269" spans="1:7" ht="37.5" x14ac:dyDescent="0.25">
      <c r="A269" s="519">
        <f t="shared" si="5"/>
        <v>264</v>
      </c>
      <c r="B269" s="500" t="str">
        <f>Suite&amp;" Electrical Room F"</f>
        <v>G104 Electrical Room F</v>
      </c>
      <c r="C269" s="499" t="s">
        <v>1490</v>
      </c>
      <c r="D269" s="191" t="s">
        <v>1491</v>
      </c>
      <c r="E269" s="499" t="s">
        <v>1464</v>
      </c>
      <c r="F269" s="500"/>
      <c r="G269" s="519"/>
    </row>
    <row r="270" spans="1:7" ht="37.5" x14ac:dyDescent="0.25">
      <c r="A270" s="519">
        <f t="shared" si="5"/>
        <v>265</v>
      </c>
      <c r="B270" s="500" t="str">
        <f>Suite&amp;" Electrical Room F"</f>
        <v>G104 Electrical Room F</v>
      </c>
      <c r="C270" s="499" t="s">
        <v>1490</v>
      </c>
      <c r="D270" s="233" t="str">
        <f>"Verify the readings in step " &amp; A269 &amp; " and " &amp; A22 &amp; " are within 3% of each other. (new kW divided by original kW must be ≤1.03 and ≥0.97)."</f>
        <v>Verify the readings in step 264 and 17 are within 3% of each other. (new kW divided by original kW must be ≤1.03 and ≥0.97).</v>
      </c>
      <c r="E270" s="499" t="s">
        <v>1464</v>
      </c>
      <c r="F270" s="500"/>
      <c r="G270" s="519"/>
    </row>
    <row r="271" spans="1:7" ht="37.5" x14ac:dyDescent="0.25">
      <c r="A271" s="519">
        <f t="shared" si="5"/>
        <v>266</v>
      </c>
      <c r="B271" s="500" t="str">
        <f>Suite&amp;" Electrical Room F"</f>
        <v>G104 Electrical Room F</v>
      </c>
      <c r="C271" s="499" t="s">
        <v>1492</v>
      </c>
      <c r="D271" s="191" t="s">
        <v>1493</v>
      </c>
      <c r="E271" s="499" t="s">
        <v>1464</v>
      </c>
      <c r="F271" s="500"/>
      <c r="G271" s="519"/>
    </row>
    <row r="272" spans="1:7" ht="37.5" x14ac:dyDescent="0.25">
      <c r="A272" s="519">
        <f t="shared" si="5"/>
        <v>267</v>
      </c>
      <c r="B272" s="500" t="str">
        <f>Suite&amp;" Electrical Room F"</f>
        <v>G104 Electrical Room F</v>
      </c>
      <c r="C272" s="499" t="s">
        <v>1492</v>
      </c>
      <c r="D272" s="233" t="str">
        <f>"Verify the readings in step " &amp; A271 &amp; " and " &amp; A23 &amp; " are within 3% of each other. (new kW divided by original kW must be ≤1.03 and ≥0.97)."</f>
        <v>Verify the readings in step 266 and 18 are within 3% of each other. (new kW divided by original kW must be ≤1.03 and ≥0.97).</v>
      </c>
      <c r="E272" s="499" t="s">
        <v>1464</v>
      </c>
      <c r="F272" s="500"/>
      <c r="G272" s="519"/>
    </row>
    <row r="273" spans="1:7" ht="37.5" x14ac:dyDescent="0.25">
      <c r="A273" s="519">
        <f t="shared" si="5"/>
        <v>268</v>
      </c>
      <c r="B273" s="500" t="str">
        <f>Suite&amp;" Electrical Room F"</f>
        <v>G104 Electrical Room F</v>
      </c>
      <c r="C273" s="499" t="s">
        <v>1525</v>
      </c>
      <c r="D273" s="191" t="s">
        <v>1495</v>
      </c>
      <c r="E273" s="499" t="s">
        <v>1464</v>
      </c>
      <c r="F273" s="500"/>
      <c r="G273" s="519"/>
    </row>
    <row r="274" spans="1:7" ht="37.5" x14ac:dyDescent="0.25">
      <c r="A274" s="519">
        <f t="shared" si="5"/>
        <v>269</v>
      </c>
      <c r="B274" s="500" t="str">
        <f>Suite&amp;" Electrical Room F"</f>
        <v>G104 Electrical Room F</v>
      </c>
      <c r="C274" s="499" t="s">
        <v>1525</v>
      </c>
      <c r="D274" s="233" t="str">
        <f>"Verify the readings in step " &amp; A273 &amp; " and " &amp; A128 &amp; " are within 3% of each other. (new kW divided by original kW must be ≤1.03 and ≥0.97)."</f>
        <v>Verify the readings in step 268 and 123 are within 3% of each other. (new kW divided by original kW must be ≤1.03 and ≥0.97).</v>
      </c>
      <c r="E274" s="499" t="s">
        <v>1464</v>
      </c>
      <c r="F274" s="500"/>
      <c r="G274" s="519"/>
    </row>
    <row r="275" spans="1:7" ht="37.5" x14ac:dyDescent="0.25">
      <c r="A275" s="519" cm="1">
        <f t="array" ref="A275">IF(NumberOfSW=2,A256+1,IF(NumberOfSW=3,A262+1,IF(NumberOfSW=4,A268+1,A274+1)))</f>
        <v>270</v>
      </c>
      <c r="B275" s="500" t="s">
        <v>1462</v>
      </c>
      <c r="C275" s="499" t="s">
        <v>84</v>
      </c>
      <c r="D275" s="190" t="s">
        <v>1558</v>
      </c>
      <c r="E275" s="499" t="s">
        <v>1464</v>
      </c>
      <c r="F275" s="500"/>
      <c r="G275" s="500" t="s">
        <v>1519</v>
      </c>
    </row>
  </sheetData>
  <sheetProtection formatCells="0" formatColumns="0" formatRows="0" insertRows="0" deleteRows="0" sort="0" autoFilter="0"/>
  <mergeCells count="12">
    <mergeCell ref="B29:G29"/>
    <mergeCell ref="A2:B2"/>
    <mergeCell ref="A4:C4"/>
    <mergeCell ref="B6:G6"/>
    <mergeCell ref="B8:G8"/>
    <mergeCell ref="B27:G27"/>
    <mergeCell ref="C2:G2"/>
    <mergeCell ref="B38:G38"/>
    <mergeCell ref="B63:G63"/>
    <mergeCell ref="B131:G131"/>
    <mergeCell ref="B213:G213"/>
    <mergeCell ref="B237:G237"/>
  </mergeCells>
  <phoneticPr fontId="42" type="noConversion"/>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0505F-D9EE-4F1A-9318-C6DABFB2D6A4}">
  <sheetPr codeName="eXL_B">
    <pageSetUpPr fitToPage="1"/>
  </sheetPr>
  <dimension ref="A1:I275"/>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517" t="s">
        <v>1455</v>
      </c>
      <c r="B5" s="518" t="s">
        <v>8</v>
      </c>
      <c r="C5" s="518" t="s">
        <v>1456</v>
      </c>
      <c r="D5" s="517" t="s">
        <v>1457</v>
      </c>
      <c r="E5" s="518" t="s">
        <v>1458</v>
      </c>
      <c r="F5" s="518" t="s">
        <v>1459</v>
      </c>
      <c r="G5" s="517" t="s">
        <v>1460</v>
      </c>
    </row>
    <row r="6" spans="1:9" x14ac:dyDescent="0.3">
      <c r="A6" s="519">
        <f>'eXL-A'!A275+1</f>
        <v>271</v>
      </c>
      <c r="B6" s="702" t="s">
        <v>1461</v>
      </c>
      <c r="C6" s="704"/>
      <c r="D6" s="704"/>
      <c r="E6" s="704"/>
      <c r="F6" s="704"/>
      <c r="G6" s="704"/>
    </row>
    <row r="7" spans="1:9" x14ac:dyDescent="0.25">
      <c r="A7" s="519">
        <f>A6+1</f>
        <v>272</v>
      </c>
      <c r="B7" s="499" t="s">
        <v>1462</v>
      </c>
      <c r="C7" s="499" t="s">
        <v>84</v>
      </c>
      <c r="D7" s="191" t="s">
        <v>1463</v>
      </c>
      <c r="E7" s="499" t="s">
        <v>1464</v>
      </c>
      <c r="F7" s="500"/>
      <c r="G7" s="519"/>
    </row>
    <row r="8" spans="1:9" x14ac:dyDescent="0.3">
      <c r="A8" s="519">
        <f t="shared" ref="A8:A24" si="0">A7+1</f>
        <v>273</v>
      </c>
      <c r="B8" s="702" t="s">
        <v>1465</v>
      </c>
      <c r="C8" s="704"/>
      <c r="D8" s="704"/>
      <c r="E8" s="704"/>
      <c r="F8" s="704"/>
      <c r="G8" s="704"/>
    </row>
    <row r="9" spans="1:9" ht="37.5" x14ac:dyDescent="0.25">
      <c r="A9" s="519">
        <f t="shared" si="0"/>
        <v>274</v>
      </c>
      <c r="B9" s="500" t="str">
        <f>Suite&amp;" Electrical Rooms"</f>
        <v>G104 Electrical Rooms</v>
      </c>
      <c r="C9" s="499" t="str" cm="1">
        <f t="array" ref="C9">Suite &amp; " UPS Systems"</f>
        <v>G104 UPS Systems</v>
      </c>
      <c r="D9" s="191" t="str" cm="1">
        <f t="array" ref="D9">"Verify " &amp; Suite &amp; " UPS systems are on-line with no critical alarms present."</f>
        <v>Verify G104 UPS systems are on-line with no critical alarms present.</v>
      </c>
      <c r="E9" s="499" t="s">
        <v>1464</v>
      </c>
      <c r="F9" s="500"/>
      <c r="G9" s="519"/>
    </row>
    <row r="10" spans="1:9" ht="37.5" x14ac:dyDescent="0.25">
      <c r="A10" s="519">
        <f t="shared" si="0"/>
        <v>275</v>
      </c>
      <c r="B10" s="500" t="str">
        <f>Suite&amp;" Electrical Room A"</f>
        <v>G104 Electrical Room A</v>
      </c>
      <c r="C10" s="499" t="s">
        <v>1466</v>
      </c>
      <c r="D10" s="191" t="s">
        <v>1467</v>
      </c>
      <c r="E10" s="499" t="s">
        <v>1464</v>
      </c>
      <c r="F10" s="500"/>
      <c r="G10" s="519"/>
    </row>
    <row r="11" spans="1:9" ht="37.5" x14ac:dyDescent="0.25">
      <c r="A11" s="519">
        <f t="shared" si="0"/>
        <v>276</v>
      </c>
      <c r="B11" s="500" t="str">
        <f>Suite&amp;" Electrical Room A"</f>
        <v>G104 Electrical Room A</v>
      </c>
      <c r="C11" s="499" t="s">
        <v>1468</v>
      </c>
      <c r="D11" s="191" t="s">
        <v>1469</v>
      </c>
      <c r="E11" s="499" t="s">
        <v>1464</v>
      </c>
      <c r="F11" s="500"/>
      <c r="G11" s="519"/>
    </row>
    <row r="12" spans="1:9" ht="37.5" x14ac:dyDescent="0.25">
      <c r="A12" s="519">
        <f t="shared" si="0"/>
        <v>277</v>
      </c>
      <c r="B12" s="500" t="str">
        <f>Suite&amp;" Electrical Room A"</f>
        <v>G104 Electrical Room A</v>
      </c>
      <c r="C12" s="499" t="s">
        <v>1470</v>
      </c>
      <c r="D12" s="191" t="s">
        <v>1471</v>
      </c>
      <c r="E12" s="499" t="s">
        <v>1464</v>
      </c>
      <c r="F12" s="500"/>
      <c r="G12" s="519"/>
    </row>
    <row r="13" spans="1:9" ht="37.5" x14ac:dyDescent="0.25">
      <c r="A13" s="519">
        <f t="shared" si="0"/>
        <v>278</v>
      </c>
      <c r="B13" s="500" t="str">
        <f>Suite&amp;" Electrical Room B"</f>
        <v>G104 Electrical Room B</v>
      </c>
      <c r="C13" s="499" t="s">
        <v>1472</v>
      </c>
      <c r="D13" s="191" t="s">
        <v>1473</v>
      </c>
      <c r="E13" s="499" t="s">
        <v>1464</v>
      </c>
      <c r="F13" s="500"/>
      <c r="G13" s="519"/>
    </row>
    <row r="14" spans="1:9" ht="37.5" x14ac:dyDescent="0.25">
      <c r="A14" s="519">
        <f t="shared" si="0"/>
        <v>279</v>
      </c>
      <c r="B14" s="500" t="str">
        <f>Suite&amp;" Electrical Room B"</f>
        <v>G104 Electrical Room B</v>
      </c>
      <c r="C14" s="499" t="s">
        <v>1474</v>
      </c>
      <c r="D14" s="191" t="s">
        <v>1475</v>
      </c>
      <c r="E14" s="499" t="s">
        <v>1464</v>
      </c>
      <c r="F14" s="500"/>
      <c r="G14" s="519"/>
    </row>
    <row r="15" spans="1:9" ht="37.5" x14ac:dyDescent="0.25">
      <c r="A15" s="519">
        <f t="shared" si="0"/>
        <v>280</v>
      </c>
      <c r="B15" s="500" t="str">
        <f>Suite&amp;" Electrical Room B"</f>
        <v>G104 Electrical Room B</v>
      </c>
      <c r="C15" s="499" t="s">
        <v>1476</v>
      </c>
      <c r="D15" s="191" t="s">
        <v>1477</v>
      </c>
      <c r="E15" s="499" t="s">
        <v>1464</v>
      </c>
      <c r="F15" s="500"/>
      <c r="G15" s="519"/>
    </row>
    <row r="16" spans="1:9" ht="37.5" hidden="1" x14ac:dyDescent="0.25">
      <c r="A16" s="519">
        <f t="shared" si="0"/>
        <v>281</v>
      </c>
      <c r="B16" s="500" t="str">
        <f>Suite&amp;" Electrical Room C"</f>
        <v>G104 Electrical Room C</v>
      </c>
      <c r="C16" s="499" t="s">
        <v>1478</v>
      </c>
      <c r="D16" s="191" t="s">
        <v>1479</v>
      </c>
      <c r="E16" s="499" t="s">
        <v>1464</v>
      </c>
      <c r="F16" s="500"/>
      <c r="G16" s="519"/>
    </row>
    <row r="17" spans="1:7" ht="37.5" hidden="1" x14ac:dyDescent="0.25">
      <c r="A17" s="519">
        <f t="shared" si="0"/>
        <v>282</v>
      </c>
      <c r="B17" s="500" t="str">
        <f>Suite&amp;" Electrical Room C"</f>
        <v>G104 Electrical Room C</v>
      </c>
      <c r="C17" s="499" t="s">
        <v>1480</v>
      </c>
      <c r="D17" s="191" t="s">
        <v>1481</v>
      </c>
      <c r="E17" s="499" t="s">
        <v>1464</v>
      </c>
      <c r="F17" s="500"/>
      <c r="G17" s="519"/>
    </row>
    <row r="18" spans="1:7" ht="37.5" hidden="1" x14ac:dyDescent="0.25">
      <c r="A18" s="519">
        <f t="shared" si="0"/>
        <v>283</v>
      </c>
      <c r="B18" s="500" t="str">
        <f>Suite&amp;" Electrical Room C"</f>
        <v>G104 Electrical Room C</v>
      </c>
      <c r="C18" s="499" t="s">
        <v>1482</v>
      </c>
      <c r="D18" s="191" t="s">
        <v>1483</v>
      </c>
      <c r="E18" s="499" t="s">
        <v>1464</v>
      </c>
      <c r="F18" s="500"/>
      <c r="G18" s="519"/>
    </row>
    <row r="19" spans="1:7" ht="37.5" hidden="1" x14ac:dyDescent="0.25">
      <c r="A19" s="519">
        <f t="shared" si="0"/>
        <v>284</v>
      </c>
      <c r="B19" s="500" t="str">
        <f>Suite&amp;" Electrical Room D"</f>
        <v>G104 Electrical Room D</v>
      </c>
      <c r="C19" s="499" t="s">
        <v>1484</v>
      </c>
      <c r="D19" s="191" t="s">
        <v>1485</v>
      </c>
      <c r="E19" s="499" t="s">
        <v>1464</v>
      </c>
      <c r="F19" s="500"/>
      <c r="G19" s="519"/>
    </row>
    <row r="20" spans="1:7" ht="37.5" hidden="1" x14ac:dyDescent="0.25">
      <c r="A20" s="519">
        <f t="shared" si="0"/>
        <v>285</v>
      </c>
      <c r="B20" s="500" t="str">
        <f>Suite&amp;" Electrical Room D"</f>
        <v>G104 Electrical Room D</v>
      </c>
      <c r="C20" s="499" t="s">
        <v>1486</v>
      </c>
      <c r="D20" s="191" t="s">
        <v>1487</v>
      </c>
      <c r="E20" s="499" t="s">
        <v>1464</v>
      </c>
      <c r="F20" s="500"/>
      <c r="G20" s="519"/>
    </row>
    <row r="21" spans="1:7" ht="37.5" hidden="1" x14ac:dyDescent="0.25">
      <c r="A21" s="519">
        <f t="shared" si="0"/>
        <v>286</v>
      </c>
      <c r="B21" s="500" t="str">
        <f>Suite&amp;" Electrical Room D"</f>
        <v>G104 Electrical Room D</v>
      </c>
      <c r="C21" s="499" t="s">
        <v>1488</v>
      </c>
      <c r="D21" s="191" t="s">
        <v>1489</v>
      </c>
      <c r="E21" s="499" t="s">
        <v>1464</v>
      </c>
      <c r="F21" s="500"/>
      <c r="G21" s="519"/>
    </row>
    <row r="22" spans="1:7" ht="37.5" hidden="1" x14ac:dyDescent="0.25">
      <c r="A22" s="519">
        <f t="shared" si="0"/>
        <v>287</v>
      </c>
      <c r="B22" s="500" t="str">
        <f>Suite&amp;" Electrical Room F"</f>
        <v>G104 Electrical Room F</v>
      </c>
      <c r="C22" s="499" t="s">
        <v>1490</v>
      </c>
      <c r="D22" s="191" t="s">
        <v>1491</v>
      </c>
      <c r="E22" s="499" t="s">
        <v>1464</v>
      </c>
      <c r="F22" s="500"/>
      <c r="G22" s="519"/>
    </row>
    <row r="23" spans="1:7" ht="37.5" hidden="1" x14ac:dyDescent="0.25">
      <c r="A23" s="519">
        <f t="shared" si="0"/>
        <v>288</v>
      </c>
      <c r="B23" s="500" t="str">
        <f>Suite&amp;" Electrical Room F"</f>
        <v>G104 Electrical Room F</v>
      </c>
      <c r="C23" s="499" t="s">
        <v>1492</v>
      </c>
      <c r="D23" s="191" t="s">
        <v>1493</v>
      </c>
      <c r="E23" s="499" t="s">
        <v>1464</v>
      </c>
      <c r="F23" s="500"/>
      <c r="G23" s="519"/>
    </row>
    <row r="24" spans="1:7" ht="37.5" hidden="1" x14ac:dyDescent="0.25">
      <c r="A24" s="519">
        <f t="shared" si="0"/>
        <v>289</v>
      </c>
      <c r="B24" s="500" t="str">
        <f>Suite&amp;" Electrical Room F"</f>
        <v>G104 Electrical Room F</v>
      </c>
      <c r="C24" s="499" t="s">
        <v>1494</v>
      </c>
      <c r="D24" s="191" t="s">
        <v>1495</v>
      </c>
      <c r="E24" s="499" t="s">
        <v>1464</v>
      </c>
      <c r="F24" s="500"/>
      <c r="G24" s="519"/>
    </row>
    <row r="25" spans="1:7" ht="56.25" x14ac:dyDescent="0.25">
      <c r="A25" s="519" cm="1">
        <f t="array" ref="A25">IF(NumberOfSW=2,A21+1,IF(NumberOfSW=3,A22+1,IF(NumberOfSW=4,A23+1,A24+1)))</f>
        <v>290</v>
      </c>
      <c r="B25" s="500" t="str" cm="1">
        <f t="array" ref="B25">Suite &amp; " Electrical Rooms"</f>
        <v>G104 Electrical Rooms</v>
      </c>
      <c r="C25" s="499" t="str" cm="1">
        <f t="array" ref="C25">Suite &amp; " UPS System"</f>
        <v>G104 UPS System</v>
      </c>
      <c r="D25" s="190" t="s">
        <v>4621</v>
      </c>
      <c r="E25" s="499" t="s">
        <v>1464</v>
      </c>
      <c r="F25" s="500"/>
      <c r="G25" s="500" t="s">
        <v>1519</v>
      </c>
    </row>
    <row r="26" spans="1:7" ht="37.5" x14ac:dyDescent="0.25">
      <c r="A26" s="519">
        <f>A25+1</f>
        <v>291</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00"/>
    </row>
    <row r="27" spans="1:7" x14ac:dyDescent="0.3">
      <c r="A27" s="519">
        <f>A26+1</f>
        <v>292</v>
      </c>
      <c r="B27" s="702" t="str" cm="1">
        <f t="array" ref="B27">"Prepare UP" &amp; SWTwo &amp; " for Transfer to Maintenance Bypass"</f>
        <v>Prepare UPXXX for Transfer to Maintenance Bypass</v>
      </c>
      <c r="C27" s="704"/>
      <c r="D27" s="704"/>
      <c r="E27" s="704"/>
      <c r="F27" s="704"/>
      <c r="G27" s="704"/>
    </row>
    <row r="28" spans="1:7" ht="37.5" x14ac:dyDescent="0.25">
      <c r="A28" s="519">
        <f t="shared" ref="A28:A91" si="1">A27+1</f>
        <v>293</v>
      </c>
      <c r="B28" s="500" t="str">
        <f>Suite&amp;" Electrical Room "&amp;SWTwo</f>
        <v>G104 Electrical Room XXX</v>
      </c>
      <c r="C28" s="499" t="str" cm="1">
        <f t="array" ref="C28">"UP" &amp; SWTwo</f>
        <v>UPXXX</v>
      </c>
      <c r="D28" s="190" t="str" cm="1">
        <f t="array" ref="D28">"At breaker MBUP" &amp; SWTwo &amp; ", (MBB) pump charging handle repeatedly to compress spring and charge breaker."</f>
        <v>At breaker MBUPXXX, (MBB) pump charging handle repeatedly to compress spring and charge breaker.</v>
      </c>
      <c r="E28" s="499" t="s">
        <v>1464</v>
      </c>
      <c r="F28" s="500"/>
      <c r="G28" s="519"/>
    </row>
    <row r="29" spans="1:7" x14ac:dyDescent="0.3">
      <c r="A29" s="519">
        <f t="shared" si="1"/>
        <v>294</v>
      </c>
      <c r="B29" s="702" t="str" cm="1">
        <f t="array" ref="B29">"Transfer UPS System " &amp; SWTwo &amp; " to Static Bypass"</f>
        <v>Transfer UPS System XXX to Static Bypass</v>
      </c>
      <c r="C29" s="704"/>
      <c r="D29" s="704"/>
      <c r="E29" s="704"/>
      <c r="F29" s="704"/>
      <c r="G29" s="704"/>
    </row>
    <row r="30" spans="1:7" ht="37.5" x14ac:dyDescent="0.25">
      <c r="A30" s="519">
        <f t="shared" si="1"/>
        <v>295</v>
      </c>
      <c r="B30" s="500" t="str">
        <f>Suite&amp;" Electrical Room "&amp;SWTwo</f>
        <v>G104 Electrical Room XXX</v>
      </c>
      <c r="C30" s="499" t="str" cm="1">
        <f t="array" ref="C30">"UPS " &amp; SWTwo &amp; "1"</f>
        <v>UPS XXX1</v>
      </c>
      <c r="D30" s="190" t="s">
        <v>1496</v>
      </c>
      <c r="E30" s="499" t="s">
        <v>1464</v>
      </c>
      <c r="F30" s="500"/>
      <c r="G30" s="519"/>
    </row>
    <row r="31" spans="1:7" ht="37.5" x14ac:dyDescent="0.25">
      <c r="A31" s="519">
        <f t="shared" si="1"/>
        <v>296</v>
      </c>
      <c r="B31" s="500" t="str">
        <f>Suite&amp;" Electrical Room "&amp;SWTwo</f>
        <v>G104 Electrical Room XXX</v>
      </c>
      <c r="C31" s="499" t="str" cm="1">
        <f t="array" ref="C31">"UPS " &amp; SWTwo &amp; "1"</f>
        <v>UPS XXX1</v>
      </c>
      <c r="D31" s="233" t="s">
        <v>1497</v>
      </c>
      <c r="E31" s="499" t="s">
        <v>1464</v>
      </c>
      <c r="F31" s="500"/>
      <c r="G31" s="519"/>
    </row>
    <row r="32" spans="1:7" ht="37.5" x14ac:dyDescent="0.25">
      <c r="A32" s="519">
        <f t="shared" si="1"/>
        <v>297</v>
      </c>
      <c r="B32" s="500" t="str">
        <f>Suite&amp;" Electrical Room "&amp;SWTwo</f>
        <v>G104 Electrical Room XXX</v>
      </c>
      <c r="C32" s="499" t="str" cm="1">
        <f t="array" ref="C32">"UPS " &amp; SWTwo &amp; "1"</f>
        <v>UPS XXX1</v>
      </c>
      <c r="D32" s="190" t="s">
        <v>1498</v>
      </c>
      <c r="E32" s="499" t="s">
        <v>1464</v>
      </c>
      <c r="F32" s="500"/>
      <c r="G32" s="519"/>
    </row>
    <row r="33" spans="1:7" ht="37.5" x14ac:dyDescent="0.25">
      <c r="A33" s="519">
        <f t="shared" si="1"/>
        <v>298</v>
      </c>
      <c r="B33" s="500" t="str">
        <f>Suite&amp;" Electrical Room "&amp;SWTwo</f>
        <v>G104 Electrical Room XXX</v>
      </c>
      <c r="C33" s="499" t="str" cm="1">
        <f t="array" ref="C33">"UPS " &amp; SWTwo &amp; "1"</f>
        <v>UPS XXX1</v>
      </c>
      <c r="D33" s="190" t="s">
        <v>1499</v>
      </c>
      <c r="E33" s="499" t="s">
        <v>1464</v>
      </c>
      <c r="F33" s="500"/>
      <c r="G33" s="519"/>
    </row>
    <row r="34" spans="1:7" ht="37.5" x14ac:dyDescent="0.25">
      <c r="A34" s="519">
        <f t="shared" si="1"/>
        <v>299</v>
      </c>
      <c r="B34" s="500" t="str">
        <f>Suite&amp;" Electrical Room "&amp;SWTwo</f>
        <v>G104 Electrical Room XXX</v>
      </c>
      <c r="C34" s="499" t="str" cm="1">
        <f t="array" ref="C34">"UPS " &amp; SWTwo &amp; "1"</f>
        <v>UPS XXX1</v>
      </c>
      <c r="D34" s="190" t="s">
        <v>1500</v>
      </c>
      <c r="E34" s="499" t="s">
        <v>1464</v>
      </c>
      <c r="F34" s="500"/>
      <c r="G34" s="519"/>
    </row>
    <row r="35" spans="1:7" ht="37.5" x14ac:dyDescent="0.25">
      <c r="A35" s="519">
        <f t="shared" si="1"/>
        <v>300</v>
      </c>
      <c r="B35" s="500" t="str">
        <f>Suite&amp;" Electrical Room "&amp;SWTwo</f>
        <v>G104 Electrical Room XXX</v>
      </c>
      <c r="C35" s="499" t="str" cm="1">
        <f t="array" ref="C35">"UPS " &amp; SWTwo</f>
        <v>UPS XXX</v>
      </c>
      <c r="D35" s="233" t="s">
        <v>1501</v>
      </c>
      <c r="E35" s="499" t="s">
        <v>1464</v>
      </c>
      <c r="F35" s="500"/>
      <c r="G35" s="519"/>
    </row>
    <row r="36" spans="1:7" ht="37.5" x14ac:dyDescent="0.25">
      <c r="A36" s="519">
        <f t="shared" si="1"/>
        <v>301</v>
      </c>
      <c r="B36" s="500" t="str">
        <f>Suite&amp;" Electrical Room "&amp;SWTwo</f>
        <v>G104 Electrical Room XXX</v>
      </c>
      <c r="C36" s="499" t="str" cm="1">
        <f t="array" ref="C36">"UP" &amp; SWTwo</f>
        <v>UPXXX</v>
      </c>
      <c r="D36" s="190" t="str" cm="1">
        <f t="array" ref="D36">"Notate the kW reading at UP" &amp; SWTwo &amp; " Critical Bus Panel Meter: _________"</f>
        <v>Notate the kW reading at UPXXX Critical Bus Panel Meter: _________</v>
      </c>
      <c r="E36" s="499" t="s">
        <v>1464</v>
      </c>
      <c r="F36" s="500"/>
      <c r="G36" s="519"/>
    </row>
    <row r="37" spans="1:7" ht="37.5" x14ac:dyDescent="0.25">
      <c r="A37" s="519">
        <f t="shared" si="1"/>
        <v>302</v>
      </c>
      <c r="B37" s="500" t="str">
        <f>Suite&amp;" Electrical Room "&amp;SWTwo</f>
        <v>G104 Electrical Room XXX</v>
      </c>
      <c r="C37" s="499" t="str" cm="1">
        <f t="array" ref="C37">"UP" &amp; SWTwo</f>
        <v>UPXXX</v>
      </c>
      <c r="D37" s="190" t="str">
        <f>"Verify the readings in step " &amp; A12 &amp; " and " &amp; A36 &amp; " are within 3% of each other. (new kW divided by original kW must be ≤1.03 and ≥0.97)."</f>
        <v>Verify the readings in step 277 and 301 are within 3% of each other. (new kW divided by original kW must be ≤1.03 and ≥0.97).</v>
      </c>
      <c r="E37" s="499" t="s">
        <v>1464</v>
      </c>
      <c r="F37" s="500"/>
      <c r="G37" s="519"/>
    </row>
    <row r="38" spans="1:7" x14ac:dyDescent="0.25">
      <c r="A38" s="519">
        <f t="shared" si="1"/>
        <v>303</v>
      </c>
      <c r="B38" s="702" t="s">
        <v>1502</v>
      </c>
      <c r="C38" s="703"/>
      <c r="D38" s="703"/>
      <c r="E38" s="703"/>
      <c r="F38" s="703"/>
      <c r="G38" s="703"/>
    </row>
    <row r="39" spans="1:7" ht="37.5" x14ac:dyDescent="0.25">
      <c r="A39" s="519">
        <f t="shared" si="1"/>
        <v>304</v>
      </c>
      <c r="B39" s="500" t="str">
        <f>Suite&amp;" Electrical Room "&amp;SWTwo</f>
        <v>G104 Electrical Room XXX</v>
      </c>
      <c r="C39" s="499" t="str" cm="1">
        <f t="array" ref="C39">"UP" &amp; SWTwo</f>
        <v>UPXXX</v>
      </c>
      <c r="D39" s="233" t="s">
        <v>1503</v>
      </c>
      <c r="E39" s="499" t="s">
        <v>1464</v>
      </c>
      <c r="F39" s="500"/>
      <c r="G39" s="519"/>
    </row>
    <row r="40" spans="1:7" ht="37.5" x14ac:dyDescent="0.25">
      <c r="A40" s="519">
        <f t="shared" si="1"/>
        <v>305</v>
      </c>
      <c r="B40" s="500" t="str">
        <f>Suite&amp;" Electrical Room "&amp;SWTwo</f>
        <v>G104 Electrical Room XXX</v>
      </c>
      <c r="C40" s="499" t="str" cm="1">
        <f t="array" ref="C40">"UP" &amp; SWTwo</f>
        <v>UPXXX</v>
      </c>
      <c r="D40" s="233" t="s">
        <v>1504</v>
      </c>
      <c r="E40" s="499" t="s">
        <v>1464</v>
      </c>
      <c r="F40" s="500"/>
      <c r="G40" s="519"/>
    </row>
    <row r="41" spans="1:7" ht="37.5" x14ac:dyDescent="0.25">
      <c r="A41" s="519">
        <f t="shared" si="1"/>
        <v>306</v>
      </c>
      <c r="B41" s="500" t="str">
        <f>Suite&amp;" Electrical Room "&amp;SWTwo</f>
        <v>G104 Electrical Room XXX</v>
      </c>
      <c r="C41" s="499" t="str" cm="1">
        <f t="array" ref="C41">"UP" &amp; SWTwo</f>
        <v>UPXXX</v>
      </c>
      <c r="D41" s="233" t="s">
        <v>1505</v>
      </c>
      <c r="E41" s="499" t="s">
        <v>1464</v>
      </c>
      <c r="F41" s="500"/>
      <c r="G41" s="519"/>
    </row>
    <row r="42" spans="1:7" ht="37.5" x14ac:dyDescent="0.25">
      <c r="A42" s="519">
        <f t="shared" si="1"/>
        <v>307</v>
      </c>
      <c r="B42" s="500" t="str">
        <f>Suite&amp;" Electrical Room "&amp;SWTwo</f>
        <v>G104 Electrical Room XXX</v>
      </c>
      <c r="C42" s="499" t="str" cm="1">
        <f t="array" ref="C42">"UP" &amp; SWTwo</f>
        <v>UPXXX</v>
      </c>
      <c r="D42" s="233" t="str" cm="1">
        <f t="array" ref="D42">"Insert the interlock key into the MBUP" &amp; SWTwo &amp; " breaker lock cylinder."</f>
        <v>Insert the interlock key into the MBUPXXX breaker lock cylinder.</v>
      </c>
      <c r="E42" s="499" t="s">
        <v>1464</v>
      </c>
      <c r="F42" s="500"/>
      <c r="G42" s="519"/>
    </row>
    <row r="43" spans="1:7" ht="37.5" x14ac:dyDescent="0.25">
      <c r="A43" s="519">
        <f t="shared" si="1"/>
        <v>308</v>
      </c>
      <c r="B43" s="500" t="str">
        <f>Suite&amp;" Electrical Room "&amp;SWTwo</f>
        <v>G104 Electrical Room XXX</v>
      </c>
      <c r="C43" s="499" t="str" cm="1">
        <f t="array" ref="C43">"UP" &amp; SWTwo</f>
        <v>UPXXX</v>
      </c>
      <c r="D43" s="233" t="str" cm="1">
        <f t="array" ref="D43">"Rotate the interlock key 90 degrees to UNLOCK the MBUP" &amp; SWTwo &amp; " breaker."</f>
        <v>Rotate the interlock key 90 degrees to UNLOCK the MBUPXXX breaker.</v>
      </c>
      <c r="E43" s="499" t="s">
        <v>1464</v>
      </c>
      <c r="F43" s="500"/>
      <c r="G43" s="519"/>
    </row>
    <row r="44" spans="1:7" ht="37.5" x14ac:dyDescent="0.25">
      <c r="A44" s="519">
        <f t="shared" si="1"/>
        <v>309</v>
      </c>
      <c r="B44" s="500" t="str">
        <f>Suite&amp;" Electrical Room "&amp;SWTwo</f>
        <v>G104 Electrical Room XXX</v>
      </c>
      <c r="C44" s="499" t="str" cm="1">
        <f t="array" ref="C44">"UP" &amp; SWTwo</f>
        <v>UPXXX</v>
      </c>
      <c r="D44" s="233" t="str" cm="1">
        <f t="array" ref="D44">"Close breaker MBUP" &amp; SWTwo &amp; "."</f>
        <v>Close breaker MBUPXXX.</v>
      </c>
      <c r="E44" s="499" t="s">
        <v>1464</v>
      </c>
      <c r="F44" s="500"/>
      <c r="G44" s="519"/>
    </row>
    <row r="45" spans="1:7" ht="37.5" x14ac:dyDescent="0.25">
      <c r="A45" s="519">
        <f t="shared" si="1"/>
        <v>310</v>
      </c>
      <c r="B45" s="500" t="str">
        <f>Suite&amp;" Electrical Room "&amp;SWTwo</f>
        <v>G104 Electrical Room XXX</v>
      </c>
      <c r="C45" s="499" t="str" cm="1">
        <f t="array" ref="C45">"UP" &amp; SWTwo</f>
        <v>UPXXX</v>
      </c>
      <c r="D45" s="233" t="str" cm="1">
        <f t="array" ref="D45">"Verify MBUP" &amp; SWTwo &amp; " breaker flag indicates CLOSED."</f>
        <v>Verify MBUPXXX breaker flag indicates CLOSED.</v>
      </c>
      <c r="E45" s="499" t="s">
        <v>1464</v>
      </c>
      <c r="F45" s="500"/>
      <c r="G45" s="519"/>
    </row>
    <row r="46" spans="1:7" ht="37.5" x14ac:dyDescent="0.25">
      <c r="A46" s="519">
        <f t="shared" si="1"/>
        <v>311</v>
      </c>
      <c r="B46" s="500" t="str">
        <f>Suite&amp;" Electrical Room "&amp;SWTwo</f>
        <v>G104 Electrical Room XXX</v>
      </c>
      <c r="C46" s="499" t="str" cm="1">
        <f t="array" ref="C46">"UP" &amp; SWTwo</f>
        <v>UPXXX</v>
      </c>
      <c r="D46" s="233" t="str" cm="1">
        <f t="array" ref="D46">"Verify breaker MBUP" &amp; SWTwo &amp; " is carrying a portion of critical customer load using breaker mounted metering."</f>
        <v>Verify breaker MBUPXXX is carrying a portion of critical customer load using breaker mounted metering.</v>
      </c>
      <c r="E46" s="499" t="s">
        <v>1464</v>
      </c>
      <c r="F46" s="500"/>
      <c r="G46" s="519"/>
    </row>
    <row r="47" spans="1:7" ht="37.5" x14ac:dyDescent="0.25">
      <c r="A47" s="519">
        <f t="shared" si="1"/>
        <v>312</v>
      </c>
      <c r="B47" s="500" t="str">
        <f>Suite&amp;" Electrical Room "&amp;SWTwo</f>
        <v>G104 Electrical Room XXX</v>
      </c>
      <c r="C47" s="499" t="str" cm="1">
        <f t="array" ref="C47">"UP" &amp; SWTwo</f>
        <v>UPXXX</v>
      </c>
      <c r="D47" s="233" t="str" cm="1">
        <f t="array" ref="D47">"Verify breaker MCBUP" &amp; SWTwo &amp; " is carrying a portion of critical customer load using breaker mounted metering."</f>
        <v>Verify breaker MCBUPXXX is carrying a portion of critical customer load using breaker mounted metering.</v>
      </c>
      <c r="E47" s="499" t="s">
        <v>1464</v>
      </c>
      <c r="F47" s="500"/>
      <c r="G47" s="519"/>
    </row>
    <row r="48" spans="1:7" ht="37.5" x14ac:dyDescent="0.25">
      <c r="A48" s="519">
        <f t="shared" si="1"/>
        <v>313</v>
      </c>
      <c r="B48" s="500" t="str">
        <f>Suite&amp;" Electrical Room "&amp;SWTwo</f>
        <v>G104 Electrical Room XXX</v>
      </c>
      <c r="C48" s="499" t="str" cm="1">
        <f t="array" ref="C48">"UP" &amp; SWTwo</f>
        <v>UPXXX</v>
      </c>
      <c r="D48" s="233" t="str" cm="1">
        <f t="array" ref="D48">"Notate the kW reading at UP" &amp; SWTwo &amp; " Critical Bus Panel Meter: _________"</f>
        <v>Notate the kW reading at UPXXX Critical Bus Panel Meter: _________</v>
      </c>
      <c r="E48" s="499" t="s">
        <v>1464</v>
      </c>
      <c r="F48" s="500"/>
      <c r="G48" s="519"/>
    </row>
    <row r="49" spans="1:7" ht="37.5" x14ac:dyDescent="0.25">
      <c r="A49" s="519">
        <f t="shared" si="1"/>
        <v>314</v>
      </c>
      <c r="B49" s="500" t="str">
        <f>Suite&amp;" Electrical Room "&amp;SWTwo</f>
        <v>G104 Electrical Room XXX</v>
      </c>
      <c r="C49" s="499" t="str" cm="1">
        <f t="array" ref="C49">"UP" &amp; SWTwo</f>
        <v>UPXXX</v>
      </c>
      <c r="D49" s="233" t="str">
        <f>"Verify the readings in step " &amp; A36 &amp; " and " &amp; A48 &amp; " are within 3% of each other. (new kW divided by original kW must be ≤1.03 and ≥0.97)."</f>
        <v>Verify the readings in step 301 and 313 are within 3% of each other. (new kW divided by original kW must be ≤1.03 and ≥0.97).</v>
      </c>
      <c r="E49" s="499" t="s">
        <v>1464</v>
      </c>
      <c r="F49" s="500"/>
      <c r="G49" s="519"/>
    </row>
    <row r="50" spans="1:7" ht="37.5" x14ac:dyDescent="0.25">
      <c r="A50" s="519">
        <f t="shared" si="1"/>
        <v>315</v>
      </c>
      <c r="B50" s="500" t="str">
        <f>Suite&amp;" Electrical Room "&amp;SWTwo</f>
        <v>G104 Electrical Room XXX</v>
      </c>
      <c r="C50" s="499" t="str" cm="1">
        <f t="array" ref="C50">"UP" &amp; SWTwo</f>
        <v>UPXXX</v>
      </c>
      <c r="D50" s="233" t="str" cm="1">
        <f t="array" ref="D50">"Pump the MCBUP" &amp; SWTwo &amp; " breaker charging handle repeatedly to compress the charging spring and charge the breaker."</f>
        <v>Pump the MCBUPXXX breaker charging handle repeatedly to compress the charging spring and charge the breaker.</v>
      </c>
      <c r="E50" s="499" t="s">
        <v>1464</v>
      </c>
      <c r="F50" s="500"/>
      <c r="G50" s="519"/>
    </row>
    <row r="51" spans="1:7" ht="56.25" x14ac:dyDescent="0.25">
      <c r="A51" s="519">
        <f t="shared" si="1"/>
        <v>316</v>
      </c>
      <c r="B51" s="500" t="str">
        <f>Suite&amp;" Electrical Room "&amp;SWTwo</f>
        <v>G104 Electrical Room XXX</v>
      </c>
      <c r="C51" s="499" t="str" cm="1">
        <f t="array" ref="C51">"UP" &amp; SWTwo</f>
        <v>UPXXX</v>
      </c>
      <c r="D51" s="233" t="str" cm="1">
        <f t="array" ref="D51">"Note: If breaker MCBUP" &amp; SWTwo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51" s="499" t="s">
        <v>1464</v>
      </c>
      <c r="F51" s="500"/>
      <c r="G51" s="519"/>
    </row>
    <row r="52" spans="1:7" ht="37.5" x14ac:dyDescent="0.25">
      <c r="A52" s="519">
        <f t="shared" si="1"/>
        <v>317</v>
      </c>
      <c r="B52" s="500" t="str">
        <f>Suite&amp;" Electrical Room "&amp;SWTwo</f>
        <v>G104 Electrical Room XXX</v>
      </c>
      <c r="C52" s="499" t="str" cm="1">
        <f t="array" ref="C52">"UP" &amp; SWTwo</f>
        <v>UPXXX</v>
      </c>
      <c r="D52" s="233" t="str" cm="1">
        <f t="array" ref="D52">"Open breaker MCBUP" &amp; SWTwo &amp; "."</f>
        <v>Open breaker MCBUPXXX.</v>
      </c>
      <c r="E52" s="499" t="s">
        <v>1464</v>
      </c>
      <c r="F52" s="500"/>
      <c r="G52" s="519"/>
    </row>
    <row r="53" spans="1:7" ht="37.5" x14ac:dyDescent="0.25">
      <c r="A53" s="519">
        <f t="shared" si="1"/>
        <v>318</v>
      </c>
      <c r="B53" s="500" t="str">
        <f>Suite&amp;" Electrical Room "&amp;SWTwo</f>
        <v>G104 Electrical Room XXX</v>
      </c>
      <c r="C53" s="499" t="str" cm="1">
        <f t="array" ref="C53">"UP" &amp; SWTwo</f>
        <v>UPXXX</v>
      </c>
      <c r="D53" s="233" t="s">
        <v>1506</v>
      </c>
      <c r="E53" s="499" t="s">
        <v>1464</v>
      </c>
      <c r="F53" s="500"/>
      <c r="G53" s="519"/>
    </row>
    <row r="54" spans="1:7" ht="37.5" x14ac:dyDescent="0.25">
      <c r="A54" s="519">
        <f t="shared" si="1"/>
        <v>319</v>
      </c>
      <c r="B54" s="500" t="str">
        <f>Suite&amp;" Electrical Room "&amp;SWTwo</f>
        <v>G104 Electrical Room XXX</v>
      </c>
      <c r="C54" s="499" t="str" cm="1">
        <f t="array" ref="C54">"UP" &amp; SWTwo</f>
        <v>UPXXX</v>
      </c>
      <c r="D54" s="233" t="str" cm="1">
        <f t="array" ref="D54">"Verify MCBUP" &amp; SWTwo &amp; " breaker flag indicates OPEN."</f>
        <v>Verify MCBUPXXX breaker flag indicates OPEN.</v>
      </c>
      <c r="E54" s="499" t="s">
        <v>1464</v>
      </c>
      <c r="F54" s="500"/>
      <c r="G54" s="519"/>
    </row>
    <row r="55" spans="1:7" ht="37.5" x14ac:dyDescent="0.25">
      <c r="A55" s="519">
        <f t="shared" si="1"/>
        <v>320</v>
      </c>
      <c r="B55" s="500" t="str">
        <f>Suite&amp;" Electrical Room "&amp;SWTwo</f>
        <v>G104 Electrical Room XXX</v>
      </c>
      <c r="C55" s="499" t="str" cm="1">
        <f t="array" ref="C55">"UP" &amp; SWTwo</f>
        <v>UPXXX</v>
      </c>
      <c r="D55" s="233" t="str" cm="1">
        <f t="array" ref="D55">"Notate the kW reading at UP" &amp; SWTwo &amp; " Critical Bus Panel Meter: _________"</f>
        <v>Notate the kW reading at UPXXX Critical Bus Panel Meter: _________</v>
      </c>
      <c r="E55" s="499" t="s">
        <v>1464</v>
      </c>
      <c r="F55" s="500"/>
      <c r="G55" s="519"/>
    </row>
    <row r="56" spans="1:7" ht="37.5" x14ac:dyDescent="0.25">
      <c r="A56" s="519">
        <f t="shared" si="1"/>
        <v>321</v>
      </c>
      <c r="B56" s="500" t="str">
        <f>Suite&amp;" Electrical Room "&amp;SWTwo</f>
        <v>G104 Electrical Room XXX</v>
      </c>
      <c r="C56" s="499" t="str" cm="1">
        <f t="array" ref="C56">"UP" &amp; SWTwo</f>
        <v>UPXXX</v>
      </c>
      <c r="D56" s="233" t="str">
        <f>"Verify the readings in step " &amp; A48 &amp; " and " &amp; A55 &amp; " are within 3% of each other. (new kW divided by original kW must be ≤1.03 and ≥0.97)."</f>
        <v>Verify the readings in step 313 and 320 are within 3% of each other. (new kW divided by original kW must be ≤1.03 and ≥0.97).</v>
      </c>
      <c r="E56" s="499" t="s">
        <v>1464</v>
      </c>
      <c r="F56" s="500"/>
      <c r="G56" s="519"/>
    </row>
    <row r="57" spans="1:7" ht="37.5" x14ac:dyDescent="0.25">
      <c r="A57" s="519">
        <f t="shared" si="1"/>
        <v>322</v>
      </c>
      <c r="B57" s="500" t="str">
        <f>Suite&amp;" Electrical Room "&amp;SWTwo</f>
        <v>G104 Electrical Room XXX</v>
      </c>
      <c r="C57" s="499" t="str" cm="1">
        <f t="array" ref="C57">"UP" &amp; SWTwo</f>
        <v>UPXXX</v>
      </c>
      <c r="D57" s="233" t="str" cm="1">
        <f t="array" ref="D57">"Rotate the interlock key 90 degrees to LOCK the MCBUP"&amp;SWTwo&amp;" breaker."</f>
        <v>Rotate the interlock key 90 degrees to LOCK the MCBUPXXX breaker.</v>
      </c>
      <c r="E57" s="499" t="s">
        <v>1464</v>
      </c>
      <c r="F57" s="500"/>
      <c r="G57" s="519"/>
    </row>
    <row r="58" spans="1:7" ht="37.5" x14ac:dyDescent="0.25">
      <c r="A58" s="519">
        <f t="shared" si="1"/>
        <v>323</v>
      </c>
      <c r="B58" s="500" t="str">
        <f>Suite&amp;" Electrical Room "&amp;SWTwo</f>
        <v>G104 Electrical Room XXX</v>
      </c>
      <c r="C58" s="499" t="str" cm="1">
        <f t="array" ref="C58">"UP" &amp; SWTwo</f>
        <v>UPXXX</v>
      </c>
      <c r="D58" s="233" t="str" cm="1">
        <f t="array" ref="D58">"Remove the interlock key from the MCBUP"&amp;SWTwo&amp;" breaker lock cylinder."</f>
        <v>Remove the interlock key from the MCBUPXXX breaker lock cylinder.</v>
      </c>
      <c r="E58" s="499" t="s">
        <v>1464</v>
      </c>
      <c r="F58" s="500"/>
      <c r="G58" s="519"/>
    </row>
    <row r="59" spans="1:7" ht="37.5" x14ac:dyDescent="0.25">
      <c r="A59" s="519">
        <f t="shared" si="1"/>
        <v>324</v>
      </c>
      <c r="B59" s="500" t="str">
        <f>Suite&amp;" Electrical Room "&amp;SWTwo</f>
        <v>G104 Electrical Room XXX</v>
      </c>
      <c r="C59" s="499" t="str" cm="1">
        <f t="array" ref="C59">"UP" &amp; SWTwo</f>
        <v>UPXXX</v>
      </c>
      <c r="D59" s="233" t="s">
        <v>1507</v>
      </c>
      <c r="E59" s="499" t="s">
        <v>1464</v>
      </c>
      <c r="F59" s="500"/>
      <c r="G59" s="519"/>
    </row>
    <row r="60" spans="1:7" ht="37.5" x14ac:dyDescent="0.25">
      <c r="A60" s="519">
        <f t="shared" si="1"/>
        <v>325</v>
      </c>
      <c r="B60" s="500" t="str">
        <f>Suite&amp;" Electrical Room "&amp;SWTwo</f>
        <v>G104 Electrical Room XXX</v>
      </c>
      <c r="C60" s="499" t="str" cm="1">
        <f t="array" ref="C60">"UP" &amp; SWTwo</f>
        <v>UPXXX</v>
      </c>
      <c r="D60" s="233" t="s">
        <v>1508</v>
      </c>
      <c r="E60" s="499" t="s">
        <v>1464</v>
      </c>
      <c r="F60" s="500"/>
      <c r="G60" s="519"/>
    </row>
    <row r="61" spans="1:7" ht="37.5" x14ac:dyDescent="0.25">
      <c r="A61" s="519">
        <f t="shared" si="1"/>
        <v>326</v>
      </c>
      <c r="B61" s="500" t="str">
        <f>Suite&amp;" Electrical Room "&amp;SWTwo</f>
        <v>G104 Electrical Room XXX</v>
      </c>
      <c r="C61" s="499" t="str" cm="1">
        <f t="array" ref="C61">"UP" &amp; SWTwo</f>
        <v>UPXXX</v>
      </c>
      <c r="D61" s="233" t="s">
        <v>1509</v>
      </c>
      <c r="E61" s="499" t="s">
        <v>1464</v>
      </c>
      <c r="F61" s="500"/>
      <c r="G61" s="519"/>
    </row>
    <row r="62" spans="1:7" ht="37.5" x14ac:dyDescent="0.25">
      <c r="A62" s="519">
        <f t="shared" si="1"/>
        <v>327</v>
      </c>
      <c r="B62" s="500" t="str">
        <f>Suite&amp;" Electrical Room "&amp;SWTwo</f>
        <v>G104 Electrical Room XXX</v>
      </c>
      <c r="C62" s="499" t="str" cm="1">
        <f t="array" ref="C62">"UP" &amp; SWTwo</f>
        <v>UPXXX</v>
      </c>
      <c r="D62" s="233" t="s">
        <v>1510</v>
      </c>
      <c r="E62" s="499" t="s">
        <v>1464</v>
      </c>
      <c r="F62" s="500"/>
      <c r="G62" s="519"/>
    </row>
    <row r="63" spans="1:7" x14ac:dyDescent="0.25">
      <c r="A63" s="519">
        <f t="shared" si="1"/>
        <v>328</v>
      </c>
      <c r="B63" s="702" t="str" cm="1">
        <f t="array" ref="B63">"Shut Down UPS System " &amp; SWTwo</f>
        <v>Shut Down UPS System XXX</v>
      </c>
      <c r="C63" s="703"/>
      <c r="D63" s="703"/>
      <c r="E63" s="703"/>
      <c r="F63" s="703"/>
      <c r="G63" s="703"/>
    </row>
    <row r="64" spans="1:7" ht="37.5" x14ac:dyDescent="0.25">
      <c r="A64" s="519">
        <f t="shared" si="1"/>
        <v>329</v>
      </c>
      <c r="B64" s="500" t="str">
        <f>Suite&amp;" Electrical Room "&amp;SWTwo</f>
        <v>G104 Electrical Room XXX</v>
      </c>
      <c r="C64" s="499" t="str" cm="1">
        <f t="array" ref="C64">"UPS " &amp; SWTwo &amp; "1"</f>
        <v>UPS XXX1</v>
      </c>
      <c r="D64" s="190" t="s">
        <v>1511</v>
      </c>
      <c r="E64" s="499" t="s">
        <v>1464</v>
      </c>
      <c r="F64" s="500"/>
      <c r="G64" s="519"/>
    </row>
    <row r="65" spans="1:7" ht="37.5" x14ac:dyDescent="0.25">
      <c r="A65" s="519">
        <f t="shared" si="1"/>
        <v>330</v>
      </c>
      <c r="B65" s="500" t="str">
        <f>Suite&amp;" Electrical Room "&amp;SWTwo</f>
        <v>G104 Electrical Room XXX</v>
      </c>
      <c r="C65" s="499" t="str" cm="1">
        <f t="array" ref="C65">"UPS " &amp; SWTwo &amp; "1"</f>
        <v>UPS XXX1</v>
      </c>
      <c r="D65" s="233" t="s">
        <v>1497</v>
      </c>
      <c r="E65" s="499" t="s">
        <v>1464</v>
      </c>
      <c r="F65" s="500"/>
      <c r="G65" s="519"/>
    </row>
    <row r="66" spans="1:7" ht="37.5" x14ac:dyDescent="0.25">
      <c r="A66" s="519">
        <f t="shared" si="1"/>
        <v>331</v>
      </c>
      <c r="B66" s="500" t="str">
        <f>Suite&amp;" Electrical Room "&amp;SWTwo</f>
        <v>G104 Electrical Room XXX</v>
      </c>
      <c r="C66" s="499" t="str" cm="1">
        <f t="array" ref="C66">"UPS " &amp; SWTwo &amp; "1"</f>
        <v>UPS XXX1</v>
      </c>
      <c r="D66" s="190" t="s">
        <v>1512</v>
      </c>
      <c r="E66" s="499" t="s">
        <v>1464</v>
      </c>
      <c r="F66" s="500"/>
      <c r="G66" s="519"/>
    </row>
    <row r="67" spans="1:7" ht="56.25" x14ac:dyDescent="0.25">
      <c r="A67" s="519">
        <f t="shared" si="1"/>
        <v>332</v>
      </c>
      <c r="B67" s="500" t="str">
        <f>Suite&amp;" Electrical Room "&amp;SWTwo</f>
        <v>G104 Electrical Room XXX</v>
      </c>
      <c r="C67" s="499" t="str" cm="1">
        <f t="array" ref="C67">"UPS " &amp; SWTwo &amp; "1"</f>
        <v>UPS XXX1</v>
      </c>
      <c r="D67" s="190" t="s">
        <v>1513</v>
      </c>
      <c r="E67" s="499" t="s">
        <v>1464</v>
      </c>
      <c r="F67" s="500"/>
      <c r="G67" s="519"/>
    </row>
    <row r="68" spans="1:7" ht="37.5" x14ac:dyDescent="0.25">
      <c r="A68" s="519">
        <f t="shared" si="1"/>
        <v>333</v>
      </c>
      <c r="B68" s="500" t="str">
        <f>Suite&amp;" Electrical Room "&amp;SWTwo</f>
        <v>G104 Electrical Room XXX</v>
      </c>
      <c r="C68" s="499" t="str" cm="1">
        <f t="array" ref="C68">"UPS " &amp; SWTwo &amp; "1"</f>
        <v>UPS XXX1</v>
      </c>
      <c r="D68" s="190" t="s">
        <v>1514</v>
      </c>
      <c r="E68" s="499" t="s">
        <v>1464</v>
      </c>
      <c r="F68" s="500"/>
      <c r="G68" s="519"/>
    </row>
    <row r="69" spans="1:7" ht="37.5" x14ac:dyDescent="0.25">
      <c r="A69" s="519">
        <f t="shared" si="1"/>
        <v>334</v>
      </c>
      <c r="B69" s="500" t="str">
        <f>Suite&amp;" Electrical Room "&amp;SWTwo</f>
        <v>G104 Electrical Room XXX</v>
      </c>
      <c r="C69" s="499" t="str" cm="1">
        <f t="array" ref="C69">"UPS " &amp; SWTwo &amp; "1"</f>
        <v>UPS XXX1</v>
      </c>
      <c r="D69" s="190" t="s">
        <v>1515</v>
      </c>
      <c r="E69" s="499" t="s">
        <v>1464</v>
      </c>
      <c r="F69" s="500"/>
      <c r="G69" s="519"/>
    </row>
    <row r="70" spans="1:7" ht="37.5" x14ac:dyDescent="0.25">
      <c r="A70" s="519">
        <f t="shared" si="1"/>
        <v>335</v>
      </c>
      <c r="B70" s="500" t="str">
        <f>Suite&amp;" Electrical Room "&amp;SWTwo</f>
        <v>G104 Electrical Room XXX</v>
      </c>
      <c r="C70" s="499" t="str" cm="1">
        <f t="array" ref="C70">"UPS " &amp; SWTwo &amp; "1"</f>
        <v>UPS XXX1</v>
      </c>
      <c r="D70" s="190" t="s">
        <v>1516</v>
      </c>
      <c r="E70" s="499" t="s">
        <v>1464</v>
      </c>
      <c r="F70" s="500"/>
      <c r="G70" s="519"/>
    </row>
    <row r="71" spans="1:7" ht="37.5" x14ac:dyDescent="0.25">
      <c r="A71" s="519">
        <f t="shared" si="1"/>
        <v>336</v>
      </c>
      <c r="B71" s="500" t="str">
        <f>Suite&amp;" Electrical Room "&amp;SWTwo</f>
        <v>G104 Electrical Room XXX</v>
      </c>
      <c r="C71" s="499" t="str" cm="1">
        <f t="array" ref="C71">"UPS " &amp; SWTwo</f>
        <v>UPS XXX</v>
      </c>
      <c r="D71" s="190" t="s">
        <v>1517</v>
      </c>
      <c r="E71" s="499" t="s">
        <v>1464</v>
      </c>
      <c r="F71" s="500"/>
      <c r="G71" s="519"/>
    </row>
    <row r="72" spans="1:7" ht="56.25" x14ac:dyDescent="0.25">
      <c r="A72" s="519">
        <f t="shared" si="1"/>
        <v>337</v>
      </c>
      <c r="B72" s="500" t="str">
        <f>Suite&amp;" Electrical Room "&amp;SWTwo</f>
        <v>G104 Electrical Room XXX</v>
      </c>
      <c r="C72" s="499" t="str" cm="1">
        <f t="array" ref="C72">"UPS " &amp; SWTwo &amp; " Battery Cabinets"</f>
        <v>UPS XXX Battery Cabinets</v>
      </c>
      <c r="D72" s="190" t="str" cm="1">
        <f t="array" ref="D72">"Verify battery breaker for cabinet " &amp; SWTwo &amp; "1-1 is in the tripped position."</f>
        <v>Verify battery breaker for cabinet XXX1-1 is in the tripped position.</v>
      </c>
      <c r="E72" s="499" t="s">
        <v>1464</v>
      </c>
      <c r="F72" s="500"/>
      <c r="G72" s="519"/>
    </row>
    <row r="73" spans="1:7" ht="56.25" x14ac:dyDescent="0.25">
      <c r="A73" s="519">
        <f t="shared" si="1"/>
        <v>338</v>
      </c>
      <c r="B73" s="500" t="str">
        <f>Suite&amp;" Electrical Room "&amp;SWTwo</f>
        <v>G104 Electrical Room XXX</v>
      </c>
      <c r="C73" s="499" t="str" cm="1">
        <f t="array" ref="C73">"UPS " &amp; SWTwo &amp; " Battery Cabinets"</f>
        <v>UPS XXX Battery Cabinets</v>
      </c>
      <c r="D73" s="190" t="str" cm="1">
        <f t="array" ref="D73">"Open battery breaker " &amp; SWTwo &amp; "1-1."</f>
        <v>Open battery breaker XXX1-1.</v>
      </c>
      <c r="E73" s="499" t="s">
        <v>1464</v>
      </c>
      <c r="F73" s="500"/>
      <c r="G73" s="519"/>
    </row>
    <row r="74" spans="1:7" ht="56.25" x14ac:dyDescent="0.25">
      <c r="A74" s="519">
        <f t="shared" si="1"/>
        <v>339</v>
      </c>
      <c r="B74" s="500" t="str">
        <f>Suite&amp;" Electrical Room "&amp;SWTwo</f>
        <v>G104 Electrical Room XXX</v>
      </c>
      <c r="C74" s="499" t="str" cm="1">
        <f t="array" ref="C74">"UPS " &amp; SWTwo &amp; " Battery Cabinets"</f>
        <v>UPS XXX Battery Cabinets</v>
      </c>
      <c r="D74" s="190" t="str" cm="1">
        <f t="array" ref="D74">"Apply LOTO to battery breaker " &amp; SWTwo &amp; "1-1."</f>
        <v>Apply LOTO to battery breaker XXX1-1.</v>
      </c>
      <c r="E74" s="499" t="s">
        <v>1464</v>
      </c>
      <c r="F74" s="500"/>
      <c r="G74" s="519"/>
    </row>
    <row r="75" spans="1:7" ht="56.25" x14ac:dyDescent="0.25">
      <c r="A75" s="519">
        <f t="shared" si="1"/>
        <v>340</v>
      </c>
      <c r="B75" s="500" t="str">
        <f>Suite&amp;" Electrical Room "&amp;SWTwo</f>
        <v>G104 Electrical Room XXX</v>
      </c>
      <c r="C75" s="499" t="str" cm="1">
        <f t="array" ref="C75">"UPS " &amp; SWTwo &amp; " Battery Cabinets"</f>
        <v>UPS XXX Battery Cabinets</v>
      </c>
      <c r="D75" s="233" t="s">
        <v>1518</v>
      </c>
      <c r="E75" s="499" t="s">
        <v>1464</v>
      </c>
      <c r="F75" s="500" t="s">
        <v>1519</v>
      </c>
      <c r="G75" s="519"/>
    </row>
    <row r="76" spans="1:7" ht="56.25" x14ac:dyDescent="0.25">
      <c r="A76" s="519">
        <f t="shared" si="1"/>
        <v>341</v>
      </c>
      <c r="B76" s="500" t="str">
        <f>Suite&amp;" Electrical Room "&amp;SWTwo</f>
        <v>G104 Electrical Room XXX</v>
      </c>
      <c r="C76" s="499" t="str" cm="1">
        <f t="array" ref="C76">"UPS " &amp; SWTwo &amp; " Battery Cabinets"</f>
        <v>UPS XXX Battery Cabinets</v>
      </c>
      <c r="D76" s="190" t="str" cm="1">
        <f t="array" ref="D76">"Verify battery breaker for cabinet " &amp; SWTwo &amp; "1-2 is in the tripped position."</f>
        <v>Verify battery breaker for cabinet XXX1-2 is in the tripped position.</v>
      </c>
      <c r="E76" s="499" t="s">
        <v>1464</v>
      </c>
      <c r="F76" s="500"/>
      <c r="G76" s="519"/>
    </row>
    <row r="77" spans="1:7" ht="56.25" x14ac:dyDescent="0.25">
      <c r="A77" s="519">
        <f t="shared" si="1"/>
        <v>342</v>
      </c>
      <c r="B77" s="500" t="str">
        <f>Suite&amp;" Electrical Room "&amp;SWTwo</f>
        <v>G104 Electrical Room XXX</v>
      </c>
      <c r="C77" s="499" t="str" cm="1">
        <f t="array" ref="C77">"UPS " &amp; SWTwo &amp; " Battery Cabinets"</f>
        <v>UPS XXX Battery Cabinets</v>
      </c>
      <c r="D77" s="190" t="str" cm="1">
        <f t="array" ref="D77">"Open battery breaker " &amp; SWTwo &amp; "1-2."</f>
        <v>Open battery breaker XXX1-2.</v>
      </c>
      <c r="E77" s="499" t="s">
        <v>1464</v>
      </c>
      <c r="F77" s="500"/>
      <c r="G77" s="519"/>
    </row>
    <row r="78" spans="1:7" ht="56.25" x14ac:dyDescent="0.25">
      <c r="A78" s="519">
        <f t="shared" si="1"/>
        <v>343</v>
      </c>
      <c r="B78" s="500" t="str">
        <f>Suite&amp;" Electrical Room "&amp;SWTwo</f>
        <v>G104 Electrical Room XXX</v>
      </c>
      <c r="C78" s="499" t="str" cm="1">
        <f t="array" ref="C78">"UPS " &amp; SWTwo &amp; " Battery Cabinets"</f>
        <v>UPS XXX Battery Cabinets</v>
      </c>
      <c r="D78" s="190" t="str" cm="1">
        <f t="array" ref="D78">"Apply LOTO to battery breaker " &amp; SWTwo &amp; "1-2."</f>
        <v>Apply LOTO to battery breaker XXX1-2.</v>
      </c>
      <c r="E78" s="499" t="s">
        <v>1464</v>
      </c>
      <c r="F78" s="500"/>
      <c r="G78" s="519"/>
    </row>
    <row r="79" spans="1:7" ht="56.25" x14ac:dyDescent="0.25">
      <c r="A79" s="519">
        <f t="shared" si="1"/>
        <v>344</v>
      </c>
      <c r="B79" s="500" t="str">
        <f>Suite&amp;" Electrical Room "&amp;SWTwo</f>
        <v>G104 Electrical Room XXX</v>
      </c>
      <c r="C79" s="499" t="str" cm="1">
        <f t="array" ref="C79">"UPS " &amp; SWTwo &amp; " Battery Cabinets"</f>
        <v>UPS XXX Battery Cabinets</v>
      </c>
      <c r="D79" s="233" t="s">
        <v>1518</v>
      </c>
      <c r="E79" s="499" t="s">
        <v>1464</v>
      </c>
      <c r="F79" s="500"/>
      <c r="G79" s="519"/>
    </row>
    <row r="80" spans="1:7" ht="56.25" x14ac:dyDescent="0.25">
      <c r="A80" s="519">
        <f t="shared" si="1"/>
        <v>345</v>
      </c>
      <c r="B80" s="500" t="str">
        <f>Suite&amp;" Electrical Room "&amp;SWTwo</f>
        <v>G104 Electrical Room XXX</v>
      </c>
      <c r="C80" s="499" t="str" cm="1">
        <f t="array" ref="C80">"UPS " &amp; SWTwo &amp; " Battery Cabinets"</f>
        <v>UPS XXX Battery Cabinets</v>
      </c>
      <c r="D80" s="190" t="str" cm="1">
        <f t="array" ref="D80">"Verify battery breaker for cabinet " &amp; SWTwo &amp; "1-3 is in the tripped position."</f>
        <v>Verify battery breaker for cabinet XXX1-3 is in the tripped position.</v>
      </c>
      <c r="E80" s="499" t="s">
        <v>1464</v>
      </c>
      <c r="F80" s="500"/>
      <c r="G80" s="519"/>
    </row>
    <row r="81" spans="1:7" ht="56.25" x14ac:dyDescent="0.25">
      <c r="A81" s="519">
        <f t="shared" si="1"/>
        <v>346</v>
      </c>
      <c r="B81" s="500" t="str">
        <f>Suite&amp;" Electrical Room "&amp;SWTwo</f>
        <v>G104 Electrical Room XXX</v>
      </c>
      <c r="C81" s="499" t="str" cm="1">
        <f t="array" ref="C81">"UPS " &amp; SWTwo &amp; " Battery Cabinets"</f>
        <v>UPS XXX Battery Cabinets</v>
      </c>
      <c r="D81" s="190" t="str" cm="1">
        <f t="array" ref="D81">"Open battery breaker " &amp; SWTwo &amp; "1-3."</f>
        <v>Open battery breaker XXX1-3.</v>
      </c>
      <c r="E81" s="499" t="s">
        <v>1464</v>
      </c>
      <c r="F81" s="500"/>
      <c r="G81" s="519"/>
    </row>
    <row r="82" spans="1:7" ht="56.25" x14ac:dyDescent="0.25">
      <c r="A82" s="519">
        <f t="shared" si="1"/>
        <v>347</v>
      </c>
      <c r="B82" s="500" t="str">
        <f>Suite&amp;" Electrical Room "&amp;SWTwo</f>
        <v>G104 Electrical Room XXX</v>
      </c>
      <c r="C82" s="499" t="str" cm="1">
        <f t="array" ref="C82">"UPS " &amp; SWTwo &amp; " Battery Cabinets"</f>
        <v>UPS XXX Battery Cabinets</v>
      </c>
      <c r="D82" s="190" t="str" cm="1">
        <f t="array" ref="D82">"Apply LOTO to battery breaker " &amp; SWTwo &amp; "1-3."</f>
        <v>Apply LOTO to battery breaker XXX1-3.</v>
      </c>
      <c r="E82" s="499" t="s">
        <v>1464</v>
      </c>
      <c r="F82" s="500"/>
      <c r="G82" s="519"/>
    </row>
    <row r="83" spans="1:7" ht="56.25" x14ac:dyDescent="0.25">
      <c r="A83" s="519">
        <f t="shared" si="1"/>
        <v>348</v>
      </c>
      <c r="B83" s="500" t="str">
        <f>Suite&amp;" Electrical Room "&amp;SWTwo</f>
        <v>G104 Electrical Room XXX</v>
      </c>
      <c r="C83" s="499" t="str" cm="1">
        <f t="array" ref="C83">"UPS " &amp; SWTwo &amp; " Battery Cabinets"</f>
        <v>UPS XXX Battery Cabinets</v>
      </c>
      <c r="D83" s="233" t="s">
        <v>1518</v>
      </c>
      <c r="E83" s="499" t="s">
        <v>1464</v>
      </c>
      <c r="F83" s="500"/>
      <c r="G83" s="519"/>
    </row>
    <row r="84" spans="1:7" ht="56.25" x14ac:dyDescent="0.25">
      <c r="A84" s="519">
        <f t="shared" si="1"/>
        <v>349</v>
      </c>
      <c r="B84" s="500" t="str">
        <f>Suite&amp;" Electrical Room "&amp;SWTwo</f>
        <v>G104 Electrical Room XXX</v>
      </c>
      <c r="C84" s="499" t="str" cm="1">
        <f t="array" ref="C84">"UPS " &amp; SWTwo &amp; " Battery Cabinets"</f>
        <v>UPS XXX Battery Cabinets</v>
      </c>
      <c r="D84" s="190" t="str" cm="1">
        <f t="array" ref="D84">"Verify battery breaker for cabinet " &amp; SWTwo &amp; "2-1 is in the tripped position."</f>
        <v>Verify battery breaker for cabinet XXX2-1 is in the tripped position.</v>
      </c>
      <c r="E84" s="499" t="s">
        <v>1464</v>
      </c>
      <c r="F84" s="500"/>
      <c r="G84" s="519"/>
    </row>
    <row r="85" spans="1:7" ht="56.25" x14ac:dyDescent="0.25">
      <c r="A85" s="519">
        <f t="shared" si="1"/>
        <v>350</v>
      </c>
      <c r="B85" s="500" t="str">
        <f>Suite&amp;" Electrical Room "&amp;SWTwo</f>
        <v>G104 Electrical Room XXX</v>
      </c>
      <c r="C85" s="499" t="str" cm="1">
        <f t="array" ref="C85">"UPS " &amp; SWTwo &amp; " Battery Cabinets"</f>
        <v>UPS XXX Battery Cabinets</v>
      </c>
      <c r="D85" s="190" t="str" cm="1">
        <f t="array" ref="D85">"Open battery breaker " &amp; SWTwo &amp; "2-1."</f>
        <v>Open battery breaker XXX2-1.</v>
      </c>
      <c r="E85" s="499" t="s">
        <v>1464</v>
      </c>
      <c r="F85" s="500"/>
      <c r="G85" s="519"/>
    </row>
    <row r="86" spans="1:7" ht="56.25" x14ac:dyDescent="0.25">
      <c r="A86" s="519">
        <f t="shared" si="1"/>
        <v>351</v>
      </c>
      <c r="B86" s="500" t="str">
        <f>Suite&amp;" Electrical Room "&amp;SWTwo</f>
        <v>G104 Electrical Room XXX</v>
      </c>
      <c r="C86" s="499" t="str" cm="1">
        <f t="array" ref="C86">"UPS " &amp; SWTwo &amp; " Battery Cabinets"</f>
        <v>UPS XXX Battery Cabinets</v>
      </c>
      <c r="D86" s="190" t="str" cm="1">
        <f t="array" ref="D86">"Apply LOTO to battery breaker " &amp; SWTwo &amp; "2-1."</f>
        <v>Apply LOTO to battery breaker XXX2-1.</v>
      </c>
      <c r="E86" s="499" t="s">
        <v>1464</v>
      </c>
      <c r="F86" s="500"/>
      <c r="G86" s="519"/>
    </row>
    <row r="87" spans="1:7" ht="56.25" x14ac:dyDescent="0.25">
      <c r="A87" s="519">
        <f t="shared" si="1"/>
        <v>352</v>
      </c>
      <c r="B87" s="500" t="str">
        <f>Suite&amp;" Electrical Room "&amp;SWTwo</f>
        <v>G104 Electrical Room XXX</v>
      </c>
      <c r="C87" s="499" t="str" cm="1">
        <f t="array" ref="C87">"UPS " &amp; SWTwo &amp; " Battery Cabinets"</f>
        <v>UPS XXX Battery Cabinets</v>
      </c>
      <c r="D87" s="233" t="s">
        <v>1518</v>
      </c>
      <c r="E87" s="499" t="s">
        <v>1464</v>
      </c>
      <c r="F87" s="500"/>
      <c r="G87" s="519"/>
    </row>
    <row r="88" spans="1:7" ht="56.25" x14ac:dyDescent="0.25">
      <c r="A88" s="519">
        <f t="shared" si="1"/>
        <v>353</v>
      </c>
      <c r="B88" s="500" t="str">
        <f>Suite&amp;" Electrical Room "&amp;SWTwo</f>
        <v>G104 Electrical Room XXX</v>
      </c>
      <c r="C88" s="499" t="str" cm="1">
        <f t="array" ref="C88">"UPS " &amp; SWTwo &amp; " Battery Cabinets"</f>
        <v>UPS XXX Battery Cabinets</v>
      </c>
      <c r="D88" s="190" t="str" cm="1">
        <f t="array" ref="D88">"Verify battery breaker for cabinet " &amp; SWTwo &amp; "2-2 is in the tripped position."</f>
        <v>Verify battery breaker for cabinet XXX2-2 is in the tripped position.</v>
      </c>
      <c r="E88" s="499" t="s">
        <v>1464</v>
      </c>
      <c r="F88" s="500"/>
      <c r="G88" s="519"/>
    </row>
    <row r="89" spans="1:7" ht="56.25" x14ac:dyDescent="0.25">
      <c r="A89" s="519">
        <f t="shared" si="1"/>
        <v>354</v>
      </c>
      <c r="B89" s="500" t="str">
        <f>Suite&amp;" Electrical Room "&amp;SWTwo</f>
        <v>G104 Electrical Room XXX</v>
      </c>
      <c r="C89" s="499" t="str" cm="1">
        <f t="array" ref="C89">"UPS " &amp; SWTwo &amp; " Battery Cabinets"</f>
        <v>UPS XXX Battery Cabinets</v>
      </c>
      <c r="D89" s="190" t="str" cm="1">
        <f t="array" ref="D89">"Open battery breaker " &amp; SWTwo &amp; "2-2."</f>
        <v>Open battery breaker XXX2-2.</v>
      </c>
      <c r="E89" s="499" t="s">
        <v>1464</v>
      </c>
      <c r="F89" s="500"/>
      <c r="G89" s="519"/>
    </row>
    <row r="90" spans="1:7" ht="56.25" x14ac:dyDescent="0.25">
      <c r="A90" s="519">
        <f t="shared" si="1"/>
        <v>355</v>
      </c>
      <c r="B90" s="500" t="str">
        <f>Suite&amp;" Electrical Room "&amp;SWTwo</f>
        <v>G104 Electrical Room XXX</v>
      </c>
      <c r="C90" s="499" t="str" cm="1">
        <f t="array" ref="C90">"UPS " &amp; SWTwo &amp; " Battery Cabinets"</f>
        <v>UPS XXX Battery Cabinets</v>
      </c>
      <c r="D90" s="190" t="str" cm="1">
        <f t="array" ref="D90">"Apply LOTO to battery breaker " &amp; SWTwo &amp; "2-2."</f>
        <v>Apply LOTO to battery breaker XXX2-2.</v>
      </c>
      <c r="E90" s="499" t="s">
        <v>1464</v>
      </c>
      <c r="F90" s="500"/>
      <c r="G90" s="519"/>
    </row>
    <row r="91" spans="1:7" ht="56.25" x14ac:dyDescent="0.25">
      <c r="A91" s="519">
        <f t="shared" si="1"/>
        <v>356</v>
      </c>
      <c r="B91" s="500" t="str">
        <f>Suite&amp;" Electrical Room "&amp;SWTwo</f>
        <v>G104 Electrical Room XXX</v>
      </c>
      <c r="C91" s="499" t="str" cm="1">
        <f t="array" ref="C91">"UPS " &amp; SWTwo &amp; " Battery Cabinets"</f>
        <v>UPS XXX Battery Cabinets</v>
      </c>
      <c r="D91" s="233" t="s">
        <v>1518</v>
      </c>
      <c r="E91" s="499" t="s">
        <v>1464</v>
      </c>
      <c r="F91" s="500"/>
      <c r="G91" s="519"/>
    </row>
    <row r="92" spans="1:7" ht="56.25" x14ac:dyDescent="0.25">
      <c r="A92" s="519">
        <f t="shared" ref="A92:A155" si="2">A91+1</f>
        <v>357</v>
      </c>
      <c r="B92" s="500" t="str">
        <f>Suite&amp;" Electrical Room "&amp;SWTwo</f>
        <v>G104 Electrical Room XXX</v>
      </c>
      <c r="C92" s="499" t="str" cm="1">
        <f t="array" ref="C92">"UPS " &amp; SWTwo &amp; " Battery Cabinets"</f>
        <v>UPS XXX Battery Cabinets</v>
      </c>
      <c r="D92" s="190" t="str" cm="1">
        <f t="array" ref="D92">"Verify battery breaker for cabinet " &amp; SWTwo &amp; "2-3 is in the tripped position."</f>
        <v>Verify battery breaker for cabinet XXX2-3 is in the tripped position.</v>
      </c>
      <c r="E92" s="499" t="s">
        <v>1464</v>
      </c>
      <c r="F92" s="500"/>
      <c r="G92" s="519"/>
    </row>
    <row r="93" spans="1:7" ht="56.25" x14ac:dyDescent="0.25">
      <c r="A93" s="519">
        <f t="shared" si="2"/>
        <v>358</v>
      </c>
      <c r="B93" s="500" t="str">
        <f>Suite&amp;" Electrical Room "&amp;SWTwo</f>
        <v>G104 Electrical Room XXX</v>
      </c>
      <c r="C93" s="499" t="str" cm="1">
        <f t="array" ref="C93">"UPS " &amp; SWTwo &amp; " Battery Cabinets"</f>
        <v>UPS XXX Battery Cabinets</v>
      </c>
      <c r="D93" s="190" t="str" cm="1">
        <f t="array" ref="D93">"Open battery breaker " &amp; SWTwo &amp; "2-3."</f>
        <v>Open battery breaker XXX2-3.</v>
      </c>
      <c r="E93" s="499" t="s">
        <v>1464</v>
      </c>
      <c r="F93" s="500"/>
      <c r="G93" s="519"/>
    </row>
    <row r="94" spans="1:7" ht="56.25" x14ac:dyDescent="0.25">
      <c r="A94" s="519">
        <f t="shared" si="2"/>
        <v>359</v>
      </c>
      <c r="B94" s="500" t="str">
        <f>Suite&amp;" Electrical Room "&amp;SWTwo</f>
        <v>G104 Electrical Room XXX</v>
      </c>
      <c r="C94" s="499" t="str" cm="1">
        <f t="array" ref="C94">"UPS " &amp; SWTwo &amp; " Battery Cabinets"</f>
        <v>UPS XXX Battery Cabinets</v>
      </c>
      <c r="D94" s="190" t="str" cm="1">
        <f t="array" ref="D94">"Apply LOTO to battery breaker " &amp; SWTwo &amp; "2-3."</f>
        <v>Apply LOTO to battery breaker XXX2-3.</v>
      </c>
      <c r="E94" s="499" t="s">
        <v>1464</v>
      </c>
      <c r="F94" s="500"/>
      <c r="G94" s="519"/>
    </row>
    <row r="95" spans="1:7" ht="56.25" x14ac:dyDescent="0.25">
      <c r="A95" s="519">
        <f t="shared" si="2"/>
        <v>360</v>
      </c>
      <c r="B95" s="500" t="str">
        <f>Suite&amp;" Electrical Room "&amp;SWTwo</f>
        <v>G104 Electrical Room XXX</v>
      </c>
      <c r="C95" s="499" t="str" cm="1">
        <f t="array" ref="C95">"UPS " &amp; SWTwo &amp; " Battery Cabinets"</f>
        <v>UPS XXX Battery Cabinets</v>
      </c>
      <c r="D95" s="233" t="s">
        <v>1518</v>
      </c>
      <c r="E95" s="499" t="s">
        <v>1464</v>
      </c>
      <c r="F95" s="500"/>
      <c r="G95" s="519"/>
    </row>
    <row r="96" spans="1:7" ht="37.5" x14ac:dyDescent="0.25">
      <c r="A96" s="519">
        <f t="shared" si="2"/>
        <v>361</v>
      </c>
      <c r="B96" s="500" t="str">
        <f>Suite&amp;" Electrical Room "&amp;SWTwo</f>
        <v>G104 Electrical Room XXX</v>
      </c>
      <c r="C96" s="499" t="str" cm="1">
        <f t="array" ref="C96">"UP" &amp; SWTwo</f>
        <v>UPXXX</v>
      </c>
      <c r="D96" s="190" t="str" cm="1">
        <f t="array" ref="D96">"Open breaker DP-" &amp; SWTwo &amp; "1."</f>
        <v>Open breaker DP-XXX1.</v>
      </c>
      <c r="E96" s="499" t="s">
        <v>1464</v>
      </c>
      <c r="F96" s="500"/>
      <c r="G96" s="519"/>
    </row>
    <row r="97" spans="1:7" ht="37.5" x14ac:dyDescent="0.25">
      <c r="A97" s="519">
        <f t="shared" si="2"/>
        <v>362</v>
      </c>
      <c r="B97" s="500" t="str">
        <f>Suite&amp;" Electrical Room "&amp;SWTwo</f>
        <v>G104 Electrical Room XXX</v>
      </c>
      <c r="C97" s="499" t="str" cm="1">
        <f t="array" ref="C97">"UP" &amp; SWTwo</f>
        <v>UPXXX</v>
      </c>
      <c r="D97" s="190" t="str" cm="1">
        <f t="array" ref="D97">"Apply LOTO to breaker DP-" &amp; SWTwo &amp; "1."</f>
        <v>Apply LOTO to breaker DP-XXX1.</v>
      </c>
      <c r="E97" s="499" t="s">
        <v>1464</v>
      </c>
      <c r="F97" s="500"/>
      <c r="G97" s="519"/>
    </row>
    <row r="98" spans="1:7" ht="37.5" x14ac:dyDescent="0.25">
      <c r="A98" s="519">
        <f t="shared" si="2"/>
        <v>363</v>
      </c>
      <c r="B98" s="500" t="str">
        <f>Suite&amp;" Electrical Room "&amp;SWTwo</f>
        <v>G104 Electrical Room XXX</v>
      </c>
      <c r="C98" s="499" t="str" cm="1">
        <f t="array" ref="C98">"UP" &amp; SWTwo</f>
        <v>UPXXX</v>
      </c>
      <c r="D98" s="233" t="s">
        <v>1518</v>
      </c>
      <c r="E98" s="499" t="s">
        <v>1464</v>
      </c>
      <c r="F98" s="500"/>
      <c r="G98" s="519"/>
    </row>
    <row r="99" spans="1:7" ht="37.5" x14ac:dyDescent="0.25">
      <c r="A99" s="519">
        <f t="shared" si="2"/>
        <v>364</v>
      </c>
      <c r="B99" s="500" t="str">
        <f>Suite&amp;" Electrical Room "&amp;SWTwo</f>
        <v>G104 Electrical Room XXX</v>
      </c>
      <c r="C99" s="499" t="str" cm="1">
        <f t="array" ref="C99">"UP" &amp; SWTwo</f>
        <v>UPXXX</v>
      </c>
      <c r="D99" s="190" t="str" cm="1">
        <f t="array" ref="D99">"Open breaker DP-" &amp; SWTwo &amp; "2."</f>
        <v>Open breaker DP-XXX2.</v>
      </c>
      <c r="E99" s="499" t="s">
        <v>1464</v>
      </c>
      <c r="F99" s="500"/>
      <c r="G99" s="519"/>
    </row>
    <row r="100" spans="1:7" ht="37.5" x14ac:dyDescent="0.25">
      <c r="A100" s="519">
        <f t="shared" si="2"/>
        <v>365</v>
      </c>
      <c r="B100" s="500" t="str">
        <f>Suite&amp;" Electrical Room "&amp;SWTwo</f>
        <v>G104 Electrical Room XXX</v>
      </c>
      <c r="C100" s="499" t="str" cm="1">
        <f t="array" ref="C100">"UP" &amp; SWTwo</f>
        <v>UPXXX</v>
      </c>
      <c r="D100" s="190" t="str" cm="1">
        <f t="array" ref="D100">"Apply LOTO to breaker DP-" &amp; SWTwo &amp; "2."</f>
        <v>Apply LOTO to breaker DP-XXX2.</v>
      </c>
      <c r="E100" s="499" t="s">
        <v>1464</v>
      </c>
      <c r="F100" s="500"/>
      <c r="G100" s="519"/>
    </row>
    <row r="101" spans="1:7" ht="37.5" x14ac:dyDescent="0.25">
      <c r="A101" s="519">
        <f t="shared" si="2"/>
        <v>366</v>
      </c>
      <c r="B101" s="500" t="str">
        <f>Suite&amp;" Electrical Room "&amp;SWTwo</f>
        <v>G104 Electrical Room XXX</v>
      </c>
      <c r="C101" s="499" t="str" cm="1">
        <f t="array" ref="C101">"UP" &amp; SWTwo</f>
        <v>UPXXX</v>
      </c>
      <c r="D101" s="233" t="s">
        <v>1518</v>
      </c>
      <c r="E101" s="499" t="s">
        <v>1464</v>
      </c>
      <c r="F101" s="500"/>
      <c r="G101" s="519"/>
    </row>
    <row r="102" spans="1:7" ht="37.5" x14ac:dyDescent="0.25">
      <c r="A102" s="519">
        <f t="shared" si="2"/>
        <v>367</v>
      </c>
      <c r="B102" s="500" t="str">
        <f>Suite&amp;" Electrical Room "&amp;SWTwo</f>
        <v>G104 Electrical Room XXX</v>
      </c>
      <c r="C102" s="499" t="str" cm="1">
        <f t="array" ref="C102">"UPS " &amp; SWTwo &amp; "1"</f>
        <v>UPS XXX1</v>
      </c>
      <c r="D102" s="501" t="s">
        <v>1520</v>
      </c>
      <c r="E102" s="499" t="s">
        <v>1464</v>
      </c>
      <c r="F102" s="500"/>
      <c r="G102" s="519"/>
    </row>
    <row r="103" spans="1:7" ht="37.5" x14ac:dyDescent="0.25">
      <c r="A103" s="519">
        <f t="shared" si="2"/>
        <v>368</v>
      </c>
      <c r="B103" s="500" t="str">
        <f>Suite&amp;" Electrical Room "&amp;SWTwo</f>
        <v>G104 Electrical Room XXX</v>
      </c>
      <c r="C103" s="499" t="str" cm="1">
        <f t="array" ref="C103">"SW" &amp; SWTwo</f>
        <v>SWXXX</v>
      </c>
      <c r="D103" s="190" t="str" cm="1">
        <f t="array" ref="D103">"Open breaker UPS-" &amp; SWTwo &amp; "1."</f>
        <v>Open breaker UPS-XXX1.</v>
      </c>
      <c r="E103" s="499" t="s">
        <v>1464</v>
      </c>
      <c r="F103" s="500"/>
      <c r="G103" s="519"/>
    </row>
    <row r="104" spans="1:7" ht="37.5" x14ac:dyDescent="0.25">
      <c r="A104" s="519">
        <f t="shared" si="2"/>
        <v>369</v>
      </c>
      <c r="B104" s="500" t="str">
        <f>Suite&amp;" Electrical Room "&amp;SWTwo</f>
        <v>G104 Electrical Room XXX</v>
      </c>
      <c r="C104" s="499" t="str" cm="1">
        <f t="array" ref="C104">"SW" &amp; SWTwo</f>
        <v>SWXXX</v>
      </c>
      <c r="D104" s="190" t="str" cm="1">
        <f t="array" ref="D104">"Apply LOTO to breaker UPS-" &amp; SWTwo &amp; "1."</f>
        <v>Apply LOTO to breaker UPS-XXX1.</v>
      </c>
      <c r="E104" s="499" t="s">
        <v>1464</v>
      </c>
      <c r="F104" s="500"/>
      <c r="G104" s="519"/>
    </row>
    <row r="105" spans="1:7" ht="37.5" x14ac:dyDescent="0.25">
      <c r="A105" s="519">
        <f t="shared" si="2"/>
        <v>370</v>
      </c>
      <c r="B105" s="500" t="str">
        <f>Suite&amp;" Electrical Room "&amp;SWTwo</f>
        <v>G104 Electrical Room XXX</v>
      </c>
      <c r="C105" s="499" t="str" cm="1">
        <f t="array" ref="C105">"SW" &amp; SWTwo</f>
        <v>SWXXX</v>
      </c>
      <c r="D105" s="233" t="s">
        <v>1518</v>
      </c>
      <c r="E105" s="499" t="s">
        <v>1464</v>
      </c>
      <c r="F105" s="500"/>
      <c r="G105" s="519"/>
    </row>
    <row r="106" spans="1:7" ht="37.5" x14ac:dyDescent="0.25">
      <c r="A106" s="519">
        <f t="shared" si="2"/>
        <v>371</v>
      </c>
      <c r="B106" s="500" t="str">
        <f>Suite&amp;" Electrical Room "&amp;SWTwo</f>
        <v>G104 Electrical Room XXX</v>
      </c>
      <c r="C106" s="499" t="str" cm="1">
        <f t="array" ref="C106">"SW" &amp; SWTwo</f>
        <v>SWXXX</v>
      </c>
      <c r="D106" s="190" t="str" cm="1">
        <f t="array" ref="D106">"Open breaker UPS-" &amp; SWTwo &amp; "2."</f>
        <v>Open breaker UPS-XXX2.</v>
      </c>
      <c r="E106" s="499" t="s">
        <v>1464</v>
      </c>
      <c r="F106" s="500"/>
      <c r="G106" s="519"/>
    </row>
    <row r="107" spans="1:7" ht="37.5" x14ac:dyDescent="0.25">
      <c r="A107" s="519">
        <f t="shared" si="2"/>
        <v>372</v>
      </c>
      <c r="B107" s="500" t="str">
        <f>Suite&amp;" Electrical Room "&amp;SWTwo</f>
        <v>G104 Electrical Room XXX</v>
      </c>
      <c r="C107" s="499" t="str" cm="1">
        <f t="array" ref="C107">"SW" &amp; SWTwo</f>
        <v>SWXXX</v>
      </c>
      <c r="D107" s="190" t="str" cm="1">
        <f t="array" ref="D107">"Apply LOTO to breaker UPS-" &amp; SWTwo &amp; "2."</f>
        <v>Apply LOTO to breaker UPS-XXX2.</v>
      </c>
      <c r="E107" s="499" t="s">
        <v>1464</v>
      </c>
      <c r="F107" s="500"/>
      <c r="G107" s="519"/>
    </row>
    <row r="108" spans="1:7" ht="37.5" x14ac:dyDescent="0.25">
      <c r="A108" s="519">
        <f t="shared" si="2"/>
        <v>373</v>
      </c>
      <c r="B108" s="500" t="str">
        <f>Suite&amp;" Electrical Room "&amp;SWTwo</f>
        <v>G104 Electrical Room XXX</v>
      </c>
      <c r="C108" s="499" t="str" cm="1">
        <f t="array" ref="C108">"SW" &amp; SWTwo</f>
        <v>SWXXX</v>
      </c>
      <c r="D108" s="233" t="s">
        <v>1518</v>
      </c>
      <c r="E108" s="499" t="s">
        <v>1464</v>
      </c>
      <c r="F108" s="500"/>
      <c r="G108" s="519"/>
    </row>
    <row r="109" spans="1:7" ht="56.25" x14ac:dyDescent="0.25">
      <c r="A109" s="519">
        <f t="shared" si="2"/>
        <v>374</v>
      </c>
      <c r="B109" s="500" t="str">
        <f>Suite&amp;" Electrical Room "&amp;SWTwo</f>
        <v>G104 Electrical Room XXX</v>
      </c>
      <c r="C109" s="499" t="str" cm="1">
        <f t="array" ref="C109">"UPS " &amp; SWTwo &amp; "1"</f>
        <v>UPS XXX1</v>
      </c>
      <c r="D109" s="190" t="str" cm="1">
        <f t="array" ref="D109">"Verify UPS-" &amp;SWTwo&amp; "1 CB1 breaker is in the ''Tripped'' position. 
Note: The CB1 breaker will automatically reset and close during system startup."</f>
        <v>Verify UPS-XXX1 CB1 breaker is in the ''Tripped'' position. 
Note: The CB1 breaker will automatically reset and close during system startup.</v>
      </c>
      <c r="E109" s="499" t="s">
        <v>1464</v>
      </c>
      <c r="F109" s="500"/>
      <c r="G109" s="519"/>
    </row>
    <row r="110" spans="1:7" ht="56.25" x14ac:dyDescent="0.25">
      <c r="A110" s="519">
        <f t="shared" si="2"/>
        <v>375</v>
      </c>
      <c r="B110" s="500" t="str">
        <f>Suite&amp;" Electrical Room "&amp;SWTwo</f>
        <v>G104 Electrical Room XXX</v>
      </c>
      <c r="C110" s="499" t="str" cm="1">
        <f t="array" ref="C110">"UPS " &amp; SWTwo &amp; "2"</f>
        <v>UPS XXX2</v>
      </c>
      <c r="D110" s="190" t="str" cm="1">
        <f t="array" ref="D110">"Verify UPS-" &amp;SWTwo&amp; "2 CB1 breaker is in the ''Tripped'' position. 
Note: The CB1 breaker will automatically reset and close during system startup."</f>
        <v>Verify UPS-XXX2 CB1 breaker is in the ''Tripped'' position. 
Note: The CB1 breaker will automatically reset and close during system startup.</v>
      </c>
      <c r="E110" s="499" t="s">
        <v>1464</v>
      </c>
      <c r="F110" s="500"/>
      <c r="G110" s="519"/>
    </row>
    <row r="111" spans="1:7" ht="37.5" x14ac:dyDescent="0.25">
      <c r="A111" s="519">
        <f t="shared" si="2"/>
        <v>376</v>
      </c>
      <c r="B111" s="500" t="str">
        <f>Suite&amp;" Electrical Room "&amp;SWTwo</f>
        <v>G104 Electrical Room XXX</v>
      </c>
      <c r="C111" s="499" t="str" cm="1">
        <f t="array" ref="C111">"UPS " &amp; SWTwo &amp; "1"</f>
        <v>UPS XXX1</v>
      </c>
      <c r="D111" s="190" t="str" cm="1">
        <f t="array" ref="D111">"Verify UPS-" &amp;SWTwo&amp; "1 Backfeed Breaker breaker is in the ''Tripped'' position."</f>
        <v>Verify UPS-XXX1 Backfeed Breaker breaker is in the ''Tripped'' position.</v>
      </c>
      <c r="E111" s="499" t="s">
        <v>1464</v>
      </c>
      <c r="F111" s="500"/>
      <c r="G111" s="519"/>
    </row>
    <row r="112" spans="1:7" ht="37.5" x14ac:dyDescent="0.25">
      <c r="A112" s="519">
        <f t="shared" si="2"/>
        <v>377</v>
      </c>
      <c r="B112" s="500" t="str">
        <f>Suite&amp;" Electrical Room "&amp;SWTwo</f>
        <v>G104 Electrical Room XXX</v>
      </c>
      <c r="C112" s="499" t="str" cm="1">
        <f t="array" ref="C112">"UPS " &amp; SWTwo &amp; "1"</f>
        <v>UPS XXX1</v>
      </c>
      <c r="D112" s="233" t="str" cm="1">
        <f t="array" ref="D112">"Open UPS-" &amp;SWTwo&amp; "1 Backfeed Breaker."</f>
        <v>Open UPS-XXX1 Backfeed Breaker.</v>
      </c>
      <c r="E112" s="499" t="s">
        <v>1464</v>
      </c>
      <c r="F112" s="500"/>
      <c r="G112" s="519"/>
    </row>
    <row r="113" spans="1:7" ht="37.5" x14ac:dyDescent="0.25">
      <c r="A113" s="519">
        <f t="shared" si="2"/>
        <v>378</v>
      </c>
      <c r="B113" s="500" t="str">
        <f>Suite&amp;" Electrical Room "&amp;SWTwo</f>
        <v>G104 Electrical Room XXX</v>
      </c>
      <c r="C113" s="499" t="str" cm="1">
        <f t="array" ref="C113">"UPS " &amp; SWTwo &amp; "2"</f>
        <v>UPS XXX2</v>
      </c>
      <c r="D113" s="190" t="str" cm="1">
        <f t="array" ref="D113">"Verify UPS-" &amp;SWTwo&amp; "2 Backfeed Breaker breaker is in the ''Tripped'' position."</f>
        <v>Verify UPS-XXX2 Backfeed Breaker breaker is in the ''Tripped'' position.</v>
      </c>
      <c r="E113" s="499" t="s">
        <v>1464</v>
      </c>
      <c r="F113" s="500"/>
      <c r="G113" s="519"/>
    </row>
    <row r="114" spans="1:7" ht="37.5" x14ac:dyDescent="0.25">
      <c r="A114" s="519">
        <f t="shared" si="2"/>
        <v>379</v>
      </c>
      <c r="B114" s="500" t="str">
        <f>Suite&amp;" Electrical Room "&amp;SWTwo</f>
        <v>G104 Electrical Room XXX</v>
      </c>
      <c r="C114" s="499" t="str" cm="1">
        <f t="array" ref="C114">"UPS " &amp; SWTwo &amp; "2"</f>
        <v>UPS XXX2</v>
      </c>
      <c r="D114" s="233" t="str" cm="1">
        <f t="array" ref="D114">"Open UPS-" &amp;SWTwo&amp; "2 Backfeed Breaker."</f>
        <v>Open UPS-XXX2 Backfeed Breaker.</v>
      </c>
      <c r="E114" s="499" t="s">
        <v>1464</v>
      </c>
      <c r="F114" s="500"/>
      <c r="G114" s="519"/>
    </row>
    <row r="115" spans="1:7" ht="37.5" x14ac:dyDescent="0.25">
      <c r="A115" s="519">
        <f t="shared" si="2"/>
        <v>380</v>
      </c>
      <c r="B115" s="500" t="str">
        <f>Suite&amp;" Electrical Room "&amp;SWTwo</f>
        <v>G104 Electrical Room XXX</v>
      </c>
      <c r="C115" s="499" t="str" cm="1">
        <f t="array" ref="C115">"UPS " &amp; SWTwo &amp; "1"</f>
        <v>UPS XXX1</v>
      </c>
      <c r="D115" s="190" t="str" cm="1">
        <f t="array" ref="D115">"Verify UPS-" &amp;SWTwo&amp; "1 CB2 breaker is in the ''Tripped'' position."</f>
        <v>Verify UPS-XXX1 CB2 breaker is in the ''Tripped'' position.</v>
      </c>
      <c r="E115" s="499" t="s">
        <v>1464</v>
      </c>
      <c r="F115" s="500"/>
      <c r="G115" s="519"/>
    </row>
    <row r="116" spans="1:7" ht="37.5" x14ac:dyDescent="0.25">
      <c r="A116" s="519">
        <f t="shared" si="2"/>
        <v>381</v>
      </c>
      <c r="B116" s="500" t="str">
        <f>Suite&amp;" Electrical Room "&amp;SWTwo</f>
        <v>G104 Electrical Room XXX</v>
      </c>
      <c r="C116" s="499" t="str" cm="1">
        <f t="array" ref="C116">"UPS " &amp; SWTwo &amp; "1"</f>
        <v>UPS XXX1</v>
      </c>
      <c r="D116" s="233" t="str" cm="1">
        <f t="array" ref="D116">"Open UPS-" &amp;SWTwo&amp; "1 CB2 breaker."</f>
        <v>Open UPS-XXX1 CB2 breaker.</v>
      </c>
      <c r="E116" s="499" t="s">
        <v>1464</v>
      </c>
      <c r="F116" s="500"/>
      <c r="G116" s="519"/>
    </row>
    <row r="117" spans="1:7" ht="37.5" x14ac:dyDescent="0.25">
      <c r="A117" s="519">
        <f t="shared" si="2"/>
        <v>382</v>
      </c>
      <c r="B117" s="500" t="str">
        <f>Suite&amp;" Electrical Room "&amp;SWTwo</f>
        <v>G104 Electrical Room XXX</v>
      </c>
      <c r="C117" s="499" t="str" cm="1">
        <f t="array" ref="C117">"UPS " &amp; SWTwo &amp; "2"</f>
        <v>UPS XXX2</v>
      </c>
      <c r="D117" s="190" t="str" cm="1">
        <f t="array" ref="D117">"Verify UPS-" &amp;SWTwo&amp; "2 CB2 breaker is in the ''Tripped'' position."</f>
        <v>Verify UPS-XXX2 CB2 breaker is in the ''Tripped'' position.</v>
      </c>
      <c r="E117" s="499" t="s">
        <v>1464</v>
      </c>
      <c r="F117" s="500"/>
      <c r="G117" s="519"/>
    </row>
    <row r="118" spans="1:7" ht="37.5" x14ac:dyDescent="0.25">
      <c r="A118" s="519">
        <f t="shared" si="2"/>
        <v>383</v>
      </c>
      <c r="B118" s="500" t="str">
        <f>Suite&amp;" Electrical Room "&amp;SWTwo</f>
        <v>G104 Electrical Room XXX</v>
      </c>
      <c r="C118" s="499" t="str" cm="1">
        <f t="array" ref="C118">"UPS " &amp; SWTwo &amp; "2"</f>
        <v>UPS XXX2</v>
      </c>
      <c r="D118" s="233" t="str" cm="1">
        <f t="array" ref="D118">"Open UPS-" &amp;SWTwo&amp; "2 CB2 breaker."</f>
        <v>Open UPS-XXX2 CB2 breaker.</v>
      </c>
      <c r="E118" s="499" t="s">
        <v>1464</v>
      </c>
      <c r="F118" s="500"/>
      <c r="G118" s="519"/>
    </row>
    <row r="119" spans="1:7" ht="37.5" x14ac:dyDescent="0.25">
      <c r="A119" s="519">
        <f t="shared" si="2"/>
        <v>384</v>
      </c>
      <c r="B119" s="500" t="str">
        <f>Suite&amp;" Electrical Room "&amp;SWTwo</f>
        <v>G104 Electrical Room XXX</v>
      </c>
      <c r="C119" s="499" t="str" cm="1">
        <f t="array" ref="C119">"UPS " &amp; SWTwo</f>
        <v>UPS XXX</v>
      </c>
      <c r="D119" s="233" t="str" cm="1">
        <f t="array" ref="D119">"UPS SYSTEM " &amp;SWTwo&amp; " is now completely offline. Critical Customer Load remains on Maintenance Bypass."</f>
        <v>UPS SYSTEM XXX is now completely offline. Critical Customer Load remains on Maintenance Bypass.</v>
      </c>
      <c r="E119" s="499" t="s">
        <v>1464</v>
      </c>
      <c r="F119" s="500"/>
      <c r="G119" s="519"/>
    </row>
    <row r="120" spans="1:7" ht="37.5" x14ac:dyDescent="0.25">
      <c r="A120" s="519">
        <f t="shared" si="2"/>
        <v>385</v>
      </c>
      <c r="B120" s="500" t="str">
        <f>Suite&amp;" Electrical Room A"</f>
        <v>G104 Electrical Room A</v>
      </c>
      <c r="C120" s="499" t="s">
        <v>1521</v>
      </c>
      <c r="D120" s="191" t="s">
        <v>1471</v>
      </c>
      <c r="E120" s="499" t="s">
        <v>1464</v>
      </c>
      <c r="F120" s="500"/>
      <c r="G120" s="519"/>
    </row>
    <row r="121" spans="1:7" ht="37.5" x14ac:dyDescent="0.25">
      <c r="A121" s="519">
        <f t="shared" si="2"/>
        <v>386</v>
      </c>
      <c r="B121" s="500" t="str">
        <f>Suite&amp;" Electrical Room A"</f>
        <v>G104 Electrical Room A</v>
      </c>
      <c r="C121" s="499" t="s">
        <v>1521</v>
      </c>
      <c r="D121" s="233" t="str">
        <f>"Verify the readings in step " &amp; A120 &amp; " and " &amp; A12 &amp; " are within 3% of each other. (new kW divided by original kW must be ≤1.03 and ≥0.97)."</f>
        <v>Verify the readings in step 385 and 277 are within 3% of each other. (new kW divided by original kW must be ≤1.03 and ≥0.97).</v>
      </c>
      <c r="E121" s="499" t="s">
        <v>1464</v>
      </c>
      <c r="F121" s="500"/>
      <c r="G121" s="519"/>
    </row>
    <row r="122" spans="1:7" ht="37.5" x14ac:dyDescent="0.25">
      <c r="A122" s="519">
        <f t="shared" si="2"/>
        <v>387</v>
      </c>
      <c r="B122" s="500" t="str">
        <f>Suite&amp;" Electrical Room B"</f>
        <v>G104 Electrical Room B</v>
      </c>
      <c r="C122" s="499" t="s">
        <v>1522</v>
      </c>
      <c r="D122" s="191" t="s">
        <v>1477</v>
      </c>
      <c r="E122" s="499" t="s">
        <v>1464</v>
      </c>
      <c r="F122" s="500"/>
      <c r="G122" s="519"/>
    </row>
    <row r="123" spans="1:7" ht="37.5" x14ac:dyDescent="0.25">
      <c r="A123" s="519">
        <f t="shared" si="2"/>
        <v>388</v>
      </c>
      <c r="B123" s="500" t="str">
        <f>Suite&amp;" Electrical Room B"</f>
        <v>G104 Electrical Room B</v>
      </c>
      <c r="C123" s="499" t="s">
        <v>1522</v>
      </c>
      <c r="D123" s="233" t="str">
        <f>"Verify the readings in step " &amp; A122 &amp; " and " &amp; A15 &amp; " are within 3% of each other. (new kW divided by original kW must be ≤1.03 and ≥0.97)."</f>
        <v>Verify the readings in step 387 and 280 are within 3% of each other. (new kW divided by original kW must be ≤1.03 and ≥0.97).</v>
      </c>
      <c r="E123" s="499" t="s">
        <v>1464</v>
      </c>
      <c r="F123" s="500"/>
      <c r="G123" s="519"/>
    </row>
    <row r="124" spans="1:7" ht="37.5" hidden="1" x14ac:dyDescent="0.25">
      <c r="A124" s="519">
        <f t="shared" si="2"/>
        <v>389</v>
      </c>
      <c r="B124" s="500" t="str">
        <f>Suite&amp;" Electrical Room C"</f>
        <v>G104 Electrical Room C</v>
      </c>
      <c r="C124" s="499" t="s">
        <v>1523</v>
      </c>
      <c r="D124" s="191" t="s">
        <v>1483</v>
      </c>
      <c r="E124" s="499" t="s">
        <v>1464</v>
      </c>
      <c r="F124" s="500"/>
      <c r="G124" s="519"/>
    </row>
    <row r="125" spans="1:7" ht="37.5" hidden="1" x14ac:dyDescent="0.25">
      <c r="A125" s="519">
        <f t="shared" si="2"/>
        <v>390</v>
      </c>
      <c r="B125" s="500" t="str">
        <f>Suite&amp;" Electrical Room C"</f>
        <v>G104 Electrical Room C</v>
      </c>
      <c r="C125" s="499" t="s">
        <v>1523</v>
      </c>
      <c r="D125" s="233" t="str">
        <f>"Verify the readings in step " &amp; A124 &amp; " and " &amp; A18 &amp; " are within 3% of each other. (new kW divided by original kW must be ≤1.03 and ≥0.97)."</f>
        <v>Verify the readings in step 389 and 283 are within 3% of each other. (new kW divided by original kW must be ≤1.03 and ≥0.97).</v>
      </c>
      <c r="E125" s="499" t="s">
        <v>1464</v>
      </c>
      <c r="F125" s="500"/>
      <c r="G125" s="519"/>
    </row>
    <row r="126" spans="1:7" ht="37.5" hidden="1" x14ac:dyDescent="0.25">
      <c r="A126" s="519">
        <f t="shared" si="2"/>
        <v>391</v>
      </c>
      <c r="B126" s="500" t="str">
        <f>Suite&amp;" Electrical Room D"</f>
        <v>G104 Electrical Room D</v>
      </c>
      <c r="C126" s="499" t="s">
        <v>1524</v>
      </c>
      <c r="D126" s="191" t="s">
        <v>1489</v>
      </c>
      <c r="E126" s="499" t="s">
        <v>1464</v>
      </c>
      <c r="F126" s="500"/>
      <c r="G126" s="519"/>
    </row>
    <row r="127" spans="1:7" ht="37.5" hidden="1" x14ac:dyDescent="0.25">
      <c r="A127" s="519">
        <f t="shared" si="2"/>
        <v>392</v>
      </c>
      <c r="B127" s="500" t="str">
        <f>Suite&amp;" Electrical Room D"</f>
        <v>G104 Electrical Room D</v>
      </c>
      <c r="C127" s="499" t="s">
        <v>1524</v>
      </c>
      <c r="D127" s="233" t="str">
        <f>"Verify the readings in step " &amp; A126 &amp; " and " &amp; A21 &amp; " are within 3% of each other. (new kW divided by original kW must be ≤1.03 and ≥0.97)."</f>
        <v>Verify the readings in step 391 and 286 are within 3% of each other. (new kW divided by original kW must be ≤1.03 and ≥0.97).</v>
      </c>
      <c r="E127" s="499" t="s">
        <v>1464</v>
      </c>
      <c r="F127" s="500"/>
      <c r="G127" s="519"/>
    </row>
    <row r="128" spans="1:7" ht="37.5" hidden="1" x14ac:dyDescent="0.25">
      <c r="A128" s="519">
        <f t="shared" si="2"/>
        <v>393</v>
      </c>
      <c r="B128" s="500" t="str">
        <f>Suite&amp;" Electrical Room F"</f>
        <v>G104 Electrical Room F</v>
      </c>
      <c r="C128" s="499" t="s">
        <v>1525</v>
      </c>
      <c r="D128" s="191" t="s">
        <v>1495</v>
      </c>
      <c r="E128" s="499" t="s">
        <v>1464</v>
      </c>
      <c r="F128" s="500"/>
      <c r="G128" s="519"/>
    </row>
    <row r="129" spans="1:7" ht="37.5" hidden="1" x14ac:dyDescent="0.25">
      <c r="A129" s="519">
        <f t="shared" si="2"/>
        <v>394</v>
      </c>
      <c r="B129" s="500" t="str">
        <f>Suite&amp;" Electrical Room F"</f>
        <v>G104 Electrical Room F</v>
      </c>
      <c r="C129" s="499" t="s">
        <v>1525</v>
      </c>
      <c r="D129" s="233" t="str">
        <f>"Verify the readings in step " &amp; A128 &amp; " and " &amp; A40 &amp; " are within 3% of each other. (new kW divided by original kW must be ≤1.03 and ≥0.97)."</f>
        <v>Verify the readings in step 393 and 305 are within 3% of each other. (new kW divided by original kW must be ≤1.03 and ≥0.97).</v>
      </c>
      <c r="E129" s="499" t="s">
        <v>1464</v>
      </c>
      <c r="F129" s="500"/>
      <c r="G129" s="519"/>
    </row>
    <row r="130" spans="1:7" ht="75" x14ac:dyDescent="0.25">
      <c r="A130" s="519">
        <f t="shared" si="2"/>
        <v>395</v>
      </c>
      <c r="B130" s="500" t="str">
        <f>Suite&amp;" Electrical Room "&amp;SWTwo</f>
        <v>G104 Electrical Room XXX</v>
      </c>
      <c r="C130" s="499" t="str" cm="1">
        <f t="array" ref="C130">"UPS " &amp; SWTwo</f>
        <v>UPS XXX</v>
      </c>
      <c r="D130" s="190" t="s">
        <v>1526</v>
      </c>
      <c r="E130" s="499" t="s">
        <v>1464</v>
      </c>
      <c r="F130" s="500"/>
      <c r="G130" s="519"/>
    </row>
    <row r="131" spans="1:7" x14ac:dyDescent="0.25">
      <c r="A131" s="519">
        <f t="shared" si="2"/>
        <v>396</v>
      </c>
      <c r="B131" s="702" t="str" cm="1">
        <f t="array" ref="B131">"Restart UPS System " &amp; SWTwo</f>
        <v>Restart UPS System XXX</v>
      </c>
      <c r="C131" s="703"/>
      <c r="D131" s="703"/>
      <c r="E131" s="703"/>
      <c r="F131" s="703"/>
      <c r="G131" s="703"/>
    </row>
    <row r="132" spans="1:7" ht="37.5" x14ac:dyDescent="0.25">
      <c r="A132" s="519">
        <f t="shared" si="2"/>
        <v>397</v>
      </c>
      <c r="B132" s="500" t="str">
        <f>Suite&amp;" Electrical Room "&amp;SWTwo</f>
        <v>G104 Electrical Room XXX</v>
      </c>
      <c r="C132" s="499" t="str" cm="1">
        <f t="array" ref="C132">"UPS " &amp; SWTwo</f>
        <v>UPS XXX</v>
      </c>
      <c r="D132" s="190" t="s">
        <v>1527</v>
      </c>
      <c r="E132" s="499" t="s">
        <v>1464</v>
      </c>
      <c r="F132" s="500"/>
      <c r="G132" s="519"/>
    </row>
    <row r="133" spans="1:7" ht="37.5" x14ac:dyDescent="0.25">
      <c r="A133" s="519">
        <f t="shared" si="2"/>
        <v>398</v>
      </c>
      <c r="B133" s="500" t="str">
        <f>Suite&amp;" Electrical Room "&amp;SWTwo</f>
        <v>G104 Electrical Room XXX</v>
      </c>
      <c r="C133" s="499" t="str" cm="1">
        <f t="array" ref="C133">"UPS " &amp; SWTwo</f>
        <v>UPS XXX</v>
      </c>
      <c r="D133" s="190" t="s">
        <v>1528</v>
      </c>
      <c r="E133" s="499" t="s">
        <v>1464</v>
      </c>
      <c r="F133" s="500"/>
      <c r="G133" s="519"/>
    </row>
    <row r="134" spans="1:7" ht="37.5" x14ac:dyDescent="0.25">
      <c r="A134" s="519">
        <f t="shared" si="2"/>
        <v>399</v>
      </c>
      <c r="B134" s="500" t="str">
        <f>Suite&amp;" Electrical Room "&amp;SWTwo</f>
        <v>G104 Electrical Room XXX</v>
      </c>
      <c r="C134" s="499" t="str" cm="1">
        <f t="array" ref="C134">"UPS " &amp; SWTwo</f>
        <v>UPS XXX</v>
      </c>
      <c r="D134" s="190" t="str" cm="1">
        <f t="array" ref="D134">"By my signature below I certify that UPS-" &amp; SWTwo &amp; "1 and UPS-" &amp; SWTwo &amp; "2 are ready to be returned to service."</f>
        <v>By my signature below I certify that UPS-XXX1 and UPS-XXX2 are ready to be returned to service.</v>
      </c>
      <c r="E134" s="499" t="s">
        <v>1529</v>
      </c>
      <c r="F134" s="500"/>
      <c r="G134" s="519"/>
    </row>
    <row r="135" spans="1:7" ht="37.5" x14ac:dyDescent="0.25">
      <c r="A135" s="519">
        <f t="shared" si="2"/>
        <v>400</v>
      </c>
      <c r="B135" s="500" t="str">
        <f>Suite&amp;" Electrical Room "&amp;SWTwo</f>
        <v>G104 Electrical Room XXX</v>
      </c>
      <c r="C135" s="499" t="str" cm="1">
        <f t="array" ref="C135">"UPS " &amp; SWTwo</f>
        <v>UPS XXX</v>
      </c>
      <c r="D135" s="191" t="s">
        <v>1530</v>
      </c>
      <c r="E135" s="499" t="s">
        <v>1529</v>
      </c>
      <c r="F135" s="500"/>
      <c r="G135" s="519"/>
    </row>
    <row r="136" spans="1:7" ht="37.5" x14ac:dyDescent="0.25">
      <c r="A136" s="519">
        <f t="shared" si="2"/>
        <v>401</v>
      </c>
      <c r="B136" s="500" t="str">
        <f>Suite&amp;" Electrical Room "&amp;SWTwo</f>
        <v>G104 Electrical Room XXX</v>
      </c>
      <c r="C136" s="499" t="str" cm="1">
        <f t="array" ref="C136">"UP" &amp; SWTwo</f>
        <v>UPXXX</v>
      </c>
      <c r="D136" s="233" t="str" cm="1">
        <f t="array" ref="D136">"Notate the kW reading at UP" &amp; SWTwo &amp; " Critical Bus Panel Meter: _________"</f>
        <v>Notate the kW reading at UPXXX Critical Bus Panel Meter: _________</v>
      </c>
      <c r="E136" s="499" t="s">
        <v>1464</v>
      </c>
      <c r="F136" s="500"/>
      <c r="G136" s="519"/>
    </row>
    <row r="137" spans="1:7" ht="37.5" x14ac:dyDescent="0.25">
      <c r="A137" s="519">
        <f t="shared" si="2"/>
        <v>402</v>
      </c>
      <c r="B137" s="500" t="str">
        <f>Suite&amp;" Electrical Room "&amp;SWTwo</f>
        <v>G104 Electrical Room XXX</v>
      </c>
      <c r="C137" s="499" t="str" cm="1">
        <f t="array" ref="C137">"UP" &amp; SWTwo</f>
        <v>UPXXX</v>
      </c>
      <c r="D137" s="233" t="str">
        <f>"Verify the readings in step " &amp; A136 &amp; " and " &amp; A122 &amp; " are within 3% of each other. (new kW divided by original kW must be ≤1.03 and ≥0.97)."</f>
        <v>Verify the readings in step 401 and 387 are within 3% of each other. (new kW divided by original kW must be ≤1.03 and ≥0.97).</v>
      </c>
      <c r="E137" s="499" t="s">
        <v>1464</v>
      </c>
      <c r="F137" s="500"/>
      <c r="G137" s="519"/>
    </row>
    <row r="138" spans="1:7" ht="37.5" x14ac:dyDescent="0.25">
      <c r="A138" s="519">
        <f t="shared" si="2"/>
        <v>403</v>
      </c>
      <c r="B138" s="500" t="str">
        <f>Suite&amp;" Electrical Room "&amp;SWTwo</f>
        <v>G104 Electrical Room XXX</v>
      </c>
      <c r="C138" s="499" t="str" cm="1">
        <f t="array" ref="C138">"SW" &amp; SWTwo</f>
        <v>SWXXX</v>
      </c>
      <c r="D138" s="190" t="str" cm="1">
        <f t="array" ref="D138">"Remove LOTO from input breaker UPS-" &amp; SWTwo &amp; "1."</f>
        <v>Remove LOTO from input breaker UPS-XXX1.</v>
      </c>
      <c r="E138" s="499" t="s">
        <v>1464</v>
      </c>
      <c r="F138" s="500"/>
      <c r="G138" s="519"/>
    </row>
    <row r="139" spans="1:7" ht="37.5" x14ac:dyDescent="0.25">
      <c r="A139" s="519">
        <f t="shared" si="2"/>
        <v>404</v>
      </c>
      <c r="B139" s="500" t="str">
        <f>Suite&amp;" Electrical Room "&amp;SWTwo</f>
        <v>G104 Electrical Room XXX</v>
      </c>
      <c r="C139" s="499" t="str" cm="1">
        <f t="array" ref="C139">"SW" &amp; SWTwo</f>
        <v>SWXXX</v>
      </c>
      <c r="D139" s="233" t="s">
        <v>1518</v>
      </c>
      <c r="E139" s="499" t="s">
        <v>1464</v>
      </c>
      <c r="F139" s="500"/>
      <c r="G139" s="519"/>
    </row>
    <row r="140" spans="1:7" ht="37.5" x14ac:dyDescent="0.25">
      <c r="A140" s="519">
        <f t="shared" si="2"/>
        <v>405</v>
      </c>
      <c r="B140" s="500" t="str">
        <f>Suite&amp;" Electrical Room "&amp;SWTwo</f>
        <v>G104 Electrical Room XXX</v>
      </c>
      <c r="C140" s="499" t="str" cm="1">
        <f t="array" ref="C140">"SW" &amp; SWTwo</f>
        <v>SWXXX</v>
      </c>
      <c r="D140" s="190" t="str" cm="1">
        <f t="array" ref="D140">"Close breaker UPS-" &amp; SWTwo &amp; "1."</f>
        <v>Close breaker UPS-XXX1.</v>
      </c>
      <c r="E140" s="499" t="s">
        <v>1464</v>
      </c>
      <c r="F140" s="500"/>
      <c r="G140" s="519"/>
    </row>
    <row r="141" spans="1:7" ht="37.5" x14ac:dyDescent="0.25">
      <c r="A141" s="519">
        <f t="shared" si="2"/>
        <v>406</v>
      </c>
      <c r="B141" s="500" t="str">
        <f>Suite&amp;" Electrical Room "&amp;SWTwo</f>
        <v>G104 Electrical Room XXX</v>
      </c>
      <c r="C141" s="499" t="str" cm="1">
        <f t="array" ref="C141">"SW" &amp; SWTwo</f>
        <v>SWXXX</v>
      </c>
      <c r="D141" s="190" t="str" cm="1">
        <f t="array" ref="D141">"Remove LOTO from input breaker UPS-" &amp; SWTwo &amp; "2."</f>
        <v>Remove LOTO from input breaker UPS-XXX2.</v>
      </c>
      <c r="E141" s="499" t="s">
        <v>1464</v>
      </c>
      <c r="F141" s="500"/>
      <c r="G141" s="519"/>
    </row>
    <row r="142" spans="1:7" ht="37.5" x14ac:dyDescent="0.25">
      <c r="A142" s="519">
        <f t="shared" si="2"/>
        <v>407</v>
      </c>
      <c r="B142" s="500" t="str">
        <f>Suite&amp;" Electrical Room "&amp;SWTwo</f>
        <v>G104 Electrical Room XXX</v>
      </c>
      <c r="C142" s="499" t="str" cm="1">
        <f t="array" ref="C142">"SW" &amp; SWTwo</f>
        <v>SWXXX</v>
      </c>
      <c r="D142" s="233" t="s">
        <v>1518</v>
      </c>
      <c r="E142" s="499" t="s">
        <v>1464</v>
      </c>
      <c r="F142" s="500"/>
      <c r="G142" s="519"/>
    </row>
    <row r="143" spans="1:7" ht="37.5" x14ac:dyDescent="0.25">
      <c r="A143" s="519">
        <f t="shared" si="2"/>
        <v>408</v>
      </c>
      <c r="B143" s="500" t="str">
        <f>Suite&amp;" Electrical Room "&amp;SWTwo</f>
        <v>G104 Electrical Room XXX</v>
      </c>
      <c r="C143" s="499" t="str" cm="1">
        <f t="array" ref="C143">"SW" &amp; SWTwo</f>
        <v>SWXXX</v>
      </c>
      <c r="D143" s="190" t="str" cm="1">
        <f t="array" ref="D143">"Close breaker UPS-" &amp; SWTwo &amp; "2."</f>
        <v>Close breaker UPS-XXX2.</v>
      </c>
      <c r="E143" s="499" t="s">
        <v>1464</v>
      </c>
      <c r="F143" s="500"/>
      <c r="G143" s="519"/>
    </row>
    <row r="144" spans="1:7" ht="37.5" x14ac:dyDescent="0.25">
      <c r="A144" s="519">
        <f t="shared" si="2"/>
        <v>409</v>
      </c>
      <c r="B144" s="500" t="str">
        <f>Suite&amp;" Electrical Room "&amp;SWTwo</f>
        <v>G104 Electrical Room XXX</v>
      </c>
      <c r="C144" s="499" t="str" cm="1">
        <f t="array" ref="C144">"UPS " &amp; SWTwo</f>
        <v>UPS XXX</v>
      </c>
      <c r="D144" s="190" t="str" cm="1">
        <f t="array" ref="D144">"Allow time for both UPS-" &amp; SWTwo &amp; "1 and UPS-" &amp; SWTwo &amp; "2 module displays to boot up."</f>
        <v>Allow time for both UPS-XXX1 and UPS-XXX2 module displays to boot up.</v>
      </c>
      <c r="E144" s="499" t="s">
        <v>1464</v>
      </c>
      <c r="F144" s="500"/>
      <c r="G144" s="519"/>
    </row>
    <row r="145" spans="1:7" ht="37.5" x14ac:dyDescent="0.25">
      <c r="A145" s="519">
        <f t="shared" si="2"/>
        <v>410</v>
      </c>
      <c r="B145" s="500" t="str">
        <f>Suite&amp;" Electrical Room "&amp;SWTwo</f>
        <v>G104 Electrical Room XXX</v>
      </c>
      <c r="C145" s="499" t="str" cm="1">
        <f t="array" ref="C145">"UPS " &amp; SWTwo &amp; "1"</f>
        <v>UPS XXX1</v>
      </c>
      <c r="D145" s="190" t="s">
        <v>1511</v>
      </c>
      <c r="E145" s="499" t="s">
        <v>1464</v>
      </c>
      <c r="F145" s="500"/>
      <c r="G145" s="519"/>
    </row>
    <row r="146" spans="1:7" ht="37.5" x14ac:dyDescent="0.25">
      <c r="A146" s="519">
        <f t="shared" si="2"/>
        <v>411</v>
      </c>
      <c r="B146" s="500" t="str">
        <f>Suite&amp;" Electrical Room "&amp;SWTwo</f>
        <v>G104 Electrical Room XXX</v>
      </c>
      <c r="C146" s="499" t="str" cm="1">
        <f t="array" ref="C146">"UPS " &amp; SWTwo &amp; "1"</f>
        <v>UPS XXX1</v>
      </c>
      <c r="D146" s="233" t="s">
        <v>1497</v>
      </c>
      <c r="E146" s="499" t="s">
        <v>1464</v>
      </c>
      <c r="F146" s="500"/>
      <c r="G146" s="519"/>
    </row>
    <row r="147" spans="1:7" ht="37.5" x14ac:dyDescent="0.25">
      <c r="A147" s="519">
        <f t="shared" si="2"/>
        <v>412</v>
      </c>
      <c r="B147" s="500" t="str">
        <f>Suite&amp;" Electrical Room "&amp;SWTwo</f>
        <v>G104 Electrical Room XXX</v>
      </c>
      <c r="C147" s="499" t="str" cm="1">
        <f t="array" ref="C147">"UPS " &amp; SWTwo &amp; "1"</f>
        <v>UPS XXX1</v>
      </c>
      <c r="D147" s="190" t="s">
        <v>1531</v>
      </c>
      <c r="E147" s="499" t="s">
        <v>1464</v>
      </c>
      <c r="F147" s="500"/>
      <c r="G147" s="519"/>
    </row>
    <row r="148" spans="1:7" ht="37.5" x14ac:dyDescent="0.25">
      <c r="A148" s="519">
        <f t="shared" si="2"/>
        <v>413</v>
      </c>
      <c r="B148" s="500" t="str">
        <f>Suite&amp;" Electrical Room "&amp;SWTwo</f>
        <v>G104 Electrical Room XXX</v>
      </c>
      <c r="C148" s="499" t="str" cm="1">
        <f t="array" ref="C148">"UPS " &amp; SWTwo &amp; "1"</f>
        <v>UPS XXX1</v>
      </c>
      <c r="D148" s="190" t="s">
        <v>1532</v>
      </c>
      <c r="E148" s="499" t="s">
        <v>1464</v>
      </c>
      <c r="F148" s="500"/>
      <c r="G148" s="519"/>
    </row>
    <row r="149" spans="1:7" ht="37.5" x14ac:dyDescent="0.25">
      <c r="A149" s="519">
        <f t="shared" si="2"/>
        <v>414</v>
      </c>
      <c r="B149" s="500" t="str">
        <f>Suite&amp;" Electrical Room "&amp;SWTwo</f>
        <v>G104 Electrical Room XXX</v>
      </c>
      <c r="C149" s="499" t="str" cm="1">
        <f t="array" ref="C149">"UPS " &amp; SWTwo &amp; "1"</f>
        <v>UPS XXX1</v>
      </c>
      <c r="D149" s="190" t="s">
        <v>1516</v>
      </c>
      <c r="E149" s="499" t="s">
        <v>1464</v>
      </c>
      <c r="F149" s="500"/>
      <c r="G149" s="519"/>
    </row>
    <row r="150" spans="1:7" ht="37.5" x14ac:dyDescent="0.25">
      <c r="A150" s="519">
        <f t="shared" si="2"/>
        <v>415</v>
      </c>
      <c r="B150" s="500" t="str">
        <f>Suite&amp;" Electrical Room "&amp;SWTwo</f>
        <v>G104 Electrical Room XXX</v>
      </c>
      <c r="C150" s="499" t="str" cm="1">
        <f t="array" ref="C150">"UPS " &amp; SWTwo &amp; "1"</f>
        <v>UPS XXX1</v>
      </c>
      <c r="D150" s="190" t="s">
        <v>1533</v>
      </c>
      <c r="E150" s="499" t="s">
        <v>1464</v>
      </c>
      <c r="F150" s="500"/>
      <c r="G150" s="519"/>
    </row>
    <row r="151" spans="1:7" ht="56.25" x14ac:dyDescent="0.25">
      <c r="A151" s="519">
        <f t="shared" si="2"/>
        <v>416</v>
      </c>
      <c r="B151" s="500" t="str">
        <f>Suite&amp;" Electrical Room "&amp;SWTwo</f>
        <v>G104 Electrical Room XXX</v>
      </c>
      <c r="C151" s="499" t="str" cm="1">
        <f t="array" ref="C151">"UPS " &amp; SWTwo &amp; "1"</f>
        <v>UPS XXX1</v>
      </c>
      <c r="D151" s="190" t="s">
        <v>4608</v>
      </c>
      <c r="E151" s="499" t="s">
        <v>1464</v>
      </c>
      <c r="F151" s="500"/>
      <c r="G151" s="519"/>
    </row>
    <row r="152" spans="1:7" ht="37.5" x14ac:dyDescent="0.25">
      <c r="A152" s="519">
        <f t="shared" si="2"/>
        <v>417</v>
      </c>
      <c r="B152" s="500" t="str">
        <f>Suite&amp;" Electrical Room "&amp;SWTwo</f>
        <v>G104 Electrical Room XXX</v>
      </c>
      <c r="C152" s="499" t="str" cm="1">
        <f t="array" ref="C152">"UPS " &amp; SWTwo &amp; "1"</f>
        <v>UPS XXX1</v>
      </c>
      <c r="D152" s="190" t="s">
        <v>1534</v>
      </c>
      <c r="E152" s="499" t="s">
        <v>1464</v>
      </c>
      <c r="F152" s="500"/>
      <c r="G152" s="519"/>
    </row>
    <row r="153" spans="1:7" ht="37.5" x14ac:dyDescent="0.25">
      <c r="A153" s="519">
        <f t="shared" si="2"/>
        <v>418</v>
      </c>
      <c r="B153" s="500" t="str">
        <f>Suite&amp;" Electrical Room "&amp;SWTwo</f>
        <v>G104 Electrical Room XXX</v>
      </c>
      <c r="C153" s="499" t="str" cm="1">
        <f t="array" ref="C153">"UPS " &amp; SWTwo &amp; "1"</f>
        <v>UPS XXX1</v>
      </c>
      <c r="D153" s="190" t="s">
        <v>1535</v>
      </c>
      <c r="E153" s="499" t="s">
        <v>1464</v>
      </c>
      <c r="F153" s="500"/>
      <c r="G153" s="519"/>
    </row>
    <row r="154" spans="1:7" ht="37.5" x14ac:dyDescent="0.25">
      <c r="A154" s="519">
        <f t="shared" si="2"/>
        <v>419</v>
      </c>
      <c r="B154" s="500" t="str">
        <f>Suite&amp;" Electrical Room "&amp;SWTwo</f>
        <v>G104 Electrical Room XXX</v>
      </c>
      <c r="C154" s="499" t="str" cm="1">
        <f t="array" ref="C154">"UPS " &amp; SWTwo &amp; "1"</f>
        <v>UPS XXX1</v>
      </c>
      <c r="D154" s="190" t="s">
        <v>1536</v>
      </c>
      <c r="E154" s="499" t="s">
        <v>1464</v>
      </c>
      <c r="F154" s="500"/>
      <c r="G154" s="519"/>
    </row>
    <row r="155" spans="1:7" ht="37.5" x14ac:dyDescent="0.25">
      <c r="A155" s="519">
        <f t="shared" si="2"/>
        <v>420</v>
      </c>
      <c r="B155" s="500" t="str">
        <f>Suite&amp;" Electrical Room "&amp;SWTwo</f>
        <v>G104 Electrical Room XXX</v>
      </c>
      <c r="C155" s="499" t="str" cm="1">
        <f t="array" ref="C155">"UPS " &amp; SWTwo &amp; "1"</f>
        <v>UPS XXX1</v>
      </c>
      <c r="D155" s="190" t="str" cm="1">
        <f t="array" ref="D155">"Remove LOTO from battery breaker for cabinet " &amp; SWTwo &amp; "1-1."</f>
        <v>Remove LOTO from battery breaker for cabinet XXX1-1.</v>
      </c>
      <c r="E155" s="499" t="s">
        <v>1464</v>
      </c>
      <c r="F155" s="500"/>
      <c r="G155" s="519"/>
    </row>
    <row r="156" spans="1:7" ht="37.5" x14ac:dyDescent="0.25">
      <c r="A156" s="519">
        <f t="shared" ref="A156:A219" si="3">A155+1</f>
        <v>421</v>
      </c>
      <c r="B156" s="500" t="str">
        <f>Suite&amp;" Electrical Room "&amp;SWTwo</f>
        <v>G104 Electrical Room XXX</v>
      </c>
      <c r="C156" s="499" t="str" cm="1">
        <f t="array" ref="C156">"UPS " &amp; SWTwo &amp; "1"</f>
        <v>UPS XXX1</v>
      </c>
      <c r="D156" s="233" t="s">
        <v>1518</v>
      </c>
      <c r="E156" s="499" t="s">
        <v>1464</v>
      </c>
      <c r="F156" s="500"/>
      <c r="G156" s="519"/>
    </row>
    <row r="157" spans="1:7" ht="37.5" x14ac:dyDescent="0.25">
      <c r="A157" s="519">
        <f t="shared" si="3"/>
        <v>422</v>
      </c>
      <c r="B157" s="500" t="str">
        <f>Suite&amp;" Electrical Room "&amp;SWTwo</f>
        <v>G104 Electrical Room XXX</v>
      </c>
      <c r="C157" s="499" t="str" cm="1">
        <f t="array" ref="C157">"UPS " &amp; SWTwo &amp; "1"</f>
        <v>UPS XXX1</v>
      </c>
      <c r="D157" s="190" t="str" cm="1">
        <f t="array" ref="D157">"Close battery breaker for cabinet " &amp; SWTwo &amp; "1-1."</f>
        <v>Close battery breaker for cabinet XXX1-1.</v>
      </c>
      <c r="E157" s="499" t="s">
        <v>1464</v>
      </c>
      <c r="F157" s="500"/>
      <c r="G157" s="519"/>
    </row>
    <row r="158" spans="1:7" ht="37.5" x14ac:dyDescent="0.25">
      <c r="A158" s="519">
        <f t="shared" si="3"/>
        <v>423</v>
      </c>
      <c r="B158" s="500" t="str">
        <f>Suite&amp;" Electrical Room "&amp;SWTwo</f>
        <v>G104 Electrical Room XXX</v>
      </c>
      <c r="C158" s="499" t="str" cm="1">
        <f t="array" ref="C158">"UPS " &amp; SWTwo &amp; "1"</f>
        <v>UPS XXX1</v>
      </c>
      <c r="D158" s="190" t="str" cm="1">
        <f t="array" ref="D158">"Remove LOTO from battery breaker for cabinet " &amp; SWTwo &amp; "1-2."</f>
        <v>Remove LOTO from battery breaker for cabinet XXX1-2.</v>
      </c>
      <c r="E158" s="499" t="s">
        <v>1464</v>
      </c>
      <c r="F158" s="500"/>
      <c r="G158" s="519"/>
    </row>
    <row r="159" spans="1:7" ht="37.5" x14ac:dyDescent="0.25">
      <c r="A159" s="519">
        <f t="shared" si="3"/>
        <v>424</v>
      </c>
      <c r="B159" s="500" t="str">
        <f>Suite&amp;" Electrical Room "&amp;SWTwo</f>
        <v>G104 Electrical Room XXX</v>
      </c>
      <c r="C159" s="499" t="str" cm="1">
        <f t="array" ref="C159">"UPS " &amp; SWTwo &amp; "1"</f>
        <v>UPS XXX1</v>
      </c>
      <c r="D159" s="233" t="s">
        <v>1518</v>
      </c>
      <c r="E159" s="499" t="s">
        <v>1464</v>
      </c>
      <c r="F159" s="500"/>
      <c r="G159" s="519"/>
    </row>
    <row r="160" spans="1:7" ht="37.5" x14ac:dyDescent="0.25">
      <c r="A160" s="519">
        <f t="shared" si="3"/>
        <v>425</v>
      </c>
      <c r="B160" s="500" t="str">
        <f>Suite&amp;" Electrical Room "&amp;SWTwo</f>
        <v>G104 Electrical Room XXX</v>
      </c>
      <c r="C160" s="499" t="str" cm="1">
        <f t="array" ref="C160">"UPS " &amp; SWTwo &amp; "1"</f>
        <v>UPS XXX1</v>
      </c>
      <c r="D160" s="190" t="str" cm="1">
        <f t="array" ref="D160">"Close battery breaker for cabinet " &amp; SWTwo &amp; "1-2."</f>
        <v>Close battery breaker for cabinet XXX1-2.</v>
      </c>
      <c r="E160" s="499" t="s">
        <v>1464</v>
      </c>
      <c r="F160" s="500"/>
      <c r="G160" s="519"/>
    </row>
    <row r="161" spans="1:7" ht="37.5" x14ac:dyDescent="0.25">
      <c r="A161" s="519">
        <f t="shared" si="3"/>
        <v>426</v>
      </c>
      <c r="B161" s="500" t="str">
        <f>Suite&amp;" Electrical Room "&amp;SWTwo</f>
        <v>G104 Electrical Room XXX</v>
      </c>
      <c r="C161" s="499" t="str" cm="1">
        <f t="array" ref="C161">"UPS " &amp; SWTwo &amp; "1"</f>
        <v>UPS XXX1</v>
      </c>
      <c r="D161" s="190" t="str" cm="1">
        <f t="array" ref="D161">"Remove LOTO from battery breaker for cabinet " &amp; SWTwo &amp; "1-3."</f>
        <v>Remove LOTO from battery breaker for cabinet XXX1-3.</v>
      </c>
      <c r="E161" s="499" t="s">
        <v>1464</v>
      </c>
      <c r="F161" s="500"/>
      <c r="G161" s="519"/>
    </row>
    <row r="162" spans="1:7" ht="37.5" x14ac:dyDescent="0.25">
      <c r="A162" s="519">
        <f t="shared" si="3"/>
        <v>427</v>
      </c>
      <c r="B162" s="500" t="str">
        <f>Suite&amp;" Electrical Room "&amp;SWTwo</f>
        <v>G104 Electrical Room XXX</v>
      </c>
      <c r="C162" s="499" t="str" cm="1">
        <f t="array" ref="C162">"UPS " &amp; SWTwo &amp; "1"</f>
        <v>UPS XXX1</v>
      </c>
      <c r="D162" s="233" t="s">
        <v>1518</v>
      </c>
      <c r="E162" s="499" t="s">
        <v>1464</v>
      </c>
      <c r="F162" s="500"/>
      <c r="G162" s="519"/>
    </row>
    <row r="163" spans="1:7" ht="37.5" x14ac:dyDescent="0.25">
      <c r="A163" s="519">
        <f t="shared" si="3"/>
        <v>428</v>
      </c>
      <c r="B163" s="500" t="str">
        <f>Suite&amp;" Electrical Room "&amp;SWTwo</f>
        <v>G104 Electrical Room XXX</v>
      </c>
      <c r="C163" s="499" t="str" cm="1">
        <f t="array" ref="C163">"UPS " &amp; SWTwo &amp; "1"</f>
        <v>UPS XXX1</v>
      </c>
      <c r="D163" s="190" t="str" cm="1">
        <f t="array" ref="D163">"Close battery breaker for cabinet " &amp; SWTwo &amp; "1-3."</f>
        <v>Close battery breaker for cabinet XXX1-3.</v>
      </c>
      <c r="E163" s="499" t="s">
        <v>1464</v>
      </c>
      <c r="F163" s="500"/>
      <c r="G163" s="519"/>
    </row>
    <row r="164" spans="1:7" ht="37.5" x14ac:dyDescent="0.25">
      <c r="A164" s="519">
        <f t="shared" si="3"/>
        <v>429</v>
      </c>
      <c r="B164" s="500" t="str">
        <f>Suite&amp;" Electrical Room "&amp;SWTwo</f>
        <v>G104 Electrical Room XXX</v>
      </c>
      <c r="C164" s="499" t="str" cm="1">
        <f t="array" ref="C164">"UPS " &amp; SWTwo &amp; "2"</f>
        <v>UPS XXX2</v>
      </c>
      <c r="D164" s="190" t="s">
        <v>1511</v>
      </c>
      <c r="E164" s="499" t="s">
        <v>1464</v>
      </c>
      <c r="F164" s="500"/>
      <c r="G164" s="519"/>
    </row>
    <row r="165" spans="1:7" ht="37.5" x14ac:dyDescent="0.25">
      <c r="A165" s="519">
        <f t="shared" si="3"/>
        <v>430</v>
      </c>
      <c r="B165" s="500" t="str">
        <f>Suite&amp;" Electrical Room "&amp;SWTwo</f>
        <v>G104 Electrical Room XXX</v>
      </c>
      <c r="C165" s="499" t="str" cm="1">
        <f t="array" ref="C165">"UPS " &amp; SWTwo &amp; "2"</f>
        <v>UPS XXX2</v>
      </c>
      <c r="D165" s="233" t="s">
        <v>1497</v>
      </c>
      <c r="E165" s="499" t="s">
        <v>1464</v>
      </c>
      <c r="F165" s="500"/>
      <c r="G165" s="519"/>
    </row>
    <row r="166" spans="1:7" ht="37.5" x14ac:dyDescent="0.25">
      <c r="A166" s="519">
        <f t="shared" si="3"/>
        <v>431</v>
      </c>
      <c r="B166" s="500" t="str">
        <f>Suite&amp;" Electrical Room "&amp;SWTwo</f>
        <v>G104 Electrical Room XXX</v>
      </c>
      <c r="C166" s="499" t="str" cm="1">
        <f t="array" ref="C166">"UPS " &amp; SWTwo &amp; "2"</f>
        <v>UPS XXX2</v>
      </c>
      <c r="D166" s="190" t="s">
        <v>1531</v>
      </c>
      <c r="E166" s="499" t="s">
        <v>1464</v>
      </c>
      <c r="F166" s="500"/>
      <c r="G166" s="519"/>
    </row>
    <row r="167" spans="1:7" ht="37.5" x14ac:dyDescent="0.25">
      <c r="A167" s="519">
        <f t="shared" si="3"/>
        <v>432</v>
      </c>
      <c r="B167" s="500" t="str">
        <f>Suite&amp;" Electrical Room "&amp;SWTwo</f>
        <v>G104 Electrical Room XXX</v>
      </c>
      <c r="C167" s="499" t="str" cm="1">
        <f t="array" ref="C167">"UPS " &amp; SWTwo &amp; "2"</f>
        <v>UPS XXX2</v>
      </c>
      <c r="D167" s="190" t="s">
        <v>1537</v>
      </c>
      <c r="E167" s="499" t="s">
        <v>1464</v>
      </c>
      <c r="F167" s="500"/>
      <c r="G167" s="519"/>
    </row>
    <row r="168" spans="1:7" ht="37.5" x14ac:dyDescent="0.25">
      <c r="A168" s="519">
        <f t="shared" si="3"/>
        <v>433</v>
      </c>
      <c r="B168" s="500" t="str">
        <f>Suite&amp;" Electrical Room "&amp;SWTwo</f>
        <v>G104 Electrical Room XXX</v>
      </c>
      <c r="C168" s="499" t="str" cm="1">
        <f t="array" ref="C168">"UPS " &amp; SWTwo &amp; "2"</f>
        <v>UPS XXX2</v>
      </c>
      <c r="D168" s="190" t="s">
        <v>1516</v>
      </c>
      <c r="E168" s="499" t="s">
        <v>1464</v>
      </c>
      <c r="F168" s="500"/>
      <c r="G168" s="519"/>
    </row>
    <row r="169" spans="1:7" ht="37.5" x14ac:dyDescent="0.25">
      <c r="A169" s="519">
        <f t="shared" si="3"/>
        <v>434</v>
      </c>
      <c r="B169" s="500" t="str">
        <f>Suite&amp;" Electrical Room "&amp;SWTwo</f>
        <v>G104 Electrical Room XXX</v>
      </c>
      <c r="C169" s="499" t="str" cm="1">
        <f t="array" ref="C169">"UPS " &amp; SWTwo &amp; "2"</f>
        <v>UPS XXX2</v>
      </c>
      <c r="D169" s="190" t="s">
        <v>1533</v>
      </c>
      <c r="E169" s="499" t="s">
        <v>1464</v>
      </c>
      <c r="F169" s="500"/>
      <c r="G169" s="519"/>
    </row>
    <row r="170" spans="1:7" ht="56.25" x14ac:dyDescent="0.25">
      <c r="A170" s="519">
        <f t="shared" si="3"/>
        <v>435</v>
      </c>
      <c r="B170" s="500" t="str">
        <f>Suite&amp;" Electrical Room "&amp;SWTwo</f>
        <v>G104 Electrical Room XXX</v>
      </c>
      <c r="C170" s="499" t="str" cm="1">
        <f t="array" ref="C170">"UPS " &amp; SWTwo &amp; "2"</f>
        <v>UPS XXX2</v>
      </c>
      <c r="D170" s="190" t="s">
        <v>4608</v>
      </c>
      <c r="E170" s="499" t="s">
        <v>1464</v>
      </c>
      <c r="F170" s="500"/>
      <c r="G170" s="519"/>
    </row>
    <row r="171" spans="1:7" ht="37.5" x14ac:dyDescent="0.25">
      <c r="A171" s="519">
        <f t="shared" si="3"/>
        <v>436</v>
      </c>
      <c r="B171" s="500" t="str">
        <f>Suite&amp;" Electrical Room "&amp;SWTwo</f>
        <v>G104 Electrical Room XXX</v>
      </c>
      <c r="C171" s="499" t="str" cm="1">
        <f t="array" ref="C171">"UPS " &amp; SWTwo &amp; "2"</f>
        <v>UPS XXX2</v>
      </c>
      <c r="D171" s="190" t="s">
        <v>1534</v>
      </c>
      <c r="E171" s="499" t="s">
        <v>1464</v>
      </c>
      <c r="F171" s="500"/>
      <c r="G171" s="519"/>
    </row>
    <row r="172" spans="1:7" ht="37.5" x14ac:dyDescent="0.25">
      <c r="A172" s="519">
        <f t="shared" si="3"/>
        <v>437</v>
      </c>
      <c r="B172" s="500" t="str">
        <f>Suite&amp;" Electrical Room "&amp;SWTwo</f>
        <v>G104 Electrical Room XXX</v>
      </c>
      <c r="C172" s="499" t="str" cm="1">
        <f t="array" ref="C172">"UPS " &amp; SWTwo &amp; "2"</f>
        <v>UPS XXX2</v>
      </c>
      <c r="D172" s="190" t="s">
        <v>1535</v>
      </c>
      <c r="E172" s="499" t="s">
        <v>1464</v>
      </c>
      <c r="F172" s="500"/>
      <c r="G172" s="519"/>
    </row>
    <row r="173" spans="1:7" ht="37.5" x14ac:dyDescent="0.25">
      <c r="A173" s="519">
        <f t="shared" si="3"/>
        <v>438</v>
      </c>
      <c r="B173" s="500" t="str">
        <f>Suite&amp;" Electrical Room "&amp;SWTwo</f>
        <v>G104 Electrical Room XXX</v>
      </c>
      <c r="C173" s="499" t="str" cm="1">
        <f t="array" ref="C173">"UPS " &amp; SWTwo &amp; "2"</f>
        <v>UPS XXX2</v>
      </c>
      <c r="D173" s="190" t="s">
        <v>1536</v>
      </c>
      <c r="E173" s="499" t="s">
        <v>1464</v>
      </c>
      <c r="F173" s="500"/>
      <c r="G173" s="519"/>
    </row>
    <row r="174" spans="1:7" ht="37.5" x14ac:dyDescent="0.25">
      <c r="A174" s="519">
        <f t="shared" si="3"/>
        <v>439</v>
      </c>
      <c r="B174" s="500" t="str">
        <f>Suite&amp;" Electrical Room "&amp;SWTwo</f>
        <v>G104 Electrical Room XXX</v>
      </c>
      <c r="C174" s="499" t="str" cm="1">
        <f t="array" ref="C174">"UPS " &amp; SWTwo &amp; "2"</f>
        <v>UPS XXX2</v>
      </c>
      <c r="D174" s="190" t="str" cm="1">
        <f t="array" ref="D174">"Remove LOTO from battery breaker for cabinet " &amp; SWTwo &amp; "2-1."</f>
        <v>Remove LOTO from battery breaker for cabinet XXX2-1.</v>
      </c>
      <c r="E174" s="499" t="s">
        <v>1464</v>
      </c>
      <c r="F174" s="500"/>
      <c r="G174" s="519"/>
    </row>
    <row r="175" spans="1:7" ht="37.5" x14ac:dyDescent="0.25">
      <c r="A175" s="519">
        <f t="shared" si="3"/>
        <v>440</v>
      </c>
      <c r="B175" s="500" t="str">
        <f>Suite&amp;" Electrical Room "&amp;SWTwo</f>
        <v>G104 Electrical Room XXX</v>
      </c>
      <c r="C175" s="499" t="str" cm="1">
        <f t="array" ref="C175">"UPS " &amp; SWTwo &amp; "2"</f>
        <v>UPS XXX2</v>
      </c>
      <c r="D175" s="233" t="s">
        <v>1518</v>
      </c>
      <c r="E175" s="499" t="s">
        <v>1464</v>
      </c>
      <c r="F175" s="500"/>
      <c r="G175" s="519"/>
    </row>
    <row r="176" spans="1:7" ht="37.5" x14ac:dyDescent="0.25">
      <c r="A176" s="519">
        <f t="shared" si="3"/>
        <v>441</v>
      </c>
      <c r="B176" s="500" t="str">
        <f>Suite&amp;" Electrical Room "&amp;SWTwo</f>
        <v>G104 Electrical Room XXX</v>
      </c>
      <c r="C176" s="499" t="str" cm="1">
        <f t="array" ref="C176">"UPS " &amp; SWTwo &amp; "2"</f>
        <v>UPS XXX2</v>
      </c>
      <c r="D176" s="190" t="str" cm="1">
        <f t="array" ref="D176">"Close battery breaker for cabinet " &amp; SWTwo &amp; "2-1."</f>
        <v>Close battery breaker for cabinet XXX2-1.</v>
      </c>
      <c r="E176" s="499" t="s">
        <v>1464</v>
      </c>
      <c r="F176" s="500"/>
      <c r="G176" s="519"/>
    </row>
    <row r="177" spans="1:7" ht="37.5" x14ac:dyDescent="0.25">
      <c r="A177" s="519">
        <f t="shared" si="3"/>
        <v>442</v>
      </c>
      <c r="B177" s="500" t="str">
        <f>Suite&amp;" Electrical Room "&amp;SWTwo</f>
        <v>G104 Electrical Room XXX</v>
      </c>
      <c r="C177" s="499" t="str" cm="1">
        <f t="array" ref="C177">"UPS " &amp; SWTwo &amp; "2"</f>
        <v>UPS XXX2</v>
      </c>
      <c r="D177" s="190" t="str" cm="1">
        <f t="array" ref="D177">"Remove LOTO from battery breaker for cabinet " &amp; SWTwo &amp; "2-2."</f>
        <v>Remove LOTO from battery breaker for cabinet XXX2-2.</v>
      </c>
      <c r="E177" s="499" t="s">
        <v>1464</v>
      </c>
      <c r="F177" s="500"/>
      <c r="G177" s="519"/>
    </row>
    <row r="178" spans="1:7" ht="37.5" x14ac:dyDescent="0.25">
      <c r="A178" s="519">
        <f t="shared" si="3"/>
        <v>443</v>
      </c>
      <c r="B178" s="500" t="str">
        <f>Suite&amp;" Electrical Room "&amp;SWTwo</f>
        <v>G104 Electrical Room XXX</v>
      </c>
      <c r="C178" s="499" t="str" cm="1">
        <f t="array" ref="C178">"UPS " &amp; SWTwo &amp; "2"</f>
        <v>UPS XXX2</v>
      </c>
      <c r="D178" s="233" t="s">
        <v>1518</v>
      </c>
      <c r="E178" s="499" t="s">
        <v>1464</v>
      </c>
      <c r="F178" s="500"/>
      <c r="G178" s="519"/>
    </row>
    <row r="179" spans="1:7" ht="37.5" x14ac:dyDescent="0.25">
      <c r="A179" s="519">
        <f t="shared" si="3"/>
        <v>444</v>
      </c>
      <c r="B179" s="500" t="str">
        <f>Suite&amp;" Electrical Room "&amp;SWTwo</f>
        <v>G104 Electrical Room XXX</v>
      </c>
      <c r="C179" s="499" t="str" cm="1">
        <f t="array" ref="C179">"UPS " &amp; SWTwo &amp; "2"</f>
        <v>UPS XXX2</v>
      </c>
      <c r="D179" s="190" t="str" cm="1">
        <f t="array" ref="D179">"Close battery breaker for cabinet " &amp; SWTwo &amp; "2-2."</f>
        <v>Close battery breaker for cabinet XXX2-2.</v>
      </c>
      <c r="E179" s="499" t="s">
        <v>1464</v>
      </c>
      <c r="F179" s="500"/>
      <c r="G179" s="519"/>
    </row>
    <row r="180" spans="1:7" ht="37.5" x14ac:dyDescent="0.25">
      <c r="A180" s="519">
        <f t="shared" si="3"/>
        <v>445</v>
      </c>
      <c r="B180" s="500" t="str">
        <f>Suite&amp;" Electrical Room "&amp;SWTwo</f>
        <v>G104 Electrical Room XXX</v>
      </c>
      <c r="C180" s="499" t="str" cm="1">
        <f t="array" ref="C180">"UPS " &amp; SWTwo &amp; "2"</f>
        <v>UPS XXX2</v>
      </c>
      <c r="D180" s="190" t="str" cm="1">
        <f t="array" ref="D180">"Remove LOTO from battery breaker for cabinet " &amp; SWTwo &amp; "2-3."</f>
        <v>Remove LOTO from battery breaker for cabinet XXX2-3.</v>
      </c>
      <c r="E180" s="499" t="s">
        <v>1464</v>
      </c>
      <c r="F180" s="500"/>
      <c r="G180" s="519"/>
    </row>
    <row r="181" spans="1:7" ht="37.5" x14ac:dyDescent="0.25">
      <c r="A181" s="519">
        <f t="shared" si="3"/>
        <v>446</v>
      </c>
      <c r="B181" s="500" t="str">
        <f>Suite&amp;" Electrical Room "&amp;SWTwo</f>
        <v>G104 Electrical Room XXX</v>
      </c>
      <c r="C181" s="499" t="str" cm="1">
        <f t="array" ref="C181">"UPS " &amp; SWTwo &amp; "2"</f>
        <v>UPS XXX2</v>
      </c>
      <c r="D181" s="233" t="s">
        <v>1518</v>
      </c>
      <c r="E181" s="499" t="s">
        <v>1464</v>
      </c>
      <c r="F181" s="500"/>
      <c r="G181" s="519"/>
    </row>
    <row r="182" spans="1:7" ht="37.5" x14ac:dyDescent="0.25">
      <c r="A182" s="519">
        <f t="shared" si="3"/>
        <v>447</v>
      </c>
      <c r="B182" s="500" t="str">
        <f>Suite&amp;" Electrical Room "&amp;SWTwo</f>
        <v>G104 Electrical Room XXX</v>
      </c>
      <c r="C182" s="499" t="str" cm="1">
        <f t="array" ref="C182">"UPS " &amp; SWTwo &amp; "2"</f>
        <v>UPS XXX2</v>
      </c>
      <c r="D182" s="190" t="str" cm="1">
        <f t="array" ref="D182">"Close battery breaker for cabinet " &amp; SWTwo &amp; "2-3."</f>
        <v>Close battery breaker for cabinet XXX2-3.</v>
      </c>
      <c r="E182" s="499" t="s">
        <v>1464</v>
      </c>
      <c r="F182" s="500"/>
      <c r="G182" s="519"/>
    </row>
    <row r="183" spans="1:7" ht="37.5" x14ac:dyDescent="0.25">
      <c r="A183" s="519">
        <f t="shared" si="3"/>
        <v>448</v>
      </c>
      <c r="B183" s="500" t="str">
        <f>Suite&amp;" Electrical Room "&amp;SWTwo</f>
        <v>G104 Electrical Room XXX</v>
      </c>
      <c r="C183" s="499" t="str" cm="1">
        <f t="array" ref="C183">"UP" &amp; SWTwo</f>
        <v>UPXXX</v>
      </c>
      <c r="D183" s="190" t="str" cm="1">
        <f t="array" ref="D183">"Remove LOTO from DP-" &amp; SWTwo &amp; "1 breaker (MOB)."</f>
        <v>Remove LOTO from DP-XXX1 breaker (MOB).</v>
      </c>
      <c r="E183" s="499" t="s">
        <v>1464</v>
      </c>
      <c r="F183" s="500"/>
      <c r="G183" s="519"/>
    </row>
    <row r="184" spans="1:7" ht="37.5" x14ac:dyDescent="0.25">
      <c r="A184" s="519">
        <f t="shared" si="3"/>
        <v>449</v>
      </c>
      <c r="B184" s="500" t="str">
        <f>Suite&amp;" Electrical Room "&amp;SWTwo</f>
        <v>G104 Electrical Room XXX</v>
      </c>
      <c r="C184" s="499" t="str" cm="1">
        <f t="array" ref="C184">"UP" &amp; SWTwo</f>
        <v>UPXXX</v>
      </c>
      <c r="D184" s="233" t="s">
        <v>1518</v>
      </c>
      <c r="E184" s="499" t="s">
        <v>1464</v>
      </c>
      <c r="F184" s="500"/>
      <c r="G184" s="519"/>
    </row>
    <row r="185" spans="1:7" ht="37.5" x14ac:dyDescent="0.25">
      <c r="A185" s="519">
        <f t="shared" si="3"/>
        <v>450</v>
      </c>
      <c r="B185" s="500" t="str">
        <f>Suite&amp;" Electrical Room "&amp;SWTwo</f>
        <v>G104 Electrical Room XXX</v>
      </c>
      <c r="C185" s="499" t="str" cm="1">
        <f t="array" ref="C185">"UP" &amp; SWTwo</f>
        <v>UPXXX</v>
      </c>
      <c r="D185" s="190" t="str" cm="1">
        <f t="array" ref="D185">"Remove LOTO from DP-" &amp; SWTwo &amp; "2 breaker (MOB)."</f>
        <v>Remove LOTO from DP-XXX2 breaker (MOB).</v>
      </c>
      <c r="E185" s="499" t="s">
        <v>1464</v>
      </c>
      <c r="F185" s="500"/>
      <c r="G185" s="519"/>
    </row>
    <row r="186" spans="1:7" ht="37.5" x14ac:dyDescent="0.25">
      <c r="A186" s="519">
        <f t="shared" si="3"/>
        <v>451</v>
      </c>
      <c r="B186" s="500" t="str">
        <f>Suite&amp;" Electrical Room "&amp;SWTwo</f>
        <v>G104 Electrical Room XXX</v>
      </c>
      <c r="C186" s="499" t="str" cm="1">
        <f t="array" ref="C186">"UP" &amp; SWTwo</f>
        <v>UPXXX</v>
      </c>
      <c r="D186" s="233" t="s">
        <v>1518</v>
      </c>
      <c r="E186" s="499" t="s">
        <v>1464</v>
      </c>
      <c r="F186" s="500"/>
      <c r="G186" s="519"/>
    </row>
    <row r="187" spans="1:7" ht="37.5" x14ac:dyDescent="0.25">
      <c r="A187" s="519">
        <f t="shared" si="3"/>
        <v>452</v>
      </c>
      <c r="B187" s="500" t="str">
        <f>Suite&amp;" Electrical Room "&amp;SWTwo</f>
        <v>G104 Electrical Room XXX</v>
      </c>
      <c r="C187" s="499" t="str" cm="1">
        <f t="array" ref="C187">"UPS " &amp; SWTwo &amp; "1"</f>
        <v>UPS XXX1</v>
      </c>
      <c r="D187" s="190" t="s">
        <v>1538</v>
      </c>
      <c r="E187" s="499" t="s">
        <v>1464</v>
      </c>
      <c r="F187" s="500"/>
      <c r="G187" s="519"/>
    </row>
    <row r="188" spans="1:7" ht="37.5" x14ac:dyDescent="0.25">
      <c r="A188" s="519">
        <f t="shared" si="3"/>
        <v>453</v>
      </c>
      <c r="B188" s="500" t="str">
        <f>Suite&amp;" Electrical Room "&amp;SWTwo</f>
        <v>G104 Electrical Room XXX</v>
      </c>
      <c r="C188" s="499" t="str" cm="1">
        <f t="array" ref="C188">"UP" &amp; SWTwo</f>
        <v>UPXXX</v>
      </c>
      <c r="D188" s="190" t="str" cm="1">
        <f t="array" ref="D188">"Close DP-" &amp; SWTwo &amp; "1 breaker."</f>
        <v>Close DP-XXX1 breaker.</v>
      </c>
      <c r="E188" s="499" t="s">
        <v>1464</v>
      </c>
      <c r="F188" s="500"/>
      <c r="G188" s="519"/>
    </row>
    <row r="189" spans="1:7" ht="37.5" x14ac:dyDescent="0.25">
      <c r="A189" s="519">
        <f t="shared" si="3"/>
        <v>454</v>
      </c>
      <c r="B189" s="500" t="str">
        <f>Suite&amp;" Electrical Room "&amp;SWTwo</f>
        <v>G104 Electrical Room XXX</v>
      </c>
      <c r="C189" s="499" t="str" cm="1">
        <f t="array" ref="C189">"UP" &amp; SWTwo</f>
        <v>UPXXX</v>
      </c>
      <c r="D189" s="190" t="str" cm="1">
        <f t="array" ref="D189">"Close DP-" &amp; SWTwo &amp; "2 breaker."</f>
        <v>Close DP-XXX2 breaker.</v>
      </c>
      <c r="E189" s="499" t="s">
        <v>1464</v>
      </c>
      <c r="F189" s="500"/>
      <c r="G189" s="519"/>
    </row>
    <row r="190" spans="1:7" ht="37.5" x14ac:dyDescent="0.25">
      <c r="A190" s="519">
        <f t="shared" si="3"/>
        <v>455</v>
      </c>
      <c r="B190" s="500" t="str">
        <f>Suite&amp;" Electrical Room "&amp;SWTwo</f>
        <v>G104 Electrical Room XXX</v>
      </c>
      <c r="C190" s="499" t="str" cm="1">
        <f t="array" ref="C190">"UPS " &amp; SWTwo &amp; "1"</f>
        <v>UPS XXX1</v>
      </c>
      <c r="D190" s="190" t="s">
        <v>1539</v>
      </c>
      <c r="E190" s="499" t="s">
        <v>1464</v>
      </c>
      <c r="F190" s="500"/>
      <c r="G190" s="519"/>
    </row>
    <row r="191" spans="1:7" ht="37.5" x14ac:dyDescent="0.25">
      <c r="A191" s="519">
        <f t="shared" si="3"/>
        <v>456</v>
      </c>
      <c r="B191" s="500" t="str">
        <f>Suite&amp;" Electrical Room "&amp;SWTwo</f>
        <v>G104 Electrical Room XXX</v>
      </c>
      <c r="C191" s="499" t="str" cm="1">
        <f t="array" ref="C191">"UPS " &amp; SWTwo &amp; "1"</f>
        <v>UPS XXX1</v>
      </c>
      <c r="D191" s="190" t="s">
        <v>1540</v>
      </c>
      <c r="E191" s="499" t="s">
        <v>1464</v>
      </c>
      <c r="F191" s="500"/>
      <c r="G191" s="519"/>
    </row>
    <row r="192" spans="1:7" ht="37.5" x14ac:dyDescent="0.25">
      <c r="A192" s="519">
        <f t="shared" si="3"/>
        <v>457</v>
      </c>
      <c r="B192" s="500" t="str">
        <f>Suite&amp;" Electrical Room "&amp;SWTwo</f>
        <v>G104 Electrical Room XXX</v>
      </c>
      <c r="C192" s="499" t="str" cm="1">
        <f t="array" ref="C192">"UPS " &amp; SWTwo &amp; "1"</f>
        <v>UPS XXX1</v>
      </c>
      <c r="D192" s="190" t="s">
        <v>1541</v>
      </c>
      <c r="E192" s="499" t="s">
        <v>1464</v>
      </c>
      <c r="F192" s="500"/>
      <c r="G192" s="519"/>
    </row>
    <row r="193" spans="1:7" ht="37.5" x14ac:dyDescent="0.25">
      <c r="A193" s="519">
        <f t="shared" si="3"/>
        <v>458</v>
      </c>
      <c r="B193" s="500" t="str">
        <f>Suite&amp;" Electrical Room "&amp;SWTwo</f>
        <v>G104 Electrical Room XXX</v>
      </c>
      <c r="C193" s="499" t="str" cm="1">
        <f t="array" ref="C193">"UPS " &amp; SWTwo</f>
        <v>UPS XXX</v>
      </c>
      <c r="D193" s="190" t="str" cm="1">
        <f t="array" ref="D193">"When prompted, close the CB2 breaker on module DP-"&amp;SWTwo&amp;"1."</f>
        <v>When prompted, close the CB2 breaker on module DP-XXX1.</v>
      </c>
      <c r="E193" s="499" t="s">
        <v>1464</v>
      </c>
      <c r="F193" s="500"/>
      <c r="G193" s="519"/>
    </row>
    <row r="194" spans="1:7" ht="37.5" x14ac:dyDescent="0.25">
      <c r="A194" s="519">
        <f t="shared" si="3"/>
        <v>459</v>
      </c>
      <c r="B194" s="500" t="str">
        <f>Suite&amp;" Electrical Room "&amp;SWTwo</f>
        <v>G104 Electrical Room XXX</v>
      </c>
      <c r="C194" s="499" t="str" cm="1">
        <f t="array" ref="C194">"UPS " &amp; SWTwo</f>
        <v>UPS XXX</v>
      </c>
      <c r="D194" s="190" t="str" cm="1">
        <f t="array" ref="D194">"When prompted, close the CB2 breaker on module DP-"&amp;SWTwo&amp;"2."</f>
        <v>When prompted, close the CB2 breaker on module DP-XXX2.</v>
      </c>
      <c r="E194" s="499" t="s">
        <v>1464</v>
      </c>
      <c r="F194" s="500"/>
      <c r="G194" s="519"/>
    </row>
    <row r="195" spans="1:7" ht="37.5" x14ac:dyDescent="0.25">
      <c r="A195" s="519">
        <f t="shared" si="3"/>
        <v>460</v>
      </c>
      <c r="B195" s="500" t="str">
        <f>Suite&amp;" Electrical Room "&amp;SWTwo</f>
        <v>G104 Electrical Room XXX</v>
      </c>
      <c r="C195" s="499" t="str" cm="1">
        <f t="array" ref="C195">"UPS " &amp; SWTwo &amp; "1"</f>
        <v>UPS XXX1</v>
      </c>
      <c r="D195" s="190" t="str" cm="1">
        <f t="array" ref="D195">"Close UPS-" &amp; SWTwo &amp; "1 CB2 breaker."</f>
        <v>Close UPS-XXX1 CB2 breaker.</v>
      </c>
      <c r="E195" s="499" t="s">
        <v>1464</v>
      </c>
      <c r="F195" s="500"/>
      <c r="G195" s="519"/>
    </row>
    <row r="196" spans="1:7" ht="37.5" x14ac:dyDescent="0.25">
      <c r="A196" s="519">
        <f t="shared" si="3"/>
        <v>461</v>
      </c>
      <c r="B196" s="500" t="str">
        <f>Suite&amp;" Electrical Room "&amp;SWTwo</f>
        <v>G104 Electrical Room XXX</v>
      </c>
      <c r="C196" s="499" t="str" cm="1">
        <f t="array" ref="C196">"UPS " &amp; SWTwo &amp; "2"</f>
        <v>UPS XXX2</v>
      </c>
      <c r="D196" s="190" t="str" cm="1">
        <f t="array" ref="D196">"Close UPS-" &amp; SWTwo &amp; "2 CB2 breaker."</f>
        <v>Close UPS-XXX2 CB2 breaker.</v>
      </c>
      <c r="E196" s="499" t="s">
        <v>1464</v>
      </c>
      <c r="F196" s="500"/>
      <c r="G196" s="519"/>
    </row>
    <row r="197" spans="1:7" ht="37.5" x14ac:dyDescent="0.25">
      <c r="A197" s="519">
        <f t="shared" si="3"/>
        <v>462</v>
      </c>
      <c r="B197" s="500" t="str">
        <f>Suite&amp;" Electrical Room "&amp;SWTwo</f>
        <v>G104 Electrical Room XXX</v>
      </c>
      <c r="C197" s="499" t="str" cm="1">
        <f t="array" ref="C197">"UPS " &amp; SWTwo &amp; "1"</f>
        <v>UPS XXX1</v>
      </c>
      <c r="D197" s="190" t="s">
        <v>1542</v>
      </c>
      <c r="E197" s="499" t="s">
        <v>1464</v>
      </c>
      <c r="F197" s="500"/>
      <c r="G197" s="519"/>
    </row>
    <row r="198" spans="1:7" ht="37.5" x14ac:dyDescent="0.25">
      <c r="A198" s="519">
        <f t="shared" si="3"/>
        <v>463</v>
      </c>
      <c r="B198" s="500" t="str">
        <f>Suite&amp;" Electrical Room "&amp;SWTwo</f>
        <v>G104 Electrical Room XXX</v>
      </c>
      <c r="C198" s="499" t="str" cm="1">
        <f t="array" ref="C198">"UPS " &amp; SWTwo &amp; "1"</f>
        <v>UPS XXX1</v>
      </c>
      <c r="D198" s="190" t="s">
        <v>1543</v>
      </c>
      <c r="E198" s="499" t="s">
        <v>1464</v>
      </c>
      <c r="F198" s="500"/>
      <c r="G198" s="519"/>
    </row>
    <row r="199" spans="1:7" ht="37.5" x14ac:dyDescent="0.25">
      <c r="A199" s="519">
        <f t="shared" si="3"/>
        <v>464</v>
      </c>
      <c r="B199" s="500" t="str">
        <f>Suite&amp;" Electrical Room "&amp;SWTwo</f>
        <v>G104 Electrical Room XXX</v>
      </c>
      <c r="C199" s="499" t="str" cm="1">
        <f t="array" ref="C199">"UPS " &amp; SWTwo &amp; "1"</f>
        <v>UPS XXX1</v>
      </c>
      <c r="D199" s="190" t="s">
        <v>1544</v>
      </c>
      <c r="E199" s="499" t="s">
        <v>1464</v>
      </c>
      <c r="F199" s="500"/>
      <c r="G199" s="519"/>
    </row>
    <row r="200" spans="1:7" ht="37.5" x14ac:dyDescent="0.25">
      <c r="A200" s="519">
        <f t="shared" si="3"/>
        <v>465</v>
      </c>
      <c r="B200" s="500" t="str">
        <f>Suite&amp;" Electrical Room "&amp;SWTwo</f>
        <v>G104 Electrical Room XXX</v>
      </c>
      <c r="C200" s="499" t="str" cm="1">
        <f t="array" ref="C200">"UPS " &amp; SWTwo &amp; "1"</f>
        <v>UPS XXX1</v>
      </c>
      <c r="D200" s="190" t="s">
        <v>1545</v>
      </c>
      <c r="E200" s="499" t="s">
        <v>1464</v>
      </c>
      <c r="F200" s="500"/>
      <c r="G200" s="519"/>
    </row>
    <row r="201" spans="1:7" ht="37.5" x14ac:dyDescent="0.25">
      <c r="A201" s="519">
        <f t="shared" si="3"/>
        <v>466</v>
      </c>
      <c r="B201" s="500" t="str">
        <f>Suite&amp;" Electrical Room "&amp;SWTwo</f>
        <v>G104 Electrical Room XXX</v>
      </c>
      <c r="C201" s="499" t="str" cm="1">
        <f t="array" ref="C201">"UPS " &amp; SWTwo &amp; "1"</f>
        <v>UPS XXX1</v>
      </c>
      <c r="D201" s="190" t="s">
        <v>1546</v>
      </c>
      <c r="E201" s="499" t="s">
        <v>1464</v>
      </c>
      <c r="F201" s="500"/>
      <c r="G201" s="519"/>
    </row>
    <row r="202" spans="1:7" ht="37.5" x14ac:dyDescent="0.25">
      <c r="A202" s="519">
        <f t="shared" si="3"/>
        <v>467</v>
      </c>
      <c r="B202" s="500" t="str">
        <f>Suite&amp;" Electrical Room "&amp;SWTwo</f>
        <v>G104 Electrical Room XXX</v>
      </c>
      <c r="C202" s="499" t="str" cm="1">
        <f t="array" ref="C202">"UPS " &amp; SWTwo &amp; "1"</f>
        <v>UPS XXX1</v>
      </c>
      <c r="D202" s="190" t="s">
        <v>1511</v>
      </c>
      <c r="E202" s="499" t="s">
        <v>1464</v>
      </c>
      <c r="F202" s="500"/>
      <c r="G202" s="519"/>
    </row>
    <row r="203" spans="1:7" ht="37.5" x14ac:dyDescent="0.25">
      <c r="A203" s="519">
        <f t="shared" si="3"/>
        <v>468</v>
      </c>
      <c r="B203" s="500" t="str">
        <f>Suite&amp;" Electrical Room "&amp;SWTwo</f>
        <v>G104 Electrical Room XXX</v>
      </c>
      <c r="C203" s="499" t="str" cm="1">
        <f t="array" ref="C203">"UPS " &amp; SWTwo &amp; "1"</f>
        <v>UPS XXX1</v>
      </c>
      <c r="D203" s="190" t="s">
        <v>1498</v>
      </c>
      <c r="E203" s="499" t="s">
        <v>1464</v>
      </c>
      <c r="F203" s="500"/>
      <c r="G203" s="519"/>
    </row>
    <row r="204" spans="1:7" ht="37.5" x14ac:dyDescent="0.25">
      <c r="A204" s="519">
        <f t="shared" si="3"/>
        <v>469</v>
      </c>
      <c r="B204" s="500" t="str">
        <f>Suite&amp;" Electrical Room "&amp;SWTwo</f>
        <v>G104 Electrical Room XXX</v>
      </c>
      <c r="C204" s="499" t="str" cm="1">
        <f t="array" ref="C204">"UPS " &amp; SWTwo &amp; "1"</f>
        <v>UPS XXX1</v>
      </c>
      <c r="D204" s="190" t="s">
        <v>1547</v>
      </c>
      <c r="E204" s="499" t="s">
        <v>1464</v>
      </c>
      <c r="F204" s="500"/>
      <c r="G204" s="519"/>
    </row>
    <row r="205" spans="1:7" ht="37.5" x14ac:dyDescent="0.25">
      <c r="A205" s="519">
        <f t="shared" si="3"/>
        <v>470</v>
      </c>
      <c r="B205" s="500" t="str">
        <f>Suite&amp;" Electrical Room "&amp;SWTwo</f>
        <v>G104 Electrical Room XXX</v>
      </c>
      <c r="C205" s="499" t="str" cm="1">
        <f t="array" ref="C205">"UPS " &amp; SWTwo &amp; "1"</f>
        <v>UPS XXX1</v>
      </c>
      <c r="D205" s="190" t="s">
        <v>1548</v>
      </c>
      <c r="E205" s="499" t="s">
        <v>1464</v>
      </c>
      <c r="F205" s="500"/>
      <c r="G205" s="519"/>
    </row>
    <row r="206" spans="1:7" ht="37.5" x14ac:dyDescent="0.25">
      <c r="A206" s="519">
        <f t="shared" si="3"/>
        <v>471</v>
      </c>
      <c r="B206" s="500" t="str">
        <f>Suite&amp;" Electrical Room "&amp;SWTwo</f>
        <v>G104 Electrical Room XXX</v>
      </c>
      <c r="C206" s="499" t="str" cm="1">
        <f t="array" ref="C206">"UPS " &amp; SWTwo &amp; "1"</f>
        <v>UPS XXX1</v>
      </c>
      <c r="D206" s="190" t="s">
        <v>1544</v>
      </c>
      <c r="E206" s="499" t="s">
        <v>1464</v>
      </c>
      <c r="F206" s="500"/>
      <c r="G206" s="519"/>
    </row>
    <row r="207" spans="1:7" ht="37.5" x14ac:dyDescent="0.25">
      <c r="A207" s="519">
        <f t="shared" si="3"/>
        <v>472</v>
      </c>
      <c r="B207" s="500" t="str">
        <f>Suite&amp;" Electrical Room "&amp;SWTwo</f>
        <v>G104 Electrical Room XXX</v>
      </c>
      <c r="C207" s="499" t="str" cm="1">
        <f t="array" ref="C207">"UPS " &amp; SWTwo &amp; "1"</f>
        <v>UPS XXX1</v>
      </c>
      <c r="D207" s="190" t="s">
        <v>1545</v>
      </c>
      <c r="E207" s="499" t="s">
        <v>1464</v>
      </c>
      <c r="F207" s="500"/>
      <c r="G207" s="519"/>
    </row>
    <row r="208" spans="1:7" ht="37.5" x14ac:dyDescent="0.25">
      <c r="A208" s="519">
        <f t="shared" si="3"/>
        <v>473</v>
      </c>
      <c r="B208" s="500" t="str">
        <f>Suite&amp;" Electrical Room "&amp;SWTwo</f>
        <v>G104 Electrical Room XXX</v>
      </c>
      <c r="C208" s="499" t="str" cm="1">
        <f t="array" ref="C208">"UPS " &amp; SWTwo</f>
        <v>UPS XXX</v>
      </c>
      <c r="D208" s="190" t="s">
        <v>1549</v>
      </c>
      <c r="E208" s="499" t="s">
        <v>1464</v>
      </c>
      <c r="F208" s="500"/>
      <c r="G208" s="519"/>
    </row>
    <row r="209" spans="1:7" ht="37.5" x14ac:dyDescent="0.25">
      <c r="A209" s="519">
        <f t="shared" si="3"/>
        <v>474</v>
      </c>
      <c r="B209" s="500" t="str">
        <f>Suite&amp;" Electrical Room "&amp;SWTwo</f>
        <v>G104 Electrical Room XXX</v>
      </c>
      <c r="C209" s="499" t="str" cm="1">
        <f t="array" ref="C209">"UPS " &amp; SWTwo</f>
        <v>UPS XXX</v>
      </c>
      <c r="D209" s="190" t="s">
        <v>1550</v>
      </c>
      <c r="E209" s="499" t="s">
        <v>1464</v>
      </c>
      <c r="F209" s="500"/>
      <c r="G209" s="519"/>
    </row>
    <row r="210" spans="1:7" ht="37.5" x14ac:dyDescent="0.25">
      <c r="A210" s="519">
        <f t="shared" si="3"/>
        <v>475</v>
      </c>
      <c r="B210" s="500" t="str">
        <f>Suite&amp;" Electrical Room "&amp;SWTwo</f>
        <v>G104 Electrical Room XXX</v>
      </c>
      <c r="C210" s="499" t="str" cm="1">
        <f t="array" ref="C210">"UPS " &amp; SWTwo</f>
        <v>UPS XXX</v>
      </c>
      <c r="D210" s="233" t="str" cm="1">
        <f t="array" ref="D210">"UPS SYSTEM " &amp;SWTwo&amp;" is now in Static Bypass. Critical customer loads remains on maintenance bypass."</f>
        <v>UPS SYSTEM XXX is now in Static Bypass. Critical customer loads remains on maintenance bypass.</v>
      </c>
      <c r="E210" s="499" t="s">
        <v>1464</v>
      </c>
      <c r="F210" s="500"/>
      <c r="G210" s="519"/>
    </row>
    <row r="211" spans="1:7" ht="37.5" x14ac:dyDescent="0.25">
      <c r="A211" s="519">
        <f t="shared" si="3"/>
        <v>476</v>
      </c>
      <c r="B211" s="500" t="str">
        <f>Suite&amp;" Electrical Room "&amp;SWTwo</f>
        <v>G104 Electrical Room XXX</v>
      </c>
      <c r="C211" s="499" t="str" cm="1">
        <f t="array" ref="C211">"UP" &amp; SWTwo</f>
        <v>UPXXX</v>
      </c>
      <c r="D211" s="233" t="str" cm="1">
        <f t="array" ref="D211">"Notate the kW reading at UP" &amp; SWTwo &amp; " Critical Bus Panel Meter: _________"</f>
        <v>Notate the kW reading at UPXXX Critical Bus Panel Meter: _________</v>
      </c>
      <c r="E211" s="499" t="s">
        <v>1464</v>
      </c>
      <c r="F211" s="500"/>
      <c r="G211" s="519"/>
    </row>
    <row r="212" spans="1:7" ht="37.5" x14ac:dyDescent="0.25">
      <c r="A212" s="519">
        <f t="shared" si="3"/>
        <v>477</v>
      </c>
      <c r="B212" s="500" t="str">
        <f>Suite&amp;" Electrical Room "&amp;SWTwo</f>
        <v>G104 Electrical Room XXX</v>
      </c>
      <c r="C212" s="499" t="str" cm="1">
        <f t="array" ref="C212">"UP" &amp; SWTwo</f>
        <v>UPXXX</v>
      </c>
      <c r="D212" s="233" t="str">
        <f>"Verify the readings in step " &amp; A211 &amp; " and " &amp; A136 &amp; " are within 3% of each other. (new kW divided by original kW must be ≤1.03 and ≥0.97)."</f>
        <v>Verify the readings in step 476 and 401 are within 3% of each other. (new kW divided by original kW must be ≤1.03 and ≥0.97).</v>
      </c>
      <c r="E212" s="499" t="s">
        <v>1464</v>
      </c>
      <c r="F212" s="500"/>
      <c r="G212" s="519"/>
    </row>
    <row r="213" spans="1:7" x14ac:dyDescent="0.25">
      <c r="A213" s="519">
        <f t="shared" si="3"/>
        <v>478</v>
      </c>
      <c r="B213" s="702" t="s">
        <v>1551</v>
      </c>
      <c r="C213" s="703"/>
      <c r="D213" s="703"/>
      <c r="E213" s="703"/>
      <c r="F213" s="703"/>
      <c r="G213" s="703"/>
    </row>
    <row r="214" spans="1:7" ht="37.5" x14ac:dyDescent="0.25">
      <c r="A214" s="519">
        <f t="shared" si="3"/>
        <v>479</v>
      </c>
      <c r="B214" s="500" t="str">
        <f>Suite&amp;" Electrical Room "&amp;SWTwo</f>
        <v>G104 Electrical Room XXX</v>
      </c>
      <c r="C214" s="499" t="str" cm="1">
        <f t="array" ref="C214">"UP" &amp; SWTwo</f>
        <v>UPXXX</v>
      </c>
      <c r="D214" s="233" t="s">
        <v>1503</v>
      </c>
      <c r="E214" s="499" t="s">
        <v>1464</v>
      </c>
      <c r="F214" s="502"/>
      <c r="G214" s="503" t="s">
        <v>1519</v>
      </c>
    </row>
    <row r="215" spans="1:7" ht="37.5" x14ac:dyDescent="0.25">
      <c r="A215" s="519">
        <f t="shared" si="3"/>
        <v>480</v>
      </c>
      <c r="B215" s="500" t="str">
        <f>Suite&amp;" Electrical Room "&amp;SWTwo</f>
        <v>G104 Electrical Room XXX</v>
      </c>
      <c r="C215" s="499" t="str" cm="1">
        <f t="array" ref="C215">"UP" &amp; SWTwo</f>
        <v>UPXXX</v>
      </c>
      <c r="D215" s="233" t="s">
        <v>1552</v>
      </c>
      <c r="E215" s="499" t="s">
        <v>1464</v>
      </c>
      <c r="F215" s="502"/>
      <c r="G215" s="503" t="s">
        <v>1519</v>
      </c>
    </row>
    <row r="216" spans="1:7" ht="37.5" x14ac:dyDescent="0.25">
      <c r="A216" s="519">
        <f t="shared" si="3"/>
        <v>481</v>
      </c>
      <c r="B216" s="500" t="str">
        <f>Suite&amp;" Electrical Room "&amp;SWTwo</f>
        <v>G104 Electrical Room XXX</v>
      </c>
      <c r="C216" s="499" t="str" cm="1">
        <f t="array" ref="C216">"UP" &amp; SWTwo</f>
        <v>UPXXX</v>
      </c>
      <c r="D216" s="233" t="s">
        <v>1505</v>
      </c>
      <c r="E216" s="499" t="s">
        <v>1464</v>
      </c>
      <c r="F216" s="502"/>
      <c r="G216" s="503" t="s">
        <v>1519</v>
      </c>
    </row>
    <row r="217" spans="1:7" ht="37.5" x14ac:dyDescent="0.25">
      <c r="A217" s="519">
        <f t="shared" si="3"/>
        <v>482</v>
      </c>
      <c r="B217" s="500" t="str">
        <f>Suite&amp;" Electrical Room "&amp;SWTwo</f>
        <v>G104 Electrical Room XXX</v>
      </c>
      <c r="C217" s="499" t="str" cm="1">
        <f t="array" ref="C217">"UP" &amp; SWTwo</f>
        <v>UPXXX</v>
      </c>
      <c r="D217" s="233" t="str" cm="1">
        <f t="array" ref="D217">"Insert the interlock key into the MCBUP" &amp; SWTwo &amp; " breaker lock cylinder."</f>
        <v>Insert the interlock key into the MCBUPXXX breaker lock cylinder.</v>
      </c>
      <c r="E217" s="499" t="s">
        <v>1464</v>
      </c>
      <c r="F217" s="502"/>
      <c r="G217" s="503" t="s">
        <v>1519</v>
      </c>
    </row>
    <row r="218" spans="1:7" ht="37.5" x14ac:dyDescent="0.25">
      <c r="A218" s="519">
        <f t="shared" si="3"/>
        <v>483</v>
      </c>
      <c r="B218" s="500" t="str">
        <f>Suite&amp;" Electrical Room "&amp;SWTwo</f>
        <v>G104 Electrical Room XXX</v>
      </c>
      <c r="C218" s="499" t="str" cm="1">
        <f t="array" ref="C218">"UP" &amp; SWTwo</f>
        <v>UPXXX</v>
      </c>
      <c r="D218" s="233" t="str" cm="1">
        <f t="array" ref="D218">"ROTATE the interlock key 90 degrees to UNLOCK the MCBUP" &amp; SWTwo &amp; " breaker."</f>
        <v>ROTATE the interlock key 90 degrees to UNLOCK the MCBUPXXX breaker.</v>
      </c>
      <c r="E218" s="499" t="s">
        <v>1464</v>
      </c>
      <c r="F218" s="502"/>
      <c r="G218" s="503" t="s">
        <v>1519</v>
      </c>
    </row>
    <row r="219" spans="1:7" ht="37.5" x14ac:dyDescent="0.25">
      <c r="A219" s="519">
        <f t="shared" si="3"/>
        <v>484</v>
      </c>
      <c r="B219" s="500" t="str">
        <f>Suite&amp;" Electrical Room "&amp;SWTwo</f>
        <v>G104 Electrical Room XXX</v>
      </c>
      <c r="C219" s="499" t="str" cm="1">
        <f t="array" ref="C219">"UP" &amp; SWTwo</f>
        <v>UPXXX</v>
      </c>
      <c r="D219" s="233" t="str" cm="1">
        <f t="array" ref="D219">"Close breaker MCBUP"&amp;SWTwo&amp;"."</f>
        <v>Close breaker MCBUPXXX.</v>
      </c>
      <c r="E219" s="499" t="s">
        <v>1464</v>
      </c>
      <c r="F219" s="502"/>
      <c r="G219" s="503" t="s">
        <v>1519</v>
      </c>
    </row>
    <row r="220" spans="1:7" ht="37.5" x14ac:dyDescent="0.25">
      <c r="A220" s="519">
        <f t="shared" ref="A220:A274" si="4">A219+1</f>
        <v>485</v>
      </c>
      <c r="B220" s="500" t="str">
        <f>Suite&amp;" Electrical Room "&amp;SWTwo</f>
        <v>G104 Electrical Room XXX</v>
      </c>
      <c r="C220" s="499" t="str" cm="1">
        <f t="array" ref="C220">"UP" &amp; SWTwo</f>
        <v>UPXXX</v>
      </c>
      <c r="D220" s="233" t="str" cm="1">
        <f t="array" ref="D220">"Verify MCBUP" &amp; SWTwo &amp; " breaker flag indicates CLOSED."</f>
        <v>Verify MCBUPXXX breaker flag indicates CLOSED.</v>
      </c>
      <c r="E220" s="499" t="s">
        <v>1464</v>
      </c>
      <c r="F220" s="502"/>
      <c r="G220" s="503" t="s">
        <v>1519</v>
      </c>
    </row>
    <row r="221" spans="1:7" ht="37.5" x14ac:dyDescent="0.25">
      <c r="A221" s="519">
        <f t="shared" si="4"/>
        <v>486</v>
      </c>
      <c r="B221" s="500" t="str">
        <f>Suite&amp;" Electrical Room "&amp;SWTwo</f>
        <v>G104 Electrical Room XXX</v>
      </c>
      <c r="C221" s="499" t="str" cm="1">
        <f t="array" ref="C221">"UP" &amp; SWTwo</f>
        <v>UPXXX</v>
      </c>
      <c r="D221" s="233" t="str" cm="1">
        <f t="array" ref="D221">"Verify breaker MCBUP"&amp;SWTwo&amp;" is carrying a portion of critical customer load using breaker mounted metering."</f>
        <v>Verify breaker MCBUPXXX is carrying a portion of critical customer load using breaker mounted metering.</v>
      </c>
      <c r="E221" s="499" t="s">
        <v>1464</v>
      </c>
      <c r="F221" s="502"/>
      <c r="G221" s="503" t="s">
        <v>1519</v>
      </c>
    </row>
    <row r="222" spans="1:7" ht="37.5" x14ac:dyDescent="0.25">
      <c r="A222" s="519">
        <f t="shared" si="4"/>
        <v>487</v>
      </c>
      <c r="B222" s="500" t="str">
        <f>Suite&amp;" Electrical Room "&amp;SWTwo</f>
        <v>G104 Electrical Room XXX</v>
      </c>
      <c r="C222" s="499" t="str" cm="1">
        <f t="array" ref="C222">"UP" &amp; SWTwo</f>
        <v>UPXXX</v>
      </c>
      <c r="D222" s="233" t="str" cm="1">
        <f t="array" ref="D222">"Verify breaker MBUP"&amp;SWTwo&amp;" is carrying a portion of critical customer load using breaker mounted metering."</f>
        <v>Verify breaker MBUPXXX is carrying a portion of critical customer load using breaker mounted metering.</v>
      </c>
      <c r="E222" s="499" t="s">
        <v>1464</v>
      </c>
      <c r="F222" s="502"/>
      <c r="G222" s="503" t="s">
        <v>1519</v>
      </c>
    </row>
    <row r="223" spans="1:7" ht="37.5" x14ac:dyDescent="0.25">
      <c r="A223" s="519">
        <f t="shared" si="4"/>
        <v>488</v>
      </c>
      <c r="B223" s="500" t="str">
        <f>Suite&amp;" Electrical Room "&amp;SWTwo</f>
        <v>G104 Electrical Room XXX</v>
      </c>
      <c r="C223" s="499" t="str" cm="1">
        <f t="array" ref="C223">"UP" &amp; SWTwo</f>
        <v>UPXXX</v>
      </c>
      <c r="D223" s="233" t="str" cm="1">
        <f t="array" ref="D223">"Notate the kW reading at UP" &amp; SWTwo &amp; " Critical Bus Panel Meter: _________"</f>
        <v>Notate the kW reading at UPXXX Critical Bus Panel Meter: _________</v>
      </c>
      <c r="E223" s="499" t="s">
        <v>1464</v>
      </c>
      <c r="F223" s="502"/>
      <c r="G223" s="503" t="s">
        <v>1519</v>
      </c>
    </row>
    <row r="224" spans="1:7" ht="37.5" x14ac:dyDescent="0.25">
      <c r="A224" s="519">
        <f t="shared" si="4"/>
        <v>489</v>
      </c>
      <c r="B224" s="500" t="str">
        <f>Suite&amp;" Electrical Room "&amp;SWTwo</f>
        <v>G104 Electrical Room XXX</v>
      </c>
      <c r="C224" s="499" t="str" cm="1">
        <f t="array" ref="C224">"UP" &amp; SWTwo</f>
        <v>UPXXX</v>
      </c>
      <c r="D224" s="233" t="str">
        <f>"Verify the readings in step " &amp; A211 &amp; " and " &amp; A223 &amp; " are within 3% of each other. (new kW divided by original kW must be ≤1.03 and ≥0.97)."</f>
        <v>Verify the readings in step 476 and 488 are within 3% of each other. (new kW divided by original kW must be ≤1.03 and ≥0.97).</v>
      </c>
      <c r="E224" s="499" t="s">
        <v>1464</v>
      </c>
      <c r="F224" s="502"/>
      <c r="G224" s="503" t="s">
        <v>1519</v>
      </c>
    </row>
    <row r="225" spans="1:7" ht="37.5" x14ac:dyDescent="0.25">
      <c r="A225" s="519">
        <f t="shared" si="4"/>
        <v>490</v>
      </c>
      <c r="B225" s="500" t="str">
        <f>Suite&amp;" Electrical Room "&amp;SWTwo</f>
        <v>G104 Electrical Room XXX</v>
      </c>
      <c r="C225" s="499" t="str" cm="1">
        <f t="array" ref="C225">"UP" &amp; SWTwo</f>
        <v>UPXXX</v>
      </c>
      <c r="D225" s="233" t="str" cm="1">
        <f t="array" ref="D225">"Open breaker MBUP"&amp;SWTwo&amp;"."</f>
        <v>Open breaker MBUPXXX.</v>
      </c>
      <c r="E225" s="499" t="s">
        <v>1464</v>
      </c>
      <c r="F225" s="502"/>
      <c r="G225" s="503" t="s">
        <v>1519</v>
      </c>
    </row>
    <row r="226" spans="1:7" ht="37.5" x14ac:dyDescent="0.25">
      <c r="A226" s="519">
        <f t="shared" si="4"/>
        <v>491</v>
      </c>
      <c r="B226" s="500" t="str">
        <f>Suite&amp;" Electrical Room "&amp;SWTwo</f>
        <v>G104 Electrical Room XXX</v>
      </c>
      <c r="C226" s="499" t="str" cm="1">
        <f t="array" ref="C226">"UP" &amp; SWTwo</f>
        <v>UPXXX</v>
      </c>
      <c r="D226" s="233" t="s">
        <v>1501</v>
      </c>
      <c r="E226" s="499" t="s">
        <v>1464</v>
      </c>
      <c r="F226" s="502"/>
      <c r="G226" s="503" t="s">
        <v>1519</v>
      </c>
    </row>
    <row r="227" spans="1:7" ht="37.5" x14ac:dyDescent="0.25">
      <c r="A227" s="519">
        <f t="shared" si="4"/>
        <v>492</v>
      </c>
      <c r="B227" s="500" t="str">
        <f>Suite&amp;" Electrical Room "&amp;SWTwo</f>
        <v>G104 Electrical Room XXX</v>
      </c>
      <c r="C227" s="499" t="str" cm="1">
        <f t="array" ref="C227">"UP" &amp; SWTwo</f>
        <v>UPXXX</v>
      </c>
      <c r="D227" s="233" t="str" cm="1">
        <f t="array" ref="D227">"Verify MBUP" &amp; SWTwo &amp; " breaker flag indicates OPEN."</f>
        <v>Verify MBUPXXX breaker flag indicates OPEN.</v>
      </c>
      <c r="E227" s="499" t="s">
        <v>1464</v>
      </c>
      <c r="F227" s="502"/>
      <c r="G227" s="503" t="s">
        <v>1519</v>
      </c>
    </row>
    <row r="228" spans="1:7" ht="37.5" x14ac:dyDescent="0.25">
      <c r="A228" s="519">
        <f t="shared" si="4"/>
        <v>493</v>
      </c>
      <c r="B228" s="500" t="str">
        <f>Suite&amp;" Electrical Room "&amp;SWTwo</f>
        <v>G104 Electrical Room XXX</v>
      </c>
      <c r="C228" s="499" t="str" cm="1">
        <f t="array" ref="C228">"UP" &amp; SWTwo</f>
        <v>UPXXX</v>
      </c>
      <c r="D228" s="233" t="str" cm="1">
        <f t="array" ref="D228">"Notate the kW reading at UP" &amp; SWTwo &amp; " Critical Bus Panel Meter: _________"</f>
        <v>Notate the kW reading at UPXXX Critical Bus Panel Meter: _________</v>
      </c>
      <c r="E228" s="499" t="s">
        <v>1464</v>
      </c>
      <c r="F228" s="502"/>
      <c r="G228" s="503" t="s">
        <v>1519</v>
      </c>
    </row>
    <row r="229" spans="1:7" ht="37.5" x14ac:dyDescent="0.25">
      <c r="A229" s="519">
        <f t="shared" si="4"/>
        <v>494</v>
      </c>
      <c r="B229" s="500" t="str">
        <f>Suite&amp;" Electrical Room "&amp;SWTwo</f>
        <v>G104 Electrical Room XXX</v>
      </c>
      <c r="C229" s="499" t="str" cm="1">
        <f t="array" ref="C229">"UP" &amp; SWTwo</f>
        <v>UPXXX</v>
      </c>
      <c r="D229" s="233" t="str">
        <f>"Verify the readings in step " &amp; A223 &amp; " and " &amp; A228 &amp; " are within 3% of each other. (new kW divided by original kW must be ≤1.03 and ≥0.97)."</f>
        <v>Verify the readings in step 488 and 493 are within 3% of each other. (new kW divided by original kW must be ≤1.03 and ≥0.97).</v>
      </c>
      <c r="E229" s="499" t="s">
        <v>1464</v>
      </c>
      <c r="F229" s="502"/>
      <c r="G229" s="503" t="s">
        <v>1519</v>
      </c>
    </row>
    <row r="230" spans="1:7" ht="37.5" x14ac:dyDescent="0.25">
      <c r="A230" s="519">
        <f t="shared" si="4"/>
        <v>495</v>
      </c>
      <c r="B230" s="500" t="str">
        <f>Suite&amp;" Electrical Room "&amp;SWTwo</f>
        <v>G104 Electrical Room XXX</v>
      </c>
      <c r="C230" s="499" t="str" cm="1">
        <f t="array" ref="C230">"UP" &amp; SWTwo</f>
        <v>UPXXX</v>
      </c>
      <c r="D230" s="233" t="s">
        <v>1553</v>
      </c>
      <c r="E230" s="499" t="s">
        <v>1464</v>
      </c>
      <c r="F230" s="502"/>
      <c r="G230" s="503" t="s">
        <v>1519</v>
      </c>
    </row>
    <row r="231" spans="1:7" ht="37.5" x14ac:dyDescent="0.25">
      <c r="A231" s="519">
        <f t="shared" si="4"/>
        <v>496</v>
      </c>
      <c r="B231" s="500" t="str">
        <f>Suite&amp;" Electrical Room "&amp;SWTwo</f>
        <v>G104 Electrical Room XXX</v>
      </c>
      <c r="C231" s="499" t="str" cm="1">
        <f t="array" ref="C231">"UP" &amp; SWTwo</f>
        <v>UPXXX</v>
      </c>
      <c r="D231" s="233" t="str" cm="1">
        <f t="array" ref="D231">"Rotate the interlock key 90 degrees to LOCK the MBUP"&amp;SWTwo&amp;" breaker."</f>
        <v>Rotate the interlock key 90 degrees to LOCK the MBUPXXX breaker.</v>
      </c>
      <c r="E231" s="499" t="s">
        <v>1464</v>
      </c>
      <c r="F231" s="502"/>
      <c r="G231" s="503" t="s">
        <v>1519</v>
      </c>
    </row>
    <row r="232" spans="1:7" ht="37.5" x14ac:dyDescent="0.25">
      <c r="A232" s="519">
        <f t="shared" si="4"/>
        <v>497</v>
      </c>
      <c r="B232" s="500" t="str">
        <f>Suite&amp;" Electrical Room "&amp;SWTwo</f>
        <v>G104 Electrical Room XXX</v>
      </c>
      <c r="C232" s="499" t="str" cm="1">
        <f t="array" ref="C232">"UP" &amp; SWTwo</f>
        <v>UPXXX</v>
      </c>
      <c r="D232" s="233" t="str" cm="1">
        <f t="array" ref="D232">"Remove the interlock key from the MBUP"&amp;SWTwo&amp;" breaker lock cylinder."</f>
        <v>Remove the interlock key from the MBUPXXX breaker lock cylinder.</v>
      </c>
      <c r="E232" s="499" t="s">
        <v>1464</v>
      </c>
      <c r="F232" s="502"/>
      <c r="G232" s="503" t="s">
        <v>1519</v>
      </c>
    </row>
    <row r="233" spans="1:7" ht="37.5" x14ac:dyDescent="0.25">
      <c r="A233" s="519">
        <f t="shared" si="4"/>
        <v>498</v>
      </c>
      <c r="B233" s="500" t="str">
        <f>Suite&amp;" Electrical Room "&amp;SWTwo</f>
        <v>G104 Electrical Room XXX</v>
      </c>
      <c r="C233" s="499" t="str" cm="1">
        <f t="array" ref="C233">"UP" &amp; SWTwo</f>
        <v>UPXXX</v>
      </c>
      <c r="D233" s="233" t="s">
        <v>1507</v>
      </c>
      <c r="E233" s="499" t="s">
        <v>1464</v>
      </c>
      <c r="F233" s="502"/>
      <c r="G233" s="503" t="s">
        <v>1519</v>
      </c>
    </row>
    <row r="234" spans="1:7" ht="37.5" x14ac:dyDescent="0.25">
      <c r="A234" s="519">
        <f t="shared" si="4"/>
        <v>499</v>
      </c>
      <c r="B234" s="500" t="str">
        <f>Suite&amp;" Electrical Room "&amp;SWTwo</f>
        <v>G104 Electrical Room XXX</v>
      </c>
      <c r="C234" s="499" t="str" cm="1">
        <f t="array" ref="C234">"UP" &amp; SWTwo</f>
        <v>UPXXX</v>
      </c>
      <c r="D234" s="233" t="s">
        <v>1508</v>
      </c>
      <c r="E234" s="499" t="s">
        <v>1464</v>
      </c>
      <c r="F234" s="502"/>
      <c r="G234" s="503" t="s">
        <v>1519</v>
      </c>
    </row>
    <row r="235" spans="1:7" ht="37.5" x14ac:dyDescent="0.25">
      <c r="A235" s="519">
        <f t="shared" si="4"/>
        <v>500</v>
      </c>
      <c r="B235" s="500" t="str">
        <f>Suite&amp;" Electrical Room "&amp;SWTwo</f>
        <v>G104 Electrical Room XXX</v>
      </c>
      <c r="C235" s="499" t="str" cm="1">
        <f t="array" ref="C235">"UP" &amp; SWTwo</f>
        <v>UPXXX</v>
      </c>
      <c r="D235" s="233" t="s">
        <v>1509</v>
      </c>
      <c r="E235" s="499" t="s">
        <v>1464</v>
      </c>
      <c r="F235" s="502"/>
      <c r="G235" s="503" t="s">
        <v>1519</v>
      </c>
    </row>
    <row r="236" spans="1:7" ht="37.5" x14ac:dyDescent="0.25">
      <c r="A236" s="519">
        <f t="shared" si="4"/>
        <v>501</v>
      </c>
      <c r="B236" s="500" t="str">
        <f>Suite&amp;" Electrical Room "&amp;SWTwo</f>
        <v>G104 Electrical Room XXX</v>
      </c>
      <c r="C236" s="499" t="str" cm="1">
        <f t="array" ref="C236">"UP" &amp; SWTwo</f>
        <v>UPXXX</v>
      </c>
      <c r="D236" s="233" t="s">
        <v>1510</v>
      </c>
      <c r="E236" s="499" t="s">
        <v>1464</v>
      </c>
      <c r="F236" s="502"/>
      <c r="G236" s="503" t="s">
        <v>1519</v>
      </c>
    </row>
    <row r="237" spans="1:7" x14ac:dyDescent="0.25">
      <c r="A237" s="519">
        <f t="shared" si="4"/>
        <v>502</v>
      </c>
      <c r="B237" s="702" t="str" cm="1">
        <f t="array" ref="B237">"Transfer UPS System " &amp; SWTwo &amp; " to Inverter Service"</f>
        <v>Transfer UPS System XXX to Inverter Service</v>
      </c>
      <c r="C237" s="703"/>
      <c r="D237" s="703"/>
      <c r="E237" s="703"/>
      <c r="F237" s="703"/>
      <c r="G237" s="703"/>
    </row>
    <row r="238" spans="1:7" ht="37.5" x14ac:dyDescent="0.25">
      <c r="A238" s="519">
        <f t="shared" si="4"/>
        <v>503</v>
      </c>
      <c r="B238" s="500" t="str">
        <f>Suite&amp;" Electrical Room "&amp;SWTwo</f>
        <v>G104 Electrical Room XXX</v>
      </c>
      <c r="C238" s="499" t="str" cm="1">
        <f t="array" ref="C238">"UPS " &amp; SWTwo &amp; "1"</f>
        <v>UPS XXX1</v>
      </c>
      <c r="D238" s="190" t="s">
        <v>1554</v>
      </c>
      <c r="E238" s="499" t="s">
        <v>1464</v>
      </c>
      <c r="F238" s="500" t="s">
        <v>1519</v>
      </c>
      <c r="G238" s="519"/>
    </row>
    <row r="239" spans="1:7" ht="37.5" x14ac:dyDescent="0.25">
      <c r="A239" s="519">
        <f t="shared" si="4"/>
        <v>504</v>
      </c>
      <c r="B239" s="500" t="str">
        <f>Suite&amp;" Electrical Room "&amp;SWTwo</f>
        <v>G104 Electrical Room XXX</v>
      </c>
      <c r="C239" s="499" t="str" cm="1">
        <f t="array" ref="C239">"UPS " &amp; SWTwo &amp; "1"</f>
        <v>UPS XXX1</v>
      </c>
      <c r="D239" s="233" t="s">
        <v>1497</v>
      </c>
      <c r="E239" s="499" t="s">
        <v>1464</v>
      </c>
      <c r="F239" s="500"/>
      <c r="G239" s="519"/>
    </row>
    <row r="240" spans="1:7" ht="37.5" x14ac:dyDescent="0.25">
      <c r="A240" s="519">
        <f t="shared" si="4"/>
        <v>505</v>
      </c>
      <c r="B240" s="500" t="str">
        <f>Suite&amp;" Electrical Room "&amp;SWTwo</f>
        <v>G104 Electrical Room XXX</v>
      </c>
      <c r="C240" s="499" t="str" cm="1">
        <f t="array" ref="C240">"UPS " &amp; SWTwo &amp; "1"</f>
        <v>UPS XXX1</v>
      </c>
      <c r="D240" s="190" t="s">
        <v>1498</v>
      </c>
      <c r="E240" s="499" t="s">
        <v>1464</v>
      </c>
      <c r="F240" s="500"/>
      <c r="G240" s="519"/>
    </row>
    <row r="241" spans="1:7" ht="37.5" x14ac:dyDescent="0.25">
      <c r="A241" s="519">
        <f t="shared" si="4"/>
        <v>506</v>
      </c>
      <c r="B241" s="500" t="str">
        <f>Suite&amp;" Electrical Room "&amp;SWTwo</f>
        <v>G104 Electrical Room XXX</v>
      </c>
      <c r="C241" s="499" t="str" cm="1">
        <f t="array" ref="C241">"UPS " &amp; SWTwo &amp; "1"</f>
        <v>UPS XXX1</v>
      </c>
      <c r="D241" s="190" t="s">
        <v>1499</v>
      </c>
      <c r="E241" s="499" t="s">
        <v>1464</v>
      </c>
      <c r="F241" s="500"/>
      <c r="G241" s="519"/>
    </row>
    <row r="242" spans="1:7" ht="37.5" x14ac:dyDescent="0.25">
      <c r="A242" s="519">
        <f t="shared" si="4"/>
        <v>507</v>
      </c>
      <c r="B242" s="500" t="str">
        <f>Suite&amp;" Electrical Room "&amp;SWTwo</f>
        <v>G104 Electrical Room XXX</v>
      </c>
      <c r="C242" s="499" t="str" cm="1">
        <f t="array" ref="C242">"UPS " &amp; SWTwo &amp; "1"</f>
        <v>UPS XXX1</v>
      </c>
      <c r="D242" s="190" t="s">
        <v>1555</v>
      </c>
      <c r="E242" s="499" t="s">
        <v>1464</v>
      </c>
      <c r="F242" s="500"/>
      <c r="G242" s="519"/>
    </row>
    <row r="243" spans="1:7" ht="37.5" x14ac:dyDescent="0.25">
      <c r="A243" s="519">
        <f t="shared" si="4"/>
        <v>508</v>
      </c>
      <c r="B243" s="500" t="str">
        <f>Suite&amp;" Electrical Room "&amp;SWTwo</f>
        <v>G104 Electrical Room XXX</v>
      </c>
      <c r="C243" s="499" t="str" cm="1">
        <f t="array" ref="C243">"UPS " &amp; SWTwo</f>
        <v>UPS XXX</v>
      </c>
      <c r="D243" s="190" t="s">
        <v>1556</v>
      </c>
      <c r="E243" s="499" t="s">
        <v>1464</v>
      </c>
      <c r="F243" s="500"/>
      <c r="G243" s="519"/>
    </row>
    <row r="244" spans="1:7" ht="37.5" x14ac:dyDescent="0.25">
      <c r="A244" s="519">
        <f t="shared" si="4"/>
        <v>509</v>
      </c>
      <c r="B244" s="500" t="str">
        <f>Suite&amp;" Electrical Room "&amp;SWTwo</f>
        <v>G104 Electrical Room XXX</v>
      </c>
      <c r="C244" s="499" t="str" cm="1">
        <f t="array" ref="C244">"UPS " &amp; SWTwo</f>
        <v>UPS XXX</v>
      </c>
      <c r="D244" s="233" t="s">
        <v>1557</v>
      </c>
      <c r="E244" s="499" t="s">
        <v>1464</v>
      </c>
      <c r="F244" s="500"/>
      <c r="G244" s="519"/>
    </row>
    <row r="245" spans="1:7" ht="37.5" x14ac:dyDescent="0.25">
      <c r="A245" s="519">
        <f t="shared" si="4"/>
        <v>510</v>
      </c>
      <c r="B245" s="500" t="str">
        <f>Suite&amp;" Electrical Room A"</f>
        <v>G104 Electrical Room A</v>
      </c>
      <c r="C245" s="499" t="s">
        <v>1466</v>
      </c>
      <c r="D245" s="191" t="s">
        <v>1467</v>
      </c>
      <c r="E245" s="499" t="s">
        <v>1464</v>
      </c>
      <c r="F245" s="500"/>
      <c r="G245" s="519"/>
    </row>
    <row r="246" spans="1:7" ht="37.5" x14ac:dyDescent="0.25">
      <c r="A246" s="519">
        <f t="shared" si="4"/>
        <v>511</v>
      </c>
      <c r="B246" s="500" t="str">
        <f>Suite&amp;" Electrical Room A"</f>
        <v>G104 Electrical Room A</v>
      </c>
      <c r="C246" s="499" t="s">
        <v>1466</v>
      </c>
      <c r="D246" s="233" t="str">
        <f>"Verify the readings in step " &amp; A245 &amp; " and " &amp;A10 &amp; " are within 3% of each other. (new kW divided by original kW must be ≤1.03 and ≥0.97)."</f>
        <v>Verify the readings in step 510 and 275 are within 3% of each other. (new kW divided by original kW must be ≤1.03 and ≥0.97).</v>
      </c>
      <c r="E246" s="499" t="s">
        <v>1464</v>
      </c>
      <c r="F246" s="500"/>
      <c r="G246" s="519"/>
    </row>
    <row r="247" spans="1:7" ht="37.5" x14ac:dyDescent="0.25">
      <c r="A247" s="519">
        <f t="shared" si="4"/>
        <v>512</v>
      </c>
      <c r="B247" s="500" t="str">
        <f>Suite&amp;" Electrical Room A"</f>
        <v>G104 Electrical Room A</v>
      </c>
      <c r="C247" s="499" t="s">
        <v>1468</v>
      </c>
      <c r="D247" s="191" t="s">
        <v>1469</v>
      </c>
      <c r="E247" s="499" t="s">
        <v>1464</v>
      </c>
      <c r="F247" s="500"/>
      <c r="G247" s="519"/>
    </row>
    <row r="248" spans="1:7" ht="37.5" x14ac:dyDescent="0.25">
      <c r="A248" s="519">
        <f t="shared" si="4"/>
        <v>513</v>
      </c>
      <c r="B248" s="500" t="str">
        <f>Suite&amp;" Electrical Room A"</f>
        <v>G104 Electrical Room A</v>
      </c>
      <c r="C248" s="499" t="s">
        <v>1468</v>
      </c>
      <c r="D248" s="233" t="str">
        <f>"Verify the readings in step " &amp; A247 &amp; " and " &amp; A11 &amp; " are within 3% of each other. (new kW divided by original kW must be ≤1.03 and ≥0.97)."</f>
        <v>Verify the readings in step 512 and 276 are within 3% of each other. (new kW divided by original kW must be ≤1.03 and ≥0.97).</v>
      </c>
      <c r="E248" s="499" t="s">
        <v>1464</v>
      </c>
      <c r="F248" s="500"/>
      <c r="G248" s="519"/>
    </row>
    <row r="249" spans="1:7" ht="37.5" x14ac:dyDescent="0.25">
      <c r="A249" s="519">
        <f t="shared" si="4"/>
        <v>514</v>
      </c>
      <c r="B249" s="500" t="str">
        <f>Suite&amp;" Electrical Room A"</f>
        <v>G104 Electrical Room A</v>
      </c>
      <c r="C249" s="499" t="s">
        <v>1521</v>
      </c>
      <c r="D249" s="191" t="s">
        <v>1471</v>
      </c>
      <c r="E249" s="499" t="s">
        <v>1464</v>
      </c>
      <c r="F249" s="500"/>
      <c r="G249" s="519"/>
    </row>
    <row r="250" spans="1:7" ht="37.5" x14ac:dyDescent="0.25">
      <c r="A250" s="519">
        <f t="shared" si="4"/>
        <v>515</v>
      </c>
      <c r="B250" s="500" t="str">
        <f>Suite&amp;" Electrical Room A"</f>
        <v>G104 Electrical Room A</v>
      </c>
      <c r="C250" s="499" t="s">
        <v>1521</v>
      </c>
      <c r="D250" s="233" t="str">
        <f>"Verify the readings in step " &amp; A249 &amp; " and " &amp; A120 &amp; " are within 3% of each other. (new kW divided by original kW must be ≤1.03 and ≥0.97)."</f>
        <v>Verify the readings in step 514 and 385 are within 3% of each other. (new kW divided by original kW must be ≤1.03 and ≥0.97).</v>
      </c>
      <c r="E250" s="499" t="s">
        <v>1464</v>
      </c>
      <c r="F250" s="500"/>
      <c r="G250" s="519"/>
    </row>
    <row r="251" spans="1:7" ht="37.5" x14ac:dyDescent="0.25">
      <c r="A251" s="519">
        <f t="shared" si="4"/>
        <v>516</v>
      </c>
      <c r="B251" s="500" t="str">
        <f>Suite&amp;" Electrical Room B"</f>
        <v>G104 Electrical Room B</v>
      </c>
      <c r="C251" s="499" t="s">
        <v>1472</v>
      </c>
      <c r="D251" s="191" t="s">
        <v>1473</v>
      </c>
      <c r="E251" s="499" t="s">
        <v>1464</v>
      </c>
      <c r="F251" s="500"/>
      <c r="G251" s="519"/>
    </row>
    <row r="252" spans="1:7" ht="37.5" x14ac:dyDescent="0.25">
      <c r="A252" s="519">
        <f t="shared" si="4"/>
        <v>517</v>
      </c>
      <c r="B252" s="500" t="str">
        <f>Suite&amp;" Electrical Room B"</f>
        <v>G104 Electrical Room B</v>
      </c>
      <c r="C252" s="499" t="s">
        <v>1472</v>
      </c>
      <c r="D252" s="233" t="str">
        <f>"Verify the readings in step " &amp; A251 &amp; " and " &amp; A13 &amp; " are within 3% of each other. (new kW divided by original kW must be ≤1.03 and ≥0.97)."</f>
        <v>Verify the readings in step 516 and 278 are within 3% of each other. (new kW divided by original kW must be ≤1.03 and ≥0.97).</v>
      </c>
      <c r="E252" s="499" t="s">
        <v>1464</v>
      </c>
      <c r="F252" s="500"/>
      <c r="G252" s="519"/>
    </row>
    <row r="253" spans="1:7" ht="37.5" x14ac:dyDescent="0.25">
      <c r="A253" s="519">
        <f t="shared" si="4"/>
        <v>518</v>
      </c>
      <c r="B253" s="500" t="str">
        <f>Suite&amp;" Electrical Room B"</f>
        <v>G104 Electrical Room B</v>
      </c>
      <c r="C253" s="499" t="s">
        <v>1474</v>
      </c>
      <c r="D253" s="191" t="s">
        <v>1475</v>
      </c>
      <c r="E253" s="499" t="s">
        <v>1464</v>
      </c>
      <c r="F253" s="500"/>
      <c r="G253" s="519"/>
    </row>
    <row r="254" spans="1:7" ht="37.5" x14ac:dyDescent="0.25">
      <c r="A254" s="519">
        <f t="shared" si="4"/>
        <v>519</v>
      </c>
      <c r="B254" s="500" t="str">
        <f>Suite&amp;" Electrical Room B"</f>
        <v>G104 Electrical Room B</v>
      </c>
      <c r="C254" s="499" t="s">
        <v>1474</v>
      </c>
      <c r="D254" s="233" t="str">
        <f>"Verify the readings in step " &amp; A253 &amp; " and " &amp; A14 &amp; " are within 3% of each other. (new kW divided by original kW must be ≤1.03 and ≥0.97)."</f>
        <v>Verify the readings in step 518 and 279 are within 3% of each other. (new kW divided by original kW must be ≤1.03 and ≥0.97).</v>
      </c>
      <c r="E254" s="499" t="s">
        <v>1464</v>
      </c>
      <c r="F254" s="500"/>
      <c r="G254" s="519"/>
    </row>
    <row r="255" spans="1:7" ht="37.5" x14ac:dyDescent="0.25">
      <c r="A255" s="519">
        <f t="shared" si="4"/>
        <v>520</v>
      </c>
      <c r="B255" s="500" t="str">
        <f>Suite&amp;" Electrical Room B"</f>
        <v>G104 Electrical Room B</v>
      </c>
      <c r="C255" s="499" t="s">
        <v>1522</v>
      </c>
      <c r="D255" s="191" t="s">
        <v>1477</v>
      </c>
      <c r="E255" s="499" t="s">
        <v>1464</v>
      </c>
      <c r="F255" s="500"/>
      <c r="G255" s="519"/>
    </row>
    <row r="256" spans="1:7" ht="37.5" x14ac:dyDescent="0.25">
      <c r="A256" s="519">
        <f t="shared" si="4"/>
        <v>521</v>
      </c>
      <c r="B256" s="500" t="str">
        <f>Suite&amp;" Electrical Room B"</f>
        <v>G104 Electrical Room B</v>
      </c>
      <c r="C256" s="499" t="s">
        <v>1522</v>
      </c>
      <c r="D256" s="233" t="str">
        <f>"Verify the readings in step " &amp; A255 &amp; " and " &amp; A228 &amp; " are within 3% of each other. (new kW divided by original kW must be ≤1.03 and ≥0.97)."</f>
        <v>Verify the readings in step 520 and 493 are within 3% of each other. (new kW divided by original kW must be ≤1.03 and ≥0.97).</v>
      </c>
      <c r="E256" s="499" t="s">
        <v>1464</v>
      </c>
      <c r="F256" s="500"/>
      <c r="G256" s="519"/>
    </row>
    <row r="257" spans="1:7" ht="37.5" hidden="1" x14ac:dyDescent="0.25">
      <c r="A257" s="519">
        <f t="shared" si="4"/>
        <v>522</v>
      </c>
      <c r="B257" s="500" t="str">
        <f>Suite&amp;" Electrical Room C"</f>
        <v>G104 Electrical Room C</v>
      </c>
      <c r="C257" s="499" t="s">
        <v>1478</v>
      </c>
      <c r="D257" s="191" t="s">
        <v>1479</v>
      </c>
      <c r="E257" s="499" t="s">
        <v>1464</v>
      </c>
      <c r="F257" s="500"/>
      <c r="G257" s="519"/>
    </row>
    <row r="258" spans="1:7" ht="37.5" hidden="1" x14ac:dyDescent="0.25">
      <c r="A258" s="519">
        <f t="shared" si="4"/>
        <v>523</v>
      </c>
      <c r="B258" s="500" t="str">
        <f>Suite&amp;" Electrical Room C"</f>
        <v>G104 Electrical Room C</v>
      </c>
      <c r="C258" s="499" t="s">
        <v>1478</v>
      </c>
      <c r="D258" s="233" t="str">
        <f>"Verify the readings in step " &amp; A257 &amp; " and " &amp; A16 &amp; " are within 3% of each other. (new kW divided by original kW must be ≤1.03 and ≥0.97)."</f>
        <v>Verify the readings in step 522 and 281 are within 3% of each other. (new kW divided by original kW must be ≤1.03 and ≥0.97).</v>
      </c>
      <c r="E258" s="499" t="s">
        <v>1464</v>
      </c>
      <c r="F258" s="500"/>
      <c r="G258" s="519"/>
    </row>
    <row r="259" spans="1:7" ht="37.5" hidden="1" x14ac:dyDescent="0.25">
      <c r="A259" s="519">
        <f t="shared" si="4"/>
        <v>524</v>
      </c>
      <c r="B259" s="500" t="str">
        <f>Suite&amp;" Electrical Room C"</f>
        <v>G104 Electrical Room C</v>
      </c>
      <c r="C259" s="499" t="s">
        <v>1480</v>
      </c>
      <c r="D259" s="191" t="s">
        <v>1481</v>
      </c>
      <c r="E259" s="499" t="s">
        <v>1464</v>
      </c>
      <c r="F259" s="500"/>
      <c r="G259" s="519"/>
    </row>
    <row r="260" spans="1:7" ht="37.5" hidden="1" x14ac:dyDescent="0.25">
      <c r="A260" s="519">
        <f t="shared" si="4"/>
        <v>525</v>
      </c>
      <c r="B260" s="500" t="str">
        <f>Suite&amp;" Electrical Room C"</f>
        <v>G104 Electrical Room C</v>
      </c>
      <c r="C260" s="499" t="s">
        <v>1480</v>
      </c>
      <c r="D260" s="233" t="str">
        <f>"Verify the readings in step " &amp; A259 &amp; " and " &amp; A17 &amp; " are within 3% of each other. (new kW divided by original kW must be ≤1.03 and ≥0.97)."</f>
        <v>Verify the readings in step 524 and 282 are within 3% of each other. (new kW divided by original kW must be ≤1.03 and ≥0.97).</v>
      </c>
      <c r="E260" s="499" t="s">
        <v>1464</v>
      </c>
      <c r="F260" s="500"/>
      <c r="G260" s="519"/>
    </row>
    <row r="261" spans="1:7" ht="37.5" hidden="1" x14ac:dyDescent="0.25">
      <c r="A261" s="519">
        <f t="shared" si="4"/>
        <v>526</v>
      </c>
      <c r="B261" s="500" t="str">
        <f>Suite&amp;" Electrical Room C"</f>
        <v>G104 Electrical Room C</v>
      </c>
      <c r="C261" s="499" t="s">
        <v>1523</v>
      </c>
      <c r="D261" s="191" t="s">
        <v>1483</v>
      </c>
      <c r="E261" s="499" t="s">
        <v>1464</v>
      </c>
      <c r="F261" s="500"/>
      <c r="G261" s="519"/>
    </row>
    <row r="262" spans="1:7" ht="37.5" hidden="1" x14ac:dyDescent="0.25">
      <c r="A262" s="519">
        <f t="shared" si="4"/>
        <v>527</v>
      </c>
      <c r="B262" s="500" t="str">
        <f>Suite&amp;" Electrical Room C"</f>
        <v>G104 Electrical Room C</v>
      </c>
      <c r="C262" s="499" t="s">
        <v>1523</v>
      </c>
      <c r="D262" s="233" t="str">
        <f>"Verify the readings in step " &amp; A261 &amp; " and " &amp; A124 &amp; " are within 3% of each other. (new kW divided by original kW must be ≤1.03 and ≥0.97)."</f>
        <v>Verify the readings in step 526 and 389 are within 3% of each other. (new kW divided by original kW must be ≤1.03 and ≥0.97).</v>
      </c>
      <c r="E262" s="499" t="s">
        <v>1464</v>
      </c>
      <c r="F262" s="500"/>
      <c r="G262" s="519"/>
    </row>
    <row r="263" spans="1:7" ht="37.5" hidden="1" x14ac:dyDescent="0.25">
      <c r="A263" s="519">
        <f t="shared" si="4"/>
        <v>528</v>
      </c>
      <c r="B263" s="500" t="str">
        <f>Suite&amp;" Electrical Room D"</f>
        <v>G104 Electrical Room D</v>
      </c>
      <c r="C263" s="499" t="s">
        <v>1484</v>
      </c>
      <c r="D263" s="191" t="s">
        <v>1485</v>
      </c>
      <c r="E263" s="499" t="s">
        <v>1464</v>
      </c>
      <c r="F263" s="500"/>
      <c r="G263" s="519"/>
    </row>
    <row r="264" spans="1:7" ht="37.5" hidden="1" x14ac:dyDescent="0.25">
      <c r="A264" s="519">
        <f t="shared" si="4"/>
        <v>529</v>
      </c>
      <c r="B264" s="500" t="str">
        <f>Suite&amp;" Electrical Room D"</f>
        <v>G104 Electrical Room D</v>
      </c>
      <c r="C264" s="499" t="s">
        <v>1484</v>
      </c>
      <c r="D264" s="233" t="str">
        <f>"Verify the readings in step " &amp; A263 &amp; " and " &amp; A19 &amp; " are within 3% of each other. (new kW divided by original kW must be ≤1.03 and ≥0.97)."</f>
        <v>Verify the readings in step 528 and 284 are within 3% of each other. (new kW divided by original kW must be ≤1.03 and ≥0.97).</v>
      </c>
      <c r="E264" s="499" t="s">
        <v>1464</v>
      </c>
      <c r="F264" s="500"/>
      <c r="G264" s="519"/>
    </row>
    <row r="265" spans="1:7" ht="37.5" hidden="1" x14ac:dyDescent="0.25">
      <c r="A265" s="519">
        <f t="shared" si="4"/>
        <v>530</v>
      </c>
      <c r="B265" s="500" t="str">
        <f>Suite&amp;" Electrical Room D"</f>
        <v>G104 Electrical Room D</v>
      </c>
      <c r="C265" s="499" t="s">
        <v>1486</v>
      </c>
      <c r="D265" s="191" t="s">
        <v>1487</v>
      </c>
      <c r="E265" s="499" t="s">
        <v>1464</v>
      </c>
      <c r="F265" s="500"/>
      <c r="G265" s="519"/>
    </row>
    <row r="266" spans="1:7" ht="37.5" hidden="1" x14ac:dyDescent="0.25">
      <c r="A266" s="519">
        <f t="shared" si="4"/>
        <v>531</v>
      </c>
      <c r="B266" s="500" t="str">
        <f>Suite&amp;" Electrical Room D"</f>
        <v>G104 Electrical Room D</v>
      </c>
      <c r="C266" s="499" t="s">
        <v>1486</v>
      </c>
      <c r="D266" s="233" t="str">
        <f>"Verify the readings in step " &amp; A265 &amp; " and " &amp; A20 &amp; " are within 3% of each other. (new kW divided by original kW must be ≤1.03 and ≥0.97)."</f>
        <v>Verify the readings in step 530 and 285 are within 3% of each other. (new kW divided by original kW must be ≤1.03 and ≥0.97).</v>
      </c>
      <c r="E266" s="499" t="s">
        <v>1464</v>
      </c>
      <c r="F266" s="500"/>
      <c r="G266" s="519"/>
    </row>
    <row r="267" spans="1:7" ht="37.5" hidden="1" x14ac:dyDescent="0.25">
      <c r="A267" s="519">
        <f t="shared" si="4"/>
        <v>532</v>
      </c>
      <c r="B267" s="500" t="str">
        <f>Suite&amp;" Electrical Room D"</f>
        <v>G104 Electrical Room D</v>
      </c>
      <c r="C267" s="499" t="s">
        <v>1524</v>
      </c>
      <c r="D267" s="191" t="s">
        <v>1489</v>
      </c>
      <c r="E267" s="499" t="s">
        <v>1464</v>
      </c>
      <c r="F267" s="500"/>
      <c r="G267" s="519"/>
    </row>
    <row r="268" spans="1:7" ht="37.5" hidden="1" x14ac:dyDescent="0.25">
      <c r="A268" s="519">
        <f t="shared" si="4"/>
        <v>533</v>
      </c>
      <c r="B268" s="500" t="str">
        <f>Suite&amp;" Electrical Room D"</f>
        <v>G104 Electrical Room D</v>
      </c>
      <c r="C268" s="499" t="s">
        <v>1524</v>
      </c>
      <c r="D268" s="233" t="str">
        <f>"Verify the readings in step " &amp; A267 &amp; " and " &amp; A126 &amp; " are within 3% of each other. (new kW divided by original kW must be ≤1.03 and ≥0.97)."</f>
        <v>Verify the readings in step 532 and 391 are within 3% of each other. (new kW divided by original kW must be ≤1.03 and ≥0.97).</v>
      </c>
      <c r="E268" s="499" t="s">
        <v>1464</v>
      </c>
      <c r="F268" s="500"/>
      <c r="G268" s="519"/>
    </row>
    <row r="269" spans="1:7" ht="37.5" hidden="1" x14ac:dyDescent="0.25">
      <c r="A269" s="519">
        <f t="shared" si="4"/>
        <v>534</v>
      </c>
      <c r="B269" s="500" t="str">
        <f>Suite&amp;" Electrical Room F"</f>
        <v>G104 Electrical Room F</v>
      </c>
      <c r="C269" s="499" t="s">
        <v>1490</v>
      </c>
      <c r="D269" s="191" t="s">
        <v>1491</v>
      </c>
      <c r="E269" s="499" t="s">
        <v>1464</v>
      </c>
      <c r="F269" s="500"/>
      <c r="G269" s="519"/>
    </row>
    <row r="270" spans="1:7" ht="37.5" hidden="1" x14ac:dyDescent="0.25">
      <c r="A270" s="519">
        <f t="shared" si="4"/>
        <v>535</v>
      </c>
      <c r="B270" s="500" t="str">
        <f>Suite&amp;" Electrical Room F"</f>
        <v>G104 Electrical Room F</v>
      </c>
      <c r="C270" s="499" t="s">
        <v>1490</v>
      </c>
      <c r="D270" s="233" t="str">
        <f>"Verify the readings in step " &amp; A269 &amp; " and " &amp; A22 &amp; " are within 3% of each other. (new kW divided by original kW must be ≤1.03 and ≥0.97)."</f>
        <v>Verify the readings in step 534 and 287 are within 3% of each other. (new kW divided by original kW must be ≤1.03 and ≥0.97).</v>
      </c>
      <c r="E270" s="499" t="s">
        <v>1464</v>
      </c>
      <c r="F270" s="500"/>
      <c r="G270" s="519"/>
    </row>
    <row r="271" spans="1:7" ht="37.5" hidden="1" x14ac:dyDescent="0.25">
      <c r="A271" s="519">
        <f t="shared" si="4"/>
        <v>536</v>
      </c>
      <c r="B271" s="500" t="str">
        <f>Suite&amp;" Electrical Room F"</f>
        <v>G104 Electrical Room F</v>
      </c>
      <c r="C271" s="499" t="s">
        <v>1492</v>
      </c>
      <c r="D271" s="191" t="s">
        <v>1493</v>
      </c>
      <c r="E271" s="499" t="s">
        <v>1464</v>
      </c>
      <c r="F271" s="500"/>
      <c r="G271" s="519"/>
    </row>
    <row r="272" spans="1:7" ht="37.5" hidden="1" x14ac:dyDescent="0.25">
      <c r="A272" s="519">
        <f t="shared" si="4"/>
        <v>537</v>
      </c>
      <c r="B272" s="500" t="str">
        <f>Suite&amp;" Electrical Room F"</f>
        <v>G104 Electrical Room F</v>
      </c>
      <c r="C272" s="499" t="s">
        <v>1492</v>
      </c>
      <c r="D272" s="233" t="str">
        <f>"Verify the readings in step " &amp; A271 &amp; " and " &amp; A23 &amp; " are within 3% of each other. (new kW divided by original kW must be ≤1.03 and ≥0.97)."</f>
        <v>Verify the readings in step 536 and 288 are within 3% of each other. (new kW divided by original kW must be ≤1.03 and ≥0.97).</v>
      </c>
      <c r="E272" s="499" t="s">
        <v>1464</v>
      </c>
      <c r="F272" s="500"/>
      <c r="G272" s="519"/>
    </row>
    <row r="273" spans="1:7" ht="37.5" hidden="1" x14ac:dyDescent="0.25">
      <c r="A273" s="519">
        <f t="shared" si="4"/>
        <v>538</v>
      </c>
      <c r="B273" s="500" t="str">
        <f>Suite&amp;" Electrical Room F"</f>
        <v>G104 Electrical Room F</v>
      </c>
      <c r="C273" s="499" t="s">
        <v>1525</v>
      </c>
      <c r="D273" s="191" t="s">
        <v>1495</v>
      </c>
      <c r="E273" s="499" t="s">
        <v>1464</v>
      </c>
      <c r="F273" s="500"/>
      <c r="G273" s="519"/>
    </row>
    <row r="274" spans="1:7" ht="37.5" hidden="1" x14ac:dyDescent="0.25">
      <c r="A274" s="519">
        <f t="shared" si="4"/>
        <v>539</v>
      </c>
      <c r="B274" s="500" t="str">
        <f>Suite&amp;" Electrical Room F"</f>
        <v>G104 Electrical Room F</v>
      </c>
      <c r="C274" s="499" t="s">
        <v>1525</v>
      </c>
      <c r="D274" s="233" t="str">
        <f>"Verify the readings in step " &amp; A273 &amp; " and " &amp; A128 &amp; " are within 3% of each other. (new kW divided by original kW must be ≤1.03 and ≥0.97)."</f>
        <v>Verify the readings in step 538 and 393 are within 3% of each other. (new kW divided by original kW must be ≤1.03 and ≥0.97).</v>
      </c>
      <c r="E274" s="499" t="s">
        <v>1464</v>
      </c>
      <c r="F274" s="500"/>
      <c r="G274" s="519"/>
    </row>
    <row r="275" spans="1:7" ht="37.5" x14ac:dyDescent="0.25">
      <c r="A275" s="519" cm="1">
        <f t="array" ref="A275">IF(NumberOfSW=2,A256+1,IF(NumberOfSW=3,A262+1,IF(NumberOfSW=4,A268+1,A274+1)))</f>
        <v>540</v>
      </c>
      <c r="B275" s="500" t="s">
        <v>1462</v>
      </c>
      <c r="C275" s="499" t="s">
        <v>84</v>
      </c>
      <c r="D275" s="190" t="s">
        <v>1558</v>
      </c>
      <c r="E275" s="499" t="s">
        <v>1464</v>
      </c>
      <c r="F275" s="500"/>
      <c r="G275" s="500" t="s">
        <v>1519</v>
      </c>
    </row>
  </sheetData>
  <sheetProtection formatCells="0" formatColumns="0" formatRows="0" insertRows="0" deleteRows="0" sort="0" autoFilter="0"/>
  <mergeCells count="12">
    <mergeCell ref="B237:G237"/>
    <mergeCell ref="B27:G27"/>
    <mergeCell ref="B29:G29"/>
    <mergeCell ref="B38:G38"/>
    <mergeCell ref="B63:G63"/>
    <mergeCell ref="B131:G131"/>
    <mergeCell ref="B213:G213"/>
    <mergeCell ref="A2:B2"/>
    <mergeCell ref="A4:C4"/>
    <mergeCell ref="B6:G6"/>
    <mergeCell ref="B8:G8"/>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rowBreaks count="2" manualBreakCount="2">
    <brk id="130" max="16383" man="1"/>
    <brk id="227" max="6" man="1"/>
  </rowBreaks>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5FA35-4F40-4789-A897-84663FF4C62B}">
  <sheetPr codeName="eXL_C">
    <pageSetUpPr fitToPage="1"/>
  </sheetPr>
  <dimension ref="A1:I275"/>
  <sheetViews>
    <sheetView view="pageBreakPreview" zoomScale="90" zoomScaleNormal="100" zoomScaleSheetLayoutView="90" workbookViewId="0">
      <selection activeCell="I4" sqref="I4"/>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517" t="s">
        <v>1455</v>
      </c>
      <c r="B5" s="518" t="s">
        <v>8</v>
      </c>
      <c r="C5" s="518" t="s">
        <v>1456</v>
      </c>
      <c r="D5" s="517" t="s">
        <v>1457</v>
      </c>
      <c r="E5" s="518" t="s">
        <v>1458</v>
      </c>
      <c r="F5" s="518" t="s">
        <v>1459</v>
      </c>
      <c r="G5" s="517" t="s">
        <v>1460</v>
      </c>
    </row>
    <row r="6" spans="1:9" x14ac:dyDescent="0.3">
      <c r="A6" s="519">
        <f>'eXL-B'!A275+1</f>
        <v>541</v>
      </c>
      <c r="B6" s="702" t="s">
        <v>1461</v>
      </c>
      <c r="C6" s="704"/>
      <c r="D6" s="704"/>
      <c r="E6" s="704"/>
      <c r="F6" s="704"/>
      <c r="G6" s="704"/>
    </row>
    <row r="7" spans="1:9" x14ac:dyDescent="0.25">
      <c r="A7" s="519">
        <f>A6+1</f>
        <v>542</v>
      </c>
      <c r="B7" s="499" t="s">
        <v>1462</v>
      </c>
      <c r="C7" s="499" t="s">
        <v>84</v>
      </c>
      <c r="D7" s="191" t="s">
        <v>1463</v>
      </c>
      <c r="E7" s="499" t="s">
        <v>1464</v>
      </c>
      <c r="F7" s="500"/>
      <c r="G7" s="519"/>
    </row>
    <row r="8" spans="1:9" x14ac:dyDescent="0.3">
      <c r="A8" s="519">
        <f t="shared" ref="A8:A24" si="0">A7+1</f>
        <v>543</v>
      </c>
      <c r="B8" s="702" t="s">
        <v>1465</v>
      </c>
      <c r="C8" s="704"/>
      <c r="D8" s="704"/>
      <c r="E8" s="704"/>
      <c r="F8" s="704"/>
      <c r="G8" s="704"/>
    </row>
    <row r="9" spans="1:9" ht="37.5" x14ac:dyDescent="0.25">
      <c r="A9" s="519">
        <f t="shared" si="0"/>
        <v>544</v>
      </c>
      <c r="B9" s="500" t="str">
        <f>Suite&amp;" Electrical Rooms"</f>
        <v>G104 Electrical Rooms</v>
      </c>
      <c r="C9" s="499" t="str" cm="1">
        <f t="array" ref="C9">Suite &amp; " UPS Systems"</f>
        <v>G104 UPS Systems</v>
      </c>
      <c r="D9" s="191" t="str" cm="1">
        <f t="array" ref="D9">"Verify " &amp; Suite &amp; " UPS systems are on-line with no critical alarms present."</f>
        <v>Verify G104 UPS systems are on-line with no critical alarms present.</v>
      </c>
      <c r="E9" s="499" t="s">
        <v>1464</v>
      </c>
      <c r="F9" s="500"/>
      <c r="G9" s="519"/>
    </row>
    <row r="10" spans="1:9" ht="37.5" x14ac:dyDescent="0.25">
      <c r="A10" s="519">
        <f t="shared" si="0"/>
        <v>545</v>
      </c>
      <c r="B10" s="500" t="str">
        <f>Suite&amp;" Electrical Room A"</f>
        <v>G104 Electrical Room A</v>
      </c>
      <c r="C10" s="499" t="s">
        <v>1466</v>
      </c>
      <c r="D10" s="191" t="s">
        <v>1467</v>
      </c>
      <c r="E10" s="499" t="s">
        <v>1464</v>
      </c>
      <c r="F10" s="500"/>
      <c r="G10" s="519"/>
    </row>
    <row r="11" spans="1:9" ht="37.5" x14ac:dyDescent="0.25">
      <c r="A11" s="519">
        <f t="shared" si="0"/>
        <v>546</v>
      </c>
      <c r="B11" s="500" t="str">
        <f>Suite&amp;" Electrical Room A"</f>
        <v>G104 Electrical Room A</v>
      </c>
      <c r="C11" s="499" t="s">
        <v>1468</v>
      </c>
      <c r="D11" s="191" t="s">
        <v>1469</v>
      </c>
      <c r="E11" s="499" t="s">
        <v>1464</v>
      </c>
      <c r="F11" s="500"/>
      <c r="G11" s="519"/>
    </row>
    <row r="12" spans="1:9" ht="37.5" x14ac:dyDescent="0.25">
      <c r="A12" s="519">
        <f t="shared" si="0"/>
        <v>547</v>
      </c>
      <c r="B12" s="500" t="str">
        <f>Suite&amp;" Electrical Room A"</f>
        <v>G104 Electrical Room A</v>
      </c>
      <c r="C12" s="499" t="s">
        <v>1470</v>
      </c>
      <c r="D12" s="191" t="s">
        <v>1471</v>
      </c>
      <c r="E12" s="499" t="s">
        <v>1464</v>
      </c>
      <c r="F12" s="500"/>
      <c r="G12" s="519"/>
    </row>
    <row r="13" spans="1:9" ht="37.5" x14ac:dyDescent="0.25">
      <c r="A13" s="519">
        <f t="shared" si="0"/>
        <v>548</v>
      </c>
      <c r="B13" s="500" t="str">
        <f>Suite&amp;" Electrical Room B"</f>
        <v>G104 Electrical Room B</v>
      </c>
      <c r="C13" s="499" t="s">
        <v>1472</v>
      </c>
      <c r="D13" s="191" t="s">
        <v>1473</v>
      </c>
      <c r="E13" s="499" t="s">
        <v>1464</v>
      </c>
      <c r="F13" s="500"/>
      <c r="G13" s="519"/>
    </row>
    <row r="14" spans="1:9" ht="37.5" x14ac:dyDescent="0.25">
      <c r="A14" s="519">
        <f t="shared" si="0"/>
        <v>549</v>
      </c>
      <c r="B14" s="500" t="str">
        <f>Suite&amp;" Electrical Room B"</f>
        <v>G104 Electrical Room B</v>
      </c>
      <c r="C14" s="499" t="s">
        <v>1474</v>
      </c>
      <c r="D14" s="191" t="s">
        <v>1475</v>
      </c>
      <c r="E14" s="499" t="s">
        <v>1464</v>
      </c>
      <c r="F14" s="500"/>
      <c r="G14" s="519"/>
    </row>
    <row r="15" spans="1:9" ht="37.5" x14ac:dyDescent="0.25">
      <c r="A15" s="519">
        <f t="shared" si="0"/>
        <v>550</v>
      </c>
      <c r="B15" s="500" t="str">
        <f>Suite&amp;" Electrical Room B"</f>
        <v>G104 Electrical Room B</v>
      </c>
      <c r="C15" s="499" t="s">
        <v>1476</v>
      </c>
      <c r="D15" s="191" t="s">
        <v>1477</v>
      </c>
      <c r="E15" s="499" t="s">
        <v>1464</v>
      </c>
      <c r="F15" s="500"/>
      <c r="G15" s="519"/>
    </row>
    <row r="16" spans="1:9" ht="37.5" x14ac:dyDescent="0.25">
      <c r="A16" s="519">
        <f t="shared" si="0"/>
        <v>551</v>
      </c>
      <c r="B16" s="500" t="str">
        <f>Suite&amp;" Electrical Room C"</f>
        <v>G104 Electrical Room C</v>
      </c>
      <c r="C16" s="499" t="s">
        <v>1478</v>
      </c>
      <c r="D16" s="191" t="s">
        <v>1479</v>
      </c>
      <c r="E16" s="499" t="s">
        <v>1464</v>
      </c>
      <c r="F16" s="500"/>
      <c r="G16" s="519"/>
    </row>
    <row r="17" spans="1:7" ht="37.5" x14ac:dyDescent="0.25">
      <c r="A17" s="519">
        <f t="shared" si="0"/>
        <v>552</v>
      </c>
      <c r="B17" s="500" t="str">
        <f>Suite&amp;" Electrical Room C"</f>
        <v>G104 Electrical Room C</v>
      </c>
      <c r="C17" s="499" t="s">
        <v>1480</v>
      </c>
      <c r="D17" s="191" t="s">
        <v>1481</v>
      </c>
      <c r="E17" s="499" t="s">
        <v>1464</v>
      </c>
      <c r="F17" s="500"/>
      <c r="G17" s="519"/>
    </row>
    <row r="18" spans="1:7" ht="37.5" x14ac:dyDescent="0.25">
      <c r="A18" s="519">
        <f t="shared" si="0"/>
        <v>553</v>
      </c>
      <c r="B18" s="500" t="str">
        <f>Suite&amp;" Electrical Room C"</f>
        <v>G104 Electrical Room C</v>
      </c>
      <c r="C18" s="499" t="s">
        <v>1482</v>
      </c>
      <c r="D18" s="191" t="s">
        <v>1483</v>
      </c>
      <c r="E18" s="499" t="s">
        <v>1464</v>
      </c>
      <c r="F18" s="500"/>
      <c r="G18" s="519"/>
    </row>
    <row r="19" spans="1:7" ht="37.5" x14ac:dyDescent="0.25">
      <c r="A19" s="519">
        <f t="shared" si="0"/>
        <v>554</v>
      </c>
      <c r="B19" s="500" t="str">
        <f>Suite&amp;" Electrical Room D"</f>
        <v>G104 Electrical Room D</v>
      </c>
      <c r="C19" s="499" t="s">
        <v>1484</v>
      </c>
      <c r="D19" s="191" t="s">
        <v>1485</v>
      </c>
      <c r="E19" s="499" t="s">
        <v>1464</v>
      </c>
      <c r="F19" s="500"/>
      <c r="G19" s="519"/>
    </row>
    <row r="20" spans="1:7" ht="37.5" x14ac:dyDescent="0.25">
      <c r="A20" s="519">
        <f t="shared" si="0"/>
        <v>555</v>
      </c>
      <c r="B20" s="500" t="str">
        <f>Suite&amp;" Electrical Room D"</f>
        <v>G104 Electrical Room D</v>
      </c>
      <c r="C20" s="499" t="s">
        <v>1486</v>
      </c>
      <c r="D20" s="191" t="s">
        <v>1487</v>
      </c>
      <c r="E20" s="499" t="s">
        <v>1464</v>
      </c>
      <c r="F20" s="500"/>
      <c r="G20" s="519"/>
    </row>
    <row r="21" spans="1:7" ht="37.5" x14ac:dyDescent="0.25">
      <c r="A21" s="519">
        <f t="shared" si="0"/>
        <v>556</v>
      </c>
      <c r="B21" s="500" t="str">
        <f>Suite&amp;" Electrical Room D"</f>
        <v>G104 Electrical Room D</v>
      </c>
      <c r="C21" s="499" t="s">
        <v>1488</v>
      </c>
      <c r="D21" s="191" t="s">
        <v>1489</v>
      </c>
      <c r="E21" s="499" t="s">
        <v>1464</v>
      </c>
      <c r="F21" s="500"/>
      <c r="G21" s="519"/>
    </row>
    <row r="22" spans="1:7" ht="37.5" x14ac:dyDescent="0.25">
      <c r="A22" s="519">
        <f t="shared" si="0"/>
        <v>557</v>
      </c>
      <c r="B22" s="500" t="str">
        <f>Suite&amp;" Electrical Room F"</f>
        <v>G104 Electrical Room F</v>
      </c>
      <c r="C22" s="499" t="s">
        <v>1490</v>
      </c>
      <c r="D22" s="191" t="s">
        <v>1491</v>
      </c>
      <c r="E22" s="499" t="s">
        <v>1464</v>
      </c>
      <c r="F22" s="500"/>
      <c r="G22" s="519"/>
    </row>
    <row r="23" spans="1:7" ht="37.5" x14ac:dyDescent="0.25">
      <c r="A23" s="519">
        <f t="shared" si="0"/>
        <v>558</v>
      </c>
      <c r="B23" s="500" t="str">
        <f>Suite&amp;" Electrical Room F"</f>
        <v>G104 Electrical Room F</v>
      </c>
      <c r="C23" s="499" t="s">
        <v>1492</v>
      </c>
      <c r="D23" s="191" t="s">
        <v>1493</v>
      </c>
      <c r="E23" s="499" t="s">
        <v>1464</v>
      </c>
      <c r="F23" s="500"/>
      <c r="G23" s="519"/>
    </row>
    <row r="24" spans="1:7" ht="37.5" x14ac:dyDescent="0.25">
      <c r="A24" s="519">
        <f t="shared" si="0"/>
        <v>559</v>
      </c>
      <c r="B24" s="500" t="str">
        <f>Suite&amp;" Electrical Room F"</f>
        <v>G104 Electrical Room F</v>
      </c>
      <c r="C24" s="499" t="s">
        <v>1494</v>
      </c>
      <c r="D24" s="191" t="s">
        <v>1495</v>
      </c>
      <c r="E24" s="499" t="s">
        <v>1464</v>
      </c>
      <c r="F24" s="500"/>
      <c r="G24" s="519"/>
    </row>
    <row r="25" spans="1:7" ht="56.25" x14ac:dyDescent="0.25">
      <c r="A25" s="519" cm="1">
        <f t="array" ref="A25">IF(NumberOfSW=2,A21+1,IF(NumberOfSW=3,A22+1,IF(NumberOfSW=4,A23+1,A24+1)))</f>
        <v>560</v>
      </c>
      <c r="B25" s="500" t="str" cm="1">
        <f t="array" ref="B25">Suite &amp; " Electrical Rooms"</f>
        <v>G104 Electrical Rooms</v>
      </c>
      <c r="C25" s="499" t="str" cm="1">
        <f t="array" ref="C25">Suite &amp; " UPS System"</f>
        <v>G104 UPS System</v>
      </c>
      <c r="D25" s="190" t="s">
        <v>4621</v>
      </c>
      <c r="E25" s="499" t="s">
        <v>1464</v>
      </c>
      <c r="F25" s="500"/>
      <c r="G25" s="519"/>
    </row>
    <row r="26" spans="1:7" ht="37.5" x14ac:dyDescent="0.25">
      <c r="A26" s="519">
        <f>A25+1</f>
        <v>561</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7" x14ac:dyDescent="0.3">
      <c r="A27" s="519">
        <f>A26+1</f>
        <v>562</v>
      </c>
      <c r="B27" s="702" t="str" cm="1">
        <f t="array" ref="B27">"Prepare UP" &amp; SWThree &amp; " for Transfer to Maintenance Bypass"</f>
        <v>Prepare UPXXX for Transfer to Maintenance Bypass</v>
      </c>
      <c r="C27" s="704"/>
      <c r="D27" s="704"/>
      <c r="E27" s="704"/>
      <c r="F27" s="704"/>
      <c r="G27" s="704"/>
    </row>
    <row r="28" spans="1:7" ht="37.5" x14ac:dyDescent="0.25">
      <c r="A28" s="519">
        <f t="shared" ref="A28:A91" si="1">A27+1</f>
        <v>563</v>
      </c>
      <c r="B28" s="500" t="str">
        <f>Suite&amp;" Electrical Room "&amp;SWThree</f>
        <v>G104 Electrical Room XXX</v>
      </c>
      <c r="C28" s="499" t="str" cm="1">
        <f t="array" ref="C28">"UP" &amp; SWThree</f>
        <v>UPXXX</v>
      </c>
      <c r="D28" s="190" t="str" cm="1">
        <f t="array" ref="D28">"At breaker MBUP" &amp; SWThree &amp; ", (MBB) pump charging handle repeatedly to compress spring and charge breaker."</f>
        <v>At breaker MBUPXXX, (MBB) pump charging handle repeatedly to compress spring and charge breaker.</v>
      </c>
      <c r="E28" s="499" t="s">
        <v>1464</v>
      </c>
      <c r="F28" s="500"/>
      <c r="G28" s="519"/>
    </row>
    <row r="29" spans="1:7" x14ac:dyDescent="0.3">
      <c r="A29" s="519">
        <f t="shared" si="1"/>
        <v>564</v>
      </c>
      <c r="B29" s="702" t="str" cm="1">
        <f t="array" ref="B29">"Transfer UPS System " &amp; SWThree &amp; " to Static Bypass"</f>
        <v>Transfer UPS System XXX to Static Bypass</v>
      </c>
      <c r="C29" s="704"/>
      <c r="D29" s="704"/>
      <c r="E29" s="704"/>
      <c r="F29" s="704"/>
      <c r="G29" s="704"/>
    </row>
    <row r="30" spans="1:7" ht="37.5" x14ac:dyDescent="0.25">
      <c r="A30" s="519">
        <f t="shared" si="1"/>
        <v>565</v>
      </c>
      <c r="B30" s="500" t="str">
        <f>Suite&amp;" Electrical Room "&amp;SWThree</f>
        <v>G104 Electrical Room XXX</v>
      </c>
      <c r="C30" s="499" t="str" cm="1">
        <f t="array" ref="C30">"UPS " &amp; SWThree &amp; "1"</f>
        <v>UPS XXX1</v>
      </c>
      <c r="D30" s="190" t="s">
        <v>1496</v>
      </c>
      <c r="E30" s="499" t="s">
        <v>1464</v>
      </c>
      <c r="F30" s="500"/>
      <c r="G30" s="519"/>
    </row>
    <row r="31" spans="1:7" ht="37.5" x14ac:dyDescent="0.25">
      <c r="A31" s="519">
        <f t="shared" si="1"/>
        <v>566</v>
      </c>
      <c r="B31" s="500" t="str">
        <f>Suite&amp;" Electrical Room "&amp;SWThree</f>
        <v>G104 Electrical Room XXX</v>
      </c>
      <c r="C31" s="499" t="str" cm="1">
        <f t="array" ref="C31">"UPS " &amp; SWThree &amp; "1"</f>
        <v>UPS XXX1</v>
      </c>
      <c r="D31" s="233" t="s">
        <v>1497</v>
      </c>
      <c r="E31" s="499" t="s">
        <v>1464</v>
      </c>
      <c r="F31" s="500"/>
      <c r="G31" s="519"/>
    </row>
    <row r="32" spans="1:7" ht="37.5" x14ac:dyDescent="0.25">
      <c r="A32" s="519">
        <f t="shared" si="1"/>
        <v>567</v>
      </c>
      <c r="B32" s="500" t="str">
        <f>Suite&amp;" Electrical Room "&amp;SWThree</f>
        <v>G104 Electrical Room XXX</v>
      </c>
      <c r="C32" s="499" t="str" cm="1">
        <f t="array" ref="C32">"UPS " &amp; SWThree &amp; "1"</f>
        <v>UPS XXX1</v>
      </c>
      <c r="D32" s="190" t="s">
        <v>1498</v>
      </c>
      <c r="E32" s="499" t="s">
        <v>1464</v>
      </c>
      <c r="F32" s="500"/>
      <c r="G32" s="519"/>
    </row>
    <row r="33" spans="1:7" ht="37.5" x14ac:dyDescent="0.25">
      <c r="A33" s="519">
        <f t="shared" si="1"/>
        <v>568</v>
      </c>
      <c r="B33" s="500" t="str">
        <f>Suite&amp;" Electrical Room "&amp;SWThree</f>
        <v>G104 Electrical Room XXX</v>
      </c>
      <c r="C33" s="499" t="str" cm="1">
        <f t="array" ref="C33">"UPS " &amp; SWThree &amp; "1"</f>
        <v>UPS XXX1</v>
      </c>
      <c r="D33" s="190" t="s">
        <v>1499</v>
      </c>
      <c r="E33" s="499" t="s">
        <v>1464</v>
      </c>
      <c r="F33" s="500"/>
      <c r="G33" s="519"/>
    </row>
    <row r="34" spans="1:7" ht="37.5" x14ac:dyDescent="0.25">
      <c r="A34" s="519">
        <f t="shared" si="1"/>
        <v>569</v>
      </c>
      <c r="B34" s="500" t="str">
        <f>Suite&amp;" Electrical Room "&amp;SWThree</f>
        <v>G104 Electrical Room XXX</v>
      </c>
      <c r="C34" s="499" t="str" cm="1">
        <f t="array" ref="C34">"UPS " &amp; SWThree &amp; "1"</f>
        <v>UPS XXX1</v>
      </c>
      <c r="D34" s="190" t="s">
        <v>1500</v>
      </c>
      <c r="E34" s="499" t="s">
        <v>1464</v>
      </c>
      <c r="F34" s="500"/>
      <c r="G34" s="519"/>
    </row>
    <row r="35" spans="1:7" ht="37.5" x14ac:dyDescent="0.25">
      <c r="A35" s="519">
        <f t="shared" si="1"/>
        <v>570</v>
      </c>
      <c r="B35" s="500" t="str">
        <f>Suite&amp;" Electrical Room "&amp;SWThree</f>
        <v>G104 Electrical Room XXX</v>
      </c>
      <c r="C35" s="499" t="str" cm="1">
        <f t="array" ref="C35">"UPS " &amp; SWThree</f>
        <v>UPS XXX</v>
      </c>
      <c r="D35" s="233" t="s">
        <v>1501</v>
      </c>
      <c r="E35" s="499" t="s">
        <v>1464</v>
      </c>
      <c r="F35" s="500"/>
      <c r="G35" s="519"/>
    </row>
    <row r="36" spans="1:7" ht="37.5" x14ac:dyDescent="0.25">
      <c r="A36" s="519">
        <f t="shared" si="1"/>
        <v>571</v>
      </c>
      <c r="B36" s="500" t="str">
        <f>Suite&amp;" Electrical Room "&amp;SWThree</f>
        <v>G104 Electrical Room XXX</v>
      </c>
      <c r="C36" s="499" t="str" cm="1">
        <f t="array" ref="C36">"UP" &amp; SWThree</f>
        <v>UPXXX</v>
      </c>
      <c r="D36" s="190" t="str" cm="1">
        <f t="array" ref="D36">"Notate the kW reading at UP" &amp; SWThree &amp; " Critical Bus Panel Meter: _________"</f>
        <v>Notate the kW reading at UPXXX Critical Bus Panel Meter: _________</v>
      </c>
      <c r="E36" s="499" t="s">
        <v>1464</v>
      </c>
      <c r="F36" s="500"/>
      <c r="G36" s="519"/>
    </row>
    <row r="37" spans="1:7" ht="37.5" x14ac:dyDescent="0.25">
      <c r="A37" s="519">
        <f t="shared" si="1"/>
        <v>572</v>
      </c>
      <c r="B37" s="500" t="str">
        <f>Suite&amp;" Electrical Room "&amp;SWThree</f>
        <v>G104 Electrical Room XXX</v>
      </c>
      <c r="C37" s="499" t="str" cm="1">
        <f t="array" ref="C37">"UP" &amp; SWThree</f>
        <v>UPXXX</v>
      </c>
      <c r="D37" s="190" t="str">
        <f>"Verify the readings in step " &amp; A18 &amp; " and " &amp; A36 &amp; " are within 3% of each other. (new kW divided by original kW must be ≤1.03 and ≥0.97)."</f>
        <v>Verify the readings in step 553 and 571 are within 3% of each other. (new kW divided by original kW must be ≤1.03 and ≥0.97).</v>
      </c>
      <c r="E37" s="499" t="s">
        <v>1464</v>
      </c>
      <c r="F37" s="500"/>
      <c r="G37" s="519"/>
    </row>
    <row r="38" spans="1:7" x14ac:dyDescent="0.25">
      <c r="A38" s="519">
        <f t="shared" si="1"/>
        <v>573</v>
      </c>
      <c r="B38" s="702" t="s">
        <v>1502</v>
      </c>
      <c r="C38" s="703"/>
      <c r="D38" s="703"/>
      <c r="E38" s="703"/>
      <c r="F38" s="703"/>
      <c r="G38" s="703"/>
    </row>
    <row r="39" spans="1:7" ht="37.5" x14ac:dyDescent="0.25">
      <c r="A39" s="519">
        <f t="shared" si="1"/>
        <v>574</v>
      </c>
      <c r="B39" s="500" t="str">
        <f>Suite&amp;" Electrical Room "&amp;SWThree</f>
        <v>G104 Electrical Room XXX</v>
      </c>
      <c r="C39" s="499" t="str" cm="1">
        <f t="array" ref="C39">"UP" &amp; SWThree</f>
        <v>UPXXX</v>
      </c>
      <c r="D39" s="233" t="s">
        <v>1503</v>
      </c>
      <c r="E39" s="499" t="s">
        <v>1464</v>
      </c>
      <c r="F39" s="500"/>
      <c r="G39" s="519"/>
    </row>
    <row r="40" spans="1:7" ht="37.5" x14ac:dyDescent="0.25">
      <c r="A40" s="519">
        <f t="shared" si="1"/>
        <v>575</v>
      </c>
      <c r="B40" s="500" t="str">
        <f>Suite&amp;" Electrical Room "&amp;SWThree</f>
        <v>G104 Electrical Room XXX</v>
      </c>
      <c r="C40" s="499" t="str" cm="1">
        <f t="array" ref="C40">"UP" &amp; SWThree</f>
        <v>UPXXX</v>
      </c>
      <c r="D40" s="233" t="s">
        <v>1504</v>
      </c>
      <c r="E40" s="499" t="s">
        <v>1464</v>
      </c>
      <c r="F40" s="500"/>
      <c r="G40" s="519"/>
    </row>
    <row r="41" spans="1:7" ht="37.5" x14ac:dyDescent="0.25">
      <c r="A41" s="519">
        <f t="shared" si="1"/>
        <v>576</v>
      </c>
      <c r="B41" s="500" t="str">
        <f>Suite&amp;" Electrical Room "&amp;SWThree</f>
        <v>G104 Electrical Room XXX</v>
      </c>
      <c r="C41" s="499" t="str" cm="1">
        <f t="array" ref="C41">"UP" &amp; SWThree</f>
        <v>UPXXX</v>
      </c>
      <c r="D41" s="233" t="s">
        <v>1505</v>
      </c>
      <c r="E41" s="499" t="s">
        <v>1464</v>
      </c>
      <c r="F41" s="500"/>
      <c r="G41" s="519"/>
    </row>
    <row r="42" spans="1:7" ht="37.5" x14ac:dyDescent="0.25">
      <c r="A42" s="519">
        <f t="shared" si="1"/>
        <v>577</v>
      </c>
      <c r="B42" s="500" t="str">
        <f>Suite&amp;" Electrical Room "&amp;SWThree</f>
        <v>G104 Electrical Room XXX</v>
      </c>
      <c r="C42" s="499" t="str" cm="1">
        <f t="array" ref="C42">"UP" &amp; SWThree</f>
        <v>UPXXX</v>
      </c>
      <c r="D42" s="233" t="str" cm="1">
        <f t="array" ref="D42">"Insert the interlock key into the MBUP" &amp; SWThree &amp; " breaker lock cylinder."</f>
        <v>Insert the interlock key into the MBUPXXX breaker lock cylinder.</v>
      </c>
      <c r="E42" s="499" t="s">
        <v>1464</v>
      </c>
      <c r="F42" s="500"/>
      <c r="G42" s="519"/>
    </row>
    <row r="43" spans="1:7" ht="37.5" x14ac:dyDescent="0.25">
      <c r="A43" s="519">
        <f t="shared" si="1"/>
        <v>578</v>
      </c>
      <c r="B43" s="500" t="str">
        <f>Suite&amp;" Electrical Room "&amp;SWThree</f>
        <v>G104 Electrical Room XXX</v>
      </c>
      <c r="C43" s="499" t="str" cm="1">
        <f t="array" ref="C43">"UP" &amp; SWThree</f>
        <v>UPXXX</v>
      </c>
      <c r="D43" s="233" t="str" cm="1">
        <f t="array" ref="D43">"Rotate the interlock key 90 degrees to UNLOCK the MBUP" &amp; SWThree &amp; " breaker."</f>
        <v>Rotate the interlock key 90 degrees to UNLOCK the MBUPXXX breaker.</v>
      </c>
      <c r="E43" s="499" t="s">
        <v>1464</v>
      </c>
      <c r="F43" s="500"/>
      <c r="G43" s="519"/>
    </row>
    <row r="44" spans="1:7" ht="37.5" x14ac:dyDescent="0.25">
      <c r="A44" s="519">
        <f t="shared" si="1"/>
        <v>579</v>
      </c>
      <c r="B44" s="500" t="str">
        <f>Suite&amp;" Electrical Room "&amp;SWThree</f>
        <v>G104 Electrical Room XXX</v>
      </c>
      <c r="C44" s="499" t="str" cm="1">
        <f t="array" ref="C44">"UP" &amp; SWThree</f>
        <v>UPXXX</v>
      </c>
      <c r="D44" s="233" t="str" cm="1">
        <f t="array" ref="D44">"Close breaker MBUP" &amp; SWThree &amp; "."</f>
        <v>Close breaker MBUPXXX.</v>
      </c>
      <c r="E44" s="499" t="s">
        <v>1464</v>
      </c>
      <c r="F44" s="500"/>
      <c r="G44" s="519"/>
    </row>
    <row r="45" spans="1:7" ht="37.5" x14ac:dyDescent="0.25">
      <c r="A45" s="519">
        <f t="shared" si="1"/>
        <v>580</v>
      </c>
      <c r="B45" s="500" t="str">
        <f>Suite&amp;" Electrical Room "&amp;SWThree</f>
        <v>G104 Electrical Room XXX</v>
      </c>
      <c r="C45" s="499" t="str" cm="1">
        <f t="array" ref="C45">"UP" &amp; SWThree</f>
        <v>UPXXX</v>
      </c>
      <c r="D45" s="233" t="str" cm="1">
        <f t="array" ref="D45">"Verify MBUP" &amp; SWThree &amp; " breaker flag indicates CLOSED."</f>
        <v>Verify MBUPXXX breaker flag indicates CLOSED.</v>
      </c>
      <c r="E45" s="499" t="s">
        <v>1464</v>
      </c>
      <c r="F45" s="500"/>
      <c r="G45" s="519"/>
    </row>
    <row r="46" spans="1:7" ht="37.5" x14ac:dyDescent="0.25">
      <c r="A46" s="519">
        <f t="shared" si="1"/>
        <v>581</v>
      </c>
      <c r="B46" s="500" t="str">
        <f>Suite&amp;" Electrical Room "&amp;SWThree</f>
        <v>G104 Electrical Room XXX</v>
      </c>
      <c r="C46" s="499" t="str" cm="1">
        <f t="array" ref="C46">"UP" &amp; SWThree</f>
        <v>UPXXX</v>
      </c>
      <c r="D46" s="233" t="str" cm="1">
        <f t="array" ref="D46">"Verify breaker MBUP" &amp; SWThree &amp; " is carrying a portion of critical customer load using breaker mounted metering."</f>
        <v>Verify breaker MBUPXXX is carrying a portion of critical customer load using breaker mounted metering.</v>
      </c>
      <c r="E46" s="499" t="s">
        <v>1464</v>
      </c>
      <c r="F46" s="500"/>
      <c r="G46" s="519"/>
    </row>
    <row r="47" spans="1:7" ht="37.5" x14ac:dyDescent="0.25">
      <c r="A47" s="519">
        <f t="shared" si="1"/>
        <v>582</v>
      </c>
      <c r="B47" s="500" t="str">
        <f>Suite&amp;" Electrical Room "&amp;SWThree</f>
        <v>G104 Electrical Room XXX</v>
      </c>
      <c r="C47" s="499" t="str" cm="1">
        <f t="array" ref="C47">"UP" &amp; SWThree</f>
        <v>UPXXX</v>
      </c>
      <c r="D47" s="233" t="str" cm="1">
        <f t="array" ref="D47">"Verify breaker MCBUP" &amp; SWThree &amp; " is carrying a portion of critical customer load using breaker mounted metering."</f>
        <v>Verify breaker MCBUPXXX is carrying a portion of critical customer load using breaker mounted metering.</v>
      </c>
      <c r="E47" s="499" t="s">
        <v>1464</v>
      </c>
      <c r="F47" s="500"/>
      <c r="G47" s="519"/>
    </row>
    <row r="48" spans="1:7" ht="37.5" x14ac:dyDescent="0.25">
      <c r="A48" s="519">
        <f t="shared" si="1"/>
        <v>583</v>
      </c>
      <c r="B48" s="500" t="str">
        <f>Suite&amp;" Electrical Room "&amp;SWThree</f>
        <v>G104 Electrical Room XXX</v>
      </c>
      <c r="C48" s="499" t="str" cm="1">
        <f t="array" ref="C48">"UP" &amp; SWThree</f>
        <v>UPXXX</v>
      </c>
      <c r="D48" s="233" t="str" cm="1">
        <f t="array" ref="D48">"Notate the kW reading at UP" &amp; SWThree &amp; " Critical Bus Panel Meter: _________"</f>
        <v>Notate the kW reading at UPXXX Critical Bus Panel Meter: _________</v>
      </c>
      <c r="E48" s="499" t="s">
        <v>1464</v>
      </c>
      <c r="F48" s="500"/>
      <c r="G48" s="519"/>
    </row>
    <row r="49" spans="1:7" ht="37.5" x14ac:dyDescent="0.25">
      <c r="A49" s="519">
        <f t="shared" si="1"/>
        <v>584</v>
      </c>
      <c r="B49" s="500" t="str">
        <f>Suite&amp;" Electrical Room "&amp;SWThree</f>
        <v>G104 Electrical Room XXX</v>
      </c>
      <c r="C49" s="499" t="str" cm="1">
        <f t="array" ref="C49">"UP" &amp; SWThree</f>
        <v>UPXXX</v>
      </c>
      <c r="D49" s="233" t="str">
        <f>"Verify the readings in step " &amp; A36 &amp; " and " &amp; A48 &amp; " are within 3% of each other. (new kW divided by original kW must be ≤1.03 and ≥0.97)."</f>
        <v>Verify the readings in step 571 and 583 are within 3% of each other. (new kW divided by original kW must be ≤1.03 and ≥0.97).</v>
      </c>
      <c r="E49" s="499" t="s">
        <v>1464</v>
      </c>
      <c r="F49" s="500"/>
      <c r="G49" s="519"/>
    </row>
    <row r="50" spans="1:7" ht="37.5" x14ac:dyDescent="0.25">
      <c r="A50" s="519">
        <f t="shared" si="1"/>
        <v>585</v>
      </c>
      <c r="B50" s="500" t="str">
        <f>Suite&amp;" Electrical Room "&amp;SWThree</f>
        <v>G104 Electrical Room XXX</v>
      </c>
      <c r="C50" s="499" t="str" cm="1">
        <f t="array" ref="C50">"UP" &amp; SWThree</f>
        <v>UPXXX</v>
      </c>
      <c r="D50" s="233" t="str" cm="1">
        <f t="array" ref="D50">"Pump the MCBUP" &amp; SWThree &amp; " breaker charging handle repeatedly to compress the charging spring and charge the breaker."</f>
        <v>Pump the MCBUPXXX breaker charging handle repeatedly to compress the charging spring and charge the breaker.</v>
      </c>
      <c r="E50" s="499" t="s">
        <v>1464</v>
      </c>
      <c r="F50" s="500"/>
      <c r="G50" s="519"/>
    </row>
    <row r="51" spans="1:7" ht="56.25" x14ac:dyDescent="0.25">
      <c r="A51" s="519">
        <f t="shared" si="1"/>
        <v>586</v>
      </c>
      <c r="B51" s="500" t="str">
        <f>Suite&amp;" Electrical Room "&amp;SWThree</f>
        <v>G104 Electrical Room XXX</v>
      </c>
      <c r="C51" s="499" t="str" cm="1">
        <f t="array" ref="C51">"UP" &amp; SWThree</f>
        <v>UPXXX</v>
      </c>
      <c r="D51" s="233" t="str" cm="1">
        <f t="array" ref="D51">"Note: If breaker MCBUP" &amp; SWThree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51" s="499" t="s">
        <v>1464</v>
      </c>
      <c r="F51" s="500"/>
      <c r="G51" s="519"/>
    </row>
    <row r="52" spans="1:7" ht="37.5" x14ac:dyDescent="0.25">
      <c r="A52" s="519">
        <f t="shared" si="1"/>
        <v>587</v>
      </c>
      <c r="B52" s="500" t="str">
        <f>Suite&amp;" Electrical Room "&amp;SWThree</f>
        <v>G104 Electrical Room XXX</v>
      </c>
      <c r="C52" s="499" t="str" cm="1">
        <f t="array" ref="C52">"UP" &amp; SWThree</f>
        <v>UPXXX</v>
      </c>
      <c r="D52" s="233" t="str" cm="1">
        <f t="array" ref="D52">"Open breaker MCBUP" &amp; SWThree &amp; "."</f>
        <v>Open breaker MCBUPXXX.</v>
      </c>
      <c r="E52" s="499" t="s">
        <v>1464</v>
      </c>
      <c r="F52" s="500"/>
      <c r="G52" s="519"/>
    </row>
    <row r="53" spans="1:7" ht="37.5" x14ac:dyDescent="0.25">
      <c r="A53" s="519">
        <f t="shared" si="1"/>
        <v>588</v>
      </c>
      <c r="B53" s="500" t="str">
        <f>Suite&amp;" Electrical Room "&amp;SWThree</f>
        <v>G104 Electrical Room XXX</v>
      </c>
      <c r="C53" s="499" t="str" cm="1">
        <f t="array" ref="C53">"UP" &amp; SWThree</f>
        <v>UPXXX</v>
      </c>
      <c r="D53" s="233" t="s">
        <v>1506</v>
      </c>
      <c r="E53" s="499" t="s">
        <v>1464</v>
      </c>
      <c r="F53" s="500"/>
      <c r="G53" s="519"/>
    </row>
    <row r="54" spans="1:7" ht="37.5" x14ac:dyDescent="0.25">
      <c r="A54" s="519">
        <f t="shared" si="1"/>
        <v>589</v>
      </c>
      <c r="B54" s="500" t="str">
        <f>Suite&amp;" Electrical Room "&amp;SWThree</f>
        <v>G104 Electrical Room XXX</v>
      </c>
      <c r="C54" s="499" t="str" cm="1">
        <f t="array" ref="C54">"UP" &amp; SWThree</f>
        <v>UPXXX</v>
      </c>
      <c r="D54" s="233" t="str" cm="1">
        <f t="array" ref="D54">"Verify MCBUP" &amp; SWThree &amp; " breaker flag indicates OPEN."</f>
        <v>Verify MCBUPXXX breaker flag indicates OPEN.</v>
      </c>
      <c r="E54" s="499" t="s">
        <v>1464</v>
      </c>
      <c r="F54" s="500"/>
      <c r="G54" s="519"/>
    </row>
    <row r="55" spans="1:7" ht="37.5" x14ac:dyDescent="0.25">
      <c r="A55" s="519">
        <f t="shared" si="1"/>
        <v>590</v>
      </c>
      <c r="B55" s="500" t="str">
        <f>Suite&amp;" Electrical Room "&amp;SWThree</f>
        <v>G104 Electrical Room XXX</v>
      </c>
      <c r="C55" s="499" t="str" cm="1">
        <f t="array" ref="C55">"UP" &amp; SWThree</f>
        <v>UPXXX</v>
      </c>
      <c r="D55" s="233" t="str" cm="1">
        <f t="array" ref="D55">"Notate the kW reading at UP" &amp; SWThree &amp; " Critical Bus Panel Meter: _________"</f>
        <v>Notate the kW reading at UPXXX Critical Bus Panel Meter: _________</v>
      </c>
      <c r="E55" s="499" t="s">
        <v>1464</v>
      </c>
      <c r="F55" s="500"/>
      <c r="G55" s="519"/>
    </row>
    <row r="56" spans="1:7" ht="37.5" x14ac:dyDescent="0.25">
      <c r="A56" s="519">
        <f t="shared" si="1"/>
        <v>591</v>
      </c>
      <c r="B56" s="500" t="str">
        <f>Suite&amp;" Electrical Room "&amp;SWThree</f>
        <v>G104 Electrical Room XXX</v>
      </c>
      <c r="C56" s="499" t="str" cm="1">
        <f t="array" ref="C56">"UP" &amp; SWThree</f>
        <v>UPXXX</v>
      </c>
      <c r="D56" s="233" t="str">
        <f>"Verify the readings in step " &amp; A48 &amp; " and " &amp; A55 &amp; " are within 3% of each other. (new kW divided by original kW must be ≤1.03 and ≥0.97)."</f>
        <v>Verify the readings in step 583 and 590 are within 3% of each other. (new kW divided by original kW must be ≤1.03 and ≥0.97).</v>
      </c>
      <c r="E56" s="499" t="s">
        <v>1464</v>
      </c>
      <c r="F56" s="500"/>
      <c r="G56" s="519"/>
    </row>
    <row r="57" spans="1:7" ht="37.5" x14ac:dyDescent="0.25">
      <c r="A57" s="519">
        <f t="shared" si="1"/>
        <v>592</v>
      </c>
      <c r="B57" s="500" t="str">
        <f>Suite&amp;" Electrical Room "&amp;SWThree</f>
        <v>G104 Electrical Room XXX</v>
      </c>
      <c r="C57" s="499" t="str" cm="1">
        <f t="array" ref="C57">"UP" &amp; SWThree</f>
        <v>UPXXX</v>
      </c>
      <c r="D57" s="233" t="str" cm="1">
        <f t="array" ref="D57">"Rotate the interlock key 90 degrees to LOCK the MCBUP"&amp;SWThree&amp;" breaker."</f>
        <v>Rotate the interlock key 90 degrees to LOCK the MCBUPXXX breaker.</v>
      </c>
      <c r="E57" s="499" t="s">
        <v>1464</v>
      </c>
      <c r="F57" s="500"/>
      <c r="G57" s="519"/>
    </row>
    <row r="58" spans="1:7" ht="37.5" x14ac:dyDescent="0.25">
      <c r="A58" s="519">
        <f t="shared" si="1"/>
        <v>593</v>
      </c>
      <c r="B58" s="500" t="str">
        <f>Suite&amp;" Electrical Room "&amp;SWThree</f>
        <v>G104 Electrical Room XXX</v>
      </c>
      <c r="C58" s="499" t="str" cm="1">
        <f t="array" ref="C58">"UP" &amp; SWThree</f>
        <v>UPXXX</v>
      </c>
      <c r="D58" s="233" t="str" cm="1">
        <f t="array" ref="D58">"Remove the interlock key from the MCBUP"&amp;SWThree&amp;" breaker lock cylinder."</f>
        <v>Remove the interlock key from the MCBUPXXX breaker lock cylinder.</v>
      </c>
      <c r="E58" s="499" t="s">
        <v>1464</v>
      </c>
      <c r="F58" s="500"/>
      <c r="G58" s="519"/>
    </row>
    <row r="59" spans="1:7" ht="37.5" x14ac:dyDescent="0.25">
      <c r="A59" s="519">
        <f t="shared" si="1"/>
        <v>594</v>
      </c>
      <c r="B59" s="500" t="str">
        <f>Suite&amp;" Electrical Room "&amp;SWThree</f>
        <v>G104 Electrical Room XXX</v>
      </c>
      <c r="C59" s="499" t="str" cm="1">
        <f t="array" ref="C59">"UP" &amp; SWThree</f>
        <v>UPXXX</v>
      </c>
      <c r="D59" s="233" t="s">
        <v>1507</v>
      </c>
      <c r="E59" s="499" t="s">
        <v>1464</v>
      </c>
      <c r="F59" s="500"/>
      <c r="G59" s="519"/>
    </row>
    <row r="60" spans="1:7" ht="37.5" x14ac:dyDescent="0.25">
      <c r="A60" s="519">
        <f t="shared" si="1"/>
        <v>595</v>
      </c>
      <c r="B60" s="500" t="str">
        <f>Suite&amp;" Electrical Room "&amp;SWThree</f>
        <v>G104 Electrical Room XXX</v>
      </c>
      <c r="C60" s="499" t="str" cm="1">
        <f t="array" ref="C60">"UP" &amp; SWThree</f>
        <v>UPXXX</v>
      </c>
      <c r="D60" s="233" t="s">
        <v>1508</v>
      </c>
      <c r="E60" s="499" t="s">
        <v>1464</v>
      </c>
      <c r="F60" s="500"/>
      <c r="G60" s="519"/>
    </row>
    <row r="61" spans="1:7" ht="37.5" x14ac:dyDescent="0.25">
      <c r="A61" s="519">
        <f t="shared" si="1"/>
        <v>596</v>
      </c>
      <c r="B61" s="500" t="str">
        <f>Suite&amp;" Electrical Room "&amp;SWThree</f>
        <v>G104 Electrical Room XXX</v>
      </c>
      <c r="C61" s="499" t="str" cm="1">
        <f t="array" ref="C61">"UP" &amp; SWThree</f>
        <v>UPXXX</v>
      </c>
      <c r="D61" s="233" t="s">
        <v>1509</v>
      </c>
      <c r="E61" s="499" t="s">
        <v>1464</v>
      </c>
      <c r="F61" s="500"/>
      <c r="G61" s="519"/>
    </row>
    <row r="62" spans="1:7" ht="37.5" x14ac:dyDescent="0.25">
      <c r="A62" s="519">
        <f t="shared" si="1"/>
        <v>597</v>
      </c>
      <c r="B62" s="500" t="str">
        <f>Suite&amp;" Electrical Room "&amp;SWThree</f>
        <v>G104 Electrical Room XXX</v>
      </c>
      <c r="C62" s="499" t="str" cm="1">
        <f t="array" ref="C62">"UP" &amp; SWThree</f>
        <v>UPXXX</v>
      </c>
      <c r="D62" s="233" t="s">
        <v>1510</v>
      </c>
      <c r="E62" s="499" t="s">
        <v>1464</v>
      </c>
      <c r="F62" s="500"/>
      <c r="G62" s="519"/>
    </row>
    <row r="63" spans="1:7" x14ac:dyDescent="0.25">
      <c r="A63" s="519">
        <f t="shared" si="1"/>
        <v>598</v>
      </c>
      <c r="B63" s="702" t="str" cm="1">
        <f t="array" ref="B63">"Shut Down UPS System " &amp; SWThree</f>
        <v>Shut Down UPS System XXX</v>
      </c>
      <c r="C63" s="703"/>
      <c r="D63" s="703"/>
      <c r="E63" s="703"/>
      <c r="F63" s="703"/>
      <c r="G63" s="703"/>
    </row>
    <row r="64" spans="1:7" ht="37.5" x14ac:dyDescent="0.25">
      <c r="A64" s="519">
        <f t="shared" si="1"/>
        <v>599</v>
      </c>
      <c r="B64" s="500" t="str">
        <f>Suite&amp;" Electrical Room "&amp;SWThree</f>
        <v>G104 Electrical Room XXX</v>
      </c>
      <c r="C64" s="499" t="str" cm="1">
        <f t="array" ref="C64">"UPS " &amp; SWThree &amp; "1"</f>
        <v>UPS XXX1</v>
      </c>
      <c r="D64" s="190" t="s">
        <v>1511</v>
      </c>
      <c r="E64" s="499" t="s">
        <v>1464</v>
      </c>
      <c r="F64" s="500"/>
      <c r="G64" s="519"/>
    </row>
    <row r="65" spans="1:7" ht="37.5" x14ac:dyDescent="0.25">
      <c r="A65" s="519">
        <f t="shared" si="1"/>
        <v>600</v>
      </c>
      <c r="B65" s="500" t="str">
        <f>Suite&amp;" Electrical Room "&amp;SWThree</f>
        <v>G104 Electrical Room XXX</v>
      </c>
      <c r="C65" s="499" t="str" cm="1">
        <f t="array" ref="C65">"UPS " &amp; SWThree &amp; "1"</f>
        <v>UPS XXX1</v>
      </c>
      <c r="D65" s="233" t="s">
        <v>1497</v>
      </c>
      <c r="E65" s="499" t="s">
        <v>1464</v>
      </c>
      <c r="F65" s="500"/>
      <c r="G65" s="519"/>
    </row>
    <row r="66" spans="1:7" ht="37.5" x14ac:dyDescent="0.25">
      <c r="A66" s="519">
        <f t="shared" si="1"/>
        <v>601</v>
      </c>
      <c r="B66" s="500" t="str">
        <f>Suite&amp;" Electrical Room "&amp;SWThree</f>
        <v>G104 Electrical Room XXX</v>
      </c>
      <c r="C66" s="499" t="str" cm="1">
        <f t="array" ref="C66">"UPS " &amp; SWThree &amp; "1"</f>
        <v>UPS XXX1</v>
      </c>
      <c r="D66" s="190" t="s">
        <v>1512</v>
      </c>
      <c r="E66" s="499" t="s">
        <v>1464</v>
      </c>
      <c r="F66" s="500"/>
      <c r="G66" s="519"/>
    </row>
    <row r="67" spans="1:7" ht="56.25" x14ac:dyDescent="0.25">
      <c r="A67" s="519">
        <f t="shared" si="1"/>
        <v>602</v>
      </c>
      <c r="B67" s="500" t="str">
        <f>Suite&amp;" Electrical Room "&amp;SWThree</f>
        <v>G104 Electrical Room XXX</v>
      </c>
      <c r="C67" s="499" t="str" cm="1">
        <f t="array" ref="C67">"UPS " &amp; SWThree &amp; "1"</f>
        <v>UPS XXX1</v>
      </c>
      <c r="D67" s="190" t="s">
        <v>1513</v>
      </c>
      <c r="E67" s="499" t="s">
        <v>1464</v>
      </c>
      <c r="F67" s="500"/>
      <c r="G67" s="519"/>
    </row>
    <row r="68" spans="1:7" ht="37.5" x14ac:dyDescent="0.25">
      <c r="A68" s="519">
        <f t="shared" si="1"/>
        <v>603</v>
      </c>
      <c r="B68" s="500" t="str">
        <f>Suite&amp;" Electrical Room "&amp;SWThree</f>
        <v>G104 Electrical Room XXX</v>
      </c>
      <c r="C68" s="499" t="str" cm="1">
        <f t="array" ref="C68">"UPS " &amp; SWThree &amp; "1"</f>
        <v>UPS XXX1</v>
      </c>
      <c r="D68" s="190" t="s">
        <v>1514</v>
      </c>
      <c r="E68" s="499" t="s">
        <v>1464</v>
      </c>
      <c r="F68" s="500"/>
      <c r="G68" s="519"/>
    </row>
    <row r="69" spans="1:7" ht="37.5" x14ac:dyDescent="0.25">
      <c r="A69" s="519">
        <f t="shared" si="1"/>
        <v>604</v>
      </c>
      <c r="B69" s="500" t="str">
        <f>Suite&amp;" Electrical Room "&amp;SWThree</f>
        <v>G104 Electrical Room XXX</v>
      </c>
      <c r="C69" s="499" t="str" cm="1">
        <f t="array" ref="C69">"UPS " &amp; SWThree &amp; "1"</f>
        <v>UPS XXX1</v>
      </c>
      <c r="D69" s="190" t="s">
        <v>1515</v>
      </c>
      <c r="E69" s="499" t="s">
        <v>1464</v>
      </c>
      <c r="F69" s="500"/>
      <c r="G69" s="519"/>
    </row>
    <row r="70" spans="1:7" ht="37.5" x14ac:dyDescent="0.25">
      <c r="A70" s="519">
        <f t="shared" si="1"/>
        <v>605</v>
      </c>
      <c r="B70" s="500" t="str">
        <f>Suite&amp;" Electrical Room "&amp;SWThree</f>
        <v>G104 Electrical Room XXX</v>
      </c>
      <c r="C70" s="499" t="str" cm="1">
        <f t="array" ref="C70">"UPS " &amp; SWThree &amp; "1"</f>
        <v>UPS XXX1</v>
      </c>
      <c r="D70" s="190" t="s">
        <v>1516</v>
      </c>
      <c r="E70" s="499" t="s">
        <v>1464</v>
      </c>
      <c r="F70" s="500"/>
      <c r="G70" s="519"/>
    </row>
    <row r="71" spans="1:7" ht="37.5" x14ac:dyDescent="0.25">
      <c r="A71" s="519">
        <f t="shared" si="1"/>
        <v>606</v>
      </c>
      <c r="B71" s="500" t="str">
        <f>Suite&amp;" Electrical Room "&amp;SWThree</f>
        <v>G104 Electrical Room XXX</v>
      </c>
      <c r="C71" s="499" t="str" cm="1">
        <f t="array" ref="C71">"UPS " &amp; SWThree</f>
        <v>UPS XXX</v>
      </c>
      <c r="D71" s="190" t="s">
        <v>1517</v>
      </c>
      <c r="E71" s="499" t="s">
        <v>1464</v>
      </c>
      <c r="F71" s="500"/>
      <c r="G71" s="519"/>
    </row>
    <row r="72" spans="1:7" ht="56.25" x14ac:dyDescent="0.25">
      <c r="A72" s="519">
        <f t="shared" si="1"/>
        <v>607</v>
      </c>
      <c r="B72" s="500" t="str">
        <f>Suite&amp;" Electrical Room "&amp;SWThree</f>
        <v>G104 Electrical Room XXX</v>
      </c>
      <c r="C72" s="499" t="str" cm="1">
        <f t="array" ref="C72">"UPS " &amp; SWThree &amp; " Battery Cabinets"</f>
        <v>UPS XXX Battery Cabinets</v>
      </c>
      <c r="D72" s="190" t="str" cm="1">
        <f t="array" ref="D72">"Verify battery breaker for cabinet " &amp; SWThree &amp; "1-1 is in the tripped position."</f>
        <v>Verify battery breaker for cabinet XXX1-1 is in the tripped position.</v>
      </c>
      <c r="E72" s="499" t="s">
        <v>1464</v>
      </c>
      <c r="F72" s="500"/>
      <c r="G72" s="519"/>
    </row>
    <row r="73" spans="1:7" ht="56.25" x14ac:dyDescent="0.25">
      <c r="A73" s="519">
        <f t="shared" si="1"/>
        <v>608</v>
      </c>
      <c r="B73" s="500" t="str">
        <f>Suite&amp;" Electrical Room "&amp;SWThree</f>
        <v>G104 Electrical Room XXX</v>
      </c>
      <c r="C73" s="499" t="str" cm="1">
        <f t="array" ref="C73">"UPS " &amp; SWThree &amp; " Battery Cabinets"</f>
        <v>UPS XXX Battery Cabinets</v>
      </c>
      <c r="D73" s="190" t="str" cm="1">
        <f t="array" ref="D73">"Open battery breaker " &amp; SWThree &amp; "1-1."</f>
        <v>Open battery breaker XXX1-1.</v>
      </c>
      <c r="E73" s="499" t="s">
        <v>1464</v>
      </c>
      <c r="F73" s="500"/>
      <c r="G73" s="519"/>
    </row>
    <row r="74" spans="1:7" ht="56.25" x14ac:dyDescent="0.25">
      <c r="A74" s="519">
        <f t="shared" si="1"/>
        <v>609</v>
      </c>
      <c r="B74" s="500" t="str">
        <f>Suite&amp;" Electrical Room "&amp;SWThree</f>
        <v>G104 Electrical Room XXX</v>
      </c>
      <c r="C74" s="499" t="str" cm="1">
        <f t="array" ref="C74">"UPS " &amp; SWThree &amp; " Battery Cabinets"</f>
        <v>UPS XXX Battery Cabinets</v>
      </c>
      <c r="D74" s="190" t="str" cm="1">
        <f t="array" ref="D74">"Apply LOTO to battery breaker " &amp; SWThree &amp; "1-1."</f>
        <v>Apply LOTO to battery breaker XXX1-1.</v>
      </c>
      <c r="E74" s="499" t="s">
        <v>1464</v>
      </c>
      <c r="F74" s="500"/>
      <c r="G74" s="519"/>
    </row>
    <row r="75" spans="1:7" ht="56.25" x14ac:dyDescent="0.25">
      <c r="A75" s="519">
        <f t="shared" si="1"/>
        <v>610</v>
      </c>
      <c r="B75" s="500" t="str">
        <f>Suite&amp;" Electrical Room "&amp;SWThree</f>
        <v>G104 Electrical Room XXX</v>
      </c>
      <c r="C75" s="499" t="str" cm="1">
        <f t="array" ref="C75">"UPS " &amp; SWThree &amp; " Battery Cabinets"</f>
        <v>UPS XXX Battery Cabinets</v>
      </c>
      <c r="D75" s="233" t="s">
        <v>1518</v>
      </c>
      <c r="E75" s="499" t="s">
        <v>1464</v>
      </c>
      <c r="F75" s="500" t="s">
        <v>1519</v>
      </c>
      <c r="G75" s="519"/>
    </row>
    <row r="76" spans="1:7" ht="56.25" x14ac:dyDescent="0.25">
      <c r="A76" s="519">
        <f t="shared" si="1"/>
        <v>611</v>
      </c>
      <c r="B76" s="500" t="str">
        <f>Suite&amp;" Electrical Room "&amp;SWThree</f>
        <v>G104 Electrical Room XXX</v>
      </c>
      <c r="C76" s="499" t="str" cm="1">
        <f t="array" ref="C76">"UPS " &amp; SWThree &amp; " Battery Cabinets"</f>
        <v>UPS XXX Battery Cabinets</v>
      </c>
      <c r="D76" s="190" t="str" cm="1">
        <f t="array" ref="D76">"Verify battery breaker for cabinet " &amp; SWThree &amp; "1-2 is in the tripped position."</f>
        <v>Verify battery breaker for cabinet XXX1-2 is in the tripped position.</v>
      </c>
      <c r="E76" s="499" t="s">
        <v>1464</v>
      </c>
      <c r="F76" s="500"/>
      <c r="G76" s="519"/>
    </row>
    <row r="77" spans="1:7" ht="56.25" x14ac:dyDescent="0.25">
      <c r="A77" s="519">
        <f t="shared" si="1"/>
        <v>612</v>
      </c>
      <c r="B77" s="500" t="str">
        <f>Suite&amp;" Electrical Room "&amp;SWThree</f>
        <v>G104 Electrical Room XXX</v>
      </c>
      <c r="C77" s="499" t="str" cm="1">
        <f t="array" ref="C77">"UPS " &amp; SWThree &amp; " Battery Cabinets"</f>
        <v>UPS XXX Battery Cabinets</v>
      </c>
      <c r="D77" s="190" t="str" cm="1">
        <f t="array" ref="D77">"Open battery breaker " &amp; SWThree &amp; "1-2."</f>
        <v>Open battery breaker XXX1-2.</v>
      </c>
      <c r="E77" s="499" t="s">
        <v>1464</v>
      </c>
      <c r="F77" s="500"/>
      <c r="G77" s="519"/>
    </row>
    <row r="78" spans="1:7" ht="56.25" x14ac:dyDescent="0.25">
      <c r="A78" s="519">
        <f t="shared" si="1"/>
        <v>613</v>
      </c>
      <c r="B78" s="500" t="str">
        <f>Suite&amp;" Electrical Room "&amp;SWThree</f>
        <v>G104 Electrical Room XXX</v>
      </c>
      <c r="C78" s="499" t="str" cm="1">
        <f t="array" ref="C78">"UPS " &amp; SWThree &amp; " Battery Cabinets"</f>
        <v>UPS XXX Battery Cabinets</v>
      </c>
      <c r="D78" s="190" t="str" cm="1">
        <f t="array" ref="D78">"Apply LOTO to battery breaker " &amp; SWThree &amp; "1-2."</f>
        <v>Apply LOTO to battery breaker XXX1-2.</v>
      </c>
      <c r="E78" s="499" t="s">
        <v>1464</v>
      </c>
      <c r="F78" s="500"/>
      <c r="G78" s="519"/>
    </row>
    <row r="79" spans="1:7" ht="56.25" x14ac:dyDescent="0.25">
      <c r="A79" s="519">
        <f t="shared" si="1"/>
        <v>614</v>
      </c>
      <c r="B79" s="500" t="str">
        <f>Suite&amp;" Electrical Room "&amp;SWThree</f>
        <v>G104 Electrical Room XXX</v>
      </c>
      <c r="C79" s="499" t="str" cm="1">
        <f t="array" ref="C79">"UPS " &amp; SWThree &amp; " Battery Cabinets"</f>
        <v>UPS XXX Battery Cabinets</v>
      </c>
      <c r="D79" s="233" t="s">
        <v>1518</v>
      </c>
      <c r="E79" s="499" t="s">
        <v>1464</v>
      </c>
      <c r="F79" s="500"/>
      <c r="G79" s="519"/>
    </row>
    <row r="80" spans="1:7" ht="56.25" x14ac:dyDescent="0.25">
      <c r="A80" s="519">
        <f t="shared" si="1"/>
        <v>615</v>
      </c>
      <c r="B80" s="500" t="str">
        <f>Suite&amp;" Electrical Room "&amp;SWThree</f>
        <v>G104 Electrical Room XXX</v>
      </c>
      <c r="C80" s="499" t="str" cm="1">
        <f t="array" ref="C80">"UPS " &amp; SWThree &amp; " Battery Cabinets"</f>
        <v>UPS XXX Battery Cabinets</v>
      </c>
      <c r="D80" s="190" t="str" cm="1">
        <f t="array" ref="D80">"Verify battery breaker for cabinet " &amp; SWThree &amp; "1-3 is in the tripped position."</f>
        <v>Verify battery breaker for cabinet XXX1-3 is in the tripped position.</v>
      </c>
      <c r="E80" s="499" t="s">
        <v>1464</v>
      </c>
      <c r="F80" s="500"/>
      <c r="G80" s="519"/>
    </row>
    <row r="81" spans="1:7" ht="56.25" x14ac:dyDescent="0.25">
      <c r="A81" s="519">
        <f t="shared" si="1"/>
        <v>616</v>
      </c>
      <c r="B81" s="500" t="str">
        <f>Suite&amp;" Electrical Room "&amp;SWThree</f>
        <v>G104 Electrical Room XXX</v>
      </c>
      <c r="C81" s="499" t="str" cm="1">
        <f t="array" ref="C81">"UPS " &amp; SWThree &amp; " Battery Cabinets"</f>
        <v>UPS XXX Battery Cabinets</v>
      </c>
      <c r="D81" s="190" t="str" cm="1">
        <f t="array" ref="D81">"Open battery breaker " &amp; SWThree &amp; "1-3."</f>
        <v>Open battery breaker XXX1-3.</v>
      </c>
      <c r="E81" s="499" t="s">
        <v>1464</v>
      </c>
      <c r="F81" s="500"/>
      <c r="G81" s="519"/>
    </row>
    <row r="82" spans="1:7" ht="56.25" x14ac:dyDescent="0.25">
      <c r="A82" s="519">
        <f t="shared" si="1"/>
        <v>617</v>
      </c>
      <c r="B82" s="500" t="str">
        <f>Suite&amp;" Electrical Room "&amp;SWThree</f>
        <v>G104 Electrical Room XXX</v>
      </c>
      <c r="C82" s="499" t="str" cm="1">
        <f t="array" ref="C82">"UPS " &amp; SWThree &amp; " Battery Cabinets"</f>
        <v>UPS XXX Battery Cabinets</v>
      </c>
      <c r="D82" s="190" t="str" cm="1">
        <f t="array" ref="D82">"Apply LOTO to battery breaker " &amp; SWThree &amp; "1-3."</f>
        <v>Apply LOTO to battery breaker XXX1-3.</v>
      </c>
      <c r="E82" s="499" t="s">
        <v>1464</v>
      </c>
      <c r="F82" s="500"/>
      <c r="G82" s="519"/>
    </row>
    <row r="83" spans="1:7" ht="56.25" x14ac:dyDescent="0.25">
      <c r="A83" s="519">
        <f t="shared" si="1"/>
        <v>618</v>
      </c>
      <c r="B83" s="500" t="str">
        <f>Suite&amp;" Electrical Room "&amp;SWThree</f>
        <v>G104 Electrical Room XXX</v>
      </c>
      <c r="C83" s="499" t="str" cm="1">
        <f t="array" ref="C83">"UPS " &amp; SWThree &amp; " Battery Cabinets"</f>
        <v>UPS XXX Battery Cabinets</v>
      </c>
      <c r="D83" s="233" t="s">
        <v>1518</v>
      </c>
      <c r="E83" s="499" t="s">
        <v>1464</v>
      </c>
      <c r="F83" s="500"/>
      <c r="G83" s="519"/>
    </row>
    <row r="84" spans="1:7" ht="56.25" x14ac:dyDescent="0.25">
      <c r="A84" s="519">
        <f t="shared" si="1"/>
        <v>619</v>
      </c>
      <c r="B84" s="500" t="str">
        <f>Suite&amp;" Electrical Room "&amp;SWThree</f>
        <v>G104 Electrical Room XXX</v>
      </c>
      <c r="C84" s="499" t="str" cm="1">
        <f t="array" ref="C84">"UPS " &amp; SWThree &amp; " Battery Cabinets"</f>
        <v>UPS XXX Battery Cabinets</v>
      </c>
      <c r="D84" s="190" t="str" cm="1">
        <f t="array" ref="D84">"Verify battery breaker for cabinet " &amp; SWThree &amp; "2-1 is in the tripped position."</f>
        <v>Verify battery breaker for cabinet XXX2-1 is in the tripped position.</v>
      </c>
      <c r="E84" s="499" t="s">
        <v>1464</v>
      </c>
      <c r="F84" s="500"/>
      <c r="G84" s="519"/>
    </row>
    <row r="85" spans="1:7" ht="56.25" x14ac:dyDescent="0.25">
      <c r="A85" s="519">
        <f t="shared" si="1"/>
        <v>620</v>
      </c>
      <c r="B85" s="500" t="str">
        <f>Suite&amp;" Electrical Room "&amp;SWThree</f>
        <v>G104 Electrical Room XXX</v>
      </c>
      <c r="C85" s="499" t="str" cm="1">
        <f t="array" ref="C85">"UPS " &amp; SWThree &amp; " Battery Cabinets"</f>
        <v>UPS XXX Battery Cabinets</v>
      </c>
      <c r="D85" s="190" t="str" cm="1">
        <f t="array" ref="D85">"Open battery breaker " &amp; SWThree &amp; "2-1."</f>
        <v>Open battery breaker XXX2-1.</v>
      </c>
      <c r="E85" s="499" t="s">
        <v>1464</v>
      </c>
      <c r="F85" s="500"/>
      <c r="G85" s="519"/>
    </row>
    <row r="86" spans="1:7" ht="56.25" x14ac:dyDescent="0.25">
      <c r="A86" s="519">
        <f t="shared" si="1"/>
        <v>621</v>
      </c>
      <c r="B86" s="500" t="str">
        <f>Suite&amp;" Electrical Room "&amp;SWThree</f>
        <v>G104 Electrical Room XXX</v>
      </c>
      <c r="C86" s="499" t="str" cm="1">
        <f t="array" ref="C86">"UPS " &amp; SWThree &amp; " Battery Cabinets"</f>
        <v>UPS XXX Battery Cabinets</v>
      </c>
      <c r="D86" s="190" t="str" cm="1">
        <f t="array" ref="D86">"Apply LOTO to battery breaker " &amp; SWThree &amp; "2-1."</f>
        <v>Apply LOTO to battery breaker XXX2-1.</v>
      </c>
      <c r="E86" s="499" t="s">
        <v>1464</v>
      </c>
      <c r="F86" s="500"/>
      <c r="G86" s="519"/>
    </row>
    <row r="87" spans="1:7" ht="56.25" x14ac:dyDescent="0.25">
      <c r="A87" s="519">
        <f t="shared" si="1"/>
        <v>622</v>
      </c>
      <c r="B87" s="500" t="str">
        <f>Suite&amp;" Electrical Room "&amp;SWThree</f>
        <v>G104 Electrical Room XXX</v>
      </c>
      <c r="C87" s="499" t="str" cm="1">
        <f t="array" ref="C87">"UPS " &amp; SWThree &amp; " Battery Cabinets"</f>
        <v>UPS XXX Battery Cabinets</v>
      </c>
      <c r="D87" s="233" t="s">
        <v>1518</v>
      </c>
      <c r="E87" s="499" t="s">
        <v>1464</v>
      </c>
      <c r="F87" s="500"/>
      <c r="G87" s="519"/>
    </row>
    <row r="88" spans="1:7" ht="56.25" x14ac:dyDescent="0.25">
      <c r="A88" s="519">
        <f t="shared" si="1"/>
        <v>623</v>
      </c>
      <c r="B88" s="500" t="str">
        <f>Suite&amp;" Electrical Room "&amp;SWThree</f>
        <v>G104 Electrical Room XXX</v>
      </c>
      <c r="C88" s="499" t="str" cm="1">
        <f t="array" ref="C88">"UPS " &amp; SWThree &amp; " Battery Cabinets"</f>
        <v>UPS XXX Battery Cabinets</v>
      </c>
      <c r="D88" s="190" t="str" cm="1">
        <f t="array" ref="D88">"Verify battery breaker for cabinet " &amp; SWThree &amp; "2-2 is in the tripped position."</f>
        <v>Verify battery breaker for cabinet XXX2-2 is in the tripped position.</v>
      </c>
      <c r="E88" s="499" t="s">
        <v>1464</v>
      </c>
      <c r="F88" s="500"/>
      <c r="G88" s="519"/>
    </row>
    <row r="89" spans="1:7" ht="56.25" x14ac:dyDescent="0.25">
      <c r="A89" s="519">
        <f t="shared" si="1"/>
        <v>624</v>
      </c>
      <c r="B89" s="500" t="str">
        <f>Suite&amp;" Electrical Room "&amp;SWThree</f>
        <v>G104 Electrical Room XXX</v>
      </c>
      <c r="C89" s="499" t="str" cm="1">
        <f t="array" ref="C89">"UPS " &amp; SWThree &amp; " Battery Cabinets"</f>
        <v>UPS XXX Battery Cabinets</v>
      </c>
      <c r="D89" s="190" t="str" cm="1">
        <f t="array" ref="D89">"Open battery breaker " &amp; SWThree &amp; "2-2."</f>
        <v>Open battery breaker XXX2-2.</v>
      </c>
      <c r="E89" s="499" t="s">
        <v>1464</v>
      </c>
      <c r="F89" s="500"/>
      <c r="G89" s="519"/>
    </row>
    <row r="90" spans="1:7" ht="56.25" x14ac:dyDescent="0.25">
      <c r="A90" s="519">
        <f t="shared" si="1"/>
        <v>625</v>
      </c>
      <c r="B90" s="500" t="str">
        <f>Suite&amp;" Electrical Room "&amp;SWThree</f>
        <v>G104 Electrical Room XXX</v>
      </c>
      <c r="C90" s="499" t="str" cm="1">
        <f t="array" ref="C90">"UPS " &amp; SWThree &amp; " Battery Cabinets"</f>
        <v>UPS XXX Battery Cabinets</v>
      </c>
      <c r="D90" s="190" t="str" cm="1">
        <f t="array" ref="D90">"Apply LOTO to battery breaker " &amp; SWThree &amp; "2-2."</f>
        <v>Apply LOTO to battery breaker XXX2-2.</v>
      </c>
      <c r="E90" s="499" t="s">
        <v>1464</v>
      </c>
      <c r="F90" s="500"/>
      <c r="G90" s="519"/>
    </row>
    <row r="91" spans="1:7" ht="56.25" x14ac:dyDescent="0.25">
      <c r="A91" s="519">
        <f t="shared" si="1"/>
        <v>626</v>
      </c>
      <c r="B91" s="500" t="str">
        <f>Suite&amp;" Electrical Room "&amp;SWThree</f>
        <v>G104 Electrical Room XXX</v>
      </c>
      <c r="C91" s="499" t="str" cm="1">
        <f t="array" ref="C91">"UPS " &amp; SWThree &amp; " Battery Cabinets"</f>
        <v>UPS XXX Battery Cabinets</v>
      </c>
      <c r="D91" s="233" t="s">
        <v>1518</v>
      </c>
      <c r="E91" s="499" t="s">
        <v>1464</v>
      </c>
      <c r="F91" s="500"/>
      <c r="G91" s="519"/>
    </row>
    <row r="92" spans="1:7" ht="56.25" x14ac:dyDescent="0.25">
      <c r="A92" s="519">
        <f t="shared" ref="A92:A155" si="2">A91+1</f>
        <v>627</v>
      </c>
      <c r="B92" s="500" t="str">
        <f>Suite&amp;" Electrical Room "&amp;SWThree</f>
        <v>G104 Electrical Room XXX</v>
      </c>
      <c r="C92" s="499" t="str" cm="1">
        <f t="array" ref="C92">"UPS " &amp; SWThree &amp; " Battery Cabinets"</f>
        <v>UPS XXX Battery Cabinets</v>
      </c>
      <c r="D92" s="190" t="str" cm="1">
        <f t="array" ref="D92">"Verify battery breaker for cabinet " &amp; SWThree &amp; "2-3 is in the tripped position."</f>
        <v>Verify battery breaker for cabinet XXX2-3 is in the tripped position.</v>
      </c>
      <c r="E92" s="499" t="s">
        <v>1464</v>
      </c>
      <c r="F92" s="500"/>
      <c r="G92" s="519"/>
    </row>
    <row r="93" spans="1:7" ht="56.25" x14ac:dyDescent="0.25">
      <c r="A93" s="519">
        <f t="shared" si="2"/>
        <v>628</v>
      </c>
      <c r="B93" s="500" t="str">
        <f>Suite&amp;" Electrical Room "&amp;SWThree</f>
        <v>G104 Electrical Room XXX</v>
      </c>
      <c r="C93" s="499" t="str" cm="1">
        <f t="array" ref="C93">"UPS " &amp; SWThree &amp; " Battery Cabinets"</f>
        <v>UPS XXX Battery Cabinets</v>
      </c>
      <c r="D93" s="190" t="str" cm="1">
        <f t="array" ref="D93">"Open battery breaker " &amp; SWThree &amp; "2-3."</f>
        <v>Open battery breaker XXX2-3.</v>
      </c>
      <c r="E93" s="499" t="s">
        <v>1464</v>
      </c>
      <c r="F93" s="500"/>
      <c r="G93" s="519"/>
    </row>
    <row r="94" spans="1:7" ht="56.25" x14ac:dyDescent="0.25">
      <c r="A94" s="519">
        <f t="shared" si="2"/>
        <v>629</v>
      </c>
      <c r="B94" s="500" t="str">
        <f>Suite&amp;" Electrical Room "&amp;SWThree</f>
        <v>G104 Electrical Room XXX</v>
      </c>
      <c r="C94" s="499" t="str" cm="1">
        <f t="array" ref="C94">"UPS " &amp; SWThree &amp; " Battery Cabinets"</f>
        <v>UPS XXX Battery Cabinets</v>
      </c>
      <c r="D94" s="190" t="str" cm="1">
        <f t="array" ref="D94">"Apply LOTO to battery breaker " &amp; SWThree &amp; "2-3."</f>
        <v>Apply LOTO to battery breaker XXX2-3.</v>
      </c>
      <c r="E94" s="499" t="s">
        <v>1464</v>
      </c>
      <c r="F94" s="500"/>
      <c r="G94" s="519"/>
    </row>
    <row r="95" spans="1:7" ht="56.25" x14ac:dyDescent="0.25">
      <c r="A95" s="519">
        <f t="shared" si="2"/>
        <v>630</v>
      </c>
      <c r="B95" s="500" t="str">
        <f>Suite&amp;" Electrical Room "&amp;SWThree</f>
        <v>G104 Electrical Room XXX</v>
      </c>
      <c r="C95" s="499" t="str" cm="1">
        <f t="array" ref="C95">"UPS " &amp; SWThree &amp; " Battery Cabinets"</f>
        <v>UPS XXX Battery Cabinets</v>
      </c>
      <c r="D95" s="233" t="s">
        <v>1518</v>
      </c>
      <c r="E95" s="499" t="s">
        <v>1464</v>
      </c>
      <c r="F95" s="500"/>
      <c r="G95" s="519"/>
    </row>
    <row r="96" spans="1:7" ht="37.5" x14ac:dyDescent="0.25">
      <c r="A96" s="519">
        <f t="shared" si="2"/>
        <v>631</v>
      </c>
      <c r="B96" s="500" t="str">
        <f>Suite&amp;" Electrical Room "&amp;SWThree</f>
        <v>G104 Electrical Room XXX</v>
      </c>
      <c r="C96" s="499" t="str" cm="1">
        <f t="array" ref="C96">"UP" &amp; SWThree</f>
        <v>UPXXX</v>
      </c>
      <c r="D96" s="190" t="str" cm="1">
        <f t="array" ref="D96">"Open breaker DP-" &amp; SWThree &amp; "1."</f>
        <v>Open breaker DP-XXX1.</v>
      </c>
      <c r="E96" s="499" t="s">
        <v>1464</v>
      </c>
      <c r="F96" s="500"/>
      <c r="G96" s="519"/>
    </row>
    <row r="97" spans="1:7" ht="37.5" x14ac:dyDescent="0.25">
      <c r="A97" s="519">
        <f t="shared" si="2"/>
        <v>632</v>
      </c>
      <c r="B97" s="500" t="str">
        <f>Suite&amp;" Electrical Room "&amp;SWThree</f>
        <v>G104 Electrical Room XXX</v>
      </c>
      <c r="C97" s="499" t="str" cm="1">
        <f t="array" ref="C97">"UP" &amp; SWThree</f>
        <v>UPXXX</v>
      </c>
      <c r="D97" s="190" t="str" cm="1">
        <f t="array" ref="D97">"Apply LOTO to breaker DP-" &amp; SWThree &amp; "1."</f>
        <v>Apply LOTO to breaker DP-XXX1.</v>
      </c>
      <c r="E97" s="499" t="s">
        <v>1464</v>
      </c>
      <c r="F97" s="500"/>
      <c r="G97" s="519"/>
    </row>
    <row r="98" spans="1:7" ht="37.5" x14ac:dyDescent="0.25">
      <c r="A98" s="519">
        <f t="shared" si="2"/>
        <v>633</v>
      </c>
      <c r="B98" s="500" t="str">
        <f>Suite&amp;" Electrical Room "&amp;SWThree</f>
        <v>G104 Electrical Room XXX</v>
      </c>
      <c r="C98" s="499" t="str" cm="1">
        <f t="array" ref="C98">"UP" &amp; SWThree</f>
        <v>UPXXX</v>
      </c>
      <c r="D98" s="233" t="s">
        <v>1518</v>
      </c>
      <c r="E98" s="499" t="s">
        <v>1464</v>
      </c>
      <c r="F98" s="500"/>
      <c r="G98" s="519"/>
    </row>
    <row r="99" spans="1:7" ht="37.5" x14ac:dyDescent="0.25">
      <c r="A99" s="519">
        <f t="shared" si="2"/>
        <v>634</v>
      </c>
      <c r="B99" s="500" t="str">
        <f>Suite&amp;" Electrical Room "&amp;SWThree</f>
        <v>G104 Electrical Room XXX</v>
      </c>
      <c r="C99" s="499" t="str" cm="1">
        <f t="array" ref="C99">"UP" &amp; SWThree</f>
        <v>UPXXX</v>
      </c>
      <c r="D99" s="190" t="str" cm="1">
        <f t="array" ref="D99">"Open breaker DP-" &amp; SWThree &amp; "2."</f>
        <v>Open breaker DP-XXX2.</v>
      </c>
      <c r="E99" s="499" t="s">
        <v>1464</v>
      </c>
      <c r="F99" s="500"/>
      <c r="G99" s="519"/>
    </row>
    <row r="100" spans="1:7" ht="37.5" x14ac:dyDescent="0.25">
      <c r="A100" s="519">
        <f t="shared" si="2"/>
        <v>635</v>
      </c>
      <c r="B100" s="500" t="str">
        <f>Suite&amp;" Electrical Room "&amp;SWThree</f>
        <v>G104 Electrical Room XXX</v>
      </c>
      <c r="C100" s="499" t="str" cm="1">
        <f t="array" ref="C100">"UP" &amp; SWThree</f>
        <v>UPXXX</v>
      </c>
      <c r="D100" s="190" t="str" cm="1">
        <f t="array" ref="D100">"Apply LOTO to breaker DP-" &amp; SWThree &amp; "2."</f>
        <v>Apply LOTO to breaker DP-XXX2.</v>
      </c>
      <c r="E100" s="499" t="s">
        <v>1464</v>
      </c>
      <c r="F100" s="500"/>
      <c r="G100" s="519"/>
    </row>
    <row r="101" spans="1:7" ht="37.5" x14ac:dyDescent="0.25">
      <c r="A101" s="519">
        <f t="shared" si="2"/>
        <v>636</v>
      </c>
      <c r="B101" s="500" t="str">
        <f>Suite&amp;" Electrical Room "&amp;SWThree</f>
        <v>G104 Electrical Room XXX</v>
      </c>
      <c r="C101" s="499" t="str" cm="1">
        <f t="array" ref="C101">"UP" &amp; SWThree</f>
        <v>UPXXX</v>
      </c>
      <c r="D101" s="233" t="s">
        <v>1518</v>
      </c>
      <c r="E101" s="499" t="s">
        <v>1464</v>
      </c>
      <c r="F101" s="500"/>
      <c r="G101" s="519"/>
    </row>
    <row r="102" spans="1:7" ht="37.5" x14ac:dyDescent="0.25">
      <c r="A102" s="519">
        <f t="shared" si="2"/>
        <v>637</v>
      </c>
      <c r="B102" s="500" t="str">
        <f>Suite&amp;" Electrical Room "&amp;SWThree</f>
        <v>G104 Electrical Room XXX</v>
      </c>
      <c r="C102" s="499" t="str" cm="1">
        <f t="array" ref="C102">"UPS " &amp; SWThree &amp; "1"</f>
        <v>UPS XXX1</v>
      </c>
      <c r="D102" s="501" t="s">
        <v>1520</v>
      </c>
      <c r="E102" s="499" t="s">
        <v>1464</v>
      </c>
      <c r="F102" s="500"/>
      <c r="G102" s="519"/>
    </row>
    <row r="103" spans="1:7" ht="37.5" x14ac:dyDescent="0.25">
      <c r="A103" s="519">
        <f t="shared" si="2"/>
        <v>638</v>
      </c>
      <c r="B103" s="500" t="str">
        <f>Suite&amp;" Electrical Room "&amp;SWThree</f>
        <v>G104 Electrical Room XXX</v>
      </c>
      <c r="C103" s="499" t="str" cm="1">
        <f t="array" ref="C103">"SW" &amp; SWThree</f>
        <v>SWXXX</v>
      </c>
      <c r="D103" s="190" t="str" cm="1">
        <f t="array" ref="D103">"Open breaker UPS-" &amp; SWThree &amp; "1."</f>
        <v>Open breaker UPS-XXX1.</v>
      </c>
      <c r="E103" s="499" t="s">
        <v>1464</v>
      </c>
      <c r="F103" s="500"/>
      <c r="G103" s="519"/>
    </row>
    <row r="104" spans="1:7" ht="37.5" x14ac:dyDescent="0.25">
      <c r="A104" s="519">
        <f t="shared" si="2"/>
        <v>639</v>
      </c>
      <c r="B104" s="500" t="str">
        <f>Suite&amp;" Electrical Room "&amp;SWThree</f>
        <v>G104 Electrical Room XXX</v>
      </c>
      <c r="C104" s="499" t="str" cm="1">
        <f t="array" ref="C104">"SW" &amp; SWThree</f>
        <v>SWXXX</v>
      </c>
      <c r="D104" s="190" t="str" cm="1">
        <f t="array" ref="D104">"Apply LOTO to breaker UPS-" &amp; SWThree &amp; "1."</f>
        <v>Apply LOTO to breaker UPS-XXX1.</v>
      </c>
      <c r="E104" s="499" t="s">
        <v>1464</v>
      </c>
      <c r="F104" s="500"/>
      <c r="G104" s="519"/>
    </row>
    <row r="105" spans="1:7" ht="37.5" x14ac:dyDescent="0.25">
      <c r="A105" s="519">
        <f t="shared" si="2"/>
        <v>640</v>
      </c>
      <c r="B105" s="500" t="str">
        <f>Suite&amp;" Electrical Room "&amp;SWThree</f>
        <v>G104 Electrical Room XXX</v>
      </c>
      <c r="C105" s="499" t="str" cm="1">
        <f t="array" ref="C105">"SW" &amp; SWThree</f>
        <v>SWXXX</v>
      </c>
      <c r="D105" s="233" t="s">
        <v>1518</v>
      </c>
      <c r="E105" s="499" t="s">
        <v>1464</v>
      </c>
      <c r="F105" s="500"/>
      <c r="G105" s="519"/>
    </row>
    <row r="106" spans="1:7" ht="37.5" x14ac:dyDescent="0.25">
      <c r="A106" s="519">
        <f t="shared" si="2"/>
        <v>641</v>
      </c>
      <c r="B106" s="500" t="str">
        <f>Suite&amp;" Electrical Room "&amp;SWThree</f>
        <v>G104 Electrical Room XXX</v>
      </c>
      <c r="C106" s="499" t="str" cm="1">
        <f t="array" ref="C106">"SW" &amp; SWThree</f>
        <v>SWXXX</v>
      </c>
      <c r="D106" s="190" t="str" cm="1">
        <f t="array" ref="D106">"Open breaker UPS-" &amp; SWThree &amp; "2."</f>
        <v>Open breaker UPS-XXX2.</v>
      </c>
      <c r="E106" s="499" t="s">
        <v>1464</v>
      </c>
      <c r="F106" s="500"/>
      <c r="G106" s="519"/>
    </row>
    <row r="107" spans="1:7" ht="37.5" x14ac:dyDescent="0.25">
      <c r="A107" s="519">
        <f t="shared" si="2"/>
        <v>642</v>
      </c>
      <c r="B107" s="500" t="str">
        <f>Suite&amp;" Electrical Room "&amp;SWThree</f>
        <v>G104 Electrical Room XXX</v>
      </c>
      <c r="C107" s="499" t="str" cm="1">
        <f t="array" ref="C107">"SW" &amp; SWThree</f>
        <v>SWXXX</v>
      </c>
      <c r="D107" s="190" t="str" cm="1">
        <f t="array" ref="D107">"Apply LOTO to breaker UPS-" &amp; SWThree &amp; "2."</f>
        <v>Apply LOTO to breaker UPS-XXX2.</v>
      </c>
      <c r="E107" s="499" t="s">
        <v>1464</v>
      </c>
      <c r="F107" s="500"/>
      <c r="G107" s="519"/>
    </row>
    <row r="108" spans="1:7" ht="37.5" x14ac:dyDescent="0.25">
      <c r="A108" s="519">
        <f t="shared" si="2"/>
        <v>643</v>
      </c>
      <c r="B108" s="500" t="str">
        <f>Suite&amp;" Electrical Room "&amp;SWThree</f>
        <v>G104 Electrical Room XXX</v>
      </c>
      <c r="C108" s="499" t="str" cm="1">
        <f t="array" ref="C108">"SW" &amp; SWThree</f>
        <v>SWXXX</v>
      </c>
      <c r="D108" s="233" t="s">
        <v>1518</v>
      </c>
      <c r="E108" s="499" t="s">
        <v>1464</v>
      </c>
      <c r="F108" s="500"/>
      <c r="G108" s="519"/>
    </row>
    <row r="109" spans="1:7" ht="56.25" x14ac:dyDescent="0.25">
      <c r="A109" s="519">
        <f t="shared" si="2"/>
        <v>644</v>
      </c>
      <c r="B109" s="500" t="str">
        <f>Suite&amp;" Electrical Room "&amp;SWThree</f>
        <v>G104 Electrical Room XXX</v>
      </c>
      <c r="C109" s="499" t="str" cm="1">
        <f t="array" ref="C109">"UPS " &amp; SWThree &amp; "1"</f>
        <v>UPS XXX1</v>
      </c>
      <c r="D109" s="190" t="str" cm="1">
        <f t="array" ref="D109">"Verify UPS-" &amp;SWThree&amp; "1 CB1 breaker is in the ''Tripped'' position. 
Note: The CB1 breaker will automatically reset and close during system startup."</f>
        <v>Verify UPS-XXX1 CB1 breaker is in the ''Tripped'' position. 
Note: The CB1 breaker will automatically reset and close during system startup.</v>
      </c>
      <c r="E109" s="499" t="s">
        <v>1464</v>
      </c>
      <c r="F109" s="500"/>
      <c r="G109" s="519"/>
    </row>
    <row r="110" spans="1:7" ht="56.25" x14ac:dyDescent="0.25">
      <c r="A110" s="519">
        <f t="shared" si="2"/>
        <v>645</v>
      </c>
      <c r="B110" s="500" t="str">
        <f>Suite&amp;" Electrical Room "&amp;SWThree</f>
        <v>G104 Electrical Room XXX</v>
      </c>
      <c r="C110" s="499" t="str" cm="1">
        <f t="array" ref="C110">"UPS " &amp; SWThree &amp; "2"</f>
        <v>UPS XXX2</v>
      </c>
      <c r="D110" s="190" t="str" cm="1">
        <f t="array" ref="D110">"Verify UPS-" &amp;SWThree&amp; "2 CB1 breaker is in the ''Tripped'' position. 
Note: The CB1 breaker will automatically reset and close during system startup."</f>
        <v>Verify UPS-XXX2 CB1 breaker is in the ''Tripped'' position. 
Note: The CB1 breaker will automatically reset and close during system startup.</v>
      </c>
      <c r="E110" s="499" t="s">
        <v>1464</v>
      </c>
      <c r="F110" s="500"/>
      <c r="G110" s="519"/>
    </row>
    <row r="111" spans="1:7" ht="37.5" x14ac:dyDescent="0.25">
      <c r="A111" s="519">
        <f t="shared" si="2"/>
        <v>646</v>
      </c>
      <c r="B111" s="500" t="str">
        <f>Suite&amp;" Electrical Room "&amp;SWThree</f>
        <v>G104 Electrical Room XXX</v>
      </c>
      <c r="C111" s="499" t="str" cm="1">
        <f t="array" ref="C111">"UPS " &amp; SWThree &amp; "1"</f>
        <v>UPS XXX1</v>
      </c>
      <c r="D111" s="190" t="str" cm="1">
        <f t="array" ref="D111">"Verify UPS-" &amp;SWThree&amp; "1 Backfeed Breaker breaker is in the ''Tripped'' position."</f>
        <v>Verify UPS-XXX1 Backfeed Breaker breaker is in the ''Tripped'' position.</v>
      </c>
      <c r="E111" s="499" t="s">
        <v>1464</v>
      </c>
      <c r="F111" s="500"/>
      <c r="G111" s="519"/>
    </row>
    <row r="112" spans="1:7" ht="37.5" x14ac:dyDescent="0.25">
      <c r="A112" s="519">
        <f t="shared" si="2"/>
        <v>647</v>
      </c>
      <c r="B112" s="500" t="str">
        <f>Suite&amp;" Electrical Room "&amp;SWThree</f>
        <v>G104 Electrical Room XXX</v>
      </c>
      <c r="C112" s="499" t="str" cm="1">
        <f t="array" ref="C112">"UPS " &amp; SWThree &amp; "1"</f>
        <v>UPS XXX1</v>
      </c>
      <c r="D112" s="233" t="str" cm="1">
        <f t="array" ref="D112">"Open UPS-" &amp;SWThree&amp; "1 Backfeed Breaker."</f>
        <v>Open UPS-XXX1 Backfeed Breaker.</v>
      </c>
      <c r="E112" s="499" t="s">
        <v>1464</v>
      </c>
      <c r="F112" s="500"/>
      <c r="G112" s="519"/>
    </row>
    <row r="113" spans="1:7" ht="37.5" x14ac:dyDescent="0.25">
      <c r="A113" s="519">
        <f t="shared" si="2"/>
        <v>648</v>
      </c>
      <c r="B113" s="500" t="str">
        <f>Suite&amp;" Electrical Room "&amp;SWThree</f>
        <v>G104 Electrical Room XXX</v>
      </c>
      <c r="C113" s="499" t="str" cm="1">
        <f t="array" ref="C113">"UPS " &amp; SWThree &amp; "2"</f>
        <v>UPS XXX2</v>
      </c>
      <c r="D113" s="190" t="str" cm="1">
        <f t="array" ref="D113">"Verify UPS-" &amp;SWThree&amp; "2 Backfeed Breaker breaker is in the ''Tripped'' position."</f>
        <v>Verify UPS-XXX2 Backfeed Breaker breaker is in the ''Tripped'' position.</v>
      </c>
      <c r="E113" s="499" t="s">
        <v>1464</v>
      </c>
      <c r="F113" s="500"/>
      <c r="G113" s="519"/>
    </row>
    <row r="114" spans="1:7" ht="37.5" x14ac:dyDescent="0.25">
      <c r="A114" s="519">
        <f t="shared" si="2"/>
        <v>649</v>
      </c>
      <c r="B114" s="500" t="str">
        <f>Suite&amp;" Electrical Room "&amp;SWThree</f>
        <v>G104 Electrical Room XXX</v>
      </c>
      <c r="C114" s="499" t="str" cm="1">
        <f t="array" ref="C114">"UPS " &amp; SWThree &amp; "2"</f>
        <v>UPS XXX2</v>
      </c>
      <c r="D114" s="233" t="str" cm="1">
        <f t="array" ref="D114">"Open UPS-" &amp;SWThree&amp; "2 Backfeed Breaker."</f>
        <v>Open UPS-XXX2 Backfeed Breaker.</v>
      </c>
      <c r="E114" s="499" t="s">
        <v>1464</v>
      </c>
      <c r="F114" s="500"/>
      <c r="G114" s="519"/>
    </row>
    <row r="115" spans="1:7" ht="37.5" x14ac:dyDescent="0.25">
      <c r="A115" s="519">
        <f t="shared" si="2"/>
        <v>650</v>
      </c>
      <c r="B115" s="500" t="str">
        <f>Suite&amp;" Electrical Room "&amp;SWThree</f>
        <v>G104 Electrical Room XXX</v>
      </c>
      <c r="C115" s="499" t="str" cm="1">
        <f t="array" ref="C115">"UPS " &amp; SWThree &amp; "1"</f>
        <v>UPS XXX1</v>
      </c>
      <c r="D115" s="190" t="str" cm="1">
        <f t="array" ref="D115">"Verify UPS-" &amp;SWThree&amp; "1 CB2 breaker is in the ''Tripped'' position."</f>
        <v>Verify UPS-XXX1 CB2 breaker is in the ''Tripped'' position.</v>
      </c>
      <c r="E115" s="499" t="s">
        <v>1464</v>
      </c>
      <c r="F115" s="500"/>
      <c r="G115" s="519"/>
    </row>
    <row r="116" spans="1:7" ht="37.5" x14ac:dyDescent="0.25">
      <c r="A116" s="519">
        <f t="shared" si="2"/>
        <v>651</v>
      </c>
      <c r="B116" s="500" t="str">
        <f>Suite&amp;" Electrical Room "&amp;SWThree</f>
        <v>G104 Electrical Room XXX</v>
      </c>
      <c r="C116" s="499" t="str" cm="1">
        <f t="array" ref="C116">"UPS " &amp; SWThree &amp; "1"</f>
        <v>UPS XXX1</v>
      </c>
      <c r="D116" s="233" t="str" cm="1">
        <f t="array" ref="D116">"Open UPS-" &amp;SWThree&amp; "1 CB2 breaker."</f>
        <v>Open UPS-XXX1 CB2 breaker.</v>
      </c>
      <c r="E116" s="499" t="s">
        <v>1464</v>
      </c>
      <c r="F116" s="500"/>
      <c r="G116" s="519"/>
    </row>
    <row r="117" spans="1:7" ht="37.5" x14ac:dyDescent="0.25">
      <c r="A117" s="519">
        <f t="shared" si="2"/>
        <v>652</v>
      </c>
      <c r="B117" s="500" t="str">
        <f>Suite&amp;" Electrical Room "&amp;SWThree</f>
        <v>G104 Electrical Room XXX</v>
      </c>
      <c r="C117" s="499" t="str" cm="1">
        <f t="array" ref="C117">"UPS " &amp; SWThree &amp; "2"</f>
        <v>UPS XXX2</v>
      </c>
      <c r="D117" s="190" t="str" cm="1">
        <f t="array" ref="D117">"Verify UPS-" &amp;SWThree&amp; "2 CB2 breaker is in the ''Tripped'' position."</f>
        <v>Verify UPS-XXX2 CB2 breaker is in the ''Tripped'' position.</v>
      </c>
      <c r="E117" s="499" t="s">
        <v>1464</v>
      </c>
      <c r="F117" s="500"/>
      <c r="G117" s="519"/>
    </row>
    <row r="118" spans="1:7" ht="37.5" x14ac:dyDescent="0.25">
      <c r="A118" s="519">
        <f t="shared" si="2"/>
        <v>653</v>
      </c>
      <c r="B118" s="500" t="str">
        <f>Suite&amp;" Electrical Room "&amp;SWThree</f>
        <v>G104 Electrical Room XXX</v>
      </c>
      <c r="C118" s="499" t="str" cm="1">
        <f t="array" ref="C118">"UPS " &amp; SWThree &amp; "2"</f>
        <v>UPS XXX2</v>
      </c>
      <c r="D118" s="233" t="str" cm="1">
        <f t="array" ref="D118">"Open UPS-" &amp;SWThree&amp; "2 CB2 breaker."</f>
        <v>Open UPS-XXX2 CB2 breaker.</v>
      </c>
      <c r="E118" s="499" t="s">
        <v>1464</v>
      </c>
      <c r="F118" s="500"/>
      <c r="G118" s="519"/>
    </row>
    <row r="119" spans="1:7" ht="37.5" x14ac:dyDescent="0.25">
      <c r="A119" s="519">
        <f t="shared" si="2"/>
        <v>654</v>
      </c>
      <c r="B119" s="500" t="str">
        <f>Suite&amp;" Electrical Room "&amp;SWThree</f>
        <v>G104 Electrical Room XXX</v>
      </c>
      <c r="C119" s="499" t="str" cm="1">
        <f t="array" ref="C119">"UPS " &amp; SWThree</f>
        <v>UPS XXX</v>
      </c>
      <c r="D119" s="233" t="str" cm="1">
        <f t="array" ref="D119">"UPS SYSTEM " &amp;SWThree&amp; " is now completely offline. Critical Customer Load remains on Maintenance Bypass."</f>
        <v>UPS SYSTEM XXX is now completely offline. Critical Customer Load remains on Maintenance Bypass.</v>
      </c>
      <c r="E119" s="499" t="s">
        <v>1464</v>
      </c>
      <c r="F119" s="500"/>
      <c r="G119" s="519"/>
    </row>
    <row r="120" spans="1:7" ht="37.5" x14ac:dyDescent="0.25">
      <c r="A120" s="519">
        <f t="shared" si="2"/>
        <v>655</v>
      </c>
      <c r="B120" s="500" t="str">
        <f>Suite&amp;" Electrical Room A"</f>
        <v>G104 Electrical Room A</v>
      </c>
      <c r="C120" s="499" t="s">
        <v>1521</v>
      </c>
      <c r="D120" s="191" t="s">
        <v>1471</v>
      </c>
      <c r="E120" s="499" t="s">
        <v>1464</v>
      </c>
      <c r="F120" s="500"/>
      <c r="G120" s="519"/>
    </row>
    <row r="121" spans="1:7" ht="37.5" x14ac:dyDescent="0.25">
      <c r="A121" s="519">
        <f t="shared" si="2"/>
        <v>656</v>
      </c>
      <c r="B121" s="500" t="str">
        <f>Suite&amp;" Electrical Room A"</f>
        <v>G104 Electrical Room A</v>
      </c>
      <c r="C121" s="499" t="s">
        <v>1521</v>
      </c>
      <c r="D121" s="233" t="str">
        <f>"Verify the readings in step " &amp; A120 &amp; " and " &amp; A12 &amp; " are within 3% of each other. (new kW divided by original kW must be ≤1.03 and ≥0.97)."</f>
        <v>Verify the readings in step 655 and 547 are within 3% of each other. (new kW divided by original kW must be ≤1.03 and ≥0.97).</v>
      </c>
      <c r="E121" s="499" t="s">
        <v>1464</v>
      </c>
      <c r="F121" s="500"/>
      <c r="G121" s="519"/>
    </row>
    <row r="122" spans="1:7" ht="37.5" x14ac:dyDescent="0.25">
      <c r="A122" s="519">
        <f t="shared" si="2"/>
        <v>657</v>
      </c>
      <c r="B122" s="500" t="str">
        <f>Suite&amp;" Electrical Room B"</f>
        <v>G104 Electrical Room B</v>
      </c>
      <c r="C122" s="499" t="s">
        <v>1522</v>
      </c>
      <c r="D122" s="191" t="s">
        <v>1477</v>
      </c>
      <c r="E122" s="499" t="s">
        <v>1464</v>
      </c>
      <c r="F122" s="500"/>
      <c r="G122" s="519"/>
    </row>
    <row r="123" spans="1:7" ht="37.5" x14ac:dyDescent="0.25">
      <c r="A123" s="519">
        <f t="shared" si="2"/>
        <v>658</v>
      </c>
      <c r="B123" s="500" t="str">
        <f>Suite&amp;" Electrical Room B"</f>
        <v>G104 Electrical Room B</v>
      </c>
      <c r="C123" s="499" t="s">
        <v>1522</v>
      </c>
      <c r="D123" s="233" t="str">
        <f>"Verify the readings in step " &amp; A122 &amp; " and " &amp; A15 &amp; " are within 3% of each other. (new kW divided by original kW must be ≤1.03 and ≥0.97)."</f>
        <v>Verify the readings in step 657 and 550 are within 3% of each other. (new kW divided by original kW must be ≤1.03 and ≥0.97).</v>
      </c>
      <c r="E123" s="499" t="s">
        <v>1464</v>
      </c>
      <c r="F123" s="500"/>
      <c r="G123" s="519"/>
    </row>
    <row r="124" spans="1:7" ht="37.5" x14ac:dyDescent="0.25">
      <c r="A124" s="519">
        <f t="shared" si="2"/>
        <v>659</v>
      </c>
      <c r="B124" s="500" t="str">
        <f>Suite&amp;" Electrical Room C"</f>
        <v>G104 Electrical Room C</v>
      </c>
      <c r="C124" s="499" t="s">
        <v>1523</v>
      </c>
      <c r="D124" s="191" t="s">
        <v>1483</v>
      </c>
      <c r="E124" s="499" t="s">
        <v>1464</v>
      </c>
      <c r="F124" s="500"/>
      <c r="G124" s="519"/>
    </row>
    <row r="125" spans="1:7" ht="37.5" x14ac:dyDescent="0.25">
      <c r="A125" s="519">
        <f t="shared" si="2"/>
        <v>660</v>
      </c>
      <c r="B125" s="500" t="str">
        <f>Suite&amp;" Electrical Room C"</f>
        <v>G104 Electrical Room C</v>
      </c>
      <c r="C125" s="499" t="s">
        <v>1523</v>
      </c>
      <c r="D125" s="233" t="str">
        <f>"Verify the readings in step " &amp; A124 &amp; " and " &amp; A55 &amp; " are within 3% of each other. (new kW divided by original kW must be ≤1.03 and ≥0.97)."</f>
        <v>Verify the readings in step 659 and 590 are within 3% of each other. (new kW divided by original kW must be ≤1.03 and ≥0.97).</v>
      </c>
      <c r="E125" s="499" t="s">
        <v>1464</v>
      </c>
      <c r="F125" s="500"/>
      <c r="G125" s="519"/>
    </row>
    <row r="126" spans="1:7" ht="37.5" x14ac:dyDescent="0.25">
      <c r="A126" s="519">
        <f t="shared" si="2"/>
        <v>661</v>
      </c>
      <c r="B126" s="500" t="str">
        <f>Suite&amp;" Electrical Room D"</f>
        <v>G104 Electrical Room D</v>
      </c>
      <c r="C126" s="499" t="s">
        <v>1524</v>
      </c>
      <c r="D126" s="191" t="s">
        <v>1489</v>
      </c>
      <c r="E126" s="499" t="s">
        <v>1464</v>
      </c>
      <c r="F126" s="500"/>
      <c r="G126" s="519"/>
    </row>
    <row r="127" spans="1:7" ht="37.5" x14ac:dyDescent="0.25">
      <c r="A127" s="519">
        <f t="shared" si="2"/>
        <v>662</v>
      </c>
      <c r="B127" s="500" t="str">
        <f>Suite&amp;" Electrical Room D"</f>
        <v>G104 Electrical Room D</v>
      </c>
      <c r="C127" s="499" t="s">
        <v>1524</v>
      </c>
      <c r="D127" s="233" t="str">
        <f>"Verify the readings in step " &amp; A126 &amp; " and " &amp; A21 &amp; " are within 3% of each other. (new kW divided by original kW must be ≤1.03 and ≥0.97)."</f>
        <v>Verify the readings in step 661 and 556 are within 3% of each other. (new kW divided by original kW must be ≤1.03 and ≥0.97).</v>
      </c>
      <c r="E127" s="499" t="s">
        <v>1464</v>
      </c>
      <c r="F127" s="500"/>
      <c r="G127" s="519"/>
    </row>
    <row r="128" spans="1:7" ht="37.5" x14ac:dyDescent="0.25">
      <c r="A128" s="519">
        <f t="shared" si="2"/>
        <v>663</v>
      </c>
      <c r="B128" s="500" t="str">
        <f>Suite&amp;" Electrical Room F"</f>
        <v>G104 Electrical Room F</v>
      </c>
      <c r="C128" s="499" t="s">
        <v>1525</v>
      </c>
      <c r="D128" s="191" t="s">
        <v>1495</v>
      </c>
      <c r="E128" s="499" t="s">
        <v>1464</v>
      </c>
      <c r="F128" s="500"/>
      <c r="G128" s="519"/>
    </row>
    <row r="129" spans="1:7" ht="37.5" x14ac:dyDescent="0.25">
      <c r="A129" s="519">
        <f t="shared" si="2"/>
        <v>664</v>
      </c>
      <c r="B129" s="500" t="str">
        <f>Suite&amp;" Electrical Room F"</f>
        <v>G104 Electrical Room F</v>
      </c>
      <c r="C129" s="499" t="s">
        <v>1525</v>
      </c>
      <c r="D129" s="233" t="str">
        <f>"Verify the readings in step " &amp; A128 &amp; " and " &amp; A24 &amp; " are within 3% of each other. (new kW divided by original kW must be ≤1.03 and ≥0.97)."</f>
        <v>Verify the readings in step 663 and 559 are within 3% of each other. (new kW divided by original kW must be ≤1.03 and ≥0.97).</v>
      </c>
      <c r="E129" s="499" t="s">
        <v>1464</v>
      </c>
      <c r="F129" s="500"/>
      <c r="G129" s="519"/>
    </row>
    <row r="130" spans="1:7" ht="75" x14ac:dyDescent="0.25">
      <c r="A130" s="519">
        <f t="shared" si="2"/>
        <v>665</v>
      </c>
      <c r="B130" s="500" t="str">
        <f>Suite&amp;" Electrical Room "&amp;SWThree</f>
        <v>G104 Electrical Room XXX</v>
      </c>
      <c r="C130" s="499" t="str" cm="1">
        <f t="array" ref="C130">"UPS " &amp; SWThree</f>
        <v>UPS XXX</v>
      </c>
      <c r="D130" s="190" t="s">
        <v>1526</v>
      </c>
      <c r="E130" s="499" t="s">
        <v>1464</v>
      </c>
      <c r="F130" s="500"/>
      <c r="G130" s="519"/>
    </row>
    <row r="131" spans="1:7" x14ac:dyDescent="0.25">
      <c r="A131" s="519">
        <f t="shared" si="2"/>
        <v>666</v>
      </c>
      <c r="B131" s="702" t="str" cm="1">
        <f t="array" ref="B131">"Restart UPS System " &amp; SWThree</f>
        <v>Restart UPS System XXX</v>
      </c>
      <c r="C131" s="703"/>
      <c r="D131" s="703"/>
      <c r="E131" s="703"/>
      <c r="F131" s="703"/>
      <c r="G131" s="703"/>
    </row>
    <row r="132" spans="1:7" ht="37.5" x14ac:dyDescent="0.25">
      <c r="A132" s="519">
        <f t="shared" si="2"/>
        <v>667</v>
      </c>
      <c r="B132" s="500" t="str">
        <f>Suite&amp;" Electrical Room "&amp;SWThree</f>
        <v>G104 Electrical Room XXX</v>
      </c>
      <c r="C132" s="499" t="str" cm="1">
        <f t="array" ref="C132">"UPS " &amp; SWThree</f>
        <v>UPS XXX</v>
      </c>
      <c r="D132" s="190" t="s">
        <v>1527</v>
      </c>
      <c r="E132" s="499" t="s">
        <v>1464</v>
      </c>
      <c r="F132" s="500"/>
      <c r="G132" s="519"/>
    </row>
    <row r="133" spans="1:7" ht="37.5" x14ac:dyDescent="0.25">
      <c r="A133" s="519">
        <f t="shared" si="2"/>
        <v>668</v>
      </c>
      <c r="B133" s="500" t="str">
        <f>Suite&amp;" Electrical Room "&amp;SWThree</f>
        <v>G104 Electrical Room XXX</v>
      </c>
      <c r="C133" s="499" t="str" cm="1">
        <f t="array" ref="C133">"UPS " &amp; SWThree</f>
        <v>UPS XXX</v>
      </c>
      <c r="D133" s="190" t="s">
        <v>1528</v>
      </c>
      <c r="E133" s="499" t="s">
        <v>1464</v>
      </c>
      <c r="F133" s="500"/>
      <c r="G133" s="519"/>
    </row>
    <row r="134" spans="1:7" ht="37.5" x14ac:dyDescent="0.25">
      <c r="A134" s="519">
        <f t="shared" si="2"/>
        <v>669</v>
      </c>
      <c r="B134" s="500" t="str">
        <f>Suite&amp;" Electrical Room "&amp;SWThree</f>
        <v>G104 Electrical Room XXX</v>
      </c>
      <c r="C134" s="499" t="str" cm="1">
        <f t="array" ref="C134">"UPS " &amp; SWThree</f>
        <v>UPS XXX</v>
      </c>
      <c r="D134" s="190" t="str" cm="1">
        <f t="array" ref="D134">"By my signature below I certify that UPS-" &amp; SWThree &amp; "1 and UPS-" &amp; SWThree &amp; "2 are ready to be returned to service."</f>
        <v>By my signature below I certify that UPS-XXX1 and UPS-XXX2 are ready to be returned to service.</v>
      </c>
      <c r="E134" s="499" t="s">
        <v>1529</v>
      </c>
      <c r="F134" s="500"/>
      <c r="G134" s="519"/>
    </row>
    <row r="135" spans="1:7" ht="37.5" x14ac:dyDescent="0.25">
      <c r="A135" s="519">
        <f t="shared" si="2"/>
        <v>670</v>
      </c>
      <c r="B135" s="500" t="str">
        <f>Suite&amp;" Electrical Room "&amp;SWThree</f>
        <v>G104 Electrical Room XXX</v>
      </c>
      <c r="C135" s="499" t="str" cm="1">
        <f t="array" ref="C135">"UPS " &amp; SWThree</f>
        <v>UPS XXX</v>
      </c>
      <c r="D135" s="191" t="s">
        <v>1530</v>
      </c>
      <c r="E135" s="499" t="s">
        <v>1529</v>
      </c>
      <c r="F135" s="500"/>
      <c r="G135" s="519"/>
    </row>
    <row r="136" spans="1:7" ht="37.5" x14ac:dyDescent="0.25">
      <c r="A136" s="519">
        <f t="shared" si="2"/>
        <v>671</v>
      </c>
      <c r="B136" s="500" t="str">
        <f>Suite&amp;" Electrical Room "&amp;SWThree</f>
        <v>G104 Electrical Room XXX</v>
      </c>
      <c r="C136" s="499" t="str" cm="1">
        <f t="array" ref="C136">"UP" &amp; SWThree</f>
        <v>UPXXX</v>
      </c>
      <c r="D136" s="233" t="str" cm="1">
        <f t="array" ref="D136">"Notate the kW reading at UP" &amp; SWThree &amp; " Critical Bus Panel Meter: _________"</f>
        <v>Notate the kW reading at UPXXX Critical Bus Panel Meter: _________</v>
      </c>
      <c r="E136" s="499" t="s">
        <v>1464</v>
      </c>
      <c r="F136" s="500"/>
      <c r="G136" s="519"/>
    </row>
    <row r="137" spans="1:7" ht="37.5" x14ac:dyDescent="0.25">
      <c r="A137" s="519">
        <f t="shared" si="2"/>
        <v>672</v>
      </c>
      <c r="B137" s="500" t="str">
        <f>Suite&amp;" Electrical Room "&amp;SWThree</f>
        <v>G104 Electrical Room XXX</v>
      </c>
      <c r="C137" s="499" t="str" cm="1">
        <f t="array" ref="C137">"UP" &amp; SWThree</f>
        <v>UPXXX</v>
      </c>
      <c r="D137" s="233" t="str">
        <f>"Verify the readings in step " &amp; A136 &amp; " and " &amp; A124 &amp; " are within 3% of each other. (new kW divided by original kW must be ≤1.03 and ≥0.97)."</f>
        <v>Verify the readings in step 671 and 659 are within 3% of each other. (new kW divided by original kW must be ≤1.03 and ≥0.97).</v>
      </c>
      <c r="E137" s="499" t="s">
        <v>1464</v>
      </c>
      <c r="F137" s="500"/>
      <c r="G137" s="519"/>
    </row>
    <row r="138" spans="1:7" ht="37.5" x14ac:dyDescent="0.25">
      <c r="A138" s="519">
        <f t="shared" si="2"/>
        <v>673</v>
      </c>
      <c r="B138" s="500" t="str">
        <f>Suite&amp;" Electrical Room "&amp;SWThree</f>
        <v>G104 Electrical Room XXX</v>
      </c>
      <c r="C138" s="499" t="str" cm="1">
        <f t="array" ref="C138">"SW" &amp; SWThree</f>
        <v>SWXXX</v>
      </c>
      <c r="D138" s="190" t="str" cm="1">
        <f t="array" ref="D138">"Remove LOTO from input breaker UPS-" &amp; SWThree &amp; "1."</f>
        <v>Remove LOTO from input breaker UPS-XXX1.</v>
      </c>
      <c r="E138" s="499" t="s">
        <v>1464</v>
      </c>
      <c r="F138" s="500"/>
      <c r="G138" s="519"/>
    </row>
    <row r="139" spans="1:7" ht="37.5" x14ac:dyDescent="0.25">
      <c r="A139" s="519">
        <f t="shared" si="2"/>
        <v>674</v>
      </c>
      <c r="B139" s="500" t="str">
        <f>Suite&amp;" Electrical Room "&amp;SWThree</f>
        <v>G104 Electrical Room XXX</v>
      </c>
      <c r="C139" s="499" t="str" cm="1">
        <f t="array" ref="C139">"SW" &amp; SWThree</f>
        <v>SWXXX</v>
      </c>
      <c r="D139" s="233" t="s">
        <v>1518</v>
      </c>
      <c r="E139" s="499" t="s">
        <v>1464</v>
      </c>
      <c r="F139" s="500"/>
      <c r="G139" s="519"/>
    </row>
    <row r="140" spans="1:7" ht="37.5" x14ac:dyDescent="0.25">
      <c r="A140" s="519">
        <f t="shared" si="2"/>
        <v>675</v>
      </c>
      <c r="B140" s="500" t="str">
        <f>Suite&amp;" Electrical Room "&amp;SWThree</f>
        <v>G104 Electrical Room XXX</v>
      </c>
      <c r="C140" s="499" t="str" cm="1">
        <f t="array" ref="C140">"SW" &amp; SWThree</f>
        <v>SWXXX</v>
      </c>
      <c r="D140" s="190" t="str" cm="1">
        <f t="array" ref="D140">"Close breaker UPS-" &amp; SWThree &amp; "1."</f>
        <v>Close breaker UPS-XXX1.</v>
      </c>
      <c r="E140" s="499" t="s">
        <v>1464</v>
      </c>
      <c r="F140" s="500"/>
      <c r="G140" s="519"/>
    </row>
    <row r="141" spans="1:7" ht="37.5" x14ac:dyDescent="0.25">
      <c r="A141" s="519">
        <f t="shared" si="2"/>
        <v>676</v>
      </c>
      <c r="B141" s="500" t="str">
        <f>Suite&amp;" Electrical Room "&amp;SWThree</f>
        <v>G104 Electrical Room XXX</v>
      </c>
      <c r="C141" s="499" t="str" cm="1">
        <f t="array" ref="C141">"SW" &amp; SWThree</f>
        <v>SWXXX</v>
      </c>
      <c r="D141" s="190" t="str" cm="1">
        <f t="array" ref="D141">"Remove LOTO from input breaker UPS-" &amp; SWThree &amp; "2."</f>
        <v>Remove LOTO from input breaker UPS-XXX2.</v>
      </c>
      <c r="E141" s="499" t="s">
        <v>1464</v>
      </c>
      <c r="F141" s="500"/>
      <c r="G141" s="519"/>
    </row>
    <row r="142" spans="1:7" ht="37.5" x14ac:dyDescent="0.25">
      <c r="A142" s="519">
        <f t="shared" si="2"/>
        <v>677</v>
      </c>
      <c r="B142" s="500" t="str">
        <f>Suite&amp;" Electrical Room "&amp;SWThree</f>
        <v>G104 Electrical Room XXX</v>
      </c>
      <c r="C142" s="499" t="str" cm="1">
        <f t="array" ref="C142">"SW" &amp; SWThree</f>
        <v>SWXXX</v>
      </c>
      <c r="D142" s="233" t="s">
        <v>1518</v>
      </c>
      <c r="E142" s="499" t="s">
        <v>1464</v>
      </c>
      <c r="F142" s="500"/>
      <c r="G142" s="519"/>
    </row>
    <row r="143" spans="1:7" ht="37.5" x14ac:dyDescent="0.25">
      <c r="A143" s="519">
        <f t="shared" si="2"/>
        <v>678</v>
      </c>
      <c r="B143" s="500" t="str">
        <f>Suite&amp;" Electrical Room "&amp;SWThree</f>
        <v>G104 Electrical Room XXX</v>
      </c>
      <c r="C143" s="499" t="str" cm="1">
        <f t="array" ref="C143">"SW" &amp; SWThree</f>
        <v>SWXXX</v>
      </c>
      <c r="D143" s="190" t="str" cm="1">
        <f t="array" ref="D143">"Close breaker UPS-" &amp; SWThree &amp; "2."</f>
        <v>Close breaker UPS-XXX2.</v>
      </c>
      <c r="E143" s="499" t="s">
        <v>1464</v>
      </c>
      <c r="F143" s="500"/>
      <c r="G143" s="519"/>
    </row>
    <row r="144" spans="1:7" ht="37.5" x14ac:dyDescent="0.25">
      <c r="A144" s="519">
        <f t="shared" si="2"/>
        <v>679</v>
      </c>
      <c r="B144" s="500" t="str">
        <f>Suite&amp;" Electrical Room "&amp;SWThree</f>
        <v>G104 Electrical Room XXX</v>
      </c>
      <c r="C144" s="499" t="str" cm="1">
        <f t="array" ref="C144">"UPS " &amp; SWThree</f>
        <v>UPS XXX</v>
      </c>
      <c r="D144" s="190" t="str" cm="1">
        <f t="array" ref="D144">"Allow time for both UPS-" &amp; SWThree &amp; "1 and UPS-" &amp; SWThree &amp; "2 module displays to boot up."</f>
        <v>Allow time for both UPS-XXX1 and UPS-XXX2 module displays to boot up.</v>
      </c>
      <c r="E144" s="499" t="s">
        <v>1464</v>
      </c>
      <c r="F144" s="500"/>
      <c r="G144" s="519"/>
    </row>
    <row r="145" spans="1:7" ht="37.5" x14ac:dyDescent="0.25">
      <c r="A145" s="519">
        <f t="shared" si="2"/>
        <v>680</v>
      </c>
      <c r="B145" s="500" t="str">
        <f>Suite&amp;" Electrical Room "&amp;SWThree</f>
        <v>G104 Electrical Room XXX</v>
      </c>
      <c r="C145" s="499" t="str" cm="1">
        <f t="array" ref="C145">"UPS " &amp; SWThree &amp; "1"</f>
        <v>UPS XXX1</v>
      </c>
      <c r="D145" s="190" t="s">
        <v>1511</v>
      </c>
      <c r="E145" s="499" t="s">
        <v>1464</v>
      </c>
      <c r="F145" s="500"/>
      <c r="G145" s="519"/>
    </row>
    <row r="146" spans="1:7" ht="37.5" x14ac:dyDescent="0.25">
      <c r="A146" s="519">
        <f t="shared" si="2"/>
        <v>681</v>
      </c>
      <c r="B146" s="500" t="str">
        <f>Suite&amp;" Electrical Room "&amp;SWThree</f>
        <v>G104 Electrical Room XXX</v>
      </c>
      <c r="C146" s="499" t="str" cm="1">
        <f t="array" ref="C146">"UPS " &amp; SWThree &amp; "1"</f>
        <v>UPS XXX1</v>
      </c>
      <c r="D146" s="233" t="s">
        <v>1497</v>
      </c>
      <c r="E146" s="499" t="s">
        <v>1464</v>
      </c>
      <c r="F146" s="500"/>
      <c r="G146" s="519"/>
    </row>
    <row r="147" spans="1:7" ht="37.5" x14ac:dyDescent="0.25">
      <c r="A147" s="519">
        <f t="shared" si="2"/>
        <v>682</v>
      </c>
      <c r="B147" s="500" t="str">
        <f>Suite&amp;" Electrical Room "&amp;SWThree</f>
        <v>G104 Electrical Room XXX</v>
      </c>
      <c r="C147" s="499" t="str" cm="1">
        <f t="array" ref="C147">"UPS " &amp; SWThree &amp; "1"</f>
        <v>UPS XXX1</v>
      </c>
      <c r="D147" s="190" t="s">
        <v>1531</v>
      </c>
      <c r="E147" s="499" t="s">
        <v>1464</v>
      </c>
      <c r="F147" s="500"/>
      <c r="G147" s="519"/>
    </row>
    <row r="148" spans="1:7" ht="37.5" x14ac:dyDescent="0.25">
      <c r="A148" s="519">
        <f t="shared" si="2"/>
        <v>683</v>
      </c>
      <c r="B148" s="500" t="str">
        <f>Suite&amp;" Electrical Room "&amp;SWThree</f>
        <v>G104 Electrical Room XXX</v>
      </c>
      <c r="C148" s="499" t="str" cm="1">
        <f t="array" ref="C148">"UPS " &amp; SWThree &amp; "1"</f>
        <v>UPS XXX1</v>
      </c>
      <c r="D148" s="190" t="s">
        <v>1532</v>
      </c>
      <c r="E148" s="499" t="s">
        <v>1464</v>
      </c>
      <c r="F148" s="500"/>
      <c r="G148" s="519"/>
    </row>
    <row r="149" spans="1:7" ht="37.5" x14ac:dyDescent="0.25">
      <c r="A149" s="519">
        <f t="shared" si="2"/>
        <v>684</v>
      </c>
      <c r="B149" s="500" t="str">
        <f>Suite&amp;" Electrical Room "&amp;SWThree</f>
        <v>G104 Electrical Room XXX</v>
      </c>
      <c r="C149" s="499" t="str" cm="1">
        <f t="array" ref="C149">"UPS " &amp; SWThree &amp; "1"</f>
        <v>UPS XXX1</v>
      </c>
      <c r="D149" s="190" t="s">
        <v>1516</v>
      </c>
      <c r="E149" s="499" t="s">
        <v>1464</v>
      </c>
      <c r="F149" s="500"/>
      <c r="G149" s="519"/>
    </row>
    <row r="150" spans="1:7" ht="37.5" x14ac:dyDescent="0.25">
      <c r="A150" s="519">
        <f t="shared" si="2"/>
        <v>685</v>
      </c>
      <c r="B150" s="500" t="str">
        <f>Suite&amp;" Electrical Room "&amp;SWThree</f>
        <v>G104 Electrical Room XXX</v>
      </c>
      <c r="C150" s="499" t="str" cm="1">
        <f t="array" ref="C150">"UPS " &amp; SWThree &amp; "1"</f>
        <v>UPS XXX1</v>
      </c>
      <c r="D150" s="190" t="s">
        <v>1533</v>
      </c>
      <c r="E150" s="499" t="s">
        <v>1464</v>
      </c>
      <c r="F150" s="500"/>
      <c r="G150" s="519"/>
    </row>
    <row r="151" spans="1:7" ht="56.25" x14ac:dyDescent="0.25">
      <c r="A151" s="519">
        <f t="shared" si="2"/>
        <v>686</v>
      </c>
      <c r="B151" s="500" t="str">
        <f>Suite&amp;" Electrical Room "&amp;SWThree</f>
        <v>G104 Electrical Room XXX</v>
      </c>
      <c r="C151" s="499" t="str" cm="1">
        <f t="array" ref="C151">"UPS " &amp; SWThree &amp; "1"</f>
        <v>UPS XXX1</v>
      </c>
      <c r="D151" s="190" t="s">
        <v>4608</v>
      </c>
      <c r="E151" s="499" t="s">
        <v>1464</v>
      </c>
      <c r="F151" s="500"/>
      <c r="G151" s="519"/>
    </row>
    <row r="152" spans="1:7" ht="37.5" x14ac:dyDescent="0.25">
      <c r="A152" s="519">
        <f t="shared" si="2"/>
        <v>687</v>
      </c>
      <c r="B152" s="500" t="str">
        <f>Suite&amp;" Electrical Room "&amp;SWThree</f>
        <v>G104 Electrical Room XXX</v>
      </c>
      <c r="C152" s="499" t="str" cm="1">
        <f t="array" ref="C152">"UPS " &amp; SWThree &amp; "1"</f>
        <v>UPS XXX1</v>
      </c>
      <c r="D152" s="190" t="s">
        <v>1534</v>
      </c>
      <c r="E152" s="499" t="s">
        <v>1464</v>
      </c>
      <c r="F152" s="500"/>
      <c r="G152" s="519"/>
    </row>
    <row r="153" spans="1:7" ht="37.5" x14ac:dyDescent="0.25">
      <c r="A153" s="519">
        <f t="shared" si="2"/>
        <v>688</v>
      </c>
      <c r="B153" s="500" t="str">
        <f>Suite&amp;" Electrical Room "&amp;SWThree</f>
        <v>G104 Electrical Room XXX</v>
      </c>
      <c r="C153" s="499" t="str" cm="1">
        <f t="array" ref="C153">"UPS " &amp; SWThree &amp; "1"</f>
        <v>UPS XXX1</v>
      </c>
      <c r="D153" s="190" t="s">
        <v>1535</v>
      </c>
      <c r="E153" s="499" t="s">
        <v>1464</v>
      </c>
      <c r="F153" s="500"/>
      <c r="G153" s="519"/>
    </row>
    <row r="154" spans="1:7" ht="37.5" x14ac:dyDescent="0.25">
      <c r="A154" s="519">
        <f t="shared" si="2"/>
        <v>689</v>
      </c>
      <c r="B154" s="500" t="str">
        <f>Suite&amp;" Electrical Room "&amp;SWThree</f>
        <v>G104 Electrical Room XXX</v>
      </c>
      <c r="C154" s="499" t="str" cm="1">
        <f t="array" ref="C154">"UPS " &amp; SWThree &amp; "1"</f>
        <v>UPS XXX1</v>
      </c>
      <c r="D154" s="190" t="s">
        <v>1536</v>
      </c>
      <c r="E154" s="499" t="s">
        <v>1464</v>
      </c>
      <c r="F154" s="500"/>
      <c r="G154" s="519"/>
    </row>
    <row r="155" spans="1:7" ht="37.5" x14ac:dyDescent="0.25">
      <c r="A155" s="519">
        <f t="shared" si="2"/>
        <v>690</v>
      </c>
      <c r="B155" s="500" t="str">
        <f>Suite&amp;" Electrical Room "&amp;SWThree</f>
        <v>G104 Electrical Room XXX</v>
      </c>
      <c r="C155" s="499" t="str" cm="1">
        <f t="array" ref="C155">"UPS " &amp; SWThree &amp; "1"</f>
        <v>UPS XXX1</v>
      </c>
      <c r="D155" s="190" t="str" cm="1">
        <f t="array" ref="D155">"Remove LOTO from battery breaker for cabinet " &amp; SWThree &amp; "1-1."</f>
        <v>Remove LOTO from battery breaker for cabinet XXX1-1.</v>
      </c>
      <c r="E155" s="499" t="s">
        <v>1464</v>
      </c>
      <c r="F155" s="500"/>
      <c r="G155" s="519"/>
    </row>
    <row r="156" spans="1:7" ht="37.5" x14ac:dyDescent="0.25">
      <c r="A156" s="519">
        <f t="shared" ref="A156:A219" si="3">A155+1</f>
        <v>691</v>
      </c>
      <c r="B156" s="500" t="str">
        <f>Suite&amp;" Electrical Room "&amp;SWThree</f>
        <v>G104 Electrical Room XXX</v>
      </c>
      <c r="C156" s="499" t="str" cm="1">
        <f t="array" ref="C156">"UPS " &amp; SWThree &amp; "1"</f>
        <v>UPS XXX1</v>
      </c>
      <c r="D156" s="233" t="s">
        <v>1518</v>
      </c>
      <c r="E156" s="499" t="s">
        <v>1464</v>
      </c>
      <c r="F156" s="500"/>
      <c r="G156" s="519"/>
    </row>
    <row r="157" spans="1:7" ht="37.5" x14ac:dyDescent="0.25">
      <c r="A157" s="519">
        <f t="shared" si="3"/>
        <v>692</v>
      </c>
      <c r="B157" s="500" t="str">
        <f>Suite&amp;" Electrical Room "&amp;SWThree</f>
        <v>G104 Electrical Room XXX</v>
      </c>
      <c r="C157" s="499" t="str" cm="1">
        <f t="array" ref="C157">"UPS " &amp; SWThree &amp; "1"</f>
        <v>UPS XXX1</v>
      </c>
      <c r="D157" s="190" t="str" cm="1">
        <f t="array" ref="D157">"Close battery breaker for cabinet " &amp; SWThree &amp; "1-1."</f>
        <v>Close battery breaker for cabinet XXX1-1.</v>
      </c>
      <c r="E157" s="499" t="s">
        <v>1464</v>
      </c>
      <c r="F157" s="500"/>
      <c r="G157" s="519"/>
    </row>
    <row r="158" spans="1:7" ht="37.5" x14ac:dyDescent="0.25">
      <c r="A158" s="519">
        <f t="shared" si="3"/>
        <v>693</v>
      </c>
      <c r="B158" s="500" t="str">
        <f>Suite&amp;" Electrical Room "&amp;SWThree</f>
        <v>G104 Electrical Room XXX</v>
      </c>
      <c r="C158" s="499" t="str" cm="1">
        <f t="array" ref="C158">"UPS " &amp; SWThree &amp; "1"</f>
        <v>UPS XXX1</v>
      </c>
      <c r="D158" s="190" t="str" cm="1">
        <f t="array" ref="D158">"Remove LOTO from battery breaker for cabinet " &amp; SWThree &amp; "1-2."</f>
        <v>Remove LOTO from battery breaker for cabinet XXX1-2.</v>
      </c>
      <c r="E158" s="499" t="s">
        <v>1464</v>
      </c>
      <c r="F158" s="500"/>
      <c r="G158" s="519"/>
    </row>
    <row r="159" spans="1:7" ht="37.5" x14ac:dyDescent="0.25">
      <c r="A159" s="519">
        <f t="shared" si="3"/>
        <v>694</v>
      </c>
      <c r="B159" s="500" t="str">
        <f>Suite&amp;" Electrical Room "&amp;SWThree</f>
        <v>G104 Electrical Room XXX</v>
      </c>
      <c r="C159" s="499" t="str" cm="1">
        <f t="array" ref="C159">"UPS " &amp; SWThree &amp; "1"</f>
        <v>UPS XXX1</v>
      </c>
      <c r="D159" s="233" t="s">
        <v>1518</v>
      </c>
      <c r="E159" s="499" t="s">
        <v>1464</v>
      </c>
      <c r="F159" s="500"/>
      <c r="G159" s="519"/>
    </row>
    <row r="160" spans="1:7" ht="37.5" x14ac:dyDescent="0.25">
      <c r="A160" s="519">
        <f t="shared" si="3"/>
        <v>695</v>
      </c>
      <c r="B160" s="500" t="str">
        <f>Suite&amp;" Electrical Room "&amp;SWThree</f>
        <v>G104 Electrical Room XXX</v>
      </c>
      <c r="C160" s="499" t="str" cm="1">
        <f t="array" ref="C160">"UPS " &amp; SWThree &amp; "1"</f>
        <v>UPS XXX1</v>
      </c>
      <c r="D160" s="190" t="str" cm="1">
        <f t="array" ref="D160">"Close battery breaker for cabinet " &amp; SWThree &amp; "1-2."</f>
        <v>Close battery breaker for cabinet XXX1-2.</v>
      </c>
      <c r="E160" s="499" t="s">
        <v>1464</v>
      </c>
      <c r="F160" s="500"/>
      <c r="G160" s="519"/>
    </row>
    <row r="161" spans="1:7" ht="37.5" x14ac:dyDescent="0.25">
      <c r="A161" s="519">
        <f t="shared" si="3"/>
        <v>696</v>
      </c>
      <c r="B161" s="500" t="str">
        <f>Suite&amp;" Electrical Room "&amp;SWThree</f>
        <v>G104 Electrical Room XXX</v>
      </c>
      <c r="C161" s="499" t="str" cm="1">
        <f t="array" ref="C161">"UPS " &amp; SWThree &amp; "1"</f>
        <v>UPS XXX1</v>
      </c>
      <c r="D161" s="190" t="str" cm="1">
        <f t="array" ref="D161">"Remove LOTO from battery breaker for cabinet " &amp; SWThree &amp; "1-3."</f>
        <v>Remove LOTO from battery breaker for cabinet XXX1-3.</v>
      </c>
      <c r="E161" s="499" t="s">
        <v>1464</v>
      </c>
      <c r="F161" s="500"/>
      <c r="G161" s="519"/>
    </row>
    <row r="162" spans="1:7" ht="37.5" x14ac:dyDescent="0.25">
      <c r="A162" s="519">
        <f t="shared" si="3"/>
        <v>697</v>
      </c>
      <c r="B162" s="500" t="str">
        <f>Suite&amp;" Electrical Room "&amp;SWThree</f>
        <v>G104 Electrical Room XXX</v>
      </c>
      <c r="C162" s="499" t="str" cm="1">
        <f t="array" ref="C162">"UPS " &amp; SWThree &amp; "1"</f>
        <v>UPS XXX1</v>
      </c>
      <c r="D162" s="233" t="s">
        <v>1518</v>
      </c>
      <c r="E162" s="499" t="s">
        <v>1464</v>
      </c>
      <c r="F162" s="500"/>
      <c r="G162" s="519"/>
    </row>
    <row r="163" spans="1:7" ht="37.5" x14ac:dyDescent="0.25">
      <c r="A163" s="519">
        <f t="shared" si="3"/>
        <v>698</v>
      </c>
      <c r="B163" s="500" t="str">
        <f>Suite&amp;" Electrical Room "&amp;SWThree</f>
        <v>G104 Electrical Room XXX</v>
      </c>
      <c r="C163" s="499" t="str" cm="1">
        <f t="array" ref="C163">"UPS " &amp; SWThree &amp; "1"</f>
        <v>UPS XXX1</v>
      </c>
      <c r="D163" s="190" t="str" cm="1">
        <f t="array" ref="D163">"Close battery breaker for cabinet " &amp; SWThree &amp; "1-3."</f>
        <v>Close battery breaker for cabinet XXX1-3.</v>
      </c>
      <c r="E163" s="499" t="s">
        <v>1464</v>
      </c>
      <c r="F163" s="500"/>
      <c r="G163" s="519"/>
    </row>
    <row r="164" spans="1:7" ht="37.5" x14ac:dyDescent="0.25">
      <c r="A164" s="519">
        <f t="shared" si="3"/>
        <v>699</v>
      </c>
      <c r="B164" s="500" t="str">
        <f>Suite&amp;" Electrical Room "&amp;SWThree</f>
        <v>G104 Electrical Room XXX</v>
      </c>
      <c r="C164" s="499" t="str" cm="1">
        <f t="array" ref="C164">"UPS " &amp; SWThree &amp; "2"</f>
        <v>UPS XXX2</v>
      </c>
      <c r="D164" s="190" t="s">
        <v>1511</v>
      </c>
      <c r="E164" s="499" t="s">
        <v>1464</v>
      </c>
      <c r="F164" s="500"/>
      <c r="G164" s="519"/>
    </row>
    <row r="165" spans="1:7" ht="37.5" x14ac:dyDescent="0.25">
      <c r="A165" s="519">
        <f t="shared" si="3"/>
        <v>700</v>
      </c>
      <c r="B165" s="500" t="str">
        <f>Suite&amp;" Electrical Room "&amp;SWThree</f>
        <v>G104 Electrical Room XXX</v>
      </c>
      <c r="C165" s="499" t="str" cm="1">
        <f t="array" ref="C165">"UPS " &amp; SWThree &amp; "2"</f>
        <v>UPS XXX2</v>
      </c>
      <c r="D165" s="233" t="s">
        <v>1497</v>
      </c>
      <c r="E165" s="499" t="s">
        <v>1464</v>
      </c>
      <c r="F165" s="500"/>
      <c r="G165" s="519"/>
    </row>
    <row r="166" spans="1:7" ht="37.5" x14ac:dyDescent="0.25">
      <c r="A166" s="519">
        <f t="shared" si="3"/>
        <v>701</v>
      </c>
      <c r="B166" s="500" t="str">
        <f>Suite&amp;" Electrical Room "&amp;SWThree</f>
        <v>G104 Electrical Room XXX</v>
      </c>
      <c r="C166" s="499" t="str" cm="1">
        <f t="array" ref="C166">"UPS " &amp; SWThree &amp; "2"</f>
        <v>UPS XXX2</v>
      </c>
      <c r="D166" s="190" t="s">
        <v>1531</v>
      </c>
      <c r="E166" s="499" t="s">
        <v>1464</v>
      </c>
      <c r="F166" s="500"/>
      <c r="G166" s="519"/>
    </row>
    <row r="167" spans="1:7" ht="37.5" x14ac:dyDescent="0.25">
      <c r="A167" s="519">
        <f t="shared" si="3"/>
        <v>702</v>
      </c>
      <c r="B167" s="500" t="str">
        <f>Suite&amp;" Electrical Room "&amp;SWThree</f>
        <v>G104 Electrical Room XXX</v>
      </c>
      <c r="C167" s="499" t="str" cm="1">
        <f t="array" ref="C167">"UPS " &amp; SWThree &amp; "2"</f>
        <v>UPS XXX2</v>
      </c>
      <c r="D167" s="190" t="s">
        <v>1537</v>
      </c>
      <c r="E167" s="499" t="s">
        <v>1464</v>
      </c>
      <c r="F167" s="500"/>
      <c r="G167" s="519"/>
    </row>
    <row r="168" spans="1:7" ht="37.5" x14ac:dyDescent="0.25">
      <c r="A168" s="519">
        <f t="shared" si="3"/>
        <v>703</v>
      </c>
      <c r="B168" s="500" t="str">
        <f>Suite&amp;" Electrical Room "&amp;SWThree</f>
        <v>G104 Electrical Room XXX</v>
      </c>
      <c r="C168" s="499" t="str" cm="1">
        <f t="array" ref="C168">"UPS " &amp; SWThree &amp; "2"</f>
        <v>UPS XXX2</v>
      </c>
      <c r="D168" s="190" t="s">
        <v>1516</v>
      </c>
      <c r="E168" s="499" t="s">
        <v>1464</v>
      </c>
      <c r="F168" s="500"/>
      <c r="G168" s="519"/>
    </row>
    <row r="169" spans="1:7" ht="37.5" x14ac:dyDescent="0.25">
      <c r="A169" s="519">
        <f t="shared" si="3"/>
        <v>704</v>
      </c>
      <c r="B169" s="500" t="str">
        <f>Suite&amp;" Electrical Room "&amp;SWThree</f>
        <v>G104 Electrical Room XXX</v>
      </c>
      <c r="C169" s="499" t="str" cm="1">
        <f t="array" ref="C169">"UPS " &amp; SWThree &amp; "2"</f>
        <v>UPS XXX2</v>
      </c>
      <c r="D169" s="190" t="s">
        <v>1533</v>
      </c>
      <c r="E169" s="499" t="s">
        <v>1464</v>
      </c>
      <c r="F169" s="500"/>
      <c r="G169" s="519"/>
    </row>
    <row r="170" spans="1:7" ht="56.25" x14ac:dyDescent="0.25">
      <c r="A170" s="519">
        <f t="shared" si="3"/>
        <v>705</v>
      </c>
      <c r="B170" s="500" t="str">
        <f>Suite&amp;" Electrical Room "&amp;SWThree</f>
        <v>G104 Electrical Room XXX</v>
      </c>
      <c r="C170" s="499" t="str" cm="1">
        <f t="array" ref="C170">"UPS " &amp; SWThree &amp; "2"</f>
        <v>UPS XXX2</v>
      </c>
      <c r="D170" s="190" t="s">
        <v>4608</v>
      </c>
      <c r="E170" s="499" t="s">
        <v>1464</v>
      </c>
      <c r="F170" s="500"/>
      <c r="G170" s="519"/>
    </row>
    <row r="171" spans="1:7" ht="37.5" x14ac:dyDescent="0.25">
      <c r="A171" s="519">
        <f t="shared" si="3"/>
        <v>706</v>
      </c>
      <c r="B171" s="500" t="str">
        <f>Suite&amp;" Electrical Room "&amp;SWThree</f>
        <v>G104 Electrical Room XXX</v>
      </c>
      <c r="C171" s="499" t="str" cm="1">
        <f t="array" ref="C171">"UPS " &amp; SWThree &amp; "2"</f>
        <v>UPS XXX2</v>
      </c>
      <c r="D171" s="190" t="s">
        <v>1534</v>
      </c>
      <c r="E171" s="499" t="s">
        <v>1464</v>
      </c>
      <c r="F171" s="500"/>
      <c r="G171" s="519"/>
    </row>
    <row r="172" spans="1:7" ht="37.5" x14ac:dyDescent="0.25">
      <c r="A172" s="519">
        <f t="shared" si="3"/>
        <v>707</v>
      </c>
      <c r="B172" s="500" t="str">
        <f>Suite&amp;" Electrical Room "&amp;SWThree</f>
        <v>G104 Electrical Room XXX</v>
      </c>
      <c r="C172" s="499" t="str" cm="1">
        <f t="array" ref="C172">"UPS " &amp; SWThree &amp; "2"</f>
        <v>UPS XXX2</v>
      </c>
      <c r="D172" s="190" t="s">
        <v>1535</v>
      </c>
      <c r="E172" s="499" t="s">
        <v>1464</v>
      </c>
      <c r="F172" s="500"/>
      <c r="G172" s="519"/>
    </row>
    <row r="173" spans="1:7" ht="37.5" x14ac:dyDescent="0.25">
      <c r="A173" s="519">
        <f t="shared" si="3"/>
        <v>708</v>
      </c>
      <c r="B173" s="500" t="str">
        <f>Suite&amp;" Electrical Room "&amp;SWThree</f>
        <v>G104 Electrical Room XXX</v>
      </c>
      <c r="C173" s="499" t="str" cm="1">
        <f t="array" ref="C173">"UPS " &amp; SWThree &amp; "2"</f>
        <v>UPS XXX2</v>
      </c>
      <c r="D173" s="190" t="s">
        <v>1536</v>
      </c>
      <c r="E173" s="499" t="s">
        <v>1464</v>
      </c>
      <c r="F173" s="500"/>
      <c r="G173" s="519"/>
    </row>
    <row r="174" spans="1:7" ht="37.5" x14ac:dyDescent="0.25">
      <c r="A174" s="519">
        <f t="shared" si="3"/>
        <v>709</v>
      </c>
      <c r="B174" s="500" t="str">
        <f>Suite&amp;" Electrical Room "&amp;SWThree</f>
        <v>G104 Electrical Room XXX</v>
      </c>
      <c r="C174" s="499" t="str" cm="1">
        <f t="array" ref="C174">"UPS " &amp; SWThree &amp; "2"</f>
        <v>UPS XXX2</v>
      </c>
      <c r="D174" s="190" t="str" cm="1">
        <f t="array" ref="D174">"Remove LOTO from battery breaker for cabinet " &amp; SWThree &amp; "2-1."</f>
        <v>Remove LOTO from battery breaker for cabinet XXX2-1.</v>
      </c>
      <c r="E174" s="499" t="s">
        <v>1464</v>
      </c>
      <c r="F174" s="500"/>
      <c r="G174" s="519"/>
    </row>
    <row r="175" spans="1:7" ht="37.5" x14ac:dyDescent="0.25">
      <c r="A175" s="519">
        <f t="shared" si="3"/>
        <v>710</v>
      </c>
      <c r="B175" s="500" t="str">
        <f>Suite&amp;" Electrical Room "&amp;SWThree</f>
        <v>G104 Electrical Room XXX</v>
      </c>
      <c r="C175" s="499" t="str" cm="1">
        <f t="array" ref="C175">"UPS " &amp; SWThree &amp; "2"</f>
        <v>UPS XXX2</v>
      </c>
      <c r="D175" s="233" t="s">
        <v>1518</v>
      </c>
      <c r="E175" s="499" t="s">
        <v>1464</v>
      </c>
      <c r="F175" s="500"/>
      <c r="G175" s="519"/>
    </row>
    <row r="176" spans="1:7" ht="37.5" x14ac:dyDescent="0.25">
      <c r="A176" s="519">
        <f t="shared" si="3"/>
        <v>711</v>
      </c>
      <c r="B176" s="500" t="str">
        <f>Suite&amp;" Electrical Room "&amp;SWThree</f>
        <v>G104 Electrical Room XXX</v>
      </c>
      <c r="C176" s="499" t="str" cm="1">
        <f t="array" ref="C176">"UPS " &amp; SWThree &amp; "2"</f>
        <v>UPS XXX2</v>
      </c>
      <c r="D176" s="190" t="str" cm="1">
        <f t="array" ref="D176">"Close battery breaker for cabinet " &amp; SWThree &amp; "2-1."</f>
        <v>Close battery breaker for cabinet XXX2-1.</v>
      </c>
      <c r="E176" s="499" t="s">
        <v>1464</v>
      </c>
      <c r="F176" s="500"/>
      <c r="G176" s="519"/>
    </row>
    <row r="177" spans="1:7" ht="37.5" x14ac:dyDescent="0.25">
      <c r="A177" s="519">
        <f t="shared" si="3"/>
        <v>712</v>
      </c>
      <c r="B177" s="500" t="str">
        <f>Suite&amp;" Electrical Room "&amp;SWThree</f>
        <v>G104 Electrical Room XXX</v>
      </c>
      <c r="C177" s="499" t="str" cm="1">
        <f t="array" ref="C177">"UPS " &amp; SWThree &amp; "2"</f>
        <v>UPS XXX2</v>
      </c>
      <c r="D177" s="190" t="str" cm="1">
        <f t="array" ref="D177">"Remove LOTO from battery breaker for cabinet " &amp; SWThree &amp; "2-2."</f>
        <v>Remove LOTO from battery breaker for cabinet XXX2-2.</v>
      </c>
      <c r="E177" s="499" t="s">
        <v>1464</v>
      </c>
      <c r="F177" s="500"/>
      <c r="G177" s="519"/>
    </row>
    <row r="178" spans="1:7" ht="37.5" x14ac:dyDescent="0.25">
      <c r="A178" s="519">
        <f t="shared" si="3"/>
        <v>713</v>
      </c>
      <c r="B178" s="500" t="str">
        <f>Suite&amp;" Electrical Room "&amp;SWThree</f>
        <v>G104 Electrical Room XXX</v>
      </c>
      <c r="C178" s="499" t="str" cm="1">
        <f t="array" ref="C178">"UPS " &amp; SWThree &amp; "2"</f>
        <v>UPS XXX2</v>
      </c>
      <c r="D178" s="233" t="s">
        <v>1518</v>
      </c>
      <c r="E178" s="499" t="s">
        <v>1464</v>
      </c>
      <c r="F178" s="500"/>
      <c r="G178" s="519"/>
    </row>
    <row r="179" spans="1:7" ht="37.5" x14ac:dyDescent="0.25">
      <c r="A179" s="519">
        <f t="shared" si="3"/>
        <v>714</v>
      </c>
      <c r="B179" s="500" t="str">
        <f>Suite&amp;" Electrical Room "&amp;SWThree</f>
        <v>G104 Electrical Room XXX</v>
      </c>
      <c r="C179" s="499" t="str" cm="1">
        <f t="array" ref="C179">"UPS " &amp; SWThree &amp; "2"</f>
        <v>UPS XXX2</v>
      </c>
      <c r="D179" s="190" t="str" cm="1">
        <f t="array" ref="D179">"Close battery breaker for cabinet " &amp; SWThree &amp; "2-2."</f>
        <v>Close battery breaker for cabinet XXX2-2.</v>
      </c>
      <c r="E179" s="499" t="s">
        <v>1464</v>
      </c>
      <c r="F179" s="500"/>
      <c r="G179" s="519"/>
    </row>
    <row r="180" spans="1:7" ht="37.5" x14ac:dyDescent="0.25">
      <c r="A180" s="519">
        <f t="shared" si="3"/>
        <v>715</v>
      </c>
      <c r="B180" s="500" t="str">
        <f>Suite&amp;" Electrical Room "&amp;SWThree</f>
        <v>G104 Electrical Room XXX</v>
      </c>
      <c r="C180" s="499" t="str" cm="1">
        <f t="array" ref="C180">"UPS " &amp; SWThree &amp; "2"</f>
        <v>UPS XXX2</v>
      </c>
      <c r="D180" s="190" t="str" cm="1">
        <f t="array" ref="D180">"Remove LOTO from battery breaker for cabinet " &amp; SWThree &amp; "2-3."</f>
        <v>Remove LOTO from battery breaker for cabinet XXX2-3.</v>
      </c>
      <c r="E180" s="499" t="s">
        <v>1464</v>
      </c>
      <c r="F180" s="500"/>
      <c r="G180" s="519"/>
    </row>
    <row r="181" spans="1:7" ht="37.5" x14ac:dyDescent="0.25">
      <c r="A181" s="519">
        <f t="shared" si="3"/>
        <v>716</v>
      </c>
      <c r="B181" s="500" t="str">
        <f>Suite&amp;" Electrical Room "&amp;SWThree</f>
        <v>G104 Electrical Room XXX</v>
      </c>
      <c r="C181" s="499" t="str" cm="1">
        <f t="array" ref="C181">"UPS " &amp; SWThree &amp; "2"</f>
        <v>UPS XXX2</v>
      </c>
      <c r="D181" s="233" t="s">
        <v>1518</v>
      </c>
      <c r="E181" s="499" t="s">
        <v>1464</v>
      </c>
      <c r="F181" s="500"/>
      <c r="G181" s="519"/>
    </row>
    <row r="182" spans="1:7" ht="37.5" x14ac:dyDescent="0.25">
      <c r="A182" s="519">
        <f t="shared" si="3"/>
        <v>717</v>
      </c>
      <c r="B182" s="500" t="str">
        <f>Suite&amp;" Electrical Room "&amp;SWThree</f>
        <v>G104 Electrical Room XXX</v>
      </c>
      <c r="C182" s="499" t="str" cm="1">
        <f t="array" ref="C182">"UPS " &amp; SWThree &amp; "2"</f>
        <v>UPS XXX2</v>
      </c>
      <c r="D182" s="190" t="str" cm="1">
        <f t="array" ref="D182">"Close battery breaker for cabinet " &amp; SWThree &amp; "2-3."</f>
        <v>Close battery breaker for cabinet XXX2-3.</v>
      </c>
      <c r="E182" s="499" t="s">
        <v>1464</v>
      </c>
      <c r="F182" s="500"/>
      <c r="G182" s="519"/>
    </row>
    <row r="183" spans="1:7" ht="37.5" x14ac:dyDescent="0.25">
      <c r="A183" s="519">
        <f t="shared" si="3"/>
        <v>718</v>
      </c>
      <c r="B183" s="500" t="str">
        <f>Suite&amp;" Electrical Room "&amp;SWThree</f>
        <v>G104 Electrical Room XXX</v>
      </c>
      <c r="C183" s="499" t="str" cm="1">
        <f t="array" ref="C183">"UP" &amp; SWThree</f>
        <v>UPXXX</v>
      </c>
      <c r="D183" s="190" t="str" cm="1">
        <f t="array" ref="D183">"Remove LOTO from DP-" &amp; SWThree &amp; "1 breaker (MOB)."</f>
        <v>Remove LOTO from DP-XXX1 breaker (MOB).</v>
      </c>
      <c r="E183" s="499" t="s">
        <v>1464</v>
      </c>
      <c r="F183" s="500"/>
      <c r="G183" s="519"/>
    </row>
    <row r="184" spans="1:7" ht="37.5" x14ac:dyDescent="0.25">
      <c r="A184" s="519">
        <f t="shared" si="3"/>
        <v>719</v>
      </c>
      <c r="B184" s="500" t="str">
        <f>Suite&amp;" Electrical Room "&amp;SWThree</f>
        <v>G104 Electrical Room XXX</v>
      </c>
      <c r="C184" s="499" t="str" cm="1">
        <f t="array" ref="C184">"UP" &amp; SWThree</f>
        <v>UPXXX</v>
      </c>
      <c r="D184" s="233" t="s">
        <v>1518</v>
      </c>
      <c r="E184" s="499" t="s">
        <v>1464</v>
      </c>
      <c r="F184" s="500"/>
      <c r="G184" s="519"/>
    </row>
    <row r="185" spans="1:7" ht="37.5" x14ac:dyDescent="0.25">
      <c r="A185" s="519">
        <f t="shared" si="3"/>
        <v>720</v>
      </c>
      <c r="B185" s="500" t="str">
        <f>Suite&amp;" Electrical Room "&amp;SWThree</f>
        <v>G104 Electrical Room XXX</v>
      </c>
      <c r="C185" s="499" t="str" cm="1">
        <f t="array" ref="C185">"UP" &amp; SWThree</f>
        <v>UPXXX</v>
      </c>
      <c r="D185" s="190" t="str" cm="1">
        <f t="array" ref="D185">"Remove LOTO from DP-" &amp; SWThree &amp; "2 breaker (MOB)."</f>
        <v>Remove LOTO from DP-XXX2 breaker (MOB).</v>
      </c>
      <c r="E185" s="499" t="s">
        <v>1464</v>
      </c>
      <c r="F185" s="500"/>
      <c r="G185" s="519"/>
    </row>
    <row r="186" spans="1:7" ht="37.5" x14ac:dyDescent="0.25">
      <c r="A186" s="519">
        <f t="shared" si="3"/>
        <v>721</v>
      </c>
      <c r="B186" s="500" t="str">
        <f>Suite&amp;" Electrical Room "&amp;SWThree</f>
        <v>G104 Electrical Room XXX</v>
      </c>
      <c r="C186" s="499" t="str" cm="1">
        <f t="array" ref="C186">"UP" &amp; SWThree</f>
        <v>UPXXX</v>
      </c>
      <c r="D186" s="233" t="s">
        <v>1518</v>
      </c>
      <c r="E186" s="499" t="s">
        <v>1464</v>
      </c>
      <c r="F186" s="500"/>
      <c r="G186" s="519"/>
    </row>
    <row r="187" spans="1:7" ht="37.5" x14ac:dyDescent="0.25">
      <c r="A187" s="519">
        <f t="shared" si="3"/>
        <v>722</v>
      </c>
      <c r="B187" s="500" t="str">
        <f>Suite&amp;" Electrical Room "&amp;SWThree</f>
        <v>G104 Electrical Room XXX</v>
      </c>
      <c r="C187" s="499" t="str" cm="1">
        <f t="array" ref="C187">"UPS " &amp; SWThree &amp; "1"</f>
        <v>UPS XXX1</v>
      </c>
      <c r="D187" s="190" t="s">
        <v>1538</v>
      </c>
      <c r="E187" s="499" t="s">
        <v>1464</v>
      </c>
      <c r="F187" s="500"/>
      <c r="G187" s="519"/>
    </row>
    <row r="188" spans="1:7" ht="37.5" x14ac:dyDescent="0.25">
      <c r="A188" s="519">
        <f t="shared" si="3"/>
        <v>723</v>
      </c>
      <c r="B188" s="500" t="str">
        <f>Suite&amp;" Electrical Room "&amp;SWThree</f>
        <v>G104 Electrical Room XXX</v>
      </c>
      <c r="C188" s="499" t="str" cm="1">
        <f t="array" ref="C188">"UP" &amp; SWThree</f>
        <v>UPXXX</v>
      </c>
      <c r="D188" s="190" t="str" cm="1">
        <f t="array" ref="D188">"Close DP-" &amp; SWThree &amp; "1 breaker."</f>
        <v>Close DP-XXX1 breaker.</v>
      </c>
      <c r="E188" s="499" t="s">
        <v>1464</v>
      </c>
      <c r="F188" s="500"/>
      <c r="G188" s="519"/>
    </row>
    <row r="189" spans="1:7" ht="37.5" x14ac:dyDescent="0.25">
      <c r="A189" s="519">
        <f t="shared" si="3"/>
        <v>724</v>
      </c>
      <c r="B189" s="500" t="str">
        <f>Suite&amp;" Electrical Room "&amp;SWThree</f>
        <v>G104 Electrical Room XXX</v>
      </c>
      <c r="C189" s="499" t="str" cm="1">
        <f t="array" ref="C189">"UP" &amp; SWThree</f>
        <v>UPXXX</v>
      </c>
      <c r="D189" s="190" t="str" cm="1">
        <f t="array" ref="D189">"Close DP-" &amp; SWThree &amp; "2 breaker."</f>
        <v>Close DP-XXX2 breaker.</v>
      </c>
      <c r="E189" s="499" t="s">
        <v>1464</v>
      </c>
      <c r="F189" s="500"/>
      <c r="G189" s="519"/>
    </row>
    <row r="190" spans="1:7" ht="37.5" x14ac:dyDescent="0.25">
      <c r="A190" s="519">
        <f t="shared" si="3"/>
        <v>725</v>
      </c>
      <c r="B190" s="500" t="str">
        <f>Suite&amp;" Electrical Room "&amp;SWThree</f>
        <v>G104 Electrical Room XXX</v>
      </c>
      <c r="C190" s="499" t="str" cm="1">
        <f t="array" ref="C190">"UPS " &amp; SWThree &amp; "1"</f>
        <v>UPS XXX1</v>
      </c>
      <c r="D190" s="190" t="s">
        <v>1539</v>
      </c>
      <c r="E190" s="499" t="s">
        <v>1464</v>
      </c>
      <c r="F190" s="500"/>
      <c r="G190" s="519"/>
    </row>
    <row r="191" spans="1:7" ht="37.5" x14ac:dyDescent="0.25">
      <c r="A191" s="519">
        <f t="shared" si="3"/>
        <v>726</v>
      </c>
      <c r="B191" s="500" t="str">
        <f>Suite&amp;" Electrical Room "&amp;SWThree</f>
        <v>G104 Electrical Room XXX</v>
      </c>
      <c r="C191" s="499" t="str" cm="1">
        <f t="array" ref="C191">"UPS " &amp; SWThree &amp; "1"</f>
        <v>UPS XXX1</v>
      </c>
      <c r="D191" s="190" t="s">
        <v>1540</v>
      </c>
      <c r="E191" s="499" t="s">
        <v>1464</v>
      </c>
      <c r="F191" s="500"/>
      <c r="G191" s="519"/>
    </row>
    <row r="192" spans="1:7" ht="37.5" x14ac:dyDescent="0.25">
      <c r="A192" s="519">
        <f t="shared" si="3"/>
        <v>727</v>
      </c>
      <c r="B192" s="500" t="str">
        <f>Suite&amp;" Electrical Room "&amp;SWThree</f>
        <v>G104 Electrical Room XXX</v>
      </c>
      <c r="C192" s="499" t="str" cm="1">
        <f t="array" ref="C192">"UPS " &amp; SWThree &amp; "1"</f>
        <v>UPS XXX1</v>
      </c>
      <c r="D192" s="190" t="s">
        <v>1541</v>
      </c>
      <c r="E192" s="499" t="s">
        <v>1464</v>
      </c>
      <c r="F192" s="500"/>
      <c r="G192" s="519"/>
    </row>
    <row r="193" spans="1:7" ht="37.5" x14ac:dyDescent="0.25">
      <c r="A193" s="519">
        <f t="shared" si="3"/>
        <v>728</v>
      </c>
      <c r="B193" s="500" t="str">
        <f>Suite&amp;" Electrical Room "&amp;SWThree</f>
        <v>G104 Electrical Room XXX</v>
      </c>
      <c r="C193" s="499" t="str" cm="1">
        <f t="array" ref="C193">"UPS " &amp; SWThree</f>
        <v>UPS XXX</v>
      </c>
      <c r="D193" s="190" t="str" cm="1">
        <f t="array" ref="D193">"When prompted, close the CB2 breaker on module DP-"&amp;SWThree&amp;"1."</f>
        <v>When prompted, close the CB2 breaker on module DP-XXX1.</v>
      </c>
      <c r="E193" s="499" t="s">
        <v>1464</v>
      </c>
      <c r="F193" s="500"/>
      <c r="G193" s="519"/>
    </row>
    <row r="194" spans="1:7" ht="37.5" x14ac:dyDescent="0.25">
      <c r="A194" s="519">
        <f t="shared" si="3"/>
        <v>729</v>
      </c>
      <c r="B194" s="500" t="str">
        <f>Suite&amp;" Electrical Room "&amp;SWThree</f>
        <v>G104 Electrical Room XXX</v>
      </c>
      <c r="C194" s="499" t="str" cm="1">
        <f t="array" ref="C194">"UPS " &amp; SWThree</f>
        <v>UPS XXX</v>
      </c>
      <c r="D194" s="190" t="str" cm="1">
        <f t="array" ref="D194">"When prompted, close the CB2 breaker on module DP-"&amp;SWThree&amp;"2."</f>
        <v>When prompted, close the CB2 breaker on module DP-XXX2.</v>
      </c>
      <c r="E194" s="499" t="s">
        <v>1464</v>
      </c>
      <c r="F194" s="500"/>
      <c r="G194" s="519"/>
    </row>
    <row r="195" spans="1:7" ht="37.5" x14ac:dyDescent="0.25">
      <c r="A195" s="519">
        <f t="shared" si="3"/>
        <v>730</v>
      </c>
      <c r="B195" s="500" t="str">
        <f>Suite&amp;" Electrical Room "&amp;SWThree</f>
        <v>G104 Electrical Room XXX</v>
      </c>
      <c r="C195" s="499" t="str" cm="1">
        <f t="array" ref="C195">"UPS " &amp; SWThree &amp; "1"</f>
        <v>UPS XXX1</v>
      </c>
      <c r="D195" s="190" t="str" cm="1">
        <f t="array" ref="D195">"Close UPS-" &amp; SWThree &amp; "1 CB2 breaker."</f>
        <v>Close UPS-XXX1 CB2 breaker.</v>
      </c>
      <c r="E195" s="499" t="s">
        <v>1464</v>
      </c>
      <c r="F195" s="500"/>
      <c r="G195" s="519"/>
    </row>
    <row r="196" spans="1:7" ht="37.5" x14ac:dyDescent="0.25">
      <c r="A196" s="519">
        <f t="shared" si="3"/>
        <v>731</v>
      </c>
      <c r="B196" s="500" t="str">
        <f>Suite&amp;" Electrical Room "&amp;SWThree</f>
        <v>G104 Electrical Room XXX</v>
      </c>
      <c r="C196" s="499" t="str" cm="1">
        <f t="array" ref="C196">"UPS " &amp; SWThree &amp; "2"</f>
        <v>UPS XXX2</v>
      </c>
      <c r="D196" s="190" t="str" cm="1">
        <f t="array" ref="D196">"Close UPS-" &amp; SWThree &amp; "2 CB2 breaker."</f>
        <v>Close UPS-XXX2 CB2 breaker.</v>
      </c>
      <c r="E196" s="499" t="s">
        <v>1464</v>
      </c>
      <c r="F196" s="500"/>
      <c r="G196" s="519"/>
    </row>
    <row r="197" spans="1:7" ht="37.5" x14ac:dyDescent="0.25">
      <c r="A197" s="519">
        <f t="shared" si="3"/>
        <v>732</v>
      </c>
      <c r="B197" s="500" t="str">
        <f>Suite&amp;" Electrical Room "&amp;SWThree</f>
        <v>G104 Electrical Room XXX</v>
      </c>
      <c r="C197" s="499" t="str" cm="1">
        <f t="array" ref="C197">"UPS " &amp; SWThree &amp; "1"</f>
        <v>UPS XXX1</v>
      </c>
      <c r="D197" s="190" t="s">
        <v>1542</v>
      </c>
      <c r="E197" s="499" t="s">
        <v>1464</v>
      </c>
      <c r="F197" s="500"/>
      <c r="G197" s="519"/>
    </row>
    <row r="198" spans="1:7" ht="37.5" x14ac:dyDescent="0.25">
      <c r="A198" s="519">
        <f t="shared" si="3"/>
        <v>733</v>
      </c>
      <c r="B198" s="500" t="str">
        <f>Suite&amp;" Electrical Room "&amp;SWThree</f>
        <v>G104 Electrical Room XXX</v>
      </c>
      <c r="C198" s="499" t="str" cm="1">
        <f t="array" ref="C198">"UPS " &amp; SWThree &amp; "1"</f>
        <v>UPS XXX1</v>
      </c>
      <c r="D198" s="190" t="s">
        <v>1543</v>
      </c>
      <c r="E198" s="499" t="s">
        <v>1464</v>
      </c>
      <c r="F198" s="500"/>
      <c r="G198" s="519"/>
    </row>
    <row r="199" spans="1:7" ht="37.5" x14ac:dyDescent="0.25">
      <c r="A199" s="519">
        <f t="shared" si="3"/>
        <v>734</v>
      </c>
      <c r="B199" s="500" t="str">
        <f>Suite&amp;" Electrical Room "&amp;SWThree</f>
        <v>G104 Electrical Room XXX</v>
      </c>
      <c r="C199" s="499" t="str" cm="1">
        <f t="array" ref="C199">"UPS " &amp; SWThree &amp; "1"</f>
        <v>UPS XXX1</v>
      </c>
      <c r="D199" s="190" t="s">
        <v>1544</v>
      </c>
      <c r="E199" s="499" t="s">
        <v>1464</v>
      </c>
      <c r="F199" s="500"/>
      <c r="G199" s="519"/>
    </row>
    <row r="200" spans="1:7" ht="37.5" x14ac:dyDescent="0.25">
      <c r="A200" s="519">
        <f t="shared" si="3"/>
        <v>735</v>
      </c>
      <c r="B200" s="500" t="str">
        <f>Suite&amp;" Electrical Room "&amp;SWThree</f>
        <v>G104 Electrical Room XXX</v>
      </c>
      <c r="C200" s="499" t="str" cm="1">
        <f t="array" ref="C200">"UPS " &amp; SWThree &amp; "1"</f>
        <v>UPS XXX1</v>
      </c>
      <c r="D200" s="190" t="s">
        <v>1545</v>
      </c>
      <c r="E200" s="499" t="s">
        <v>1464</v>
      </c>
      <c r="F200" s="500"/>
      <c r="G200" s="519"/>
    </row>
    <row r="201" spans="1:7" ht="37.5" x14ac:dyDescent="0.25">
      <c r="A201" s="519">
        <f t="shared" si="3"/>
        <v>736</v>
      </c>
      <c r="B201" s="500" t="str">
        <f>Suite&amp;" Electrical Room "&amp;SWThree</f>
        <v>G104 Electrical Room XXX</v>
      </c>
      <c r="C201" s="499" t="str" cm="1">
        <f t="array" ref="C201">"UPS " &amp; SWThree &amp; "1"</f>
        <v>UPS XXX1</v>
      </c>
      <c r="D201" s="190" t="s">
        <v>1546</v>
      </c>
      <c r="E201" s="499" t="s">
        <v>1464</v>
      </c>
      <c r="F201" s="500"/>
      <c r="G201" s="519"/>
    </row>
    <row r="202" spans="1:7" ht="37.5" x14ac:dyDescent="0.25">
      <c r="A202" s="519">
        <f t="shared" si="3"/>
        <v>737</v>
      </c>
      <c r="B202" s="500" t="str">
        <f>Suite&amp;" Electrical Room "&amp;SWThree</f>
        <v>G104 Electrical Room XXX</v>
      </c>
      <c r="C202" s="499" t="str" cm="1">
        <f t="array" ref="C202">"UPS " &amp; SWThree &amp; "1"</f>
        <v>UPS XXX1</v>
      </c>
      <c r="D202" s="190" t="s">
        <v>1511</v>
      </c>
      <c r="E202" s="499" t="s">
        <v>1464</v>
      </c>
      <c r="F202" s="500"/>
      <c r="G202" s="519"/>
    </row>
    <row r="203" spans="1:7" ht="37.5" x14ac:dyDescent="0.25">
      <c r="A203" s="519">
        <f t="shared" si="3"/>
        <v>738</v>
      </c>
      <c r="B203" s="500" t="str">
        <f>Suite&amp;" Electrical Room "&amp;SWThree</f>
        <v>G104 Electrical Room XXX</v>
      </c>
      <c r="C203" s="499" t="str" cm="1">
        <f t="array" ref="C203">"UPS " &amp; SWThree &amp; "1"</f>
        <v>UPS XXX1</v>
      </c>
      <c r="D203" s="190" t="s">
        <v>1498</v>
      </c>
      <c r="E203" s="499" t="s">
        <v>1464</v>
      </c>
      <c r="F203" s="500"/>
      <c r="G203" s="519"/>
    </row>
    <row r="204" spans="1:7" ht="37.5" x14ac:dyDescent="0.25">
      <c r="A204" s="519">
        <f t="shared" si="3"/>
        <v>739</v>
      </c>
      <c r="B204" s="500" t="str">
        <f>Suite&amp;" Electrical Room "&amp;SWThree</f>
        <v>G104 Electrical Room XXX</v>
      </c>
      <c r="C204" s="499" t="str" cm="1">
        <f t="array" ref="C204">"UPS " &amp; SWThree &amp; "1"</f>
        <v>UPS XXX1</v>
      </c>
      <c r="D204" s="190" t="s">
        <v>1547</v>
      </c>
      <c r="E204" s="499" t="s">
        <v>1464</v>
      </c>
      <c r="F204" s="500"/>
      <c r="G204" s="519"/>
    </row>
    <row r="205" spans="1:7" ht="37.5" x14ac:dyDescent="0.25">
      <c r="A205" s="519">
        <f t="shared" si="3"/>
        <v>740</v>
      </c>
      <c r="B205" s="500" t="str">
        <f>Suite&amp;" Electrical Room "&amp;SWThree</f>
        <v>G104 Electrical Room XXX</v>
      </c>
      <c r="C205" s="499" t="str" cm="1">
        <f t="array" ref="C205">"UPS " &amp; SWThree &amp; "1"</f>
        <v>UPS XXX1</v>
      </c>
      <c r="D205" s="190" t="s">
        <v>1548</v>
      </c>
      <c r="E205" s="499" t="s">
        <v>1464</v>
      </c>
      <c r="F205" s="500"/>
      <c r="G205" s="519"/>
    </row>
    <row r="206" spans="1:7" ht="37.5" x14ac:dyDescent="0.25">
      <c r="A206" s="519">
        <f t="shared" si="3"/>
        <v>741</v>
      </c>
      <c r="B206" s="500" t="str">
        <f>Suite&amp;" Electrical Room "&amp;SWThree</f>
        <v>G104 Electrical Room XXX</v>
      </c>
      <c r="C206" s="499" t="str" cm="1">
        <f t="array" ref="C206">"UPS " &amp; SWThree &amp; "1"</f>
        <v>UPS XXX1</v>
      </c>
      <c r="D206" s="190" t="s">
        <v>1544</v>
      </c>
      <c r="E206" s="499" t="s">
        <v>1464</v>
      </c>
      <c r="F206" s="500"/>
      <c r="G206" s="519"/>
    </row>
    <row r="207" spans="1:7" ht="37.5" x14ac:dyDescent="0.25">
      <c r="A207" s="519">
        <f t="shared" si="3"/>
        <v>742</v>
      </c>
      <c r="B207" s="500" t="str">
        <f>Suite&amp;" Electrical Room "&amp;SWThree</f>
        <v>G104 Electrical Room XXX</v>
      </c>
      <c r="C207" s="499" t="str" cm="1">
        <f t="array" ref="C207">"UPS " &amp; SWThree &amp; "1"</f>
        <v>UPS XXX1</v>
      </c>
      <c r="D207" s="190" t="s">
        <v>1545</v>
      </c>
      <c r="E207" s="499" t="s">
        <v>1464</v>
      </c>
      <c r="F207" s="500"/>
      <c r="G207" s="519"/>
    </row>
    <row r="208" spans="1:7" ht="37.5" x14ac:dyDescent="0.25">
      <c r="A208" s="519">
        <f t="shared" si="3"/>
        <v>743</v>
      </c>
      <c r="B208" s="500" t="str">
        <f>Suite&amp;" Electrical Room "&amp;SWThree</f>
        <v>G104 Electrical Room XXX</v>
      </c>
      <c r="C208" s="499" t="str" cm="1">
        <f t="array" ref="C208">"UPS " &amp; SWThree</f>
        <v>UPS XXX</v>
      </c>
      <c r="D208" s="190" t="s">
        <v>1549</v>
      </c>
      <c r="E208" s="499" t="s">
        <v>1464</v>
      </c>
      <c r="F208" s="500"/>
      <c r="G208" s="519"/>
    </row>
    <row r="209" spans="1:7" ht="37.5" x14ac:dyDescent="0.25">
      <c r="A209" s="519">
        <f t="shared" si="3"/>
        <v>744</v>
      </c>
      <c r="B209" s="500" t="str">
        <f>Suite&amp;" Electrical Room "&amp;SWThree</f>
        <v>G104 Electrical Room XXX</v>
      </c>
      <c r="C209" s="499" t="str" cm="1">
        <f t="array" ref="C209">"UPS " &amp; SWThree</f>
        <v>UPS XXX</v>
      </c>
      <c r="D209" s="190" t="s">
        <v>1550</v>
      </c>
      <c r="E209" s="499" t="s">
        <v>1464</v>
      </c>
      <c r="F209" s="500"/>
      <c r="G209" s="519"/>
    </row>
    <row r="210" spans="1:7" ht="37.5" x14ac:dyDescent="0.25">
      <c r="A210" s="519">
        <f t="shared" si="3"/>
        <v>745</v>
      </c>
      <c r="B210" s="500" t="str">
        <f>Suite&amp;" Electrical Room "&amp;SWThree</f>
        <v>G104 Electrical Room XXX</v>
      </c>
      <c r="C210" s="499" t="str" cm="1">
        <f t="array" ref="C210">"UPS " &amp; SWThree</f>
        <v>UPS XXX</v>
      </c>
      <c r="D210" s="233" t="str" cm="1">
        <f t="array" ref="D210">"UPS SYSTEM " &amp;SWThree&amp;" is now in Static Bypass. Critical customer loads remains on maintenance bypass."</f>
        <v>UPS SYSTEM XXX is now in Static Bypass. Critical customer loads remains on maintenance bypass.</v>
      </c>
      <c r="E210" s="499" t="s">
        <v>1464</v>
      </c>
      <c r="F210" s="500"/>
      <c r="G210" s="519"/>
    </row>
    <row r="211" spans="1:7" ht="37.5" x14ac:dyDescent="0.25">
      <c r="A211" s="519">
        <f t="shared" si="3"/>
        <v>746</v>
      </c>
      <c r="B211" s="500" t="str">
        <f>Suite&amp;" Electrical Room "&amp;SWThree</f>
        <v>G104 Electrical Room XXX</v>
      </c>
      <c r="C211" s="499" t="str" cm="1">
        <f t="array" ref="C211">"UP" &amp; SWThree</f>
        <v>UPXXX</v>
      </c>
      <c r="D211" s="233" t="str" cm="1">
        <f t="array" ref="D211">"Notate the kW reading at UP" &amp; SWThree &amp; " Critical Bus Panel Meter: _________"</f>
        <v>Notate the kW reading at UPXXX Critical Bus Panel Meter: _________</v>
      </c>
      <c r="E211" s="499" t="s">
        <v>1464</v>
      </c>
      <c r="F211" s="500"/>
      <c r="G211" s="519"/>
    </row>
    <row r="212" spans="1:7" ht="37.5" x14ac:dyDescent="0.25">
      <c r="A212" s="519">
        <f t="shared" si="3"/>
        <v>747</v>
      </c>
      <c r="B212" s="500" t="str">
        <f>Suite&amp;" Electrical Room "&amp;SWThree</f>
        <v>G104 Electrical Room XXX</v>
      </c>
      <c r="C212" s="499" t="str" cm="1">
        <f t="array" ref="C212">"UP" &amp; SWThree</f>
        <v>UPXXX</v>
      </c>
      <c r="D212" s="233" t="str">
        <f>"Verify the readings in step " &amp; A211 &amp; " and " &amp; A136 &amp; " are within 3% of each other. (new kW divided by original kW must be ≤1.03 and ≥0.97)."</f>
        <v>Verify the readings in step 746 and 671 are within 3% of each other. (new kW divided by original kW must be ≤1.03 and ≥0.97).</v>
      </c>
      <c r="E212" s="499" t="s">
        <v>1464</v>
      </c>
      <c r="F212" s="500"/>
      <c r="G212" s="519"/>
    </row>
    <row r="213" spans="1:7" x14ac:dyDescent="0.25">
      <c r="A213" s="519">
        <f t="shared" si="3"/>
        <v>748</v>
      </c>
      <c r="B213" s="702" t="s">
        <v>1551</v>
      </c>
      <c r="C213" s="703"/>
      <c r="D213" s="703"/>
      <c r="E213" s="703"/>
      <c r="F213" s="703"/>
      <c r="G213" s="703"/>
    </row>
    <row r="214" spans="1:7" ht="37.5" x14ac:dyDescent="0.25">
      <c r="A214" s="519">
        <f t="shared" si="3"/>
        <v>749</v>
      </c>
      <c r="B214" s="500" t="str">
        <f>Suite&amp;" Electrical Room "&amp;SWThree</f>
        <v>G104 Electrical Room XXX</v>
      </c>
      <c r="C214" s="499" t="str" cm="1">
        <f t="array" ref="C214">"UP" &amp; SWThree</f>
        <v>UPXXX</v>
      </c>
      <c r="D214" s="233" t="s">
        <v>1503</v>
      </c>
      <c r="E214" s="499" t="s">
        <v>1464</v>
      </c>
      <c r="F214" s="502"/>
      <c r="G214" s="503" t="s">
        <v>1519</v>
      </c>
    </row>
    <row r="215" spans="1:7" ht="37.5" x14ac:dyDescent="0.25">
      <c r="A215" s="519">
        <f t="shared" si="3"/>
        <v>750</v>
      </c>
      <c r="B215" s="500" t="str">
        <f>Suite&amp;" Electrical Room "&amp;SWThree</f>
        <v>G104 Electrical Room XXX</v>
      </c>
      <c r="C215" s="499" t="str" cm="1">
        <f t="array" ref="C215">"UP" &amp; SWThree</f>
        <v>UPXXX</v>
      </c>
      <c r="D215" s="233" t="s">
        <v>1552</v>
      </c>
      <c r="E215" s="499" t="s">
        <v>1464</v>
      </c>
      <c r="F215" s="502"/>
      <c r="G215" s="503" t="s">
        <v>1519</v>
      </c>
    </row>
    <row r="216" spans="1:7" ht="37.5" x14ac:dyDescent="0.25">
      <c r="A216" s="519">
        <f t="shared" si="3"/>
        <v>751</v>
      </c>
      <c r="B216" s="500" t="str">
        <f>Suite&amp;" Electrical Room "&amp;SWThree</f>
        <v>G104 Electrical Room XXX</v>
      </c>
      <c r="C216" s="499" t="str" cm="1">
        <f t="array" ref="C216">"UP" &amp; SWThree</f>
        <v>UPXXX</v>
      </c>
      <c r="D216" s="233" t="s">
        <v>1505</v>
      </c>
      <c r="E216" s="499" t="s">
        <v>1464</v>
      </c>
      <c r="F216" s="502"/>
      <c r="G216" s="503" t="s">
        <v>1519</v>
      </c>
    </row>
    <row r="217" spans="1:7" ht="37.5" x14ac:dyDescent="0.25">
      <c r="A217" s="519">
        <f t="shared" si="3"/>
        <v>752</v>
      </c>
      <c r="B217" s="500" t="str">
        <f>Suite&amp;" Electrical Room "&amp;SWThree</f>
        <v>G104 Electrical Room XXX</v>
      </c>
      <c r="C217" s="499" t="str" cm="1">
        <f t="array" ref="C217">"UP" &amp; SWThree</f>
        <v>UPXXX</v>
      </c>
      <c r="D217" s="233" t="str" cm="1">
        <f t="array" ref="D217">"Insert the interlock key into the MCBUP" &amp; SWThree &amp; " breaker lock cylinder."</f>
        <v>Insert the interlock key into the MCBUPXXX breaker lock cylinder.</v>
      </c>
      <c r="E217" s="499" t="s">
        <v>1464</v>
      </c>
      <c r="F217" s="502"/>
      <c r="G217" s="503" t="s">
        <v>1519</v>
      </c>
    </row>
    <row r="218" spans="1:7" ht="37.5" x14ac:dyDescent="0.25">
      <c r="A218" s="519">
        <f t="shared" si="3"/>
        <v>753</v>
      </c>
      <c r="B218" s="500" t="str">
        <f>Suite&amp;" Electrical Room "&amp;SWThree</f>
        <v>G104 Electrical Room XXX</v>
      </c>
      <c r="C218" s="499" t="str" cm="1">
        <f t="array" ref="C218">"UP" &amp; SWThree</f>
        <v>UPXXX</v>
      </c>
      <c r="D218" s="233" t="str" cm="1">
        <f t="array" ref="D218">"ROTATE the interlock key 90 degrees to UNLOCK the MCBUP" &amp; SWThree &amp; " breaker."</f>
        <v>ROTATE the interlock key 90 degrees to UNLOCK the MCBUPXXX breaker.</v>
      </c>
      <c r="E218" s="499" t="s">
        <v>1464</v>
      </c>
      <c r="F218" s="502"/>
      <c r="G218" s="503" t="s">
        <v>1519</v>
      </c>
    </row>
    <row r="219" spans="1:7" ht="37.5" x14ac:dyDescent="0.25">
      <c r="A219" s="519">
        <f t="shared" si="3"/>
        <v>754</v>
      </c>
      <c r="B219" s="500" t="str">
        <f>Suite&amp;" Electrical Room "&amp;SWThree</f>
        <v>G104 Electrical Room XXX</v>
      </c>
      <c r="C219" s="499" t="str" cm="1">
        <f t="array" ref="C219">"UP" &amp; SWThree</f>
        <v>UPXXX</v>
      </c>
      <c r="D219" s="233" t="str" cm="1">
        <f t="array" ref="D219">"Close breaker MCBUP"&amp;SWThree&amp;"."</f>
        <v>Close breaker MCBUPXXX.</v>
      </c>
      <c r="E219" s="499" t="s">
        <v>1464</v>
      </c>
      <c r="F219" s="502"/>
      <c r="G219" s="503" t="s">
        <v>1519</v>
      </c>
    </row>
    <row r="220" spans="1:7" ht="37.5" x14ac:dyDescent="0.25">
      <c r="A220" s="519">
        <f t="shared" ref="A220:A274" si="4">A219+1</f>
        <v>755</v>
      </c>
      <c r="B220" s="500" t="str">
        <f>Suite&amp;" Electrical Room "&amp;SWThree</f>
        <v>G104 Electrical Room XXX</v>
      </c>
      <c r="C220" s="499" t="str" cm="1">
        <f t="array" ref="C220">"UP" &amp; SWThree</f>
        <v>UPXXX</v>
      </c>
      <c r="D220" s="233" t="str" cm="1">
        <f t="array" ref="D220">"Verify MCBUP" &amp; SWThree &amp; " breaker flag indicates CLOSED."</f>
        <v>Verify MCBUPXXX breaker flag indicates CLOSED.</v>
      </c>
      <c r="E220" s="499" t="s">
        <v>1464</v>
      </c>
      <c r="F220" s="502"/>
      <c r="G220" s="503" t="s">
        <v>1519</v>
      </c>
    </row>
    <row r="221" spans="1:7" ht="37.5" x14ac:dyDescent="0.25">
      <c r="A221" s="519">
        <f t="shared" si="4"/>
        <v>756</v>
      </c>
      <c r="B221" s="500" t="str">
        <f>Suite&amp;" Electrical Room "&amp;SWThree</f>
        <v>G104 Electrical Room XXX</v>
      </c>
      <c r="C221" s="499" t="str" cm="1">
        <f t="array" ref="C221">"UP" &amp; SWThree</f>
        <v>UPXXX</v>
      </c>
      <c r="D221" s="233" t="str" cm="1">
        <f t="array" ref="D221">"Verify breaker MCBUP"&amp;SWThree&amp;" is carrying a portion of critical customer load using breaker mounted metering."</f>
        <v>Verify breaker MCBUPXXX is carrying a portion of critical customer load using breaker mounted metering.</v>
      </c>
      <c r="E221" s="499" t="s">
        <v>1464</v>
      </c>
      <c r="F221" s="502"/>
      <c r="G221" s="503" t="s">
        <v>1519</v>
      </c>
    </row>
    <row r="222" spans="1:7" ht="37.5" x14ac:dyDescent="0.25">
      <c r="A222" s="519">
        <f t="shared" si="4"/>
        <v>757</v>
      </c>
      <c r="B222" s="500" t="str">
        <f>Suite&amp;" Electrical Room "&amp;SWThree</f>
        <v>G104 Electrical Room XXX</v>
      </c>
      <c r="C222" s="499" t="str" cm="1">
        <f t="array" ref="C222">"UP" &amp; SWThree</f>
        <v>UPXXX</v>
      </c>
      <c r="D222" s="233" t="str" cm="1">
        <f t="array" ref="D222">"Verify breaker MBUP"&amp;SWThree&amp;" is carrying a portion of critical customer load using breaker mounted metering."</f>
        <v>Verify breaker MBUPXXX is carrying a portion of critical customer load using breaker mounted metering.</v>
      </c>
      <c r="E222" s="499" t="s">
        <v>1464</v>
      </c>
      <c r="F222" s="502"/>
      <c r="G222" s="503" t="s">
        <v>1519</v>
      </c>
    </row>
    <row r="223" spans="1:7" ht="37.5" x14ac:dyDescent="0.25">
      <c r="A223" s="519">
        <f t="shared" si="4"/>
        <v>758</v>
      </c>
      <c r="B223" s="500" t="str">
        <f>Suite&amp;" Electrical Room "&amp;SWThree</f>
        <v>G104 Electrical Room XXX</v>
      </c>
      <c r="C223" s="499" t="str" cm="1">
        <f t="array" ref="C223">"UP" &amp; SWThree</f>
        <v>UPXXX</v>
      </c>
      <c r="D223" s="233" t="str" cm="1">
        <f t="array" ref="D223">"Notate the kW reading at UP" &amp; SWThree &amp; " Critical Bus Panel Meter: _________"</f>
        <v>Notate the kW reading at UPXXX Critical Bus Panel Meter: _________</v>
      </c>
      <c r="E223" s="499" t="s">
        <v>1464</v>
      </c>
      <c r="F223" s="502"/>
      <c r="G223" s="503" t="s">
        <v>1519</v>
      </c>
    </row>
    <row r="224" spans="1:7" ht="37.5" x14ac:dyDescent="0.25">
      <c r="A224" s="519">
        <f t="shared" si="4"/>
        <v>759</v>
      </c>
      <c r="B224" s="500" t="str">
        <f>Suite&amp;" Electrical Room "&amp;SWThree</f>
        <v>G104 Electrical Room XXX</v>
      </c>
      <c r="C224" s="499" t="str" cm="1">
        <f t="array" ref="C224">"UP" &amp; SWThree</f>
        <v>UPXXX</v>
      </c>
      <c r="D224" s="233" t="str">
        <f>"Verify the readings in step " &amp; A211 &amp; " and " &amp; A223 &amp; " are within 3% of each other. (new kW divided by original kW must be ≤1.03 and ≥0.97)."</f>
        <v>Verify the readings in step 746 and 758 are within 3% of each other. (new kW divided by original kW must be ≤1.03 and ≥0.97).</v>
      </c>
      <c r="E224" s="499" t="s">
        <v>1464</v>
      </c>
      <c r="F224" s="502"/>
      <c r="G224" s="503" t="s">
        <v>1519</v>
      </c>
    </row>
    <row r="225" spans="1:7" ht="37.5" x14ac:dyDescent="0.25">
      <c r="A225" s="519">
        <f t="shared" si="4"/>
        <v>760</v>
      </c>
      <c r="B225" s="500" t="str">
        <f>Suite&amp;" Electrical Room "&amp;SWThree</f>
        <v>G104 Electrical Room XXX</v>
      </c>
      <c r="C225" s="499" t="str" cm="1">
        <f t="array" ref="C225">"UP" &amp; SWThree</f>
        <v>UPXXX</v>
      </c>
      <c r="D225" s="233" t="str" cm="1">
        <f t="array" ref="D225">"Open breaker MBUP"&amp;SWThree&amp;"."</f>
        <v>Open breaker MBUPXXX.</v>
      </c>
      <c r="E225" s="499" t="s">
        <v>1464</v>
      </c>
      <c r="F225" s="502"/>
      <c r="G225" s="503" t="s">
        <v>1519</v>
      </c>
    </row>
    <row r="226" spans="1:7" ht="37.5" x14ac:dyDescent="0.25">
      <c r="A226" s="519">
        <f t="shared" si="4"/>
        <v>761</v>
      </c>
      <c r="B226" s="500" t="str">
        <f>Suite&amp;" Electrical Room "&amp;SWThree</f>
        <v>G104 Electrical Room XXX</v>
      </c>
      <c r="C226" s="499" t="str" cm="1">
        <f t="array" ref="C226">"UP" &amp; SWThree</f>
        <v>UPXXX</v>
      </c>
      <c r="D226" s="233" t="s">
        <v>1501</v>
      </c>
      <c r="E226" s="499" t="s">
        <v>1464</v>
      </c>
      <c r="F226" s="502"/>
      <c r="G226" s="503" t="s">
        <v>1519</v>
      </c>
    </row>
    <row r="227" spans="1:7" ht="37.5" x14ac:dyDescent="0.25">
      <c r="A227" s="519">
        <f t="shared" si="4"/>
        <v>762</v>
      </c>
      <c r="B227" s="500" t="str">
        <f>Suite&amp;" Electrical Room "&amp;SWThree</f>
        <v>G104 Electrical Room XXX</v>
      </c>
      <c r="C227" s="499" t="str" cm="1">
        <f t="array" ref="C227">"UP" &amp; SWThree</f>
        <v>UPXXX</v>
      </c>
      <c r="D227" s="233" t="str" cm="1">
        <f t="array" ref="D227">"Verify MBUP" &amp; SWThree &amp; " breaker flag indicates OPEN."</f>
        <v>Verify MBUPXXX breaker flag indicates OPEN.</v>
      </c>
      <c r="E227" s="499" t="s">
        <v>1464</v>
      </c>
      <c r="F227" s="502"/>
      <c r="G227" s="503" t="s">
        <v>1519</v>
      </c>
    </row>
    <row r="228" spans="1:7" ht="37.5" x14ac:dyDescent="0.25">
      <c r="A228" s="519">
        <f t="shared" si="4"/>
        <v>763</v>
      </c>
      <c r="B228" s="500" t="str">
        <f>Suite&amp;" Electrical Room "&amp;SWThree</f>
        <v>G104 Electrical Room XXX</v>
      </c>
      <c r="C228" s="499" t="str" cm="1">
        <f t="array" ref="C228">"UP" &amp; SWThree</f>
        <v>UPXXX</v>
      </c>
      <c r="D228" s="233" t="str" cm="1">
        <f t="array" ref="D228">"Notate the kW reading at UP" &amp; SWThree &amp; " Critical Bus Panel Meter: _________"</f>
        <v>Notate the kW reading at UPXXX Critical Bus Panel Meter: _________</v>
      </c>
      <c r="E228" s="499" t="s">
        <v>1464</v>
      </c>
      <c r="F228" s="502"/>
      <c r="G228" s="503" t="s">
        <v>1519</v>
      </c>
    </row>
    <row r="229" spans="1:7" ht="37.5" x14ac:dyDescent="0.25">
      <c r="A229" s="519">
        <f t="shared" si="4"/>
        <v>764</v>
      </c>
      <c r="B229" s="500" t="str">
        <f>Suite&amp;" Electrical Room "&amp;SWThree</f>
        <v>G104 Electrical Room XXX</v>
      </c>
      <c r="C229" s="499" t="str" cm="1">
        <f t="array" ref="C229">"UP" &amp; SWThree</f>
        <v>UPXXX</v>
      </c>
      <c r="D229" s="233" t="str">
        <f>"Verify the readings in step " &amp; A223 &amp; " and " &amp; A228 &amp; " are within 3% of each other. (new kW divided by original kW must be ≤1.03 and ≥0.97)."</f>
        <v>Verify the readings in step 758 and 763 are within 3% of each other. (new kW divided by original kW must be ≤1.03 and ≥0.97).</v>
      </c>
      <c r="E229" s="499" t="s">
        <v>1464</v>
      </c>
      <c r="F229" s="502"/>
      <c r="G229" s="503" t="s">
        <v>1519</v>
      </c>
    </row>
    <row r="230" spans="1:7" ht="37.5" x14ac:dyDescent="0.25">
      <c r="A230" s="519">
        <f t="shared" si="4"/>
        <v>765</v>
      </c>
      <c r="B230" s="500" t="str">
        <f>Suite&amp;" Electrical Room "&amp;SWThree</f>
        <v>G104 Electrical Room XXX</v>
      </c>
      <c r="C230" s="499" t="str" cm="1">
        <f t="array" ref="C230">"UP" &amp; SWThree</f>
        <v>UPXXX</v>
      </c>
      <c r="D230" s="233" t="s">
        <v>1553</v>
      </c>
      <c r="E230" s="499" t="s">
        <v>1464</v>
      </c>
      <c r="F230" s="502"/>
      <c r="G230" s="503" t="s">
        <v>1519</v>
      </c>
    </row>
    <row r="231" spans="1:7" ht="37.5" x14ac:dyDescent="0.25">
      <c r="A231" s="519">
        <f t="shared" si="4"/>
        <v>766</v>
      </c>
      <c r="B231" s="500" t="str">
        <f>Suite&amp;" Electrical Room "&amp;SWThree</f>
        <v>G104 Electrical Room XXX</v>
      </c>
      <c r="C231" s="499" t="str" cm="1">
        <f t="array" ref="C231">"UP" &amp; SWThree</f>
        <v>UPXXX</v>
      </c>
      <c r="D231" s="233" t="str" cm="1">
        <f t="array" ref="D231">"Rotate the interlock key 90 degrees to LOCK the MBUP"&amp;SWThree&amp;" breaker."</f>
        <v>Rotate the interlock key 90 degrees to LOCK the MBUPXXX breaker.</v>
      </c>
      <c r="E231" s="499" t="s">
        <v>1464</v>
      </c>
      <c r="F231" s="502"/>
      <c r="G231" s="503" t="s">
        <v>1519</v>
      </c>
    </row>
    <row r="232" spans="1:7" ht="37.5" x14ac:dyDescent="0.25">
      <c r="A232" s="519">
        <f t="shared" si="4"/>
        <v>767</v>
      </c>
      <c r="B232" s="500" t="str">
        <f>Suite&amp;" Electrical Room "&amp;SWThree</f>
        <v>G104 Electrical Room XXX</v>
      </c>
      <c r="C232" s="499" t="str" cm="1">
        <f t="array" ref="C232">"UP" &amp; SWThree</f>
        <v>UPXXX</v>
      </c>
      <c r="D232" s="233" t="str" cm="1">
        <f t="array" ref="D232">"Remove the interlock key from the MBUP"&amp;SWThree&amp;" breaker lock cylinder."</f>
        <v>Remove the interlock key from the MBUPXXX breaker lock cylinder.</v>
      </c>
      <c r="E232" s="499" t="s">
        <v>1464</v>
      </c>
      <c r="F232" s="502"/>
      <c r="G232" s="503" t="s">
        <v>1519</v>
      </c>
    </row>
    <row r="233" spans="1:7" ht="37.5" x14ac:dyDescent="0.25">
      <c r="A233" s="519">
        <f t="shared" si="4"/>
        <v>768</v>
      </c>
      <c r="B233" s="500" t="str">
        <f>Suite&amp;" Electrical Room "&amp;SWThree</f>
        <v>G104 Electrical Room XXX</v>
      </c>
      <c r="C233" s="499" t="str" cm="1">
        <f t="array" ref="C233">"UP" &amp; SWThree</f>
        <v>UPXXX</v>
      </c>
      <c r="D233" s="233" t="s">
        <v>1507</v>
      </c>
      <c r="E233" s="499" t="s">
        <v>1464</v>
      </c>
      <c r="F233" s="502"/>
      <c r="G233" s="503" t="s">
        <v>1519</v>
      </c>
    </row>
    <row r="234" spans="1:7" ht="37.5" x14ac:dyDescent="0.25">
      <c r="A234" s="519">
        <f t="shared" si="4"/>
        <v>769</v>
      </c>
      <c r="B234" s="500" t="str">
        <f>Suite&amp;" Electrical Room "&amp;SWThree</f>
        <v>G104 Electrical Room XXX</v>
      </c>
      <c r="C234" s="499" t="str" cm="1">
        <f t="array" ref="C234">"UP" &amp; SWThree</f>
        <v>UPXXX</v>
      </c>
      <c r="D234" s="233" t="s">
        <v>1508</v>
      </c>
      <c r="E234" s="499" t="s">
        <v>1464</v>
      </c>
      <c r="F234" s="502"/>
      <c r="G234" s="503" t="s">
        <v>1519</v>
      </c>
    </row>
    <row r="235" spans="1:7" ht="37.5" x14ac:dyDescent="0.25">
      <c r="A235" s="519">
        <f t="shared" si="4"/>
        <v>770</v>
      </c>
      <c r="B235" s="500" t="str">
        <f>Suite&amp;" Electrical Room "&amp;SWThree</f>
        <v>G104 Electrical Room XXX</v>
      </c>
      <c r="C235" s="499" t="str" cm="1">
        <f t="array" ref="C235">"UP" &amp; SWThree</f>
        <v>UPXXX</v>
      </c>
      <c r="D235" s="233" t="s">
        <v>1509</v>
      </c>
      <c r="E235" s="499" t="s">
        <v>1464</v>
      </c>
      <c r="F235" s="502"/>
      <c r="G235" s="503" t="s">
        <v>1519</v>
      </c>
    </row>
    <row r="236" spans="1:7" ht="37.5" x14ac:dyDescent="0.25">
      <c r="A236" s="519">
        <f t="shared" si="4"/>
        <v>771</v>
      </c>
      <c r="B236" s="500" t="str">
        <f>Suite&amp;" Electrical Room "&amp;SWThree</f>
        <v>G104 Electrical Room XXX</v>
      </c>
      <c r="C236" s="499" t="str" cm="1">
        <f t="array" ref="C236">"UP" &amp; SWThree</f>
        <v>UPXXX</v>
      </c>
      <c r="D236" s="233" t="s">
        <v>1510</v>
      </c>
      <c r="E236" s="499" t="s">
        <v>1464</v>
      </c>
      <c r="F236" s="502"/>
      <c r="G236" s="503" t="s">
        <v>1519</v>
      </c>
    </row>
    <row r="237" spans="1:7" x14ac:dyDescent="0.25">
      <c r="A237" s="519">
        <f t="shared" si="4"/>
        <v>772</v>
      </c>
      <c r="B237" s="702" t="str" cm="1">
        <f t="array" ref="B237">"Transfer UPS System " &amp; SWThree &amp; " to Inverter Service"</f>
        <v>Transfer UPS System XXX to Inverter Service</v>
      </c>
      <c r="C237" s="703"/>
      <c r="D237" s="703"/>
      <c r="E237" s="703"/>
      <c r="F237" s="703"/>
      <c r="G237" s="703"/>
    </row>
    <row r="238" spans="1:7" ht="37.5" x14ac:dyDescent="0.25">
      <c r="A238" s="519">
        <f t="shared" si="4"/>
        <v>773</v>
      </c>
      <c r="B238" s="500" t="str">
        <f>Suite&amp;" Electrical Room "&amp;SWThree</f>
        <v>G104 Electrical Room XXX</v>
      </c>
      <c r="C238" s="499" t="str" cm="1">
        <f t="array" ref="C238">"UPS " &amp; SWThree &amp; "1"</f>
        <v>UPS XXX1</v>
      </c>
      <c r="D238" s="190" t="s">
        <v>1554</v>
      </c>
      <c r="E238" s="499" t="s">
        <v>1464</v>
      </c>
      <c r="F238" s="500" t="s">
        <v>1519</v>
      </c>
      <c r="G238" s="519"/>
    </row>
    <row r="239" spans="1:7" ht="37.5" x14ac:dyDescent="0.25">
      <c r="A239" s="519">
        <f t="shared" si="4"/>
        <v>774</v>
      </c>
      <c r="B239" s="500" t="str">
        <f>Suite&amp;" Electrical Room "&amp;SWThree</f>
        <v>G104 Electrical Room XXX</v>
      </c>
      <c r="C239" s="499" t="str" cm="1">
        <f t="array" ref="C239">"UPS " &amp; SWThree &amp; "1"</f>
        <v>UPS XXX1</v>
      </c>
      <c r="D239" s="233" t="s">
        <v>1497</v>
      </c>
      <c r="E239" s="499" t="s">
        <v>1464</v>
      </c>
      <c r="F239" s="500"/>
      <c r="G239" s="519"/>
    </row>
    <row r="240" spans="1:7" ht="37.5" x14ac:dyDescent="0.25">
      <c r="A240" s="519">
        <f t="shared" si="4"/>
        <v>775</v>
      </c>
      <c r="B240" s="500" t="str">
        <f>Suite&amp;" Electrical Room "&amp;SWThree</f>
        <v>G104 Electrical Room XXX</v>
      </c>
      <c r="C240" s="499" t="str" cm="1">
        <f t="array" ref="C240">"UPS " &amp; SWThree &amp; "1"</f>
        <v>UPS XXX1</v>
      </c>
      <c r="D240" s="190" t="s">
        <v>1498</v>
      </c>
      <c r="E240" s="499" t="s">
        <v>1464</v>
      </c>
      <c r="F240" s="500"/>
      <c r="G240" s="519"/>
    </row>
    <row r="241" spans="1:7" ht="37.5" x14ac:dyDescent="0.25">
      <c r="A241" s="519">
        <f t="shared" si="4"/>
        <v>776</v>
      </c>
      <c r="B241" s="500" t="str">
        <f>Suite&amp;" Electrical Room "&amp;SWThree</f>
        <v>G104 Electrical Room XXX</v>
      </c>
      <c r="C241" s="499" t="str" cm="1">
        <f t="array" ref="C241">"UPS " &amp; SWThree &amp; "1"</f>
        <v>UPS XXX1</v>
      </c>
      <c r="D241" s="190" t="s">
        <v>1499</v>
      </c>
      <c r="E241" s="499" t="s">
        <v>1464</v>
      </c>
      <c r="F241" s="500"/>
      <c r="G241" s="519"/>
    </row>
    <row r="242" spans="1:7" ht="37.5" x14ac:dyDescent="0.25">
      <c r="A242" s="519">
        <f t="shared" si="4"/>
        <v>777</v>
      </c>
      <c r="B242" s="500" t="str">
        <f>Suite&amp;" Electrical Room "&amp;SWThree</f>
        <v>G104 Electrical Room XXX</v>
      </c>
      <c r="C242" s="499" t="str" cm="1">
        <f t="array" ref="C242">"UPS " &amp; SWThree &amp; "1"</f>
        <v>UPS XXX1</v>
      </c>
      <c r="D242" s="190" t="s">
        <v>1555</v>
      </c>
      <c r="E242" s="499" t="s">
        <v>1464</v>
      </c>
      <c r="F242" s="500"/>
      <c r="G242" s="519"/>
    </row>
    <row r="243" spans="1:7" ht="37.5" x14ac:dyDescent="0.25">
      <c r="A243" s="519">
        <f t="shared" si="4"/>
        <v>778</v>
      </c>
      <c r="B243" s="500" t="str">
        <f>Suite&amp;" Electrical Room "&amp;SWThree</f>
        <v>G104 Electrical Room XXX</v>
      </c>
      <c r="C243" s="499" t="str" cm="1">
        <f t="array" ref="C243">"UPS " &amp; SWThree</f>
        <v>UPS XXX</v>
      </c>
      <c r="D243" s="190" t="s">
        <v>1556</v>
      </c>
      <c r="E243" s="499" t="s">
        <v>1464</v>
      </c>
      <c r="F243" s="500"/>
      <c r="G243" s="519"/>
    </row>
    <row r="244" spans="1:7" ht="37.5" x14ac:dyDescent="0.25">
      <c r="A244" s="519">
        <f t="shared" si="4"/>
        <v>779</v>
      </c>
      <c r="B244" s="500" t="str">
        <f>Suite&amp;" Electrical Room "&amp;SWThree</f>
        <v>G104 Electrical Room XXX</v>
      </c>
      <c r="C244" s="499" t="str" cm="1">
        <f t="array" ref="C244">"UPS " &amp; SWThree</f>
        <v>UPS XXX</v>
      </c>
      <c r="D244" s="233" t="s">
        <v>1557</v>
      </c>
      <c r="E244" s="499" t="s">
        <v>1464</v>
      </c>
      <c r="F244" s="500"/>
      <c r="G244" s="519"/>
    </row>
    <row r="245" spans="1:7" ht="37.5" x14ac:dyDescent="0.25">
      <c r="A245" s="519">
        <f t="shared" si="4"/>
        <v>780</v>
      </c>
      <c r="B245" s="500" t="str">
        <f>Suite&amp;" Electrical Room A"</f>
        <v>G104 Electrical Room A</v>
      </c>
      <c r="C245" s="499" t="s">
        <v>1466</v>
      </c>
      <c r="D245" s="191" t="s">
        <v>1467</v>
      </c>
      <c r="E245" s="499" t="s">
        <v>1464</v>
      </c>
      <c r="F245" s="500"/>
      <c r="G245" s="519"/>
    </row>
    <row r="246" spans="1:7" ht="37.5" x14ac:dyDescent="0.25">
      <c r="A246" s="519">
        <f t="shared" si="4"/>
        <v>781</v>
      </c>
      <c r="B246" s="500" t="str">
        <f>Suite&amp;" Electrical Room A"</f>
        <v>G104 Electrical Room A</v>
      </c>
      <c r="C246" s="499" t="s">
        <v>1466</v>
      </c>
      <c r="D246" s="233" t="str">
        <f>"Verify the readings in step " &amp; A245 &amp; " and " &amp;A10 &amp; " are within 3% of each other. (new kW divided by original kW must be ≤1.03 and ≥0.97)."</f>
        <v>Verify the readings in step 780 and 545 are within 3% of each other. (new kW divided by original kW must be ≤1.03 and ≥0.97).</v>
      </c>
      <c r="E246" s="499" t="s">
        <v>1464</v>
      </c>
      <c r="F246" s="500"/>
      <c r="G246" s="519"/>
    </row>
    <row r="247" spans="1:7" ht="37.5" x14ac:dyDescent="0.25">
      <c r="A247" s="519">
        <f t="shared" si="4"/>
        <v>782</v>
      </c>
      <c r="B247" s="500" t="str">
        <f>Suite&amp;" Electrical Room A"</f>
        <v>G104 Electrical Room A</v>
      </c>
      <c r="C247" s="499" t="s">
        <v>1468</v>
      </c>
      <c r="D247" s="191" t="s">
        <v>1469</v>
      </c>
      <c r="E247" s="499" t="s">
        <v>1464</v>
      </c>
      <c r="F247" s="500"/>
      <c r="G247" s="519"/>
    </row>
    <row r="248" spans="1:7" ht="37.5" x14ac:dyDescent="0.25">
      <c r="A248" s="519">
        <f t="shared" si="4"/>
        <v>783</v>
      </c>
      <c r="B248" s="500" t="str">
        <f>Suite&amp;" Electrical Room A"</f>
        <v>G104 Electrical Room A</v>
      </c>
      <c r="C248" s="499" t="s">
        <v>1468</v>
      </c>
      <c r="D248" s="233" t="str">
        <f>"Verify the readings in step " &amp; A247 &amp; " and " &amp; A11 &amp; " are within 3% of each other. (new kW divided by original kW must be ≤1.03 and ≥0.97)."</f>
        <v>Verify the readings in step 782 and 546 are within 3% of each other. (new kW divided by original kW must be ≤1.03 and ≥0.97).</v>
      </c>
      <c r="E248" s="499" t="s">
        <v>1464</v>
      </c>
      <c r="F248" s="500"/>
      <c r="G248" s="519"/>
    </row>
    <row r="249" spans="1:7" ht="37.5" x14ac:dyDescent="0.25">
      <c r="A249" s="519">
        <f t="shared" si="4"/>
        <v>784</v>
      </c>
      <c r="B249" s="500" t="str">
        <f>Suite&amp;" Electrical Room A"</f>
        <v>G104 Electrical Room A</v>
      </c>
      <c r="C249" s="499" t="s">
        <v>1521</v>
      </c>
      <c r="D249" s="191" t="s">
        <v>1471</v>
      </c>
      <c r="E249" s="499" t="s">
        <v>1464</v>
      </c>
      <c r="F249" s="500"/>
      <c r="G249" s="519"/>
    </row>
    <row r="250" spans="1:7" ht="37.5" x14ac:dyDescent="0.25">
      <c r="A250" s="519">
        <f t="shared" si="4"/>
        <v>785</v>
      </c>
      <c r="B250" s="500" t="str">
        <f>Suite&amp;" Electrical Room A"</f>
        <v>G104 Electrical Room A</v>
      </c>
      <c r="C250" s="499" t="s">
        <v>1521</v>
      </c>
      <c r="D250" s="233" t="str">
        <f>"Verify the readings in step " &amp; A249 &amp; " and " &amp; A120 &amp; " are within 3% of each other. (new kW divided by original kW must be ≤1.03 and ≥0.97)."</f>
        <v>Verify the readings in step 784 and 655 are within 3% of each other. (new kW divided by original kW must be ≤1.03 and ≥0.97).</v>
      </c>
      <c r="E250" s="499" t="s">
        <v>1464</v>
      </c>
      <c r="F250" s="500"/>
      <c r="G250" s="519"/>
    </row>
    <row r="251" spans="1:7" ht="37.5" x14ac:dyDescent="0.25">
      <c r="A251" s="519">
        <f t="shared" si="4"/>
        <v>786</v>
      </c>
      <c r="B251" s="500" t="str">
        <f>Suite&amp;" Electrical Room B"</f>
        <v>G104 Electrical Room B</v>
      </c>
      <c r="C251" s="499" t="s">
        <v>1472</v>
      </c>
      <c r="D251" s="191" t="s">
        <v>1473</v>
      </c>
      <c r="E251" s="499" t="s">
        <v>1464</v>
      </c>
      <c r="F251" s="500"/>
      <c r="G251" s="519"/>
    </row>
    <row r="252" spans="1:7" ht="37.5" x14ac:dyDescent="0.25">
      <c r="A252" s="519">
        <f t="shared" si="4"/>
        <v>787</v>
      </c>
      <c r="B252" s="500" t="str">
        <f>Suite&amp;" Electrical Room B"</f>
        <v>G104 Electrical Room B</v>
      </c>
      <c r="C252" s="499" t="s">
        <v>1472</v>
      </c>
      <c r="D252" s="233" t="str">
        <f>"Verify the readings in step " &amp; A251 &amp; " and " &amp; A13 &amp; " are within 3% of each other. (new kW divided by original kW must be ≤1.03 and ≥0.97)."</f>
        <v>Verify the readings in step 786 and 548 are within 3% of each other. (new kW divided by original kW must be ≤1.03 and ≥0.97).</v>
      </c>
      <c r="E252" s="499" t="s">
        <v>1464</v>
      </c>
      <c r="F252" s="500"/>
      <c r="G252" s="519"/>
    </row>
    <row r="253" spans="1:7" ht="37.5" x14ac:dyDescent="0.25">
      <c r="A253" s="519">
        <f t="shared" si="4"/>
        <v>788</v>
      </c>
      <c r="B253" s="500" t="str">
        <f>Suite&amp;" Electrical Room B"</f>
        <v>G104 Electrical Room B</v>
      </c>
      <c r="C253" s="499" t="s">
        <v>1474</v>
      </c>
      <c r="D253" s="191" t="s">
        <v>1475</v>
      </c>
      <c r="E253" s="499" t="s">
        <v>1464</v>
      </c>
      <c r="F253" s="500"/>
      <c r="G253" s="519"/>
    </row>
    <row r="254" spans="1:7" ht="37.5" x14ac:dyDescent="0.25">
      <c r="A254" s="519">
        <f t="shared" si="4"/>
        <v>789</v>
      </c>
      <c r="B254" s="500" t="str">
        <f>Suite&amp;" Electrical Room B"</f>
        <v>G104 Electrical Room B</v>
      </c>
      <c r="C254" s="499" t="s">
        <v>1474</v>
      </c>
      <c r="D254" s="233" t="str">
        <f>"Verify the readings in step " &amp; A253 &amp; " and " &amp; A14 &amp; " are within 3% of each other. (new kW divided by original kW must be ≤1.03 and ≥0.97)."</f>
        <v>Verify the readings in step 788 and 549 are within 3% of each other. (new kW divided by original kW must be ≤1.03 and ≥0.97).</v>
      </c>
      <c r="E254" s="499" t="s">
        <v>1464</v>
      </c>
      <c r="F254" s="500"/>
      <c r="G254" s="519"/>
    </row>
    <row r="255" spans="1:7" ht="37.5" x14ac:dyDescent="0.25">
      <c r="A255" s="519">
        <f t="shared" si="4"/>
        <v>790</v>
      </c>
      <c r="B255" s="500" t="str">
        <f>Suite&amp;" Electrical Room B"</f>
        <v>G104 Electrical Room B</v>
      </c>
      <c r="C255" s="499" t="s">
        <v>1522</v>
      </c>
      <c r="D255" s="191" t="s">
        <v>1477</v>
      </c>
      <c r="E255" s="499" t="s">
        <v>1464</v>
      </c>
      <c r="F255" s="500"/>
      <c r="G255" s="519"/>
    </row>
    <row r="256" spans="1:7" ht="37.5" x14ac:dyDescent="0.25">
      <c r="A256" s="519">
        <f t="shared" si="4"/>
        <v>791</v>
      </c>
      <c r="B256" s="500" t="str">
        <f>Suite&amp;" Electrical Room B"</f>
        <v>G104 Electrical Room B</v>
      </c>
      <c r="C256" s="499" t="s">
        <v>1522</v>
      </c>
      <c r="D256" s="233" t="str">
        <f>"Verify the readings in step " &amp; A255 &amp; " and " &amp; A122 &amp; " are within 3% of each other. (new kW divided by original kW must be ≤1.03 and ≥0.97)."</f>
        <v>Verify the readings in step 790 and 657 are within 3% of each other. (new kW divided by original kW must be ≤1.03 and ≥0.97).</v>
      </c>
      <c r="E256" s="499" t="s">
        <v>1464</v>
      </c>
      <c r="F256" s="500"/>
      <c r="G256" s="519"/>
    </row>
    <row r="257" spans="1:7" ht="37.5" x14ac:dyDescent="0.25">
      <c r="A257" s="519">
        <f t="shared" si="4"/>
        <v>792</v>
      </c>
      <c r="B257" s="500" t="str">
        <f>Suite&amp;" Electrical Room C"</f>
        <v>G104 Electrical Room C</v>
      </c>
      <c r="C257" s="499" t="s">
        <v>1478</v>
      </c>
      <c r="D257" s="191" t="s">
        <v>1479</v>
      </c>
      <c r="E257" s="499" t="s">
        <v>1464</v>
      </c>
      <c r="F257" s="500"/>
      <c r="G257" s="519"/>
    </row>
    <row r="258" spans="1:7" ht="37.5" x14ac:dyDescent="0.25">
      <c r="A258" s="519">
        <f t="shared" si="4"/>
        <v>793</v>
      </c>
      <c r="B258" s="500" t="str">
        <f>Suite&amp;" Electrical Room C"</f>
        <v>G104 Electrical Room C</v>
      </c>
      <c r="C258" s="499" t="s">
        <v>1478</v>
      </c>
      <c r="D258" s="233" t="str">
        <f>"Verify the readings in step " &amp; A257 &amp; " and " &amp; A16 &amp; " are within 3% of each other. (new kW divided by original kW must be ≤1.03 and ≥0.97)."</f>
        <v>Verify the readings in step 792 and 551 are within 3% of each other. (new kW divided by original kW must be ≤1.03 and ≥0.97).</v>
      </c>
      <c r="E258" s="499" t="s">
        <v>1464</v>
      </c>
      <c r="F258" s="500"/>
      <c r="G258" s="519"/>
    </row>
    <row r="259" spans="1:7" ht="37.5" x14ac:dyDescent="0.25">
      <c r="A259" s="519">
        <f t="shared" si="4"/>
        <v>794</v>
      </c>
      <c r="B259" s="500" t="str">
        <f>Suite&amp;" Electrical Room C"</f>
        <v>G104 Electrical Room C</v>
      </c>
      <c r="C259" s="499" t="s">
        <v>1480</v>
      </c>
      <c r="D259" s="191" t="s">
        <v>1481</v>
      </c>
      <c r="E259" s="499" t="s">
        <v>1464</v>
      </c>
      <c r="F259" s="500"/>
      <c r="G259" s="519"/>
    </row>
    <row r="260" spans="1:7" ht="37.5" x14ac:dyDescent="0.25">
      <c r="A260" s="519">
        <f t="shared" si="4"/>
        <v>795</v>
      </c>
      <c r="B260" s="500" t="str">
        <f>Suite&amp;" Electrical Room C"</f>
        <v>G104 Electrical Room C</v>
      </c>
      <c r="C260" s="499" t="s">
        <v>1480</v>
      </c>
      <c r="D260" s="233" t="str">
        <f>"Verify the readings in step " &amp; A259 &amp; " and " &amp; A17 &amp; " are within 3% of each other. (new kW divided by original kW must be ≤1.03 and ≥0.97)."</f>
        <v>Verify the readings in step 794 and 552 are within 3% of each other. (new kW divided by original kW must be ≤1.03 and ≥0.97).</v>
      </c>
      <c r="E260" s="499" t="s">
        <v>1464</v>
      </c>
      <c r="F260" s="500"/>
      <c r="G260" s="519"/>
    </row>
    <row r="261" spans="1:7" ht="37.5" x14ac:dyDescent="0.25">
      <c r="A261" s="519">
        <f t="shared" si="4"/>
        <v>796</v>
      </c>
      <c r="B261" s="500" t="str">
        <f>Suite&amp;" Electrical Room C"</f>
        <v>G104 Electrical Room C</v>
      </c>
      <c r="C261" s="499" t="s">
        <v>1523</v>
      </c>
      <c r="D261" s="191" t="s">
        <v>1483</v>
      </c>
      <c r="E261" s="499" t="s">
        <v>1464</v>
      </c>
      <c r="F261" s="500"/>
      <c r="G261" s="519"/>
    </row>
    <row r="262" spans="1:7" ht="37.5" x14ac:dyDescent="0.25">
      <c r="A262" s="519">
        <f t="shared" si="4"/>
        <v>797</v>
      </c>
      <c r="B262" s="500" t="str">
        <f>Suite&amp;" Electrical Room C"</f>
        <v>G104 Electrical Room C</v>
      </c>
      <c r="C262" s="499" t="s">
        <v>1523</v>
      </c>
      <c r="D262" s="233" t="str">
        <f>"Verify the readings in step " &amp; A261 &amp; " and " &amp; A228 &amp; " are within 3% of each other. (new kW divided by original kW must be ≤1.03 and ≥0.97)."</f>
        <v>Verify the readings in step 796 and 763 are within 3% of each other. (new kW divided by original kW must be ≤1.03 and ≥0.97).</v>
      </c>
      <c r="E262" s="499" t="s">
        <v>1464</v>
      </c>
      <c r="F262" s="500"/>
      <c r="G262" s="519"/>
    </row>
    <row r="263" spans="1:7" ht="37.5" x14ac:dyDescent="0.25">
      <c r="A263" s="519">
        <f t="shared" si="4"/>
        <v>798</v>
      </c>
      <c r="B263" s="500" t="str">
        <f>Suite&amp;" Electrical Room D"</f>
        <v>G104 Electrical Room D</v>
      </c>
      <c r="C263" s="499" t="s">
        <v>1484</v>
      </c>
      <c r="D263" s="191" t="s">
        <v>1485</v>
      </c>
      <c r="E263" s="499" t="s">
        <v>1464</v>
      </c>
      <c r="F263" s="500"/>
      <c r="G263" s="519"/>
    </row>
    <row r="264" spans="1:7" ht="37.5" x14ac:dyDescent="0.25">
      <c r="A264" s="519">
        <f t="shared" si="4"/>
        <v>799</v>
      </c>
      <c r="B264" s="500" t="str">
        <f>Suite&amp;" Electrical Room D"</f>
        <v>G104 Electrical Room D</v>
      </c>
      <c r="C264" s="499" t="s">
        <v>1484</v>
      </c>
      <c r="D264" s="233" t="str">
        <f>"Verify the readings in step " &amp; A263 &amp; " and " &amp; A19 &amp; " are within 3% of each other. (new kW divided by original kW must be ≤1.03 and ≥0.97)."</f>
        <v>Verify the readings in step 798 and 554 are within 3% of each other. (new kW divided by original kW must be ≤1.03 and ≥0.97).</v>
      </c>
      <c r="E264" s="499" t="s">
        <v>1464</v>
      </c>
      <c r="F264" s="500"/>
      <c r="G264" s="519"/>
    </row>
    <row r="265" spans="1:7" ht="37.5" x14ac:dyDescent="0.25">
      <c r="A265" s="519">
        <f t="shared" si="4"/>
        <v>800</v>
      </c>
      <c r="B265" s="500" t="str">
        <f>Suite&amp;" Electrical Room D"</f>
        <v>G104 Electrical Room D</v>
      </c>
      <c r="C265" s="499" t="s">
        <v>1486</v>
      </c>
      <c r="D265" s="191" t="s">
        <v>1487</v>
      </c>
      <c r="E265" s="499" t="s">
        <v>1464</v>
      </c>
      <c r="F265" s="500"/>
      <c r="G265" s="519"/>
    </row>
    <row r="266" spans="1:7" ht="37.5" x14ac:dyDescent="0.25">
      <c r="A266" s="519">
        <f t="shared" si="4"/>
        <v>801</v>
      </c>
      <c r="B266" s="500" t="str">
        <f>Suite&amp;" Electrical Room D"</f>
        <v>G104 Electrical Room D</v>
      </c>
      <c r="C266" s="499" t="s">
        <v>1486</v>
      </c>
      <c r="D266" s="233" t="str">
        <f>"Verify the readings in step " &amp; A265 &amp; " and " &amp; A20 &amp; " are within 3% of each other. (new kW divided by original kW must be ≤1.03 and ≥0.97)."</f>
        <v>Verify the readings in step 800 and 555 are within 3% of each other. (new kW divided by original kW must be ≤1.03 and ≥0.97).</v>
      </c>
      <c r="E266" s="499" t="s">
        <v>1464</v>
      </c>
      <c r="F266" s="500"/>
      <c r="G266" s="519"/>
    </row>
    <row r="267" spans="1:7" ht="37.5" x14ac:dyDescent="0.25">
      <c r="A267" s="519">
        <f t="shared" si="4"/>
        <v>802</v>
      </c>
      <c r="B267" s="500" t="str">
        <f>Suite&amp;" Electrical Room D"</f>
        <v>G104 Electrical Room D</v>
      </c>
      <c r="C267" s="499" t="s">
        <v>1524</v>
      </c>
      <c r="D267" s="191" t="s">
        <v>1489</v>
      </c>
      <c r="E267" s="499" t="s">
        <v>1464</v>
      </c>
      <c r="F267" s="500"/>
      <c r="G267" s="519"/>
    </row>
    <row r="268" spans="1:7" ht="37.5" x14ac:dyDescent="0.25">
      <c r="A268" s="519">
        <f t="shared" si="4"/>
        <v>803</v>
      </c>
      <c r="B268" s="500" t="str">
        <f>Suite&amp;" Electrical Room D"</f>
        <v>G104 Electrical Room D</v>
      </c>
      <c r="C268" s="499" t="s">
        <v>1524</v>
      </c>
      <c r="D268" s="233" t="str">
        <f>"Verify the readings in step " &amp; A267 &amp; " and " &amp; A126 &amp; " are within 3% of each other. (new kW divided by original kW must be ≤1.03 and ≥0.97)."</f>
        <v>Verify the readings in step 802 and 661 are within 3% of each other. (new kW divided by original kW must be ≤1.03 and ≥0.97).</v>
      </c>
      <c r="E268" s="499" t="s">
        <v>1464</v>
      </c>
      <c r="F268" s="500"/>
      <c r="G268" s="519"/>
    </row>
    <row r="269" spans="1:7" ht="37.5" x14ac:dyDescent="0.25">
      <c r="A269" s="519">
        <f t="shared" si="4"/>
        <v>804</v>
      </c>
      <c r="B269" s="500" t="str">
        <f>Suite&amp;" Electrical Room F"</f>
        <v>G104 Electrical Room F</v>
      </c>
      <c r="C269" s="499" t="s">
        <v>1490</v>
      </c>
      <c r="D269" s="191" t="s">
        <v>1491</v>
      </c>
      <c r="E269" s="499" t="s">
        <v>1464</v>
      </c>
      <c r="F269" s="500"/>
      <c r="G269" s="519"/>
    </row>
    <row r="270" spans="1:7" ht="37.5" x14ac:dyDescent="0.25">
      <c r="A270" s="519">
        <f t="shared" si="4"/>
        <v>805</v>
      </c>
      <c r="B270" s="500" t="str">
        <f>Suite&amp;" Electrical Room F"</f>
        <v>G104 Electrical Room F</v>
      </c>
      <c r="C270" s="499" t="s">
        <v>1490</v>
      </c>
      <c r="D270" s="233" t="str">
        <f>"Verify the readings in step " &amp; A269 &amp; " and " &amp; A22 &amp; " are within 3% of each other. (new kW divided by original kW must be ≤1.03 and ≥0.97)."</f>
        <v>Verify the readings in step 804 and 557 are within 3% of each other. (new kW divided by original kW must be ≤1.03 and ≥0.97).</v>
      </c>
      <c r="E270" s="499" t="s">
        <v>1464</v>
      </c>
      <c r="F270" s="500"/>
      <c r="G270" s="519"/>
    </row>
    <row r="271" spans="1:7" ht="37.5" x14ac:dyDescent="0.25">
      <c r="A271" s="519">
        <f t="shared" si="4"/>
        <v>806</v>
      </c>
      <c r="B271" s="500" t="str">
        <f>Suite&amp;" Electrical Room F"</f>
        <v>G104 Electrical Room F</v>
      </c>
      <c r="C271" s="499" t="s">
        <v>1492</v>
      </c>
      <c r="D271" s="191" t="s">
        <v>1493</v>
      </c>
      <c r="E271" s="499" t="s">
        <v>1464</v>
      </c>
      <c r="F271" s="500"/>
      <c r="G271" s="519"/>
    </row>
    <row r="272" spans="1:7" ht="37.5" x14ac:dyDescent="0.25">
      <c r="A272" s="519">
        <f t="shared" si="4"/>
        <v>807</v>
      </c>
      <c r="B272" s="500" t="str">
        <f>Suite&amp;" Electrical Room F"</f>
        <v>G104 Electrical Room F</v>
      </c>
      <c r="C272" s="499" t="s">
        <v>1492</v>
      </c>
      <c r="D272" s="233" t="str">
        <f>"Verify the readings in step " &amp; A271 &amp; " and " &amp; A23 &amp; " are within 3% of each other. (new kW divided by original kW must be ≤1.03 and ≥0.97)."</f>
        <v>Verify the readings in step 806 and 558 are within 3% of each other. (new kW divided by original kW must be ≤1.03 and ≥0.97).</v>
      </c>
      <c r="E272" s="499" t="s">
        <v>1464</v>
      </c>
      <c r="F272" s="500"/>
      <c r="G272" s="519"/>
    </row>
    <row r="273" spans="1:7" ht="37.5" x14ac:dyDescent="0.25">
      <c r="A273" s="519">
        <f t="shared" si="4"/>
        <v>808</v>
      </c>
      <c r="B273" s="500" t="str">
        <f>Suite&amp;" Electrical Room F"</f>
        <v>G104 Electrical Room F</v>
      </c>
      <c r="C273" s="499" t="s">
        <v>1525</v>
      </c>
      <c r="D273" s="191" t="s">
        <v>1495</v>
      </c>
      <c r="E273" s="499" t="s">
        <v>1464</v>
      </c>
      <c r="F273" s="500"/>
      <c r="G273" s="519"/>
    </row>
    <row r="274" spans="1:7" ht="37.5" x14ac:dyDescent="0.25">
      <c r="A274" s="519">
        <f t="shared" si="4"/>
        <v>809</v>
      </c>
      <c r="B274" s="500" t="str">
        <f>Suite&amp;" Electrical Room F"</f>
        <v>G104 Electrical Room F</v>
      </c>
      <c r="C274" s="499" t="s">
        <v>1525</v>
      </c>
      <c r="D274" s="233" t="str">
        <f>"Verify the readings in step " &amp; A273 &amp; " and " &amp; A128 &amp; " are within 3% of each other. (new kW divided by original kW must be ≤1.03 and ≥0.97)."</f>
        <v>Verify the readings in step 808 and 663 are within 3% of each other. (new kW divided by original kW must be ≤1.03 and ≥0.97).</v>
      </c>
      <c r="E274" s="499" t="s">
        <v>1464</v>
      </c>
      <c r="F274" s="500"/>
      <c r="G274" s="519"/>
    </row>
    <row r="275" spans="1:7" ht="37.5" x14ac:dyDescent="0.25">
      <c r="A275" s="519" cm="1">
        <f t="array" ref="A275">IF(NumberOfSW=2,A256+1,IF(NumberOfSW=3,A262+1,IF(NumberOfSW=4,A268+1,A274+1)))</f>
        <v>810</v>
      </c>
      <c r="B275" s="500" t="s">
        <v>1462</v>
      </c>
      <c r="C275" s="499" t="s">
        <v>84</v>
      </c>
      <c r="D275" s="190" t="s">
        <v>1558</v>
      </c>
      <c r="E275" s="499" t="s">
        <v>1464</v>
      </c>
      <c r="F275" s="500"/>
      <c r="G275" s="500" t="s">
        <v>1519</v>
      </c>
    </row>
  </sheetData>
  <sheetProtection formatCells="0" formatColumns="0" formatRows="0" insertRows="0" deleteRows="0" sort="0" autoFilter="0"/>
  <mergeCells count="12">
    <mergeCell ref="B237:G237"/>
    <mergeCell ref="B29:G29"/>
    <mergeCell ref="B38:G38"/>
    <mergeCell ref="B63:G63"/>
    <mergeCell ref="B131:G131"/>
    <mergeCell ref="B213:G213"/>
    <mergeCell ref="B27:G27"/>
    <mergeCell ref="A2:B2"/>
    <mergeCell ref="A4:C4"/>
    <mergeCell ref="B6:G6"/>
    <mergeCell ref="B8:G8"/>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B9B01-F88B-4C1D-A9C5-973DD86898B5}">
  <sheetPr codeName="eXL_D">
    <pageSetUpPr fitToPage="1"/>
  </sheetPr>
  <dimension ref="A1:I275"/>
  <sheetViews>
    <sheetView view="pageBreakPreview" topLeftCell="A17" zoomScale="90" zoomScaleNormal="100" zoomScaleSheetLayoutView="90" workbookViewId="0">
      <selection activeCell="A25" sqref="A25:XFD26"/>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517" t="s">
        <v>1455</v>
      </c>
      <c r="B5" s="518" t="s">
        <v>8</v>
      </c>
      <c r="C5" s="518" t="s">
        <v>1456</v>
      </c>
      <c r="D5" s="517" t="s">
        <v>1457</v>
      </c>
      <c r="E5" s="518" t="s">
        <v>1458</v>
      </c>
      <c r="F5" s="518" t="s">
        <v>1459</v>
      </c>
      <c r="G5" s="517" t="s">
        <v>1460</v>
      </c>
    </row>
    <row r="6" spans="1:9" x14ac:dyDescent="0.3">
      <c r="A6" s="519">
        <f>'eXL-C'!A275+1</f>
        <v>811</v>
      </c>
      <c r="B6" s="702" t="s">
        <v>1461</v>
      </c>
      <c r="C6" s="704"/>
      <c r="D6" s="704"/>
      <c r="E6" s="704"/>
      <c r="F6" s="704"/>
      <c r="G6" s="704"/>
    </row>
    <row r="7" spans="1:9" x14ac:dyDescent="0.25">
      <c r="A7" s="519">
        <f>A6+1</f>
        <v>812</v>
      </c>
      <c r="B7" s="499" t="s">
        <v>1462</v>
      </c>
      <c r="C7" s="499" t="s">
        <v>84</v>
      </c>
      <c r="D7" s="191" t="s">
        <v>1463</v>
      </c>
      <c r="E7" s="499" t="s">
        <v>1464</v>
      </c>
      <c r="F7" s="500"/>
      <c r="G7" s="519"/>
    </row>
    <row r="8" spans="1:9" x14ac:dyDescent="0.3">
      <c r="A8" s="519">
        <f t="shared" ref="A8:A24" si="0">A7+1</f>
        <v>813</v>
      </c>
      <c r="B8" s="702" t="s">
        <v>1465</v>
      </c>
      <c r="C8" s="704"/>
      <c r="D8" s="704"/>
      <c r="E8" s="704"/>
      <c r="F8" s="704"/>
      <c r="G8" s="704"/>
    </row>
    <row r="9" spans="1:9" ht="37.5" x14ac:dyDescent="0.25">
      <c r="A9" s="519">
        <f t="shared" si="0"/>
        <v>814</v>
      </c>
      <c r="B9" s="500" t="str">
        <f>Suite&amp;" Electrical Rooms"</f>
        <v>G104 Electrical Rooms</v>
      </c>
      <c r="C9" s="499" t="str" cm="1">
        <f t="array" ref="C9">Suite &amp; " UPS Systems"</f>
        <v>G104 UPS Systems</v>
      </c>
      <c r="D9" s="191" t="str" cm="1">
        <f t="array" ref="D9">"Verify " &amp; Suite &amp; " UPS systems are on-line with no critical alarms present."</f>
        <v>Verify G104 UPS systems are on-line with no critical alarms present.</v>
      </c>
      <c r="E9" s="499" t="s">
        <v>1464</v>
      </c>
      <c r="F9" s="500"/>
      <c r="G9" s="519"/>
    </row>
    <row r="10" spans="1:9" ht="37.5" x14ac:dyDescent="0.25">
      <c r="A10" s="519">
        <f t="shared" si="0"/>
        <v>815</v>
      </c>
      <c r="B10" s="500" t="str">
        <f>Suite&amp;" Electrical Room A"</f>
        <v>G104 Electrical Room A</v>
      </c>
      <c r="C10" s="499" t="s">
        <v>1466</v>
      </c>
      <c r="D10" s="191" t="s">
        <v>1467</v>
      </c>
      <c r="E10" s="499" t="s">
        <v>1464</v>
      </c>
      <c r="F10" s="500"/>
      <c r="G10" s="519"/>
    </row>
    <row r="11" spans="1:9" ht="37.5" x14ac:dyDescent="0.25">
      <c r="A11" s="519">
        <f t="shared" si="0"/>
        <v>816</v>
      </c>
      <c r="B11" s="500" t="str">
        <f>Suite&amp;" Electrical Room A"</f>
        <v>G104 Electrical Room A</v>
      </c>
      <c r="C11" s="499" t="s">
        <v>1468</v>
      </c>
      <c r="D11" s="191" t="s">
        <v>1469</v>
      </c>
      <c r="E11" s="499" t="s">
        <v>1464</v>
      </c>
      <c r="F11" s="500"/>
      <c r="G11" s="519"/>
    </row>
    <row r="12" spans="1:9" ht="37.5" x14ac:dyDescent="0.25">
      <c r="A12" s="519">
        <f t="shared" si="0"/>
        <v>817</v>
      </c>
      <c r="B12" s="500" t="str">
        <f>Suite&amp;" Electrical Room A"</f>
        <v>G104 Electrical Room A</v>
      </c>
      <c r="C12" s="499" t="s">
        <v>1470</v>
      </c>
      <c r="D12" s="191" t="s">
        <v>1471</v>
      </c>
      <c r="E12" s="499" t="s">
        <v>1464</v>
      </c>
      <c r="F12" s="500"/>
      <c r="G12" s="519"/>
    </row>
    <row r="13" spans="1:9" ht="37.5" x14ac:dyDescent="0.25">
      <c r="A13" s="519">
        <f t="shared" si="0"/>
        <v>818</v>
      </c>
      <c r="B13" s="500" t="str">
        <f>Suite&amp;" Electrical Room B"</f>
        <v>G104 Electrical Room B</v>
      </c>
      <c r="C13" s="499" t="s">
        <v>1472</v>
      </c>
      <c r="D13" s="191" t="s">
        <v>1473</v>
      </c>
      <c r="E13" s="499" t="s">
        <v>1464</v>
      </c>
      <c r="F13" s="500"/>
      <c r="G13" s="519"/>
    </row>
    <row r="14" spans="1:9" ht="37.5" x14ac:dyDescent="0.25">
      <c r="A14" s="519">
        <f t="shared" si="0"/>
        <v>819</v>
      </c>
      <c r="B14" s="500" t="str">
        <f>Suite&amp;" Electrical Room B"</f>
        <v>G104 Electrical Room B</v>
      </c>
      <c r="C14" s="499" t="s">
        <v>1474</v>
      </c>
      <c r="D14" s="191" t="s">
        <v>1475</v>
      </c>
      <c r="E14" s="499" t="s">
        <v>1464</v>
      </c>
      <c r="F14" s="500"/>
      <c r="G14" s="519"/>
    </row>
    <row r="15" spans="1:9" ht="37.5" x14ac:dyDescent="0.25">
      <c r="A15" s="519">
        <f t="shared" si="0"/>
        <v>820</v>
      </c>
      <c r="B15" s="500" t="str">
        <f>Suite&amp;" Electrical Room B"</f>
        <v>G104 Electrical Room B</v>
      </c>
      <c r="C15" s="499" t="s">
        <v>1476</v>
      </c>
      <c r="D15" s="191" t="s">
        <v>1477</v>
      </c>
      <c r="E15" s="499" t="s">
        <v>1464</v>
      </c>
      <c r="F15" s="500"/>
      <c r="G15" s="519"/>
    </row>
    <row r="16" spans="1:9" ht="37.5" x14ac:dyDescent="0.25">
      <c r="A16" s="519">
        <f t="shared" si="0"/>
        <v>821</v>
      </c>
      <c r="B16" s="500" t="str">
        <f>Suite&amp;" Electrical Room C"</f>
        <v>G104 Electrical Room C</v>
      </c>
      <c r="C16" s="499" t="s">
        <v>1478</v>
      </c>
      <c r="D16" s="191" t="s">
        <v>1479</v>
      </c>
      <c r="E16" s="499" t="s">
        <v>1464</v>
      </c>
      <c r="F16" s="500"/>
      <c r="G16" s="519"/>
    </row>
    <row r="17" spans="1:7" ht="37.5" x14ac:dyDescent="0.25">
      <c r="A17" s="519">
        <f t="shared" si="0"/>
        <v>822</v>
      </c>
      <c r="B17" s="500" t="str">
        <f>Suite&amp;" Electrical Room C"</f>
        <v>G104 Electrical Room C</v>
      </c>
      <c r="C17" s="499" t="s">
        <v>1480</v>
      </c>
      <c r="D17" s="191" t="s">
        <v>1481</v>
      </c>
      <c r="E17" s="499" t="s">
        <v>1464</v>
      </c>
      <c r="F17" s="500"/>
      <c r="G17" s="519"/>
    </row>
    <row r="18" spans="1:7" ht="37.5" x14ac:dyDescent="0.25">
      <c r="A18" s="519">
        <f t="shared" si="0"/>
        <v>823</v>
      </c>
      <c r="B18" s="500" t="str">
        <f>Suite&amp;" Electrical Room C"</f>
        <v>G104 Electrical Room C</v>
      </c>
      <c r="C18" s="499" t="s">
        <v>1482</v>
      </c>
      <c r="D18" s="191" t="s">
        <v>1483</v>
      </c>
      <c r="E18" s="499" t="s">
        <v>1464</v>
      </c>
      <c r="F18" s="500"/>
      <c r="G18" s="519"/>
    </row>
    <row r="19" spans="1:7" ht="37.5" x14ac:dyDescent="0.25">
      <c r="A19" s="519">
        <f t="shared" si="0"/>
        <v>824</v>
      </c>
      <c r="B19" s="500" t="str">
        <f>Suite&amp;" Electrical Room D"</f>
        <v>G104 Electrical Room D</v>
      </c>
      <c r="C19" s="499" t="s">
        <v>1484</v>
      </c>
      <c r="D19" s="191" t="s">
        <v>1485</v>
      </c>
      <c r="E19" s="499" t="s">
        <v>1464</v>
      </c>
      <c r="F19" s="500"/>
      <c r="G19" s="519"/>
    </row>
    <row r="20" spans="1:7" ht="37.5" x14ac:dyDescent="0.25">
      <c r="A20" s="519">
        <f t="shared" si="0"/>
        <v>825</v>
      </c>
      <c r="B20" s="500" t="str">
        <f>Suite&amp;" Electrical Room D"</f>
        <v>G104 Electrical Room D</v>
      </c>
      <c r="C20" s="499" t="s">
        <v>1486</v>
      </c>
      <c r="D20" s="191" t="s">
        <v>1487</v>
      </c>
      <c r="E20" s="499" t="s">
        <v>1464</v>
      </c>
      <c r="F20" s="500"/>
      <c r="G20" s="519"/>
    </row>
    <row r="21" spans="1:7" ht="37.5" x14ac:dyDescent="0.25">
      <c r="A21" s="519">
        <f t="shared" si="0"/>
        <v>826</v>
      </c>
      <c r="B21" s="500" t="str">
        <f>Suite&amp;" Electrical Room D"</f>
        <v>G104 Electrical Room D</v>
      </c>
      <c r="C21" s="499" t="s">
        <v>1488</v>
      </c>
      <c r="D21" s="191" t="s">
        <v>1489</v>
      </c>
      <c r="E21" s="499" t="s">
        <v>1464</v>
      </c>
      <c r="F21" s="500"/>
      <c r="G21" s="519"/>
    </row>
    <row r="22" spans="1:7" ht="37.5" x14ac:dyDescent="0.25">
      <c r="A22" s="519">
        <f t="shared" si="0"/>
        <v>827</v>
      </c>
      <c r="B22" s="500" t="str">
        <f>Suite&amp;" Electrical Room F"</f>
        <v>G104 Electrical Room F</v>
      </c>
      <c r="C22" s="499" t="s">
        <v>1490</v>
      </c>
      <c r="D22" s="191" t="s">
        <v>1491</v>
      </c>
      <c r="E22" s="499" t="s">
        <v>1464</v>
      </c>
      <c r="F22" s="500"/>
      <c r="G22" s="519"/>
    </row>
    <row r="23" spans="1:7" ht="37.5" x14ac:dyDescent="0.25">
      <c r="A23" s="519">
        <f t="shared" si="0"/>
        <v>828</v>
      </c>
      <c r="B23" s="500" t="str">
        <f>Suite&amp;" Electrical Room F"</f>
        <v>G104 Electrical Room F</v>
      </c>
      <c r="C23" s="499" t="s">
        <v>1492</v>
      </c>
      <c r="D23" s="191" t="s">
        <v>1493</v>
      </c>
      <c r="E23" s="499" t="s">
        <v>1464</v>
      </c>
      <c r="F23" s="500"/>
      <c r="G23" s="519"/>
    </row>
    <row r="24" spans="1:7" ht="37.5" x14ac:dyDescent="0.25">
      <c r="A24" s="519">
        <f t="shared" si="0"/>
        <v>829</v>
      </c>
      <c r="B24" s="500" t="str">
        <f>Suite&amp;" Electrical Room F"</f>
        <v>G104 Electrical Room F</v>
      </c>
      <c r="C24" s="499" t="s">
        <v>1494</v>
      </c>
      <c r="D24" s="191" t="s">
        <v>1495</v>
      </c>
      <c r="E24" s="499" t="s">
        <v>1464</v>
      </c>
      <c r="F24" s="500"/>
      <c r="G24" s="519"/>
    </row>
    <row r="25" spans="1:7" ht="56.25" x14ac:dyDescent="0.25">
      <c r="A25" s="519" cm="1">
        <f t="array" ref="A25">IF(NumberOfSW=2,A21+1,IF(NumberOfSW=3,A22+1,IF(NumberOfSW=4,A23+1,A24+1)))</f>
        <v>830</v>
      </c>
      <c r="B25" s="500" t="str" cm="1">
        <f t="array" ref="B25">Suite &amp; " Electrical Rooms"</f>
        <v>G104 Electrical Rooms</v>
      </c>
      <c r="C25" s="499" t="str" cm="1">
        <f t="array" ref="C25">Suite &amp; " UPS System"</f>
        <v>G104 UPS System</v>
      </c>
      <c r="D25" s="190" t="s">
        <v>4621</v>
      </c>
      <c r="E25" s="499" t="s">
        <v>1464</v>
      </c>
      <c r="F25" s="500"/>
      <c r="G25" s="519"/>
    </row>
    <row r="26" spans="1:7" ht="37.5" x14ac:dyDescent="0.25">
      <c r="A26" s="519">
        <f>A25+1</f>
        <v>831</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7" x14ac:dyDescent="0.3">
      <c r="A27" s="519">
        <f>A26+1</f>
        <v>832</v>
      </c>
      <c r="B27" s="702" t="str" cm="1">
        <f t="array" ref="B27">"Prepare UP" &amp; SWFour &amp; " for Transfer to Maintenance Bypass"</f>
        <v>Prepare UPXXX for Transfer to Maintenance Bypass</v>
      </c>
      <c r="C27" s="704"/>
      <c r="D27" s="704"/>
      <c r="E27" s="704"/>
      <c r="F27" s="704"/>
      <c r="G27" s="704"/>
    </row>
    <row r="28" spans="1:7" ht="37.5" x14ac:dyDescent="0.25">
      <c r="A28" s="519">
        <f t="shared" ref="A28:A91" si="1">A27+1</f>
        <v>833</v>
      </c>
      <c r="B28" s="500" t="str">
        <f>Suite&amp;" Electrical Room "&amp;SWFour</f>
        <v>G104 Electrical Room XXX</v>
      </c>
      <c r="C28" s="499" t="str" cm="1">
        <f t="array" ref="C28">"UP" &amp; SWFour</f>
        <v>UPXXX</v>
      </c>
      <c r="D28" s="190" t="str" cm="1">
        <f t="array" ref="D28">"At breaker MBUP" &amp; SWFour &amp; ", (MBB) pump charging handle repeatedly to compress spring and charge breaker."</f>
        <v>At breaker MBUPXXX, (MBB) pump charging handle repeatedly to compress spring and charge breaker.</v>
      </c>
      <c r="E28" s="499" t="s">
        <v>1464</v>
      </c>
      <c r="F28" s="500"/>
      <c r="G28" s="519"/>
    </row>
    <row r="29" spans="1:7" x14ac:dyDescent="0.3">
      <c r="A29" s="519">
        <f t="shared" si="1"/>
        <v>834</v>
      </c>
      <c r="B29" s="702" t="str" cm="1">
        <f t="array" ref="B29">"Transfer UPS System " &amp; SWFour &amp; " to Static Bypass"</f>
        <v>Transfer UPS System XXX to Static Bypass</v>
      </c>
      <c r="C29" s="704"/>
      <c r="D29" s="704"/>
      <c r="E29" s="704"/>
      <c r="F29" s="704"/>
      <c r="G29" s="704"/>
    </row>
    <row r="30" spans="1:7" ht="37.5" x14ac:dyDescent="0.25">
      <c r="A30" s="519">
        <f t="shared" si="1"/>
        <v>835</v>
      </c>
      <c r="B30" s="500" t="str">
        <f>Suite&amp;" Electrical Room "&amp;SWFour</f>
        <v>G104 Electrical Room XXX</v>
      </c>
      <c r="C30" s="499" t="str" cm="1">
        <f t="array" ref="C30">"UPS " &amp; SWFour &amp; "1"</f>
        <v>UPS XXX1</v>
      </c>
      <c r="D30" s="190" t="s">
        <v>1496</v>
      </c>
      <c r="E30" s="499" t="s">
        <v>1464</v>
      </c>
      <c r="F30" s="500"/>
      <c r="G30" s="519"/>
    </row>
    <row r="31" spans="1:7" ht="37.5" x14ac:dyDescent="0.25">
      <c r="A31" s="519">
        <f t="shared" si="1"/>
        <v>836</v>
      </c>
      <c r="B31" s="500" t="str">
        <f>Suite&amp;" Electrical Room "&amp;SWFour</f>
        <v>G104 Electrical Room XXX</v>
      </c>
      <c r="C31" s="499" t="str" cm="1">
        <f t="array" ref="C31">"UPS " &amp; SWFour &amp; "1"</f>
        <v>UPS XXX1</v>
      </c>
      <c r="D31" s="233" t="s">
        <v>1497</v>
      </c>
      <c r="E31" s="499" t="s">
        <v>1464</v>
      </c>
      <c r="F31" s="500"/>
      <c r="G31" s="519"/>
    </row>
    <row r="32" spans="1:7" ht="37.5" x14ac:dyDescent="0.25">
      <c r="A32" s="519">
        <f t="shared" si="1"/>
        <v>837</v>
      </c>
      <c r="B32" s="500" t="str">
        <f>Suite&amp;" Electrical Room "&amp;SWFour</f>
        <v>G104 Electrical Room XXX</v>
      </c>
      <c r="C32" s="499" t="str" cm="1">
        <f t="array" ref="C32">"UPS " &amp; SWFour &amp; "1"</f>
        <v>UPS XXX1</v>
      </c>
      <c r="D32" s="190" t="s">
        <v>1498</v>
      </c>
      <c r="E32" s="499" t="s">
        <v>1464</v>
      </c>
      <c r="F32" s="500"/>
      <c r="G32" s="519"/>
    </row>
    <row r="33" spans="1:7" ht="37.5" x14ac:dyDescent="0.25">
      <c r="A33" s="519">
        <f t="shared" si="1"/>
        <v>838</v>
      </c>
      <c r="B33" s="500" t="str">
        <f>Suite&amp;" Electrical Room "&amp;SWFour</f>
        <v>G104 Electrical Room XXX</v>
      </c>
      <c r="C33" s="499" t="str" cm="1">
        <f t="array" ref="C33">"UPS " &amp; SWFour &amp; "1"</f>
        <v>UPS XXX1</v>
      </c>
      <c r="D33" s="190" t="s">
        <v>1499</v>
      </c>
      <c r="E33" s="499" t="s">
        <v>1464</v>
      </c>
      <c r="F33" s="500"/>
      <c r="G33" s="519"/>
    </row>
    <row r="34" spans="1:7" ht="37.5" x14ac:dyDescent="0.25">
      <c r="A34" s="519">
        <f t="shared" si="1"/>
        <v>839</v>
      </c>
      <c r="B34" s="500" t="str">
        <f>Suite&amp;" Electrical Room "&amp;SWFour</f>
        <v>G104 Electrical Room XXX</v>
      </c>
      <c r="C34" s="499" t="str" cm="1">
        <f t="array" ref="C34">"UPS " &amp; SWFour &amp; "1"</f>
        <v>UPS XXX1</v>
      </c>
      <c r="D34" s="190" t="s">
        <v>1500</v>
      </c>
      <c r="E34" s="499" t="s">
        <v>1464</v>
      </c>
      <c r="F34" s="500"/>
      <c r="G34" s="519"/>
    </row>
    <row r="35" spans="1:7" ht="37.5" x14ac:dyDescent="0.25">
      <c r="A35" s="519">
        <f t="shared" si="1"/>
        <v>840</v>
      </c>
      <c r="B35" s="500" t="str">
        <f>Suite&amp;" Electrical Room "&amp;SWFour</f>
        <v>G104 Electrical Room XXX</v>
      </c>
      <c r="C35" s="499" t="str" cm="1">
        <f t="array" ref="C35">"UPS " &amp; SWFour</f>
        <v>UPS XXX</v>
      </c>
      <c r="D35" s="233" t="s">
        <v>1501</v>
      </c>
      <c r="E35" s="499" t="s">
        <v>1464</v>
      </c>
      <c r="F35" s="500"/>
      <c r="G35" s="519"/>
    </row>
    <row r="36" spans="1:7" ht="37.5" x14ac:dyDescent="0.25">
      <c r="A36" s="519">
        <f t="shared" si="1"/>
        <v>841</v>
      </c>
      <c r="B36" s="500" t="str">
        <f>Suite&amp;" Electrical Room "&amp;SWFour</f>
        <v>G104 Electrical Room XXX</v>
      </c>
      <c r="C36" s="499" t="str" cm="1">
        <f t="array" ref="C36">"UP" &amp; SWFour</f>
        <v>UPXXX</v>
      </c>
      <c r="D36" s="190" t="str" cm="1">
        <f t="array" ref="D36">"Notate the kW reading at UP" &amp; SWFour &amp; " Critical Bus Panel Meter: _________"</f>
        <v>Notate the kW reading at UPXXX Critical Bus Panel Meter: _________</v>
      </c>
      <c r="E36" s="499" t="s">
        <v>1464</v>
      </c>
      <c r="F36" s="500"/>
      <c r="G36" s="519"/>
    </row>
    <row r="37" spans="1:7" ht="37.5" x14ac:dyDescent="0.25">
      <c r="A37" s="519">
        <f t="shared" si="1"/>
        <v>842</v>
      </c>
      <c r="B37" s="500" t="str">
        <f>Suite&amp;" Electrical Room "&amp;SWFour</f>
        <v>G104 Electrical Room XXX</v>
      </c>
      <c r="C37" s="499" t="str" cm="1">
        <f t="array" ref="C37">"UP" &amp; SWFour</f>
        <v>UPXXX</v>
      </c>
      <c r="D37" s="190" t="str">
        <f>"Verify the readings in step " &amp; A21 &amp; " and " &amp; A36 &amp; " are within 3% of each other. (new kW divided by original kW must be ≤1.03 and ≥0.97)."</f>
        <v>Verify the readings in step 826 and 841 are within 3% of each other. (new kW divided by original kW must be ≤1.03 and ≥0.97).</v>
      </c>
      <c r="E37" s="499" t="s">
        <v>1464</v>
      </c>
      <c r="F37" s="500"/>
      <c r="G37" s="519"/>
    </row>
    <row r="38" spans="1:7" x14ac:dyDescent="0.25">
      <c r="A38" s="519">
        <f t="shared" si="1"/>
        <v>843</v>
      </c>
      <c r="B38" s="702" t="s">
        <v>1502</v>
      </c>
      <c r="C38" s="703"/>
      <c r="D38" s="703"/>
      <c r="E38" s="703"/>
      <c r="F38" s="703"/>
      <c r="G38" s="703"/>
    </row>
    <row r="39" spans="1:7" ht="37.5" x14ac:dyDescent="0.25">
      <c r="A39" s="519">
        <f t="shared" si="1"/>
        <v>844</v>
      </c>
      <c r="B39" s="500" t="str">
        <f>Suite&amp;" Electrical Room "&amp;SWFour</f>
        <v>G104 Electrical Room XXX</v>
      </c>
      <c r="C39" s="499" t="str" cm="1">
        <f t="array" ref="C39">"UP" &amp; SWFour</f>
        <v>UPXXX</v>
      </c>
      <c r="D39" s="233" t="s">
        <v>1503</v>
      </c>
      <c r="E39" s="499" t="s">
        <v>1464</v>
      </c>
      <c r="F39" s="500"/>
      <c r="G39" s="519"/>
    </row>
    <row r="40" spans="1:7" ht="37.5" x14ac:dyDescent="0.25">
      <c r="A40" s="519">
        <f t="shared" si="1"/>
        <v>845</v>
      </c>
      <c r="B40" s="500" t="str">
        <f>Suite&amp;" Electrical Room "&amp;SWFour</f>
        <v>G104 Electrical Room XXX</v>
      </c>
      <c r="C40" s="499" t="str" cm="1">
        <f t="array" ref="C40">"UP" &amp; SWFour</f>
        <v>UPXXX</v>
      </c>
      <c r="D40" s="233" t="s">
        <v>1504</v>
      </c>
      <c r="E40" s="499" t="s">
        <v>1464</v>
      </c>
      <c r="F40" s="500"/>
      <c r="G40" s="519"/>
    </row>
    <row r="41" spans="1:7" ht="37.5" x14ac:dyDescent="0.25">
      <c r="A41" s="519">
        <f t="shared" si="1"/>
        <v>846</v>
      </c>
      <c r="B41" s="500" t="str">
        <f>Suite&amp;" Electrical Room "&amp;SWFour</f>
        <v>G104 Electrical Room XXX</v>
      </c>
      <c r="C41" s="499" t="str" cm="1">
        <f t="array" ref="C41">"UP" &amp; SWFour</f>
        <v>UPXXX</v>
      </c>
      <c r="D41" s="233" t="s">
        <v>1505</v>
      </c>
      <c r="E41" s="499" t="s">
        <v>1464</v>
      </c>
      <c r="F41" s="500"/>
      <c r="G41" s="519"/>
    </row>
    <row r="42" spans="1:7" ht="37.5" x14ac:dyDescent="0.25">
      <c r="A42" s="519">
        <f t="shared" si="1"/>
        <v>847</v>
      </c>
      <c r="B42" s="500" t="str">
        <f>Suite&amp;" Electrical Room "&amp;SWFour</f>
        <v>G104 Electrical Room XXX</v>
      </c>
      <c r="C42" s="499" t="str" cm="1">
        <f t="array" ref="C42">"UP" &amp; SWFour</f>
        <v>UPXXX</v>
      </c>
      <c r="D42" s="233" t="str" cm="1">
        <f t="array" ref="D42">"Insert the interlock key into the MBUP" &amp; SWFour &amp; " breaker lock cylinder."</f>
        <v>Insert the interlock key into the MBUPXXX breaker lock cylinder.</v>
      </c>
      <c r="E42" s="499" t="s">
        <v>1464</v>
      </c>
      <c r="F42" s="500"/>
      <c r="G42" s="519"/>
    </row>
    <row r="43" spans="1:7" ht="37.5" x14ac:dyDescent="0.25">
      <c r="A43" s="519">
        <f t="shared" si="1"/>
        <v>848</v>
      </c>
      <c r="B43" s="500" t="str">
        <f>Suite&amp;" Electrical Room "&amp;SWFour</f>
        <v>G104 Electrical Room XXX</v>
      </c>
      <c r="C43" s="499" t="str" cm="1">
        <f t="array" ref="C43">"UP" &amp; SWFour</f>
        <v>UPXXX</v>
      </c>
      <c r="D43" s="233" t="str" cm="1">
        <f t="array" ref="D43">"Rotate the interlock key 90 degrees to UNLOCK the MBUP" &amp; SWFour &amp; " breaker."</f>
        <v>Rotate the interlock key 90 degrees to UNLOCK the MBUPXXX breaker.</v>
      </c>
      <c r="E43" s="499" t="s">
        <v>1464</v>
      </c>
      <c r="F43" s="500"/>
      <c r="G43" s="519"/>
    </row>
    <row r="44" spans="1:7" ht="37.5" x14ac:dyDescent="0.25">
      <c r="A44" s="519">
        <f t="shared" si="1"/>
        <v>849</v>
      </c>
      <c r="B44" s="500" t="str">
        <f>Suite&amp;" Electrical Room "&amp;SWFour</f>
        <v>G104 Electrical Room XXX</v>
      </c>
      <c r="C44" s="499" t="str" cm="1">
        <f t="array" ref="C44">"UP" &amp; SWFour</f>
        <v>UPXXX</v>
      </c>
      <c r="D44" s="233" t="str" cm="1">
        <f t="array" ref="D44">"Close breaker MBUP" &amp; SWFour &amp; "."</f>
        <v>Close breaker MBUPXXX.</v>
      </c>
      <c r="E44" s="499" t="s">
        <v>1464</v>
      </c>
      <c r="F44" s="500"/>
      <c r="G44" s="519"/>
    </row>
    <row r="45" spans="1:7" ht="37.5" x14ac:dyDescent="0.25">
      <c r="A45" s="519">
        <f t="shared" si="1"/>
        <v>850</v>
      </c>
      <c r="B45" s="500" t="str">
        <f>Suite&amp;" Electrical Room "&amp;SWFour</f>
        <v>G104 Electrical Room XXX</v>
      </c>
      <c r="C45" s="499" t="str" cm="1">
        <f t="array" ref="C45">"UP" &amp; SWFour</f>
        <v>UPXXX</v>
      </c>
      <c r="D45" s="233" t="str" cm="1">
        <f t="array" ref="D45">"Verify MBUP" &amp; SWFour &amp; " breaker flag indicates CLOSED."</f>
        <v>Verify MBUPXXX breaker flag indicates CLOSED.</v>
      </c>
      <c r="E45" s="499" t="s">
        <v>1464</v>
      </c>
      <c r="F45" s="500"/>
      <c r="G45" s="519"/>
    </row>
    <row r="46" spans="1:7" ht="37.5" x14ac:dyDescent="0.25">
      <c r="A46" s="519">
        <f t="shared" si="1"/>
        <v>851</v>
      </c>
      <c r="B46" s="500" t="str">
        <f>Suite&amp;" Electrical Room "&amp;SWFour</f>
        <v>G104 Electrical Room XXX</v>
      </c>
      <c r="C46" s="499" t="str" cm="1">
        <f t="array" ref="C46">"UP" &amp; SWFour</f>
        <v>UPXXX</v>
      </c>
      <c r="D46" s="233" t="str" cm="1">
        <f t="array" ref="D46">"Verify breaker MBUP" &amp; SWFour &amp; " is carrying a portion of critical customer load using breaker mounted metering."</f>
        <v>Verify breaker MBUPXXX is carrying a portion of critical customer load using breaker mounted metering.</v>
      </c>
      <c r="E46" s="499" t="s">
        <v>1464</v>
      </c>
      <c r="F46" s="500"/>
      <c r="G46" s="519"/>
    </row>
    <row r="47" spans="1:7" ht="37.5" x14ac:dyDescent="0.25">
      <c r="A47" s="519">
        <f t="shared" si="1"/>
        <v>852</v>
      </c>
      <c r="B47" s="500" t="str">
        <f>Suite&amp;" Electrical Room "&amp;SWFour</f>
        <v>G104 Electrical Room XXX</v>
      </c>
      <c r="C47" s="499" t="str" cm="1">
        <f t="array" ref="C47">"UP" &amp; SWFour</f>
        <v>UPXXX</v>
      </c>
      <c r="D47" s="233" t="str" cm="1">
        <f t="array" ref="D47">"Verify breaker MCBUP" &amp; SWFour &amp; " is carrying a portion of critical customer load using breaker mounted metering."</f>
        <v>Verify breaker MCBUPXXX is carrying a portion of critical customer load using breaker mounted metering.</v>
      </c>
      <c r="E47" s="499" t="s">
        <v>1464</v>
      </c>
      <c r="F47" s="500"/>
      <c r="G47" s="519"/>
    </row>
    <row r="48" spans="1:7" ht="37.5" x14ac:dyDescent="0.25">
      <c r="A48" s="519">
        <f t="shared" si="1"/>
        <v>853</v>
      </c>
      <c r="B48" s="500" t="str">
        <f>Suite&amp;" Electrical Room "&amp;SWFour</f>
        <v>G104 Electrical Room XXX</v>
      </c>
      <c r="C48" s="499" t="str" cm="1">
        <f t="array" ref="C48">"UP" &amp; SWFour</f>
        <v>UPXXX</v>
      </c>
      <c r="D48" s="233" t="str" cm="1">
        <f t="array" ref="D48">"Notate the kW reading at UP" &amp; SWFour &amp; " Critical Bus Panel Meter: _________"</f>
        <v>Notate the kW reading at UPXXX Critical Bus Panel Meter: _________</v>
      </c>
      <c r="E48" s="499" t="s">
        <v>1464</v>
      </c>
      <c r="F48" s="500"/>
      <c r="G48" s="519"/>
    </row>
    <row r="49" spans="1:7" ht="37.5" x14ac:dyDescent="0.25">
      <c r="A49" s="519">
        <f t="shared" si="1"/>
        <v>854</v>
      </c>
      <c r="B49" s="500" t="str">
        <f>Suite&amp;" Electrical Room "&amp;SWFour</f>
        <v>G104 Electrical Room XXX</v>
      </c>
      <c r="C49" s="499" t="str" cm="1">
        <f t="array" ref="C49">"UP" &amp; SWFour</f>
        <v>UPXXX</v>
      </c>
      <c r="D49" s="233" t="str">
        <f>"Verify the readings in step " &amp; A36 &amp; " and " &amp; A48 &amp; " are within 3% of each other. (new kW divided by original kW must be ≤1.03 and ≥0.97)."</f>
        <v>Verify the readings in step 841 and 853 are within 3% of each other. (new kW divided by original kW must be ≤1.03 and ≥0.97).</v>
      </c>
      <c r="E49" s="499" t="s">
        <v>1464</v>
      </c>
      <c r="F49" s="500"/>
      <c r="G49" s="519"/>
    </row>
    <row r="50" spans="1:7" ht="37.5" x14ac:dyDescent="0.25">
      <c r="A50" s="519">
        <f t="shared" si="1"/>
        <v>855</v>
      </c>
      <c r="B50" s="500" t="str">
        <f>Suite&amp;" Electrical Room "&amp;SWFour</f>
        <v>G104 Electrical Room XXX</v>
      </c>
      <c r="C50" s="499" t="str" cm="1">
        <f t="array" ref="C50">"UP" &amp; SWFour</f>
        <v>UPXXX</v>
      </c>
      <c r="D50" s="233" t="str" cm="1">
        <f t="array" ref="D50">"Pump the MCBUP" &amp; SWFour &amp; " breaker charging handle repeatedly to compress the charging spring and charge the breaker."</f>
        <v>Pump the MCBUPXXX breaker charging handle repeatedly to compress the charging spring and charge the breaker.</v>
      </c>
      <c r="E50" s="499" t="s">
        <v>1464</v>
      </c>
      <c r="F50" s="500"/>
      <c r="G50" s="519"/>
    </row>
    <row r="51" spans="1:7" ht="56.25" x14ac:dyDescent="0.25">
      <c r="A51" s="519">
        <f t="shared" si="1"/>
        <v>856</v>
      </c>
      <c r="B51" s="500" t="str">
        <f>Suite&amp;" Electrical Room "&amp;SWFour</f>
        <v>G104 Electrical Room XXX</v>
      </c>
      <c r="C51" s="499" t="str" cm="1">
        <f t="array" ref="C51">"UP" &amp; SWFour</f>
        <v>UPXXX</v>
      </c>
      <c r="D51" s="233" t="str" cm="1">
        <f t="array" ref="D51">"Note: If breaker MCBUP" &amp; SWFour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51" s="499" t="s">
        <v>1464</v>
      </c>
      <c r="F51" s="500"/>
      <c r="G51" s="519"/>
    </row>
    <row r="52" spans="1:7" ht="37.5" x14ac:dyDescent="0.25">
      <c r="A52" s="519">
        <f t="shared" si="1"/>
        <v>857</v>
      </c>
      <c r="B52" s="500" t="str">
        <f>Suite&amp;" Electrical Room "&amp;SWFour</f>
        <v>G104 Electrical Room XXX</v>
      </c>
      <c r="C52" s="499" t="str" cm="1">
        <f t="array" ref="C52">"UP" &amp; SWFour</f>
        <v>UPXXX</v>
      </c>
      <c r="D52" s="233" t="str" cm="1">
        <f t="array" ref="D52">"Open breaker MCBUP" &amp; SWFour &amp; "."</f>
        <v>Open breaker MCBUPXXX.</v>
      </c>
      <c r="E52" s="499" t="s">
        <v>1464</v>
      </c>
      <c r="F52" s="500"/>
      <c r="G52" s="519"/>
    </row>
    <row r="53" spans="1:7" ht="37.5" x14ac:dyDescent="0.25">
      <c r="A53" s="519">
        <f t="shared" si="1"/>
        <v>858</v>
      </c>
      <c r="B53" s="500" t="str">
        <f>Suite&amp;" Electrical Room "&amp;SWFour</f>
        <v>G104 Electrical Room XXX</v>
      </c>
      <c r="C53" s="499" t="str" cm="1">
        <f t="array" ref="C53">"UP" &amp; SWFour</f>
        <v>UPXXX</v>
      </c>
      <c r="D53" s="233" t="s">
        <v>1506</v>
      </c>
      <c r="E53" s="499" t="s">
        <v>1464</v>
      </c>
      <c r="F53" s="500"/>
      <c r="G53" s="519"/>
    </row>
    <row r="54" spans="1:7" ht="37.5" x14ac:dyDescent="0.25">
      <c r="A54" s="519">
        <f t="shared" si="1"/>
        <v>859</v>
      </c>
      <c r="B54" s="500" t="str">
        <f>Suite&amp;" Electrical Room "&amp;SWFour</f>
        <v>G104 Electrical Room XXX</v>
      </c>
      <c r="C54" s="499" t="str" cm="1">
        <f t="array" ref="C54">"UP" &amp; SWFour</f>
        <v>UPXXX</v>
      </c>
      <c r="D54" s="233" t="str" cm="1">
        <f t="array" ref="D54">"Verify MCBUP" &amp; SWFour &amp; " breaker flag indicates OPEN."</f>
        <v>Verify MCBUPXXX breaker flag indicates OPEN.</v>
      </c>
      <c r="E54" s="499" t="s">
        <v>1464</v>
      </c>
      <c r="F54" s="500"/>
      <c r="G54" s="519"/>
    </row>
    <row r="55" spans="1:7" ht="37.5" x14ac:dyDescent="0.25">
      <c r="A55" s="519">
        <f t="shared" si="1"/>
        <v>860</v>
      </c>
      <c r="B55" s="500" t="str">
        <f>Suite&amp;" Electrical Room "&amp;SWFour</f>
        <v>G104 Electrical Room XXX</v>
      </c>
      <c r="C55" s="499" t="str" cm="1">
        <f t="array" ref="C55">"UP" &amp; SWFour</f>
        <v>UPXXX</v>
      </c>
      <c r="D55" s="233" t="str" cm="1">
        <f t="array" ref="D55">"Notate the kW reading at UP" &amp; SWFour &amp; " Critical Bus Panel Meter: _________"</f>
        <v>Notate the kW reading at UPXXX Critical Bus Panel Meter: _________</v>
      </c>
      <c r="E55" s="499" t="s">
        <v>1464</v>
      </c>
      <c r="F55" s="500"/>
      <c r="G55" s="519"/>
    </row>
    <row r="56" spans="1:7" ht="37.5" x14ac:dyDescent="0.25">
      <c r="A56" s="519">
        <f t="shared" si="1"/>
        <v>861</v>
      </c>
      <c r="B56" s="500" t="str">
        <f>Suite&amp;" Electrical Room "&amp;SWFour</f>
        <v>G104 Electrical Room XXX</v>
      </c>
      <c r="C56" s="499" t="str" cm="1">
        <f t="array" ref="C56">"UP" &amp; SWFour</f>
        <v>UPXXX</v>
      </c>
      <c r="D56" s="233" t="str">
        <f>"Verify the readings in step " &amp; A48 &amp; " and " &amp; A55 &amp; " are within 3% of each other. (new kW divided by original kW must be ≤1.03 and ≥0.97)."</f>
        <v>Verify the readings in step 853 and 860 are within 3% of each other. (new kW divided by original kW must be ≤1.03 and ≥0.97).</v>
      </c>
      <c r="E56" s="499" t="s">
        <v>1464</v>
      </c>
      <c r="F56" s="500"/>
      <c r="G56" s="519"/>
    </row>
    <row r="57" spans="1:7" ht="37.5" x14ac:dyDescent="0.25">
      <c r="A57" s="519">
        <f t="shared" si="1"/>
        <v>862</v>
      </c>
      <c r="B57" s="500" t="str">
        <f>Suite&amp;" Electrical Room "&amp;SWFour</f>
        <v>G104 Electrical Room XXX</v>
      </c>
      <c r="C57" s="499" t="str" cm="1">
        <f t="array" ref="C57">"UP" &amp; SWFour</f>
        <v>UPXXX</v>
      </c>
      <c r="D57" s="233" t="str" cm="1">
        <f t="array" ref="D57">"Rotate the interlock key 90 degrees to LOCK the MCBUP"&amp;SWFour&amp;" breaker."</f>
        <v>Rotate the interlock key 90 degrees to LOCK the MCBUPXXX breaker.</v>
      </c>
      <c r="E57" s="499" t="s">
        <v>1464</v>
      </c>
      <c r="F57" s="500"/>
      <c r="G57" s="519"/>
    </row>
    <row r="58" spans="1:7" ht="37.5" x14ac:dyDescent="0.25">
      <c r="A58" s="519">
        <f t="shared" si="1"/>
        <v>863</v>
      </c>
      <c r="B58" s="500" t="str">
        <f>Suite&amp;" Electrical Room "&amp;SWFour</f>
        <v>G104 Electrical Room XXX</v>
      </c>
      <c r="C58" s="499" t="str" cm="1">
        <f t="array" ref="C58">"UP" &amp; SWFour</f>
        <v>UPXXX</v>
      </c>
      <c r="D58" s="233" t="str" cm="1">
        <f t="array" ref="D58">"Remove the interlock key from the MCBUP"&amp;SWFour&amp;" breaker lock cylinder."</f>
        <v>Remove the interlock key from the MCBUPXXX breaker lock cylinder.</v>
      </c>
      <c r="E58" s="499" t="s">
        <v>1464</v>
      </c>
      <c r="F58" s="500"/>
      <c r="G58" s="519"/>
    </row>
    <row r="59" spans="1:7" ht="37.5" x14ac:dyDescent="0.25">
      <c r="A59" s="519">
        <f t="shared" si="1"/>
        <v>864</v>
      </c>
      <c r="B59" s="500" t="str">
        <f>Suite&amp;" Electrical Room "&amp;SWFour</f>
        <v>G104 Electrical Room XXX</v>
      </c>
      <c r="C59" s="499" t="str" cm="1">
        <f t="array" ref="C59">"UP" &amp; SWFour</f>
        <v>UPXXX</v>
      </c>
      <c r="D59" s="233" t="s">
        <v>1507</v>
      </c>
      <c r="E59" s="499" t="s">
        <v>1464</v>
      </c>
      <c r="F59" s="500"/>
      <c r="G59" s="519"/>
    </row>
    <row r="60" spans="1:7" ht="37.5" x14ac:dyDescent="0.25">
      <c r="A60" s="519">
        <f t="shared" si="1"/>
        <v>865</v>
      </c>
      <c r="B60" s="500" t="str">
        <f>Suite&amp;" Electrical Room "&amp;SWFour</f>
        <v>G104 Electrical Room XXX</v>
      </c>
      <c r="C60" s="499" t="str" cm="1">
        <f t="array" ref="C60">"UP" &amp; SWFour</f>
        <v>UPXXX</v>
      </c>
      <c r="D60" s="233" t="s">
        <v>1508</v>
      </c>
      <c r="E60" s="499" t="s">
        <v>1464</v>
      </c>
      <c r="F60" s="500"/>
      <c r="G60" s="519"/>
    </row>
    <row r="61" spans="1:7" ht="37.5" x14ac:dyDescent="0.25">
      <c r="A61" s="519">
        <f t="shared" si="1"/>
        <v>866</v>
      </c>
      <c r="B61" s="500" t="str">
        <f>Suite&amp;" Electrical Room "&amp;SWFour</f>
        <v>G104 Electrical Room XXX</v>
      </c>
      <c r="C61" s="499" t="str" cm="1">
        <f t="array" ref="C61">"UP" &amp; SWFour</f>
        <v>UPXXX</v>
      </c>
      <c r="D61" s="233" t="s">
        <v>1509</v>
      </c>
      <c r="E61" s="499" t="s">
        <v>1464</v>
      </c>
      <c r="F61" s="500"/>
      <c r="G61" s="519"/>
    </row>
    <row r="62" spans="1:7" ht="37.5" x14ac:dyDescent="0.25">
      <c r="A62" s="519">
        <f t="shared" si="1"/>
        <v>867</v>
      </c>
      <c r="B62" s="500" t="str">
        <f>Suite&amp;" Electrical Room "&amp;SWFour</f>
        <v>G104 Electrical Room XXX</v>
      </c>
      <c r="C62" s="499" t="str" cm="1">
        <f t="array" ref="C62">"UP" &amp; SWFour</f>
        <v>UPXXX</v>
      </c>
      <c r="D62" s="233" t="s">
        <v>1510</v>
      </c>
      <c r="E62" s="499" t="s">
        <v>1464</v>
      </c>
      <c r="F62" s="500"/>
      <c r="G62" s="519"/>
    </row>
    <row r="63" spans="1:7" x14ac:dyDescent="0.25">
      <c r="A63" s="519">
        <f t="shared" si="1"/>
        <v>868</v>
      </c>
      <c r="B63" s="702" t="str" cm="1">
        <f t="array" ref="B63">"Shut Down UPS System " &amp; SWFour</f>
        <v>Shut Down UPS System XXX</v>
      </c>
      <c r="C63" s="703"/>
      <c r="D63" s="703"/>
      <c r="E63" s="703"/>
      <c r="F63" s="703"/>
      <c r="G63" s="703"/>
    </row>
    <row r="64" spans="1:7" ht="37.5" x14ac:dyDescent="0.25">
      <c r="A64" s="519">
        <f t="shared" si="1"/>
        <v>869</v>
      </c>
      <c r="B64" s="500" t="str">
        <f>Suite&amp;" Electrical Room "&amp;SWFour</f>
        <v>G104 Electrical Room XXX</v>
      </c>
      <c r="C64" s="499" t="str" cm="1">
        <f t="array" ref="C64">"UPS " &amp; SWFour &amp; "1"</f>
        <v>UPS XXX1</v>
      </c>
      <c r="D64" s="190" t="s">
        <v>1511</v>
      </c>
      <c r="E64" s="499" t="s">
        <v>1464</v>
      </c>
      <c r="F64" s="500"/>
      <c r="G64" s="519"/>
    </row>
    <row r="65" spans="1:7" ht="37.5" x14ac:dyDescent="0.25">
      <c r="A65" s="519">
        <f t="shared" si="1"/>
        <v>870</v>
      </c>
      <c r="B65" s="500" t="str">
        <f>Suite&amp;" Electrical Room "&amp;SWFour</f>
        <v>G104 Electrical Room XXX</v>
      </c>
      <c r="C65" s="499" t="str" cm="1">
        <f t="array" ref="C65">"UPS " &amp; SWFour &amp; "1"</f>
        <v>UPS XXX1</v>
      </c>
      <c r="D65" s="233" t="s">
        <v>1497</v>
      </c>
      <c r="E65" s="499" t="s">
        <v>1464</v>
      </c>
      <c r="F65" s="500"/>
      <c r="G65" s="519"/>
    </row>
    <row r="66" spans="1:7" ht="37.5" x14ac:dyDescent="0.25">
      <c r="A66" s="519">
        <f t="shared" si="1"/>
        <v>871</v>
      </c>
      <c r="B66" s="500" t="str">
        <f>Suite&amp;" Electrical Room "&amp;SWFour</f>
        <v>G104 Electrical Room XXX</v>
      </c>
      <c r="C66" s="499" t="str" cm="1">
        <f t="array" ref="C66">"UPS " &amp; SWFour &amp; "1"</f>
        <v>UPS XXX1</v>
      </c>
      <c r="D66" s="190" t="s">
        <v>1512</v>
      </c>
      <c r="E66" s="499" t="s">
        <v>1464</v>
      </c>
      <c r="F66" s="500"/>
      <c r="G66" s="519"/>
    </row>
    <row r="67" spans="1:7" ht="56.25" x14ac:dyDescent="0.25">
      <c r="A67" s="519">
        <f t="shared" si="1"/>
        <v>872</v>
      </c>
      <c r="B67" s="500" t="str">
        <f>Suite&amp;" Electrical Room "&amp;SWFour</f>
        <v>G104 Electrical Room XXX</v>
      </c>
      <c r="C67" s="499" t="str" cm="1">
        <f t="array" ref="C67">"UPS " &amp; SWFour &amp; "1"</f>
        <v>UPS XXX1</v>
      </c>
      <c r="D67" s="190" t="s">
        <v>1513</v>
      </c>
      <c r="E67" s="499" t="s">
        <v>1464</v>
      </c>
      <c r="F67" s="500"/>
      <c r="G67" s="519"/>
    </row>
    <row r="68" spans="1:7" ht="37.5" x14ac:dyDescent="0.25">
      <c r="A68" s="519">
        <f t="shared" si="1"/>
        <v>873</v>
      </c>
      <c r="B68" s="500" t="str">
        <f>Suite&amp;" Electrical Room "&amp;SWFour</f>
        <v>G104 Electrical Room XXX</v>
      </c>
      <c r="C68" s="499" t="str" cm="1">
        <f t="array" ref="C68">"UPS " &amp; SWFour &amp; "1"</f>
        <v>UPS XXX1</v>
      </c>
      <c r="D68" s="190" t="s">
        <v>1514</v>
      </c>
      <c r="E68" s="499" t="s">
        <v>1464</v>
      </c>
      <c r="F68" s="500"/>
      <c r="G68" s="519"/>
    </row>
    <row r="69" spans="1:7" ht="37.5" x14ac:dyDescent="0.25">
      <c r="A69" s="519">
        <f t="shared" si="1"/>
        <v>874</v>
      </c>
      <c r="B69" s="500" t="str">
        <f>Suite&amp;" Electrical Room "&amp;SWFour</f>
        <v>G104 Electrical Room XXX</v>
      </c>
      <c r="C69" s="499" t="str" cm="1">
        <f t="array" ref="C69">"UPS " &amp; SWFour &amp; "1"</f>
        <v>UPS XXX1</v>
      </c>
      <c r="D69" s="190" t="s">
        <v>1515</v>
      </c>
      <c r="E69" s="499" t="s">
        <v>1464</v>
      </c>
      <c r="F69" s="500"/>
      <c r="G69" s="519"/>
    </row>
    <row r="70" spans="1:7" ht="37.5" x14ac:dyDescent="0.25">
      <c r="A70" s="519">
        <f t="shared" si="1"/>
        <v>875</v>
      </c>
      <c r="B70" s="500" t="str">
        <f>Suite&amp;" Electrical Room "&amp;SWFour</f>
        <v>G104 Electrical Room XXX</v>
      </c>
      <c r="C70" s="499" t="str" cm="1">
        <f t="array" ref="C70">"UPS " &amp; SWFour &amp; "1"</f>
        <v>UPS XXX1</v>
      </c>
      <c r="D70" s="190" t="s">
        <v>1516</v>
      </c>
      <c r="E70" s="499" t="s">
        <v>1464</v>
      </c>
      <c r="F70" s="500"/>
      <c r="G70" s="519"/>
    </row>
    <row r="71" spans="1:7" ht="37.5" x14ac:dyDescent="0.25">
      <c r="A71" s="519">
        <f t="shared" si="1"/>
        <v>876</v>
      </c>
      <c r="B71" s="500" t="str">
        <f>Suite&amp;" Electrical Room "&amp;SWFour</f>
        <v>G104 Electrical Room XXX</v>
      </c>
      <c r="C71" s="499" t="str" cm="1">
        <f t="array" ref="C71">"UPS " &amp; SWFour</f>
        <v>UPS XXX</v>
      </c>
      <c r="D71" s="190" t="s">
        <v>1517</v>
      </c>
      <c r="E71" s="499" t="s">
        <v>1464</v>
      </c>
      <c r="F71" s="500"/>
      <c r="G71" s="519"/>
    </row>
    <row r="72" spans="1:7" ht="56.25" x14ac:dyDescent="0.25">
      <c r="A72" s="519">
        <f t="shared" si="1"/>
        <v>877</v>
      </c>
      <c r="B72" s="500" t="str">
        <f>Suite&amp;" Electrical Room "&amp;SWFour</f>
        <v>G104 Electrical Room XXX</v>
      </c>
      <c r="C72" s="499" t="str" cm="1">
        <f t="array" ref="C72">"UPS " &amp; SWFour &amp; " Battery Cabinets"</f>
        <v>UPS XXX Battery Cabinets</v>
      </c>
      <c r="D72" s="190" t="str" cm="1">
        <f t="array" ref="D72">"Verify battery breaker for cabinet " &amp; SWFour &amp; "1-1 is in the tripped position."</f>
        <v>Verify battery breaker for cabinet XXX1-1 is in the tripped position.</v>
      </c>
      <c r="E72" s="499" t="s">
        <v>1464</v>
      </c>
      <c r="F72" s="500"/>
      <c r="G72" s="519"/>
    </row>
    <row r="73" spans="1:7" ht="56.25" x14ac:dyDescent="0.25">
      <c r="A73" s="519">
        <f t="shared" si="1"/>
        <v>878</v>
      </c>
      <c r="B73" s="500" t="str">
        <f>Suite&amp;" Electrical Room "&amp;SWFour</f>
        <v>G104 Electrical Room XXX</v>
      </c>
      <c r="C73" s="499" t="str" cm="1">
        <f t="array" ref="C73">"UPS " &amp; SWFour &amp; " Battery Cabinets"</f>
        <v>UPS XXX Battery Cabinets</v>
      </c>
      <c r="D73" s="190" t="str" cm="1">
        <f t="array" ref="D73">"Open battery breaker " &amp; SWFour &amp; "1-1."</f>
        <v>Open battery breaker XXX1-1.</v>
      </c>
      <c r="E73" s="499" t="s">
        <v>1464</v>
      </c>
      <c r="F73" s="500"/>
      <c r="G73" s="519"/>
    </row>
    <row r="74" spans="1:7" ht="56.25" x14ac:dyDescent="0.25">
      <c r="A74" s="519">
        <f t="shared" si="1"/>
        <v>879</v>
      </c>
      <c r="B74" s="500" t="str">
        <f>Suite&amp;" Electrical Room "&amp;SWFour</f>
        <v>G104 Electrical Room XXX</v>
      </c>
      <c r="C74" s="499" t="str" cm="1">
        <f t="array" ref="C74">"UPS " &amp; SWFour &amp; " Battery Cabinets"</f>
        <v>UPS XXX Battery Cabinets</v>
      </c>
      <c r="D74" s="190" t="str" cm="1">
        <f t="array" ref="D74">"Apply LOTO to battery breaker " &amp; SWFour &amp; "1-1."</f>
        <v>Apply LOTO to battery breaker XXX1-1.</v>
      </c>
      <c r="E74" s="499" t="s">
        <v>1464</v>
      </c>
      <c r="F74" s="500"/>
      <c r="G74" s="519"/>
    </row>
    <row r="75" spans="1:7" ht="56.25" x14ac:dyDescent="0.25">
      <c r="A75" s="519">
        <f t="shared" si="1"/>
        <v>880</v>
      </c>
      <c r="B75" s="500" t="str">
        <f>Suite&amp;" Electrical Room "&amp;SWFour</f>
        <v>G104 Electrical Room XXX</v>
      </c>
      <c r="C75" s="499" t="str" cm="1">
        <f t="array" ref="C75">"UPS " &amp; SWFour &amp; " Battery Cabinets"</f>
        <v>UPS XXX Battery Cabinets</v>
      </c>
      <c r="D75" s="233" t="s">
        <v>1518</v>
      </c>
      <c r="E75" s="499" t="s">
        <v>1464</v>
      </c>
      <c r="F75" s="500" t="s">
        <v>1519</v>
      </c>
      <c r="G75" s="519"/>
    </row>
    <row r="76" spans="1:7" ht="56.25" x14ac:dyDescent="0.25">
      <c r="A76" s="519">
        <f t="shared" si="1"/>
        <v>881</v>
      </c>
      <c r="B76" s="500" t="str">
        <f>Suite&amp;" Electrical Room "&amp;SWFour</f>
        <v>G104 Electrical Room XXX</v>
      </c>
      <c r="C76" s="499" t="str" cm="1">
        <f t="array" ref="C76">"UPS " &amp; SWFour &amp; " Battery Cabinets"</f>
        <v>UPS XXX Battery Cabinets</v>
      </c>
      <c r="D76" s="190" t="str" cm="1">
        <f t="array" ref="D76">"Verify battery breaker for cabinet " &amp; SWFour &amp; "1-2 is in the tripped position."</f>
        <v>Verify battery breaker for cabinet XXX1-2 is in the tripped position.</v>
      </c>
      <c r="E76" s="499" t="s">
        <v>1464</v>
      </c>
      <c r="F76" s="500"/>
      <c r="G76" s="519"/>
    </row>
    <row r="77" spans="1:7" ht="56.25" x14ac:dyDescent="0.25">
      <c r="A77" s="519">
        <f t="shared" si="1"/>
        <v>882</v>
      </c>
      <c r="B77" s="500" t="str">
        <f>Suite&amp;" Electrical Room "&amp;SWFour</f>
        <v>G104 Electrical Room XXX</v>
      </c>
      <c r="C77" s="499" t="str" cm="1">
        <f t="array" ref="C77">"UPS " &amp; SWFour &amp; " Battery Cabinets"</f>
        <v>UPS XXX Battery Cabinets</v>
      </c>
      <c r="D77" s="190" t="str" cm="1">
        <f t="array" ref="D77">"Open battery breaker " &amp; SWFour &amp; "1-2."</f>
        <v>Open battery breaker XXX1-2.</v>
      </c>
      <c r="E77" s="499" t="s">
        <v>1464</v>
      </c>
      <c r="F77" s="500"/>
      <c r="G77" s="519"/>
    </row>
    <row r="78" spans="1:7" ht="56.25" x14ac:dyDescent="0.25">
      <c r="A78" s="519">
        <f t="shared" si="1"/>
        <v>883</v>
      </c>
      <c r="B78" s="500" t="str">
        <f>Suite&amp;" Electrical Room "&amp;SWFour</f>
        <v>G104 Electrical Room XXX</v>
      </c>
      <c r="C78" s="499" t="str" cm="1">
        <f t="array" ref="C78">"UPS " &amp; SWFour &amp; " Battery Cabinets"</f>
        <v>UPS XXX Battery Cabinets</v>
      </c>
      <c r="D78" s="190" t="str" cm="1">
        <f t="array" ref="D78">"Apply LOTO to battery breaker " &amp; SWFour &amp; "1-2."</f>
        <v>Apply LOTO to battery breaker XXX1-2.</v>
      </c>
      <c r="E78" s="499" t="s">
        <v>1464</v>
      </c>
      <c r="F78" s="500"/>
      <c r="G78" s="519"/>
    </row>
    <row r="79" spans="1:7" ht="56.25" x14ac:dyDescent="0.25">
      <c r="A79" s="519">
        <f t="shared" si="1"/>
        <v>884</v>
      </c>
      <c r="B79" s="500" t="str">
        <f>Suite&amp;" Electrical Room "&amp;SWFour</f>
        <v>G104 Electrical Room XXX</v>
      </c>
      <c r="C79" s="499" t="str" cm="1">
        <f t="array" ref="C79">"UPS " &amp; SWFour &amp; " Battery Cabinets"</f>
        <v>UPS XXX Battery Cabinets</v>
      </c>
      <c r="D79" s="233" t="s">
        <v>1518</v>
      </c>
      <c r="E79" s="499" t="s">
        <v>1464</v>
      </c>
      <c r="F79" s="500"/>
      <c r="G79" s="519"/>
    </row>
    <row r="80" spans="1:7" ht="56.25" x14ac:dyDescent="0.25">
      <c r="A80" s="519">
        <f t="shared" si="1"/>
        <v>885</v>
      </c>
      <c r="B80" s="500" t="str">
        <f>Suite&amp;" Electrical Room "&amp;SWFour</f>
        <v>G104 Electrical Room XXX</v>
      </c>
      <c r="C80" s="499" t="str" cm="1">
        <f t="array" ref="C80">"UPS " &amp; SWFour &amp; " Battery Cabinets"</f>
        <v>UPS XXX Battery Cabinets</v>
      </c>
      <c r="D80" s="190" t="str" cm="1">
        <f t="array" ref="D80">"Verify battery breaker for cabinet " &amp; SWFour &amp; "1-3 is in the tripped position."</f>
        <v>Verify battery breaker for cabinet XXX1-3 is in the tripped position.</v>
      </c>
      <c r="E80" s="499" t="s">
        <v>1464</v>
      </c>
      <c r="F80" s="500"/>
      <c r="G80" s="519"/>
    </row>
    <row r="81" spans="1:7" ht="56.25" x14ac:dyDescent="0.25">
      <c r="A81" s="519">
        <f t="shared" si="1"/>
        <v>886</v>
      </c>
      <c r="B81" s="500" t="str">
        <f>Suite&amp;" Electrical Room "&amp;SWFour</f>
        <v>G104 Electrical Room XXX</v>
      </c>
      <c r="C81" s="499" t="str" cm="1">
        <f t="array" ref="C81">"UPS " &amp; SWFour &amp; " Battery Cabinets"</f>
        <v>UPS XXX Battery Cabinets</v>
      </c>
      <c r="D81" s="190" t="str" cm="1">
        <f t="array" ref="D81">"Open battery breaker " &amp; SWFour &amp; "1-3."</f>
        <v>Open battery breaker XXX1-3.</v>
      </c>
      <c r="E81" s="499" t="s">
        <v>1464</v>
      </c>
      <c r="F81" s="500"/>
      <c r="G81" s="519"/>
    </row>
    <row r="82" spans="1:7" ht="56.25" x14ac:dyDescent="0.25">
      <c r="A82" s="519">
        <f t="shared" si="1"/>
        <v>887</v>
      </c>
      <c r="B82" s="500" t="str">
        <f>Suite&amp;" Electrical Room "&amp;SWFour</f>
        <v>G104 Electrical Room XXX</v>
      </c>
      <c r="C82" s="499" t="str" cm="1">
        <f t="array" ref="C82">"UPS " &amp; SWFour &amp; " Battery Cabinets"</f>
        <v>UPS XXX Battery Cabinets</v>
      </c>
      <c r="D82" s="190" t="str" cm="1">
        <f t="array" ref="D82">"Apply LOTO to battery breaker " &amp; SWFour &amp; "1-3."</f>
        <v>Apply LOTO to battery breaker XXX1-3.</v>
      </c>
      <c r="E82" s="499" t="s">
        <v>1464</v>
      </c>
      <c r="F82" s="500"/>
      <c r="G82" s="519"/>
    </row>
    <row r="83" spans="1:7" ht="56.25" x14ac:dyDescent="0.25">
      <c r="A83" s="519">
        <f t="shared" si="1"/>
        <v>888</v>
      </c>
      <c r="B83" s="500" t="str">
        <f>Suite&amp;" Electrical Room "&amp;SWFour</f>
        <v>G104 Electrical Room XXX</v>
      </c>
      <c r="C83" s="499" t="str" cm="1">
        <f t="array" ref="C83">"UPS " &amp; SWFour &amp; " Battery Cabinets"</f>
        <v>UPS XXX Battery Cabinets</v>
      </c>
      <c r="D83" s="233" t="s">
        <v>1518</v>
      </c>
      <c r="E83" s="499" t="s">
        <v>1464</v>
      </c>
      <c r="F83" s="500"/>
      <c r="G83" s="519"/>
    </row>
    <row r="84" spans="1:7" ht="56.25" x14ac:dyDescent="0.25">
      <c r="A84" s="519">
        <f t="shared" si="1"/>
        <v>889</v>
      </c>
      <c r="B84" s="500" t="str">
        <f>Suite&amp;" Electrical Room "&amp;SWFour</f>
        <v>G104 Electrical Room XXX</v>
      </c>
      <c r="C84" s="499" t="str" cm="1">
        <f t="array" ref="C84">"UPS " &amp; SWFour &amp; " Battery Cabinets"</f>
        <v>UPS XXX Battery Cabinets</v>
      </c>
      <c r="D84" s="190" t="str" cm="1">
        <f t="array" ref="D84">"Verify battery breaker for cabinet " &amp; SWFour &amp; "2-1 is in the tripped position."</f>
        <v>Verify battery breaker for cabinet XXX2-1 is in the tripped position.</v>
      </c>
      <c r="E84" s="499" t="s">
        <v>1464</v>
      </c>
      <c r="F84" s="500"/>
      <c r="G84" s="519"/>
    </row>
    <row r="85" spans="1:7" ht="56.25" x14ac:dyDescent="0.25">
      <c r="A85" s="519">
        <f t="shared" si="1"/>
        <v>890</v>
      </c>
      <c r="B85" s="500" t="str">
        <f>Suite&amp;" Electrical Room "&amp;SWFour</f>
        <v>G104 Electrical Room XXX</v>
      </c>
      <c r="C85" s="499" t="str" cm="1">
        <f t="array" ref="C85">"UPS " &amp; SWFour &amp; " Battery Cabinets"</f>
        <v>UPS XXX Battery Cabinets</v>
      </c>
      <c r="D85" s="190" t="str" cm="1">
        <f t="array" ref="D85">"Open battery breaker " &amp; SWFour &amp; "2-1."</f>
        <v>Open battery breaker XXX2-1.</v>
      </c>
      <c r="E85" s="499" t="s">
        <v>1464</v>
      </c>
      <c r="F85" s="500"/>
      <c r="G85" s="519"/>
    </row>
    <row r="86" spans="1:7" ht="56.25" x14ac:dyDescent="0.25">
      <c r="A86" s="519">
        <f t="shared" si="1"/>
        <v>891</v>
      </c>
      <c r="B86" s="500" t="str">
        <f>Suite&amp;" Electrical Room "&amp;SWFour</f>
        <v>G104 Electrical Room XXX</v>
      </c>
      <c r="C86" s="499" t="str" cm="1">
        <f t="array" ref="C86">"UPS " &amp; SWFour &amp; " Battery Cabinets"</f>
        <v>UPS XXX Battery Cabinets</v>
      </c>
      <c r="D86" s="190" t="str" cm="1">
        <f t="array" ref="D86">"Apply LOTO to battery breaker " &amp; SWFour &amp; "2-1."</f>
        <v>Apply LOTO to battery breaker XXX2-1.</v>
      </c>
      <c r="E86" s="499" t="s">
        <v>1464</v>
      </c>
      <c r="F86" s="500"/>
      <c r="G86" s="519"/>
    </row>
    <row r="87" spans="1:7" ht="56.25" x14ac:dyDescent="0.25">
      <c r="A87" s="519">
        <f t="shared" si="1"/>
        <v>892</v>
      </c>
      <c r="B87" s="500" t="str">
        <f>Suite&amp;" Electrical Room "&amp;SWFour</f>
        <v>G104 Electrical Room XXX</v>
      </c>
      <c r="C87" s="499" t="str" cm="1">
        <f t="array" ref="C87">"UPS " &amp; SWFour &amp; " Battery Cabinets"</f>
        <v>UPS XXX Battery Cabinets</v>
      </c>
      <c r="D87" s="233" t="s">
        <v>1518</v>
      </c>
      <c r="E87" s="499" t="s">
        <v>1464</v>
      </c>
      <c r="F87" s="500"/>
      <c r="G87" s="519"/>
    </row>
    <row r="88" spans="1:7" ht="56.25" x14ac:dyDescent="0.25">
      <c r="A88" s="519">
        <f t="shared" si="1"/>
        <v>893</v>
      </c>
      <c r="B88" s="500" t="str">
        <f>Suite&amp;" Electrical Room "&amp;SWFour</f>
        <v>G104 Electrical Room XXX</v>
      </c>
      <c r="C88" s="499" t="str" cm="1">
        <f t="array" ref="C88">"UPS " &amp; SWFour &amp; " Battery Cabinets"</f>
        <v>UPS XXX Battery Cabinets</v>
      </c>
      <c r="D88" s="190" t="str" cm="1">
        <f t="array" ref="D88">"Verify battery breaker for cabinet " &amp; SWFour &amp; "2-2 is in the tripped position."</f>
        <v>Verify battery breaker for cabinet XXX2-2 is in the tripped position.</v>
      </c>
      <c r="E88" s="499" t="s">
        <v>1464</v>
      </c>
      <c r="F88" s="500"/>
      <c r="G88" s="519"/>
    </row>
    <row r="89" spans="1:7" ht="56.25" x14ac:dyDescent="0.25">
      <c r="A89" s="519">
        <f t="shared" si="1"/>
        <v>894</v>
      </c>
      <c r="B89" s="500" t="str">
        <f>Suite&amp;" Electrical Room "&amp;SWFour</f>
        <v>G104 Electrical Room XXX</v>
      </c>
      <c r="C89" s="499" t="str" cm="1">
        <f t="array" ref="C89">"UPS " &amp; SWFour &amp; " Battery Cabinets"</f>
        <v>UPS XXX Battery Cabinets</v>
      </c>
      <c r="D89" s="190" t="str" cm="1">
        <f t="array" ref="D89">"Open battery breaker " &amp; SWFour &amp; "2-2."</f>
        <v>Open battery breaker XXX2-2.</v>
      </c>
      <c r="E89" s="499" t="s">
        <v>1464</v>
      </c>
      <c r="F89" s="500"/>
      <c r="G89" s="519"/>
    </row>
    <row r="90" spans="1:7" ht="56.25" x14ac:dyDescent="0.25">
      <c r="A90" s="519">
        <f t="shared" si="1"/>
        <v>895</v>
      </c>
      <c r="B90" s="500" t="str">
        <f>Suite&amp;" Electrical Room "&amp;SWFour</f>
        <v>G104 Electrical Room XXX</v>
      </c>
      <c r="C90" s="499" t="str" cm="1">
        <f t="array" ref="C90">"UPS " &amp; SWFour &amp; " Battery Cabinets"</f>
        <v>UPS XXX Battery Cabinets</v>
      </c>
      <c r="D90" s="190" t="str" cm="1">
        <f t="array" ref="D90">"Apply LOTO to battery breaker " &amp; SWFour &amp; "2-2."</f>
        <v>Apply LOTO to battery breaker XXX2-2.</v>
      </c>
      <c r="E90" s="499" t="s">
        <v>1464</v>
      </c>
      <c r="F90" s="500"/>
      <c r="G90" s="519"/>
    </row>
    <row r="91" spans="1:7" ht="56.25" x14ac:dyDescent="0.25">
      <c r="A91" s="519">
        <f t="shared" si="1"/>
        <v>896</v>
      </c>
      <c r="B91" s="500" t="str">
        <f>Suite&amp;" Electrical Room "&amp;SWFour</f>
        <v>G104 Electrical Room XXX</v>
      </c>
      <c r="C91" s="499" t="str" cm="1">
        <f t="array" ref="C91">"UPS " &amp; SWFour &amp; " Battery Cabinets"</f>
        <v>UPS XXX Battery Cabinets</v>
      </c>
      <c r="D91" s="233" t="s">
        <v>1518</v>
      </c>
      <c r="E91" s="499" t="s">
        <v>1464</v>
      </c>
      <c r="F91" s="500"/>
      <c r="G91" s="519"/>
    </row>
    <row r="92" spans="1:7" ht="56.25" x14ac:dyDescent="0.25">
      <c r="A92" s="519">
        <f t="shared" ref="A92:A155" si="2">A91+1</f>
        <v>897</v>
      </c>
      <c r="B92" s="500" t="str">
        <f>Suite&amp;" Electrical Room "&amp;SWFour</f>
        <v>G104 Electrical Room XXX</v>
      </c>
      <c r="C92" s="499" t="str" cm="1">
        <f t="array" ref="C92">"UPS " &amp; SWFour &amp; " Battery Cabinets"</f>
        <v>UPS XXX Battery Cabinets</v>
      </c>
      <c r="D92" s="190" t="str" cm="1">
        <f t="array" ref="D92">"Verify battery breaker for cabinet " &amp; SWFour &amp; "2-3 is in the tripped position."</f>
        <v>Verify battery breaker for cabinet XXX2-3 is in the tripped position.</v>
      </c>
      <c r="E92" s="499" t="s">
        <v>1464</v>
      </c>
      <c r="F92" s="500"/>
      <c r="G92" s="519"/>
    </row>
    <row r="93" spans="1:7" ht="56.25" x14ac:dyDescent="0.25">
      <c r="A93" s="519">
        <f t="shared" si="2"/>
        <v>898</v>
      </c>
      <c r="B93" s="500" t="str">
        <f>Suite&amp;" Electrical Room "&amp;SWFour</f>
        <v>G104 Electrical Room XXX</v>
      </c>
      <c r="C93" s="499" t="str" cm="1">
        <f t="array" ref="C93">"UPS " &amp; SWFour &amp; " Battery Cabinets"</f>
        <v>UPS XXX Battery Cabinets</v>
      </c>
      <c r="D93" s="190" t="str" cm="1">
        <f t="array" ref="D93">"Open battery breaker " &amp; SWFour &amp; "2-3."</f>
        <v>Open battery breaker XXX2-3.</v>
      </c>
      <c r="E93" s="499" t="s">
        <v>1464</v>
      </c>
      <c r="F93" s="500"/>
      <c r="G93" s="519"/>
    </row>
    <row r="94" spans="1:7" ht="56.25" x14ac:dyDescent="0.25">
      <c r="A94" s="519">
        <f t="shared" si="2"/>
        <v>899</v>
      </c>
      <c r="B94" s="500" t="str">
        <f>Suite&amp;" Electrical Room "&amp;SWFour</f>
        <v>G104 Electrical Room XXX</v>
      </c>
      <c r="C94" s="499" t="str" cm="1">
        <f t="array" ref="C94">"UPS " &amp; SWFour &amp; " Battery Cabinets"</f>
        <v>UPS XXX Battery Cabinets</v>
      </c>
      <c r="D94" s="190" t="str" cm="1">
        <f t="array" ref="D94">"Apply LOTO to battery breaker " &amp; SWFour &amp; "2-3."</f>
        <v>Apply LOTO to battery breaker XXX2-3.</v>
      </c>
      <c r="E94" s="499" t="s">
        <v>1464</v>
      </c>
      <c r="F94" s="500"/>
      <c r="G94" s="519"/>
    </row>
    <row r="95" spans="1:7" ht="56.25" x14ac:dyDescent="0.25">
      <c r="A95" s="519">
        <f t="shared" si="2"/>
        <v>900</v>
      </c>
      <c r="B95" s="500" t="str">
        <f>Suite&amp;" Electrical Room "&amp;SWFour</f>
        <v>G104 Electrical Room XXX</v>
      </c>
      <c r="C95" s="499" t="str" cm="1">
        <f t="array" ref="C95">"UPS " &amp; SWFour &amp; " Battery Cabinets"</f>
        <v>UPS XXX Battery Cabinets</v>
      </c>
      <c r="D95" s="233" t="s">
        <v>1518</v>
      </c>
      <c r="E95" s="499" t="s">
        <v>1464</v>
      </c>
      <c r="F95" s="500"/>
      <c r="G95" s="519"/>
    </row>
    <row r="96" spans="1:7" ht="37.5" x14ac:dyDescent="0.25">
      <c r="A96" s="519">
        <f t="shared" si="2"/>
        <v>901</v>
      </c>
      <c r="B96" s="500" t="str">
        <f>Suite&amp;" Electrical Room "&amp;SWFour</f>
        <v>G104 Electrical Room XXX</v>
      </c>
      <c r="C96" s="499" t="str" cm="1">
        <f t="array" ref="C96">"UP" &amp; SWFour</f>
        <v>UPXXX</v>
      </c>
      <c r="D96" s="190" t="str" cm="1">
        <f t="array" ref="D96">"Open breaker DP-" &amp; SWFour &amp; "1."</f>
        <v>Open breaker DP-XXX1.</v>
      </c>
      <c r="E96" s="499" t="s">
        <v>1464</v>
      </c>
      <c r="F96" s="500"/>
      <c r="G96" s="519"/>
    </row>
    <row r="97" spans="1:7" ht="37.5" x14ac:dyDescent="0.25">
      <c r="A97" s="519">
        <f t="shared" si="2"/>
        <v>902</v>
      </c>
      <c r="B97" s="500" t="str">
        <f>Suite&amp;" Electrical Room "&amp;SWFour</f>
        <v>G104 Electrical Room XXX</v>
      </c>
      <c r="C97" s="499" t="str" cm="1">
        <f t="array" ref="C97">"UP" &amp; SWFour</f>
        <v>UPXXX</v>
      </c>
      <c r="D97" s="190" t="str" cm="1">
        <f t="array" ref="D97">"Apply LOTO to breaker DP-" &amp; SWFour &amp; "1."</f>
        <v>Apply LOTO to breaker DP-XXX1.</v>
      </c>
      <c r="E97" s="499" t="s">
        <v>1464</v>
      </c>
      <c r="F97" s="500"/>
      <c r="G97" s="519"/>
    </row>
    <row r="98" spans="1:7" ht="37.5" x14ac:dyDescent="0.25">
      <c r="A98" s="519">
        <f t="shared" si="2"/>
        <v>903</v>
      </c>
      <c r="B98" s="500" t="str">
        <f>Suite&amp;" Electrical Room "&amp;SWFour</f>
        <v>G104 Electrical Room XXX</v>
      </c>
      <c r="C98" s="499" t="str" cm="1">
        <f t="array" ref="C98">"UP" &amp; SWFour</f>
        <v>UPXXX</v>
      </c>
      <c r="D98" s="233" t="s">
        <v>1518</v>
      </c>
      <c r="E98" s="499" t="s">
        <v>1464</v>
      </c>
      <c r="F98" s="500"/>
      <c r="G98" s="519"/>
    </row>
    <row r="99" spans="1:7" ht="37.5" x14ac:dyDescent="0.25">
      <c r="A99" s="519">
        <f t="shared" si="2"/>
        <v>904</v>
      </c>
      <c r="B99" s="500" t="str">
        <f>Suite&amp;" Electrical Room "&amp;SWFour</f>
        <v>G104 Electrical Room XXX</v>
      </c>
      <c r="C99" s="499" t="str" cm="1">
        <f t="array" ref="C99">"UP" &amp; SWFour</f>
        <v>UPXXX</v>
      </c>
      <c r="D99" s="190" t="str" cm="1">
        <f t="array" ref="D99">"Open breaker DP-" &amp; SWFour &amp; "2."</f>
        <v>Open breaker DP-XXX2.</v>
      </c>
      <c r="E99" s="499" t="s">
        <v>1464</v>
      </c>
      <c r="F99" s="500"/>
      <c r="G99" s="519"/>
    </row>
    <row r="100" spans="1:7" ht="37.5" x14ac:dyDescent="0.25">
      <c r="A100" s="519">
        <f t="shared" si="2"/>
        <v>905</v>
      </c>
      <c r="B100" s="500" t="str">
        <f>Suite&amp;" Electrical Room "&amp;SWFour</f>
        <v>G104 Electrical Room XXX</v>
      </c>
      <c r="C100" s="499" t="str" cm="1">
        <f t="array" ref="C100">"UP" &amp; SWFour</f>
        <v>UPXXX</v>
      </c>
      <c r="D100" s="190" t="str" cm="1">
        <f t="array" ref="D100">"Apply LOTO to breaker DP-" &amp; SWFour &amp; "2."</f>
        <v>Apply LOTO to breaker DP-XXX2.</v>
      </c>
      <c r="E100" s="499" t="s">
        <v>1464</v>
      </c>
      <c r="F100" s="500"/>
      <c r="G100" s="519"/>
    </row>
    <row r="101" spans="1:7" ht="37.5" x14ac:dyDescent="0.25">
      <c r="A101" s="519">
        <f t="shared" si="2"/>
        <v>906</v>
      </c>
      <c r="B101" s="500" t="str">
        <f>Suite&amp;" Electrical Room "&amp;SWFour</f>
        <v>G104 Electrical Room XXX</v>
      </c>
      <c r="C101" s="499" t="str" cm="1">
        <f t="array" ref="C101">"UP" &amp; SWFour</f>
        <v>UPXXX</v>
      </c>
      <c r="D101" s="233" t="s">
        <v>1518</v>
      </c>
      <c r="E101" s="499" t="s">
        <v>1464</v>
      </c>
      <c r="F101" s="500"/>
      <c r="G101" s="519"/>
    </row>
    <row r="102" spans="1:7" ht="37.5" x14ac:dyDescent="0.25">
      <c r="A102" s="519">
        <f t="shared" si="2"/>
        <v>907</v>
      </c>
      <c r="B102" s="500" t="str">
        <f>Suite&amp;" Electrical Room "&amp;SWFour</f>
        <v>G104 Electrical Room XXX</v>
      </c>
      <c r="C102" s="499" t="str" cm="1">
        <f t="array" ref="C102">"UPS " &amp; SWFour &amp; "1"</f>
        <v>UPS XXX1</v>
      </c>
      <c r="D102" s="501" t="s">
        <v>1520</v>
      </c>
      <c r="E102" s="499" t="s">
        <v>1464</v>
      </c>
      <c r="F102" s="500"/>
      <c r="G102" s="519"/>
    </row>
    <row r="103" spans="1:7" ht="37.5" x14ac:dyDescent="0.25">
      <c r="A103" s="519">
        <f t="shared" si="2"/>
        <v>908</v>
      </c>
      <c r="B103" s="500" t="str">
        <f>Suite&amp;" Electrical Room "&amp;SWFour</f>
        <v>G104 Electrical Room XXX</v>
      </c>
      <c r="C103" s="499" t="str" cm="1">
        <f t="array" ref="C103">"SW" &amp; SWFour</f>
        <v>SWXXX</v>
      </c>
      <c r="D103" s="190" t="str" cm="1">
        <f t="array" ref="D103">"Open breaker UPS-" &amp; SWFour &amp; "1."</f>
        <v>Open breaker UPS-XXX1.</v>
      </c>
      <c r="E103" s="499" t="s">
        <v>1464</v>
      </c>
      <c r="F103" s="500"/>
      <c r="G103" s="519"/>
    </row>
    <row r="104" spans="1:7" ht="37.5" x14ac:dyDescent="0.25">
      <c r="A104" s="519">
        <f t="shared" si="2"/>
        <v>909</v>
      </c>
      <c r="B104" s="500" t="str">
        <f>Suite&amp;" Electrical Room "&amp;SWFour</f>
        <v>G104 Electrical Room XXX</v>
      </c>
      <c r="C104" s="499" t="str" cm="1">
        <f t="array" ref="C104">"SW" &amp; SWFour</f>
        <v>SWXXX</v>
      </c>
      <c r="D104" s="190" t="str" cm="1">
        <f t="array" ref="D104">"Apply LOTO to breaker UPS-" &amp; SWFour &amp; "1."</f>
        <v>Apply LOTO to breaker UPS-XXX1.</v>
      </c>
      <c r="E104" s="499" t="s">
        <v>1464</v>
      </c>
      <c r="F104" s="500"/>
      <c r="G104" s="519"/>
    </row>
    <row r="105" spans="1:7" ht="37.5" x14ac:dyDescent="0.25">
      <c r="A105" s="519">
        <f t="shared" si="2"/>
        <v>910</v>
      </c>
      <c r="B105" s="500" t="str">
        <f>Suite&amp;" Electrical Room "&amp;SWFour</f>
        <v>G104 Electrical Room XXX</v>
      </c>
      <c r="C105" s="499" t="str" cm="1">
        <f t="array" ref="C105">"SW" &amp; SWFour</f>
        <v>SWXXX</v>
      </c>
      <c r="D105" s="233" t="s">
        <v>1518</v>
      </c>
      <c r="E105" s="499" t="s">
        <v>1464</v>
      </c>
      <c r="F105" s="500"/>
      <c r="G105" s="519"/>
    </row>
    <row r="106" spans="1:7" ht="37.5" x14ac:dyDescent="0.25">
      <c r="A106" s="519">
        <f t="shared" si="2"/>
        <v>911</v>
      </c>
      <c r="B106" s="500" t="str">
        <f>Suite&amp;" Electrical Room "&amp;SWFour</f>
        <v>G104 Electrical Room XXX</v>
      </c>
      <c r="C106" s="499" t="str" cm="1">
        <f t="array" ref="C106">"SW" &amp; SWFour</f>
        <v>SWXXX</v>
      </c>
      <c r="D106" s="190" t="str" cm="1">
        <f t="array" ref="D106">"Open breaker UPS-" &amp; SWFour &amp; "2."</f>
        <v>Open breaker UPS-XXX2.</v>
      </c>
      <c r="E106" s="499" t="s">
        <v>1464</v>
      </c>
      <c r="F106" s="500"/>
      <c r="G106" s="519"/>
    </row>
    <row r="107" spans="1:7" ht="37.5" x14ac:dyDescent="0.25">
      <c r="A107" s="519">
        <f t="shared" si="2"/>
        <v>912</v>
      </c>
      <c r="B107" s="500" t="str">
        <f>Suite&amp;" Electrical Room "&amp;SWFour</f>
        <v>G104 Electrical Room XXX</v>
      </c>
      <c r="C107" s="499" t="str" cm="1">
        <f t="array" ref="C107">"SW" &amp; SWFour</f>
        <v>SWXXX</v>
      </c>
      <c r="D107" s="190" t="str" cm="1">
        <f t="array" ref="D107">"Apply LOTO to breaker UPS-" &amp; SWFour &amp; "2."</f>
        <v>Apply LOTO to breaker UPS-XXX2.</v>
      </c>
      <c r="E107" s="499" t="s">
        <v>1464</v>
      </c>
      <c r="F107" s="500"/>
      <c r="G107" s="519"/>
    </row>
    <row r="108" spans="1:7" ht="37.5" x14ac:dyDescent="0.25">
      <c r="A108" s="519">
        <f t="shared" si="2"/>
        <v>913</v>
      </c>
      <c r="B108" s="500" t="str">
        <f>Suite&amp;" Electrical Room "&amp;SWFour</f>
        <v>G104 Electrical Room XXX</v>
      </c>
      <c r="C108" s="499" t="str" cm="1">
        <f t="array" ref="C108">"SW" &amp; SWFour</f>
        <v>SWXXX</v>
      </c>
      <c r="D108" s="233" t="s">
        <v>1518</v>
      </c>
      <c r="E108" s="499" t="s">
        <v>1464</v>
      </c>
      <c r="F108" s="500"/>
      <c r="G108" s="519"/>
    </row>
    <row r="109" spans="1:7" ht="56.25" x14ac:dyDescent="0.25">
      <c r="A109" s="519">
        <f t="shared" si="2"/>
        <v>914</v>
      </c>
      <c r="B109" s="500" t="str">
        <f>Suite&amp;" Electrical Room "&amp;SWFour</f>
        <v>G104 Electrical Room XXX</v>
      </c>
      <c r="C109" s="499" t="str" cm="1">
        <f t="array" ref="C109">"UPS " &amp; SWFour &amp; "1"</f>
        <v>UPS XXX1</v>
      </c>
      <c r="D109" s="190" t="str" cm="1">
        <f t="array" ref="D109">"Verify UPS-" &amp;SWFour&amp; "1 CB1 breaker is in the ''Tripped'' position. 
Note: The CB1 breaker will automatically reset and close during system startup."</f>
        <v>Verify UPS-XXX1 CB1 breaker is in the ''Tripped'' position. 
Note: The CB1 breaker will automatically reset and close during system startup.</v>
      </c>
      <c r="E109" s="499" t="s">
        <v>1464</v>
      </c>
      <c r="F109" s="500"/>
      <c r="G109" s="519"/>
    </row>
    <row r="110" spans="1:7" ht="56.25" x14ac:dyDescent="0.25">
      <c r="A110" s="519">
        <f t="shared" si="2"/>
        <v>915</v>
      </c>
      <c r="B110" s="500" t="str">
        <f>Suite&amp;" Electrical Room "&amp;SWFour</f>
        <v>G104 Electrical Room XXX</v>
      </c>
      <c r="C110" s="499" t="str" cm="1">
        <f t="array" ref="C110">"UPS " &amp; SWFour &amp; "2"</f>
        <v>UPS XXX2</v>
      </c>
      <c r="D110" s="190" t="str" cm="1">
        <f t="array" ref="D110">"Verify UPS-" &amp;SWFour&amp; "2 CB1 breaker is in the ''Tripped'' position. 
Note: The CB1 breaker will automatically reset and close during system startup."</f>
        <v>Verify UPS-XXX2 CB1 breaker is in the ''Tripped'' position. 
Note: The CB1 breaker will automatically reset and close during system startup.</v>
      </c>
      <c r="E110" s="499" t="s">
        <v>1464</v>
      </c>
      <c r="F110" s="500"/>
      <c r="G110" s="519"/>
    </row>
    <row r="111" spans="1:7" ht="37.5" x14ac:dyDescent="0.25">
      <c r="A111" s="519">
        <f t="shared" si="2"/>
        <v>916</v>
      </c>
      <c r="B111" s="500" t="str">
        <f>Suite&amp;" Electrical Room "&amp;SWFour</f>
        <v>G104 Electrical Room XXX</v>
      </c>
      <c r="C111" s="499" t="str" cm="1">
        <f t="array" ref="C111">"UPS " &amp; SWFour &amp; "1"</f>
        <v>UPS XXX1</v>
      </c>
      <c r="D111" s="190" t="str" cm="1">
        <f t="array" ref="D111">"Verify UPS-" &amp;SWFour&amp; "1 Backfeed Breaker breaker is in the ''Tripped'' position."</f>
        <v>Verify UPS-XXX1 Backfeed Breaker breaker is in the ''Tripped'' position.</v>
      </c>
      <c r="E111" s="499" t="s">
        <v>1464</v>
      </c>
      <c r="F111" s="500"/>
      <c r="G111" s="519"/>
    </row>
    <row r="112" spans="1:7" ht="37.5" x14ac:dyDescent="0.25">
      <c r="A112" s="519">
        <f t="shared" si="2"/>
        <v>917</v>
      </c>
      <c r="B112" s="500" t="str">
        <f>Suite&amp;" Electrical Room "&amp;SWFour</f>
        <v>G104 Electrical Room XXX</v>
      </c>
      <c r="C112" s="499" t="str" cm="1">
        <f t="array" ref="C112">"UPS " &amp; SWFour &amp; "1"</f>
        <v>UPS XXX1</v>
      </c>
      <c r="D112" s="233" t="str" cm="1">
        <f t="array" ref="D112">"Open UPS-" &amp;SWFour&amp; "1 Backfeed Breaker."</f>
        <v>Open UPS-XXX1 Backfeed Breaker.</v>
      </c>
      <c r="E112" s="499" t="s">
        <v>1464</v>
      </c>
      <c r="F112" s="500"/>
      <c r="G112" s="519"/>
    </row>
    <row r="113" spans="1:7" ht="37.5" x14ac:dyDescent="0.25">
      <c r="A113" s="519">
        <f t="shared" si="2"/>
        <v>918</v>
      </c>
      <c r="B113" s="500" t="str">
        <f>Suite&amp;" Electrical Room "&amp;SWFour</f>
        <v>G104 Electrical Room XXX</v>
      </c>
      <c r="C113" s="499" t="str" cm="1">
        <f t="array" ref="C113">"UPS " &amp; SWFour &amp; "2"</f>
        <v>UPS XXX2</v>
      </c>
      <c r="D113" s="190" t="str" cm="1">
        <f t="array" ref="D113">"Verify UPS-" &amp;SWFour&amp; "2 Backfeed Breaker breaker is in the ''Tripped'' position."</f>
        <v>Verify UPS-XXX2 Backfeed Breaker breaker is in the ''Tripped'' position.</v>
      </c>
      <c r="E113" s="499" t="s">
        <v>1464</v>
      </c>
      <c r="F113" s="500"/>
      <c r="G113" s="519"/>
    </row>
    <row r="114" spans="1:7" ht="37.5" x14ac:dyDescent="0.25">
      <c r="A114" s="519">
        <f t="shared" si="2"/>
        <v>919</v>
      </c>
      <c r="B114" s="500" t="str">
        <f>Suite&amp;" Electrical Room "&amp;SWFour</f>
        <v>G104 Electrical Room XXX</v>
      </c>
      <c r="C114" s="499" t="str" cm="1">
        <f t="array" ref="C114">"UPS " &amp; SWFour &amp; "2"</f>
        <v>UPS XXX2</v>
      </c>
      <c r="D114" s="233" t="str" cm="1">
        <f t="array" ref="D114">"Open UPS-" &amp;SWFour&amp; "2 Backfeed Breaker."</f>
        <v>Open UPS-XXX2 Backfeed Breaker.</v>
      </c>
      <c r="E114" s="499" t="s">
        <v>1464</v>
      </c>
      <c r="F114" s="500"/>
      <c r="G114" s="519"/>
    </row>
    <row r="115" spans="1:7" ht="37.5" x14ac:dyDescent="0.25">
      <c r="A115" s="519">
        <f t="shared" si="2"/>
        <v>920</v>
      </c>
      <c r="B115" s="500" t="str">
        <f>Suite&amp;" Electrical Room "&amp;SWFour</f>
        <v>G104 Electrical Room XXX</v>
      </c>
      <c r="C115" s="499" t="str" cm="1">
        <f t="array" ref="C115">"UPS " &amp; SWFour &amp; "1"</f>
        <v>UPS XXX1</v>
      </c>
      <c r="D115" s="190" t="str" cm="1">
        <f t="array" ref="D115">"Verify UPS-" &amp;SWFour&amp; "1 CB2 breaker is in the ''Tripped'' position."</f>
        <v>Verify UPS-XXX1 CB2 breaker is in the ''Tripped'' position.</v>
      </c>
      <c r="E115" s="499" t="s">
        <v>1464</v>
      </c>
      <c r="F115" s="500"/>
      <c r="G115" s="519"/>
    </row>
    <row r="116" spans="1:7" ht="37.5" x14ac:dyDescent="0.25">
      <c r="A116" s="519">
        <f t="shared" si="2"/>
        <v>921</v>
      </c>
      <c r="B116" s="500" t="str">
        <f>Suite&amp;" Electrical Room "&amp;SWFour</f>
        <v>G104 Electrical Room XXX</v>
      </c>
      <c r="C116" s="499" t="str" cm="1">
        <f t="array" ref="C116">"UPS " &amp; SWFour &amp; "1"</f>
        <v>UPS XXX1</v>
      </c>
      <c r="D116" s="233" t="str" cm="1">
        <f t="array" ref="D116">"Open UPS-" &amp;SWFour&amp; "1 CB2 breaker."</f>
        <v>Open UPS-XXX1 CB2 breaker.</v>
      </c>
      <c r="E116" s="499" t="s">
        <v>1464</v>
      </c>
      <c r="F116" s="500"/>
      <c r="G116" s="519"/>
    </row>
    <row r="117" spans="1:7" ht="37.5" x14ac:dyDescent="0.25">
      <c r="A117" s="519">
        <f t="shared" si="2"/>
        <v>922</v>
      </c>
      <c r="B117" s="500" t="str">
        <f>Suite&amp;" Electrical Room "&amp;SWFour</f>
        <v>G104 Electrical Room XXX</v>
      </c>
      <c r="C117" s="499" t="str" cm="1">
        <f t="array" ref="C117">"UPS " &amp; SWFour &amp; "2"</f>
        <v>UPS XXX2</v>
      </c>
      <c r="D117" s="190" t="str" cm="1">
        <f t="array" ref="D117">"Verify UPS-" &amp;SWFour&amp; "2 CB2 breaker is in the ''Tripped'' position."</f>
        <v>Verify UPS-XXX2 CB2 breaker is in the ''Tripped'' position.</v>
      </c>
      <c r="E117" s="499" t="s">
        <v>1464</v>
      </c>
      <c r="F117" s="500"/>
      <c r="G117" s="519"/>
    </row>
    <row r="118" spans="1:7" ht="37.5" x14ac:dyDescent="0.25">
      <c r="A118" s="519">
        <f t="shared" si="2"/>
        <v>923</v>
      </c>
      <c r="B118" s="500" t="str">
        <f>Suite&amp;" Electrical Room "&amp;SWFour</f>
        <v>G104 Electrical Room XXX</v>
      </c>
      <c r="C118" s="499" t="str" cm="1">
        <f t="array" ref="C118">"UPS " &amp; SWFour &amp; "2"</f>
        <v>UPS XXX2</v>
      </c>
      <c r="D118" s="233" t="str" cm="1">
        <f t="array" ref="D118">"Open UPS-" &amp;SWFour&amp; "2 CB2 breaker."</f>
        <v>Open UPS-XXX2 CB2 breaker.</v>
      </c>
      <c r="E118" s="499" t="s">
        <v>1464</v>
      </c>
      <c r="F118" s="500"/>
      <c r="G118" s="519"/>
    </row>
    <row r="119" spans="1:7" ht="37.5" x14ac:dyDescent="0.25">
      <c r="A119" s="519">
        <f t="shared" si="2"/>
        <v>924</v>
      </c>
      <c r="B119" s="500" t="str">
        <f>Suite&amp;" Electrical Room "&amp;SWFour</f>
        <v>G104 Electrical Room XXX</v>
      </c>
      <c r="C119" s="499" t="str" cm="1">
        <f t="array" ref="C119">"UPS " &amp; SWFour</f>
        <v>UPS XXX</v>
      </c>
      <c r="D119" s="233" t="str" cm="1">
        <f t="array" ref="D119">"UPS SYSTEM " &amp;SWFour&amp; " is now completely offline. Critical Customer Load remains on Maintenance Bypass."</f>
        <v>UPS SYSTEM XXX is now completely offline. Critical Customer Load remains on Maintenance Bypass.</v>
      </c>
      <c r="E119" s="499" t="s">
        <v>1464</v>
      </c>
      <c r="F119" s="500"/>
      <c r="G119" s="519"/>
    </row>
    <row r="120" spans="1:7" ht="37.5" x14ac:dyDescent="0.25">
      <c r="A120" s="519">
        <f t="shared" si="2"/>
        <v>925</v>
      </c>
      <c r="B120" s="500" t="str">
        <f>Suite&amp;" Electrical Room A"</f>
        <v>G104 Electrical Room A</v>
      </c>
      <c r="C120" s="499" t="s">
        <v>1521</v>
      </c>
      <c r="D120" s="191" t="s">
        <v>1471</v>
      </c>
      <c r="E120" s="499" t="s">
        <v>1464</v>
      </c>
      <c r="F120" s="500"/>
      <c r="G120" s="519"/>
    </row>
    <row r="121" spans="1:7" ht="37.5" x14ac:dyDescent="0.25">
      <c r="A121" s="519">
        <f t="shared" si="2"/>
        <v>926</v>
      </c>
      <c r="B121" s="500" t="str">
        <f>Suite&amp;" Electrical Room A"</f>
        <v>G104 Electrical Room A</v>
      </c>
      <c r="C121" s="499" t="s">
        <v>1521</v>
      </c>
      <c r="D121" s="233" t="str">
        <f>"Verify the readings in step " &amp; A120 &amp; " and " &amp; A12 &amp; " are within 3% of each other. (new kW divided by original kW must be ≤1.03 and ≥0.97)."</f>
        <v>Verify the readings in step 925 and 817 are within 3% of each other. (new kW divided by original kW must be ≤1.03 and ≥0.97).</v>
      </c>
      <c r="E121" s="499" t="s">
        <v>1464</v>
      </c>
      <c r="F121" s="500"/>
      <c r="G121" s="519"/>
    </row>
    <row r="122" spans="1:7" ht="37.5" x14ac:dyDescent="0.25">
      <c r="A122" s="519">
        <f t="shared" si="2"/>
        <v>927</v>
      </c>
      <c r="B122" s="500" t="str">
        <f>Suite&amp;" Electrical Room B"</f>
        <v>G104 Electrical Room B</v>
      </c>
      <c r="C122" s="499" t="s">
        <v>1522</v>
      </c>
      <c r="D122" s="191" t="s">
        <v>1477</v>
      </c>
      <c r="E122" s="499" t="s">
        <v>1464</v>
      </c>
      <c r="F122" s="500"/>
      <c r="G122" s="519"/>
    </row>
    <row r="123" spans="1:7" ht="37.5" x14ac:dyDescent="0.25">
      <c r="A123" s="519">
        <f t="shared" si="2"/>
        <v>928</v>
      </c>
      <c r="B123" s="500" t="str">
        <f>Suite&amp;" Electrical Room B"</f>
        <v>G104 Electrical Room B</v>
      </c>
      <c r="C123" s="499" t="s">
        <v>1522</v>
      </c>
      <c r="D123" s="233" t="str">
        <f>"Verify the readings in step " &amp; A122 &amp; " and " &amp; A15 &amp; " are within 3% of each other. (new kW divided by original kW must be ≤1.03 and ≥0.97)."</f>
        <v>Verify the readings in step 927 and 820 are within 3% of each other. (new kW divided by original kW must be ≤1.03 and ≥0.97).</v>
      </c>
      <c r="E123" s="499" t="s">
        <v>1464</v>
      </c>
      <c r="F123" s="500"/>
      <c r="G123" s="519"/>
    </row>
    <row r="124" spans="1:7" ht="37.5" x14ac:dyDescent="0.25">
      <c r="A124" s="519">
        <f t="shared" si="2"/>
        <v>929</v>
      </c>
      <c r="B124" s="500" t="str">
        <f>Suite&amp;" Electrical Room C"</f>
        <v>G104 Electrical Room C</v>
      </c>
      <c r="C124" s="499" t="s">
        <v>1523</v>
      </c>
      <c r="D124" s="191" t="s">
        <v>1483</v>
      </c>
      <c r="E124" s="499" t="s">
        <v>1464</v>
      </c>
      <c r="F124" s="500"/>
      <c r="G124" s="519"/>
    </row>
    <row r="125" spans="1:7" ht="37.5" x14ac:dyDescent="0.25">
      <c r="A125" s="519">
        <f t="shared" si="2"/>
        <v>930</v>
      </c>
      <c r="B125" s="500" t="str">
        <f>Suite&amp;" Electrical Room C"</f>
        <v>G104 Electrical Room C</v>
      </c>
      <c r="C125" s="499" t="s">
        <v>1523</v>
      </c>
      <c r="D125" s="233" t="str">
        <f>"Verify the readings in step " &amp; A124 &amp; " and " &amp; A18 &amp; " are within 3% of each other. (new kW divided by original kW must be ≤1.03 and ≥0.97)."</f>
        <v>Verify the readings in step 929 and 823 are within 3% of each other. (new kW divided by original kW must be ≤1.03 and ≥0.97).</v>
      </c>
      <c r="E125" s="499" t="s">
        <v>1464</v>
      </c>
      <c r="F125" s="500"/>
      <c r="G125" s="519"/>
    </row>
    <row r="126" spans="1:7" ht="37.5" x14ac:dyDescent="0.25">
      <c r="A126" s="519">
        <f t="shared" si="2"/>
        <v>931</v>
      </c>
      <c r="B126" s="500" t="str">
        <f>Suite&amp;" Electrical Room D"</f>
        <v>G104 Electrical Room D</v>
      </c>
      <c r="C126" s="499" t="s">
        <v>1524</v>
      </c>
      <c r="D126" s="191" t="s">
        <v>1489</v>
      </c>
      <c r="E126" s="499" t="s">
        <v>1464</v>
      </c>
      <c r="F126" s="500"/>
      <c r="G126" s="519"/>
    </row>
    <row r="127" spans="1:7" ht="37.5" x14ac:dyDescent="0.25">
      <c r="A127" s="519">
        <f t="shared" si="2"/>
        <v>932</v>
      </c>
      <c r="B127" s="500" t="str">
        <f>Suite&amp;" Electrical Room D"</f>
        <v>G104 Electrical Room D</v>
      </c>
      <c r="C127" s="499" t="s">
        <v>1524</v>
      </c>
      <c r="D127" s="233" t="str">
        <f>"Verify the readings in step " &amp; A126 &amp; " and " &amp; A55 &amp; " are within 3% of each other. (new kW divided by original kW must be ≤1.03 and ≥0.97)."</f>
        <v>Verify the readings in step 931 and 860 are within 3% of each other. (new kW divided by original kW must be ≤1.03 and ≥0.97).</v>
      </c>
      <c r="E127" s="499" t="s">
        <v>1464</v>
      </c>
      <c r="F127" s="500"/>
      <c r="G127" s="519"/>
    </row>
    <row r="128" spans="1:7" ht="37.5" x14ac:dyDescent="0.25">
      <c r="A128" s="519">
        <f t="shared" si="2"/>
        <v>933</v>
      </c>
      <c r="B128" s="500" t="str">
        <f>Suite&amp;" Electrical Room F"</f>
        <v>G104 Electrical Room F</v>
      </c>
      <c r="C128" s="499" t="s">
        <v>1525</v>
      </c>
      <c r="D128" s="191" t="s">
        <v>1495</v>
      </c>
      <c r="E128" s="499" t="s">
        <v>1464</v>
      </c>
      <c r="F128" s="500"/>
      <c r="G128" s="519"/>
    </row>
    <row r="129" spans="1:7" ht="37.5" x14ac:dyDescent="0.25">
      <c r="A129" s="519">
        <f t="shared" si="2"/>
        <v>934</v>
      </c>
      <c r="B129" s="500" t="str">
        <f>Suite&amp;" Electrical Room F"</f>
        <v>G104 Electrical Room F</v>
      </c>
      <c r="C129" s="499" t="s">
        <v>1525</v>
      </c>
      <c r="D129" s="233" t="str">
        <f>"Verify the readings in step " &amp; A128 &amp; " and " &amp; A24 &amp; " are within 3% of each other. (new kW divided by original kW must be ≤1.03 and ≥0.97)."</f>
        <v>Verify the readings in step 933 and 829 are within 3% of each other. (new kW divided by original kW must be ≤1.03 and ≥0.97).</v>
      </c>
      <c r="E129" s="499" t="s">
        <v>1464</v>
      </c>
      <c r="F129" s="500"/>
      <c r="G129" s="519"/>
    </row>
    <row r="130" spans="1:7" ht="75" x14ac:dyDescent="0.25">
      <c r="A130" s="519">
        <f t="shared" si="2"/>
        <v>935</v>
      </c>
      <c r="B130" s="500" t="str">
        <f>Suite&amp;" Electrical Room "&amp;SWFour</f>
        <v>G104 Electrical Room XXX</v>
      </c>
      <c r="C130" s="499" t="str" cm="1">
        <f t="array" ref="C130">"UPS " &amp; SWFour</f>
        <v>UPS XXX</v>
      </c>
      <c r="D130" s="190" t="s">
        <v>1526</v>
      </c>
      <c r="E130" s="499" t="s">
        <v>1464</v>
      </c>
      <c r="F130" s="500"/>
      <c r="G130" s="519"/>
    </row>
    <row r="131" spans="1:7" x14ac:dyDescent="0.25">
      <c r="A131" s="519">
        <f t="shared" si="2"/>
        <v>936</v>
      </c>
      <c r="B131" s="702" t="str" cm="1">
        <f t="array" ref="B131">"Restart UPS System " &amp; SWFour</f>
        <v>Restart UPS System XXX</v>
      </c>
      <c r="C131" s="703"/>
      <c r="D131" s="703"/>
      <c r="E131" s="703"/>
      <c r="F131" s="703"/>
      <c r="G131" s="703"/>
    </row>
    <row r="132" spans="1:7" ht="37.5" x14ac:dyDescent="0.25">
      <c r="A132" s="519">
        <f t="shared" si="2"/>
        <v>937</v>
      </c>
      <c r="B132" s="500" t="str">
        <f>Suite&amp;" Electrical Room "&amp;SWFour</f>
        <v>G104 Electrical Room XXX</v>
      </c>
      <c r="C132" s="499" t="str" cm="1">
        <f t="array" ref="C132">"UPS " &amp; SWFour</f>
        <v>UPS XXX</v>
      </c>
      <c r="D132" s="190" t="s">
        <v>1527</v>
      </c>
      <c r="E132" s="499" t="s">
        <v>1464</v>
      </c>
      <c r="F132" s="500"/>
      <c r="G132" s="519"/>
    </row>
    <row r="133" spans="1:7" ht="37.5" x14ac:dyDescent="0.25">
      <c r="A133" s="519">
        <f t="shared" si="2"/>
        <v>938</v>
      </c>
      <c r="B133" s="500" t="str">
        <f>Suite&amp;" Electrical Room "&amp;SWFour</f>
        <v>G104 Electrical Room XXX</v>
      </c>
      <c r="C133" s="499" t="str" cm="1">
        <f t="array" ref="C133">"UPS " &amp; SWFour</f>
        <v>UPS XXX</v>
      </c>
      <c r="D133" s="190" t="s">
        <v>1528</v>
      </c>
      <c r="E133" s="499" t="s">
        <v>1464</v>
      </c>
      <c r="F133" s="500"/>
      <c r="G133" s="519"/>
    </row>
    <row r="134" spans="1:7" ht="37.5" x14ac:dyDescent="0.25">
      <c r="A134" s="519">
        <f t="shared" si="2"/>
        <v>939</v>
      </c>
      <c r="B134" s="500" t="str">
        <f>Suite&amp;" Electrical Room "&amp;SWFour</f>
        <v>G104 Electrical Room XXX</v>
      </c>
      <c r="C134" s="499" t="str" cm="1">
        <f t="array" ref="C134">"UPS " &amp; SWFour</f>
        <v>UPS XXX</v>
      </c>
      <c r="D134" s="190" t="str" cm="1">
        <f t="array" ref="D134">"By my signature below I certify that UPS-" &amp; SWFour &amp; "1 and UPS-" &amp; SWFour &amp; "2 are ready to be returned to service."</f>
        <v>By my signature below I certify that UPS-XXX1 and UPS-XXX2 are ready to be returned to service.</v>
      </c>
      <c r="E134" s="499" t="s">
        <v>1529</v>
      </c>
      <c r="F134" s="500"/>
      <c r="G134" s="519"/>
    </row>
    <row r="135" spans="1:7" ht="37.5" x14ac:dyDescent="0.25">
      <c r="A135" s="519">
        <f t="shared" si="2"/>
        <v>940</v>
      </c>
      <c r="B135" s="500" t="str">
        <f>Suite&amp;" Electrical Room "&amp;SWFour</f>
        <v>G104 Electrical Room XXX</v>
      </c>
      <c r="C135" s="499" t="str" cm="1">
        <f t="array" ref="C135">"UPS " &amp; SWFour</f>
        <v>UPS XXX</v>
      </c>
      <c r="D135" s="191" t="s">
        <v>1530</v>
      </c>
      <c r="E135" s="499" t="s">
        <v>1529</v>
      </c>
      <c r="F135" s="500"/>
      <c r="G135" s="519"/>
    </row>
    <row r="136" spans="1:7" ht="37.5" x14ac:dyDescent="0.25">
      <c r="A136" s="519">
        <f t="shared" si="2"/>
        <v>941</v>
      </c>
      <c r="B136" s="500" t="str">
        <f>Suite&amp;" Electrical Room "&amp;SWFour</f>
        <v>G104 Electrical Room XXX</v>
      </c>
      <c r="C136" s="499" t="str" cm="1">
        <f t="array" ref="C136">"UP" &amp; SWFour</f>
        <v>UPXXX</v>
      </c>
      <c r="D136" s="233" t="str" cm="1">
        <f t="array" ref="D136">"Notate the kW reading at UP" &amp; SWFour &amp; " Critical Bus Panel Meter: _________"</f>
        <v>Notate the kW reading at UPXXX Critical Bus Panel Meter: _________</v>
      </c>
      <c r="E136" s="499" t="s">
        <v>1464</v>
      </c>
      <c r="F136" s="500"/>
      <c r="G136" s="519"/>
    </row>
    <row r="137" spans="1:7" ht="37.5" x14ac:dyDescent="0.25">
      <c r="A137" s="519">
        <f t="shared" si="2"/>
        <v>942</v>
      </c>
      <c r="B137" s="500" t="str">
        <f>Suite&amp;" Electrical Room "&amp;SWFour</f>
        <v>G104 Electrical Room XXX</v>
      </c>
      <c r="C137" s="499" t="str" cm="1">
        <f t="array" ref="C137">"UP" &amp; SWFour</f>
        <v>UPXXX</v>
      </c>
      <c r="D137" s="233" t="str">
        <f>"Verify the readings in step " &amp; A136 &amp; " and " &amp; A126 &amp; " are within 3% of each other. (new kW divided by original kW must be ≤1.03 and ≥0.97)."</f>
        <v>Verify the readings in step 941 and 931 are within 3% of each other. (new kW divided by original kW must be ≤1.03 and ≥0.97).</v>
      </c>
      <c r="E137" s="499" t="s">
        <v>1464</v>
      </c>
      <c r="F137" s="500"/>
      <c r="G137" s="519"/>
    </row>
    <row r="138" spans="1:7" ht="37.5" x14ac:dyDescent="0.25">
      <c r="A138" s="519">
        <f t="shared" si="2"/>
        <v>943</v>
      </c>
      <c r="B138" s="500" t="str">
        <f>Suite&amp;" Electrical Room "&amp;SWFour</f>
        <v>G104 Electrical Room XXX</v>
      </c>
      <c r="C138" s="499" t="str" cm="1">
        <f t="array" ref="C138">"SW" &amp; SWFour</f>
        <v>SWXXX</v>
      </c>
      <c r="D138" s="190" t="str" cm="1">
        <f t="array" ref="D138">"Remove LOTO from input breaker UPS-" &amp; SWFour &amp; "1."</f>
        <v>Remove LOTO from input breaker UPS-XXX1.</v>
      </c>
      <c r="E138" s="499" t="s">
        <v>1464</v>
      </c>
      <c r="F138" s="500"/>
      <c r="G138" s="519"/>
    </row>
    <row r="139" spans="1:7" ht="37.5" x14ac:dyDescent="0.25">
      <c r="A139" s="519">
        <f t="shared" si="2"/>
        <v>944</v>
      </c>
      <c r="B139" s="500" t="str">
        <f>Suite&amp;" Electrical Room "&amp;SWFour</f>
        <v>G104 Electrical Room XXX</v>
      </c>
      <c r="C139" s="499" t="str" cm="1">
        <f t="array" ref="C139">"SW" &amp; SWFour</f>
        <v>SWXXX</v>
      </c>
      <c r="D139" s="233" t="s">
        <v>1518</v>
      </c>
      <c r="E139" s="499" t="s">
        <v>1464</v>
      </c>
      <c r="F139" s="500"/>
      <c r="G139" s="519"/>
    </row>
    <row r="140" spans="1:7" ht="37.5" x14ac:dyDescent="0.25">
      <c r="A140" s="519">
        <f t="shared" si="2"/>
        <v>945</v>
      </c>
      <c r="B140" s="500" t="str">
        <f>Suite&amp;" Electrical Room "&amp;SWFour</f>
        <v>G104 Electrical Room XXX</v>
      </c>
      <c r="C140" s="499" t="str" cm="1">
        <f t="array" ref="C140">"SW" &amp; SWFour</f>
        <v>SWXXX</v>
      </c>
      <c r="D140" s="190" t="str" cm="1">
        <f t="array" ref="D140">"Close breaker UPS-" &amp; SWFour &amp; "1."</f>
        <v>Close breaker UPS-XXX1.</v>
      </c>
      <c r="E140" s="499" t="s">
        <v>1464</v>
      </c>
      <c r="F140" s="500"/>
      <c r="G140" s="519"/>
    </row>
    <row r="141" spans="1:7" ht="37.5" x14ac:dyDescent="0.25">
      <c r="A141" s="519">
        <f t="shared" si="2"/>
        <v>946</v>
      </c>
      <c r="B141" s="500" t="str">
        <f>Suite&amp;" Electrical Room "&amp;SWFour</f>
        <v>G104 Electrical Room XXX</v>
      </c>
      <c r="C141" s="499" t="str" cm="1">
        <f t="array" ref="C141">"SW" &amp; SWFour</f>
        <v>SWXXX</v>
      </c>
      <c r="D141" s="190" t="str" cm="1">
        <f t="array" ref="D141">"Remove LOTO from input breaker UPS-" &amp; SWFour &amp; "2."</f>
        <v>Remove LOTO from input breaker UPS-XXX2.</v>
      </c>
      <c r="E141" s="499" t="s">
        <v>1464</v>
      </c>
      <c r="F141" s="500"/>
      <c r="G141" s="519"/>
    </row>
    <row r="142" spans="1:7" ht="37.5" x14ac:dyDescent="0.25">
      <c r="A142" s="519">
        <f t="shared" si="2"/>
        <v>947</v>
      </c>
      <c r="B142" s="500" t="str">
        <f>Suite&amp;" Electrical Room "&amp;SWFour</f>
        <v>G104 Electrical Room XXX</v>
      </c>
      <c r="C142" s="499" t="str" cm="1">
        <f t="array" ref="C142">"SW" &amp; SWFour</f>
        <v>SWXXX</v>
      </c>
      <c r="D142" s="233" t="s">
        <v>1518</v>
      </c>
      <c r="E142" s="499" t="s">
        <v>1464</v>
      </c>
      <c r="F142" s="500"/>
      <c r="G142" s="519"/>
    </row>
    <row r="143" spans="1:7" ht="37.5" x14ac:dyDescent="0.25">
      <c r="A143" s="519">
        <f t="shared" si="2"/>
        <v>948</v>
      </c>
      <c r="B143" s="500" t="str">
        <f>Suite&amp;" Electrical Room "&amp;SWFour</f>
        <v>G104 Electrical Room XXX</v>
      </c>
      <c r="C143" s="499" t="str" cm="1">
        <f t="array" ref="C143">"SW" &amp; SWFour</f>
        <v>SWXXX</v>
      </c>
      <c r="D143" s="190" t="str" cm="1">
        <f t="array" ref="D143">"Close breaker UPS-" &amp; SWFour &amp; "2."</f>
        <v>Close breaker UPS-XXX2.</v>
      </c>
      <c r="E143" s="499" t="s">
        <v>1464</v>
      </c>
      <c r="F143" s="500"/>
      <c r="G143" s="519"/>
    </row>
    <row r="144" spans="1:7" ht="37.5" x14ac:dyDescent="0.25">
      <c r="A144" s="519">
        <f t="shared" si="2"/>
        <v>949</v>
      </c>
      <c r="B144" s="500" t="str">
        <f>Suite&amp;" Electrical Room "&amp;SWFour</f>
        <v>G104 Electrical Room XXX</v>
      </c>
      <c r="C144" s="499" t="str" cm="1">
        <f t="array" ref="C144">"UPS " &amp; SWFour</f>
        <v>UPS XXX</v>
      </c>
      <c r="D144" s="190" t="str" cm="1">
        <f t="array" ref="D144">"Allow time for both UPS-" &amp; SWFour &amp; "1 and UPS-" &amp; SWFour &amp; "2 module displays to boot up."</f>
        <v>Allow time for both UPS-XXX1 and UPS-XXX2 module displays to boot up.</v>
      </c>
      <c r="E144" s="499" t="s">
        <v>1464</v>
      </c>
      <c r="F144" s="500"/>
      <c r="G144" s="519"/>
    </row>
    <row r="145" spans="1:7" ht="37.5" x14ac:dyDescent="0.25">
      <c r="A145" s="519">
        <f t="shared" si="2"/>
        <v>950</v>
      </c>
      <c r="B145" s="500" t="str">
        <f>Suite&amp;" Electrical Room "&amp;SWFour</f>
        <v>G104 Electrical Room XXX</v>
      </c>
      <c r="C145" s="499" t="str" cm="1">
        <f t="array" ref="C145">"UPS " &amp; SWFour &amp; "1"</f>
        <v>UPS XXX1</v>
      </c>
      <c r="D145" s="190" t="s">
        <v>1511</v>
      </c>
      <c r="E145" s="499" t="s">
        <v>1464</v>
      </c>
      <c r="F145" s="500"/>
      <c r="G145" s="519"/>
    </row>
    <row r="146" spans="1:7" ht="37.5" x14ac:dyDescent="0.25">
      <c r="A146" s="519">
        <f t="shared" si="2"/>
        <v>951</v>
      </c>
      <c r="B146" s="500" t="str">
        <f>Suite&amp;" Electrical Room "&amp;SWFour</f>
        <v>G104 Electrical Room XXX</v>
      </c>
      <c r="C146" s="499" t="str" cm="1">
        <f t="array" ref="C146">"UPS " &amp; SWFour &amp; "1"</f>
        <v>UPS XXX1</v>
      </c>
      <c r="D146" s="233" t="s">
        <v>1497</v>
      </c>
      <c r="E146" s="499" t="s">
        <v>1464</v>
      </c>
      <c r="F146" s="500"/>
      <c r="G146" s="519"/>
    </row>
    <row r="147" spans="1:7" ht="37.5" x14ac:dyDescent="0.25">
      <c r="A147" s="519">
        <f t="shared" si="2"/>
        <v>952</v>
      </c>
      <c r="B147" s="500" t="str">
        <f>Suite&amp;" Electrical Room "&amp;SWFour</f>
        <v>G104 Electrical Room XXX</v>
      </c>
      <c r="C147" s="499" t="str" cm="1">
        <f t="array" ref="C147">"UPS " &amp; SWFour &amp; "1"</f>
        <v>UPS XXX1</v>
      </c>
      <c r="D147" s="190" t="s">
        <v>1531</v>
      </c>
      <c r="E147" s="499" t="s">
        <v>1464</v>
      </c>
      <c r="F147" s="500"/>
      <c r="G147" s="519"/>
    </row>
    <row r="148" spans="1:7" ht="37.5" x14ac:dyDescent="0.25">
      <c r="A148" s="519">
        <f t="shared" si="2"/>
        <v>953</v>
      </c>
      <c r="B148" s="500" t="str">
        <f>Suite&amp;" Electrical Room "&amp;SWFour</f>
        <v>G104 Electrical Room XXX</v>
      </c>
      <c r="C148" s="499" t="str" cm="1">
        <f t="array" ref="C148">"UPS " &amp; SWFour &amp; "1"</f>
        <v>UPS XXX1</v>
      </c>
      <c r="D148" s="190" t="s">
        <v>1532</v>
      </c>
      <c r="E148" s="499" t="s">
        <v>1464</v>
      </c>
      <c r="F148" s="500"/>
      <c r="G148" s="519"/>
    </row>
    <row r="149" spans="1:7" ht="37.5" x14ac:dyDescent="0.25">
      <c r="A149" s="519">
        <f t="shared" si="2"/>
        <v>954</v>
      </c>
      <c r="B149" s="500" t="str">
        <f>Suite&amp;" Electrical Room "&amp;SWFour</f>
        <v>G104 Electrical Room XXX</v>
      </c>
      <c r="C149" s="499" t="str" cm="1">
        <f t="array" ref="C149">"UPS " &amp; SWFour &amp; "1"</f>
        <v>UPS XXX1</v>
      </c>
      <c r="D149" s="190" t="s">
        <v>1516</v>
      </c>
      <c r="E149" s="499" t="s">
        <v>1464</v>
      </c>
      <c r="F149" s="500"/>
      <c r="G149" s="519"/>
    </row>
    <row r="150" spans="1:7" ht="37.5" x14ac:dyDescent="0.25">
      <c r="A150" s="519">
        <f t="shared" si="2"/>
        <v>955</v>
      </c>
      <c r="B150" s="500" t="str">
        <f>Suite&amp;" Electrical Room "&amp;SWFour</f>
        <v>G104 Electrical Room XXX</v>
      </c>
      <c r="C150" s="499" t="str" cm="1">
        <f t="array" ref="C150">"UPS " &amp; SWFour &amp; "1"</f>
        <v>UPS XXX1</v>
      </c>
      <c r="D150" s="190" t="s">
        <v>1533</v>
      </c>
      <c r="E150" s="499" t="s">
        <v>1464</v>
      </c>
      <c r="F150" s="500"/>
      <c r="G150" s="519"/>
    </row>
    <row r="151" spans="1:7" ht="56.25" x14ac:dyDescent="0.25">
      <c r="A151" s="519">
        <f t="shared" si="2"/>
        <v>956</v>
      </c>
      <c r="B151" s="500" t="str">
        <f>Suite&amp;" Electrical Room "&amp;SWFour</f>
        <v>G104 Electrical Room XXX</v>
      </c>
      <c r="C151" s="499" t="str" cm="1">
        <f t="array" ref="C151">"UPS " &amp; SWFour &amp; "1"</f>
        <v>UPS XXX1</v>
      </c>
      <c r="D151" s="190" t="s">
        <v>4608</v>
      </c>
      <c r="E151" s="499" t="s">
        <v>1464</v>
      </c>
      <c r="F151" s="500"/>
      <c r="G151" s="519"/>
    </row>
    <row r="152" spans="1:7" ht="37.5" x14ac:dyDescent="0.25">
      <c r="A152" s="519">
        <f t="shared" si="2"/>
        <v>957</v>
      </c>
      <c r="B152" s="500" t="str">
        <f>Suite&amp;" Electrical Room "&amp;SWFour</f>
        <v>G104 Electrical Room XXX</v>
      </c>
      <c r="C152" s="499" t="str" cm="1">
        <f t="array" ref="C152">"UPS " &amp; SWFour &amp; "1"</f>
        <v>UPS XXX1</v>
      </c>
      <c r="D152" s="190" t="s">
        <v>1534</v>
      </c>
      <c r="E152" s="499" t="s">
        <v>1464</v>
      </c>
      <c r="F152" s="500"/>
      <c r="G152" s="519"/>
    </row>
    <row r="153" spans="1:7" ht="37.5" x14ac:dyDescent="0.25">
      <c r="A153" s="519">
        <f t="shared" si="2"/>
        <v>958</v>
      </c>
      <c r="B153" s="500" t="str">
        <f>Suite&amp;" Electrical Room "&amp;SWFour</f>
        <v>G104 Electrical Room XXX</v>
      </c>
      <c r="C153" s="499" t="str" cm="1">
        <f t="array" ref="C153">"UPS " &amp; SWFour &amp; "1"</f>
        <v>UPS XXX1</v>
      </c>
      <c r="D153" s="190" t="s">
        <v>1535</v>
      </c>
      <c r="E153" s="499" t="s">
        <v>1464</v>
      </c>
      <c r="F153" s="500"/>
      <c r="G153" s="519"/>
    </row>
    <row r="154" spans="1:7" ht="37.5" x14ac:dyDescent="0.25">
      <c r="A154" s="519">
        <f t="shared" si="2"/>
        <v>959</v>
      </c>
      <c r="B154" s="500" t="str">
        <f>Suite&amp;" Electrical Room "&amp;SWFour</f>
        <v>G104 Electrical Room XXX</v>
      </c>
      <c r="C154" s="499" t="str" cm="1">
        <f t="array" ref="C154">"UPS " &amp; SWFour &amp; "1"</f>
        <v>UPS XXX1</v>
      </c>
      <c r="D154" s="190" t="s">
        <v>1536</v>
      </c>
      <c r="E154" s="499" t="s">
        <v>1464</v>
      </c>
      <c r="F154" s="500"/>
      <c r="G154" s="519"/>
    </row>
    <row r="155" spans="1:7" ht="37.5" x14ac:dyDescent="0.25">
      <c r="A155" s="519">
        <f t="shared" si="2"/>
        <v>960</v>
      </c>
      <c r="B155" s="500" t="str">
        <f>Suite&amp;" Electrical Room "&amp;SWFour</f>
        <v>G104 Electrical Room XXX</v>
      </c>
      <c r="C155" s="499" t="str" cm="1">
        <f t="array" ref="C155">"UPS " &amp; SWFour &amp; "1"</f>
        <v>UPS XXX1</v>
      </c>
      <c r="D155" s="190" t="str" cm="1">
        <f t="array" ref="D155">"Remove LOTO from battery breaker for cabinet " &amp; SWFour &amp; "1-1."</f>
        <v>Remove LOTO from battery breaker for cabinet XXX1-1.</v>
      </c>
      <c r="E155" s="499" t="s">
        <v>1464</v>
      </c>
      <c r="F155" s="500"/>
      <c r="G155" s="519"/>
    </row>
    <row r="156" spans="1:7" ht="37.5" x14ac:dyDescent="0.25">
      <c r="A156" s="519">
        <f t="shared" ref="A156:A219" si="3">A155+1</f>
        <v>961</v>
      </c>
      <c r="B156" s="500" t="str">
        <f>Suite&amp;" Electrical Room "&amp;SWFour</f>
        <v>G104 Electrical Room XXX</v>
      </c>
      <c r="C156" s="499" t="str" cm="1">
        <f t="array" ref="C156">"UPS " &amp; SWFour &amp; "1"</f>
        <v>UPS XXX1</v>
      </c>
      <c r="D156" s="233" t="s">
        <v>1518</v>
      </c>
      <c r="E156" s="499" t="s">
        <v>1464</v>
      </c>
      <c r="F156" s="500"/>
      <c r="G156" s="519"/>
    </row>
    <row r="157" spans="1:7" ht="37.5" x14ac:dyDescent="0.25">
      <c r="A157" s="519">
        <f t="shared" si="3"/>
        <v>962</v>
      </c>
      <c r="B157" s="500" t="str">
        <f>Suite&amp;" Electrical Room "&amp;SWFour</f>
        <v>G104 Electrical Room XXX</v>
      </c>
      <c r="C157" s="499" t="str" cm="1">
        <f t="array" ref="C157">"UPS " &amp; SWFour &amp; "1"</f>
        <v>UPS XXX1</v>
      </c>
      <c r="D157" s="190" t="str" cm="1">
        <f t="array" ref="D157">"Close battery breaker for cabinet " &amp; SWFour &amp; "1-1."</f>
        <v>Close battery breaker for cabinet XXX1-1.</v>
      </c>
      <c r="E157" s="499" t="s">
        <v>1464</v>
      </c>
      <c r="F157" s="500"/>
      <c r="G157" s="519"/>
    </row>
    <row r="158" spans="1:7" ht="37.5" x14ac:dyDescent="0.25">
      <c r="A158" s="519">
        <f t="shared" si="3"/>
        <v>963</v>
      </c>
      <c r="B158" s="500" t="str">
        <f>Suite&amp;" Electrical Room "&amp;SWFour</f>
        <v>G104 Electrical Room XXX</v>
      </c>
      <c r="C158" s="499" t="str" cm="1">
        <f t="array" ref="C158">"UPS " &amp; SWFour &amp; "1"</f>
        <v>UPS XXX1</v>
      </c>
      <c r="D158" s="190" t="str" cm="1">
        <f t="array" ref="D158">"Remove LOTO from battery breaker for cabinet " &amp; SWFour &amp; "1-2."</f>
        <v>Remove LOTO from battery breaker for cabinet XXX1-2.</v>
      </c>
      <c r="E158" s="499" t="s">
        <v>1464</v>
      </c>
      <c r="F158" s="500"/>
      <c r="G158" s="519"/>
    </row>
    <row r="159" spans="1:7" ht="37.5" x14ac:dyDescent="0.25">
      <c r="A159" s="519">
        <f t="shared" si="3"/>
        <v>964</v>
      </c>
      <c r="B159" s="500" t="str">
        <f>Suite&amp;" Electrical Room "&amp;SWFour</f>
        <v>G104 Electrical Room XXX</v>
      </c>
      <c r="C159" s="499" t="str" cm="1">
        <f t="array" ref="C159">"UPS " &amp; SWFour &amp; "1"</f>
        <v>UPS XXX1</v>
      </c>
      <c r="D159" s="233" t="s">
        <v>1518</v>
      </c>
      <c r="E159" s="499" t="s">
        <v>1464</v>
      </c>
      <c r="F159" s="500"/>
      <c r="G159" s="519"/>
    </row>
    <row r="160" spans="1:7" ht="37.5" x14ac:dyDescent="0.25">
      <c r="A160" s="519">
        <f t="shared" si="3"/>
        <v>965</v>
      </c>
      <c r="B160" s="500" t="str">
        <f>Suite&amp;" Electrical Room "&amp;SWFour</f>
        <v>G104 Electrical Room XXX</v>
      </c>
      <c r="C160" s="499" t="str" cm="1">
        <f t="array" ref="C160">"UPS " &amp; SWFour &amp; "1"</f>
        <v>UPS XXX1</v>
      </c>
      <c r="D160" s="190" t="str" cm="1">
        <f t="array" ref="D160">"Close battery breaker for cabinet " &amp; SWFour &amp; "1-2."</f>
        <v>Close battery breaker for cabinet XXX1-2.</v>
      </c>
      <c r="E160" s="499" t="s">
        <v>1464</v>
      </c>
      <c r="F160" s="500"/>
      <c r="G160" s="519"/>
    </row>
    <row r="161" spans="1:7" ht="37.5" x14ac:dyDescent="0.25">
      <c r="A161" s="519">
        <f t="shared" si="3"/>
        <v>966</v>
      </c>
      <c r="B161" s="500" t="str">
        <f>Suite&amp;" Electrical Room "&amp;SWFour</f>
        <v>G104 Electrical Room XXX</v>
      </c>
      <c r="C161" s="499" t="str" cm="1">
        <f t="array" ref="C161">"UPS " &amp; SWFour &amp; "1"</f>
        <v>UPS XXX1</v>
      </c>
      <c r="D161" s="190" t="str" cm="1">
        <f t="array" ref="D161">"Remove LOTO from battery breaker for cabinet " &amp; SWFour &amp; "1-3."</f>
        <v>Remove LOTO from battery breaker for cabinet XXX1-3.</v>
      </c>
      <c r="E161" s="499" t="s">
        <v>1464</v>
      </c>
      <c r="F161" s="500"/>
      <c r="G161" s="519"/>
    </row>
    <row r="162" spans="1:7" ht="37.5" x14ac:dyDescent="0.25">
      <c r="A162" s="519">
        <f t="shared" si="3"/>
        <v>967</v>
      </c>
      <c r="B162" s="500" t="str">
        <f>Suite&amp;" Electrical Room "&amp;SWFour</f>
        <v>G104 Electrical Room XXX</v>
      </c>
      <c r="C162" s="499" t="str" cm="1">
        <f t="array" ref="C162">"UPS " &amp; SWFour &amp; "1"</f>
        <v>UPS XXX1</v>
      </c>
      <c r="D162" s="233" t="s">
        <v>1518</v>
      </c>
      <c r="E162" s="499" t="s">
        <v>1464</v>
      </c>
      <c r="F162" s="500"/>
      <c r="G162" s="519"/>
    </row>
    <row r="163" spans="1:7" ht="37.5" x14ac:dyDescent="0.25">
      <c r="A163" s="519">
        <f t="shared" si="3"/>
        <v>968</v>
      </c>
      <c r="B163" s="500" t="str">
        <f>Suite&amp;" Electrical Room "&amp;SWFour</f>
        <v>G104 Electrical Room XXX</v>
      </c>
      <c r="C163" s="499" t="str" cm="1">
        <f t="array" ref="C163">"UPS " &amp; SWFour &amp; "1"</f>
        <v>UPS XXX1</v>
      </c>
      <c r="D163" s="190" t="str" cm="1">
        <f t="array" ref="D163">"Close battery breaker for cabinet " &amp; SWFour &amp; "1-3."</f>
        <v>Close battery breaker for cabinet XXX1-3.</v>
      </c>
      <c r="E163" s="499" t="s">
        <v>1464</v>
      </c>
      <c r="F163" s="500"/>
      <c r="G163" s="519"/>
    </row>
    <row r="164" spans="1:7" ht="37.5" x14ac:dyDescent="0.25">
      <c r="A164" s="519">
        <f t="shared" si="3"/>
        <v>969</v>
      </c>
      <c r="B164" s="500" t="str">
        <f>Suite&amp;" Electrical Room "&amp;SWFour</f>
        <v>G104 Electrical Room XXX</v>
      </c>
      <c r="C164" s="499" t="str" cm="1">
        <f t="array" ref="C164">"UPS " &amp; SWFour &amp; "2"</f>
        <v>UPS XXX2</v>
      </c>
      <c r="D164" s="190" t="s">
        <v>1511</v>
      </c>
      <c r="E164" s="499" t="s">
        <v>1464</v>
      </c>
      <c r="F164" s="500"/>
      <c r="G164" s="519"/>
    </row>
    <row r="165" spans="1:7" ht="37.5" x14ac:dyDescent="0.25">
      <c r="A165" s="519">
        <f t="shared" si="3"/>
        <v>970</v>
      </c>
      <c r="B165" s="500" t="str">
        <f>Suite&amp;" Electrical Room "&amp;SWFour</f>
        <v>G104 Electrical Room XXX</v>
      </c>
      <c r="C165" s="499" t="str" cm="1">
        <f t="array" ref="C165">"UPS " &amp; SWFour &amp; "2"</f>
        <v>UPS XXX2</v>
      </c>
      <c r="D165" s="233" t="s">
        <v>1497</v>
      </c>
      <c r="E165" s="499" t="s">
        <v>1464</v>
      </c>
      <c r="F165" s="500"/>
      <c r="G165" s="519"/>
    </row>
    <row r="166" spans="1:7" ht="37.5" x14ac:dyDescent="0.25">
      <c r="A166" s="519">
        <f t="shared" si="3"/>
        <v>971</v>
      </c>
      <c r="B166" s="500" t="str">
        <f>Suite&amp;" Electrical Room "&amp;SWFour</f>
        <v>G104 Electrical Room XXX</v>
      </c>
      <c r="C166" s="499" t="str" cm="1">
        <f t="array" ref="C166">"UPS " &amp; SWFour &amp; "2"</f>
        <v>UPS XXX2</v>
      </c>
      <c r="D166" s="190" t="s">
        <v>1531</v>
      </c>
      <c r="E166" s="499" t="s">
        <v>1464</v>
      </c>
      <c r="F166" s="500"/>
      <c r="G166" s="519"/>
    </row>
    <row r="167" spans="1:7" ht="37.5" x14ac:dyDescent="0.25">
      <c r="A167" s="519">
        <f t="shared" si="3"/>
        <v>972</v>
      </c>
      <c r="B167" s="500" t="str">
        <f>Suite&amp;" Electrical Room "&amp;SWFour</f>
        <v>G104 Electrical Room XXX</v>
      </c>
      <c r="C167" s="499" t="str" cm="1">
        <f t="array" ref="C167">"UPS " &amp; SWFour &amp; "2"</f>
        <v>UPS XXX2</v>
      </c>
      <c r="D167" s="190" t="s">
        <v>1537</v>
      </c>
      <c r="E167" s="499" t="s">
        <v>1464</v>
      </c>
      <c r="F167" s="500"/>
      <c r="G167" s="519"/>
    </row>
    <row r="168" spans="1:7" ht="37.5" x14ac:dyDescent="0.25">
      <c r="A168" s="519">
        <f t="shared" si="3"/>
        <v>973</v>
      </c>
      <c r="B168" s="500" t="str">
        <f>Suite&amp;" Electrical Room "&amp;SWFour</f>
        <v>G104 Electrical Room XXX</v>
      </c>
      <c r="C168" s="499" t="str" cm="1">
        <f t="array" ref="C168">"UPS " &amp; SWFour &amp; "2"</f>
        <v>UPS XXX2</v>
      </c>
      <c r="D168" s="190" t="s">
        <v>1516</v>
      </c>
      <c r="E168" s="499" t="s">
        <v>1464</v>
      </c>
      <c r="F168" s="500"/>
      <c r="G168" s="519"/>
    </row>
    <row r="169" spans="1:7" ht="37.5" x14ac:dyDescent="0.25">
      <c r="A169" s="519">
        <f t="shared" si="3"/>
        <v>974</v>
      </c>
      <c r="B169" s="500" t="str">
        <f>Suite&amp;" Electrical Room "&amp;SWFour</f>
        <v>G104 Electrical Room XXX</v>
      </c>
      <c r="C169" s="499" t="str" cm="1">
        <f t="array" ref="C169">"UPS " &amp; SWFour &amp; "2"</f>
        <v>UPS XXX2</v>
      </c>
      <c r="D169" s="190" t="s">
        <v>1533</v>
      </c>
      <c r="E169" s="499" t="s">
        <v>1464</v>
      </c>
      <c r="F169" s="500"/>
      <c r="G169" s="519"/>
    </row>
    <row r="170" spans="1:7" ht="56.25" x14ac:dyDescent="0.25">
      <c r="A170" s="519">
        <f t="shared" si="3"/>
        <v>975</v>
      </c>
      <c r="B170" s="500" t="str">
        <f>Suite&amp;" Electrical Room "&amp;SWFour</f>
        <v>G104 Electrical Room XXX</v>
      </c>
      <c r="C170" s="499" t="str" cm="1">
        <f t="array" ref="C170">"UPS " &amp; SWFour &amp; "2"</f>
        <v>UPS XXX2</v>
      </c>
      <c r="D170" s="190" t="s">
        <v>4608</v>
      </c>
      <c r="E170" s="499" t="s">
        <v>1464</v>
      </c>
      <c r="F170" s="500"/>
      <c r="G170" s="519"/>
    </row>
    <row r="171" spans="1:7" ht="37.5" x14ac:dyDescent="0.25">
      <c r="A171" s="519">
        <f t="shared" si="3"/>
        <v>976</v>
      </c>
      <c r="B171" s="500" t="str">
        <f>Suite&amp;" Electrical Room "&amp;SWFour</f>
        <v>G104 Electrical Room XXX</v>
      </c>
      <c r="C171" s="499" t="str" cm="1">
        <f t="array" ref="C171">"UPS " &amp; SWFour &amp; "2"</f>
        <v>UPS XXX2</v>
      </c>
      <c r="D171" s="190" t="s">
        <v>1534</v>
      </c>
      <c r="E171" s="499" t="s">
        <v>1464</v>
      </c>
      <c r="F171" s="500"/>
      <c r="G171" s="519"/>
    </row>
    <row r="172" spans="1:7" ht="37.5" x14ac:dyDescent="0.25">
      <c r="A172" s="519">
        <f t="shared" si="3"/>
        <v>977</v>
      </c>
      <c r="B172" s="500" t="str">
        <f>Suite&amp;" Electrical Room "&amp;SWFour</f>
        <v>G104 Electrical Room XXX</v>
      </c>
      <c r="C172" s="499" t="str" cm="1">
        <f t="array" ref="C172">"UPS " &amp; SWFour &amp; "2"</f>
        <v>UPS XXX2</v>
      </c>
      <c r="D172" s="190" t="s">
        <v>1535</v>
      </c>
      <c r="E172" s="499" t="s">
        <v>1464</v>
      </c>
      <c r="F172" s="500"/>
      <c r="G172" s="519"/>
    </row>
    <row r="173" spans="1:7" ht="37.5" x14ac:dyDescent="0.25">
      <c r="A173" s="519">
        <f t="shared" si="3"/>
        <v>978</v>
      </c>
      <c r="B173" s="500" t="str">
        <f>Suite&amp;" Electrical Room "&amp;SWFour</f>
        <v>G104 Electrical Room XXX</v>
      </c>
      <c r="C173" s="499" t="str" cm="1">
        <f t="array" ref="C173">"UPS " &amp; SWFour &amp; "2"</f>
        <v>UPS XXX2</v>
      </c>
      <c r="D173" s="190" t="s">
        <v>1536</v>
      </c>
      <c r="E173" s="499" t="s">
        <v>1464</v>
      </c>
      <c r="F173" s="500"/>
      <c r="G173" s="519"/>
    </row>
    <row r="174" spans="1:7" ht="37.5" x14ac:dyDescent="0.25">
      <c r="A174" s="519">
        <f t="shared" si="3"/>
        <v>979</v>
      </c>
      <c r="B174" s="500" t="str">
        <f>Suite&amp;" Electrical Room "&amp;SWFour</f>
        <v>G104 Electrical Room XXX</v>
      </c>
      <c r="C174" s="499" t="str" cm="1">
        <f t="array" ref="C174">"UPS " &amp; SWFour &amp; "2"</f>
        <v>UPS XXX2</v>
      </c>
      <c r="D174" s="190" t="str" cm="1">
        <f t="array" ref="D174">"Remove LOTO from battery breaker for cabinet " &amp; SWFour &amp; "2-1."</f>
        <v>Remove LOTO from battery breaker for cabinet XXX2-1.</v>
      </c>
      <c r="E174" s="499" t="s">
        <v>1464</v>
      </c>
      <c r="F174" s="500"/>
      <c r="G174" s="519"/>
    </row>
    <row r="175" spans="1:7" ht="37.5" x14ac:dyDescent="0.25">
      <c r="A175" s="519">
        <f t="shared" si="3"/>
        <v>980</v>
      </c>
      <c r="B175" s="500" t="str">
        <f>Suite&amp;" Electrical Room "&amp;SWFour</f>
        <v>G104 Electrical Room XXX</v>
      </c>
      <c r="C175" s="499" t="str" cm="1">
        <f t="array" ref="C175">"UPS " &amp; SWFour &amp; "2"</f>
        <v>UPS XXX2</v>
      </c>
      <c r="D175" s="233" t="s">
        <v>1518</v>
      </c>
      <c r="E175" s="499" t="s">
        <v>1464</v>
      </c>
      <c r="F175" s="500"/>
      <c r="G175" s="519"/>
    </row>
    <row r="176" spans="1:7" ht="37.5" x14ac:dyDescent="0.25">
      <c r="A176" s="519">
        <f t="shared" si="3"/>
        <v>981</v>
      </c>
      <c r="B176" s="500" t="str">
        <f>Suite&amp;" Electrical Room "&amp;SWFour</f>
        <v>G104 Electrical Room XXX</v>
      </c>
      <c r="C176" s="499" t="str" cm="1">
        <f t="array" ref="C176">"UPS " &amp; SWFour &amp; "2"</f>
        <v>UPS XXX2</v>
      </c>
      <c r="D176" s="190" t="str" cm="1">
        <f t="array" ref="D176">"Close battery breaker for cabinet " &amp; SWFour &amp; "2-1."</f>
        <v>Close battery breaker for cabinet XXX2-1.</v>
      </c>
      <c r="E176" s="499" t="s">
        <v>1464</v>
      </c>
      <c r="F176" s="500"/>
      <c r="G176" s="519"/>
    </row>
    <row r="177" spans="1:7" ht="37.5" x14ac:dyDescent="0.25">
      <c r="A177" s="519">
        <f t="shared" si="3"/>
        <v>982</v>
      </c>
      <c r="B177" s="500" t="str">
        <f>Suite&amp;" Electrical Room "&amp;SWFour</f>
        <v>G104 Electrical Room XXX</v>
      </c>
      <c r="C177" s="499" t="str" cm="1">
        <f t="array" ref="C177">"UPS " &amp; SWFour &amp; "2"</f>
        <v>UPS XXX2</v>
      </c>
      <c r="D177" s="190" t="str" cm="1">
        <f t="array" ref="D177">"Remove LOTO from battery breaker for cabinet " &amp; SWFour &amp; "2-2."</f>
        <v>Remove LOTO from battery breaker for cabinet XXX2-2.</v>
      </c>
      <c r="E177" s="499" t="s">
        <v>1464</v>
      </c>
      <c r="F177" s="500"/>
      <c r="G177" s="519"/>
    </row>
    <row r="178" spans="1:7" ht="37.5" x14ac:dyDescent="0.25">
      <c r="A178" s="519">
        <f t="shared" si="3"/>
        <v>983</v>
      </c>
      <c r="B178" s="500" t="str">
        <f>Suite&amp;" Electrical Room "&amp;SWFour</f>
        <v>G104 Electrical Room XXX</v>
      </c>
      <c r="C178" s="499" t="str" cm="1">
        <f t="array" ref="C178">"UPS " &amp; SWFour &amp; "2"</f>
        <v>UPS XXX2</v>
      </c>
      <c r="D178" s="233" t="s">
        <v>1518</v>
      </c>
      <c r="E178" s="499" t="s">
        <v>1464</v>
      </c>
      <c r="F178" s="500"/>
      <c r="G178" s="519"/>
    </row>
    <row r="179" spans="1:7" ht="37.5" x14ac:dyDescent="0.25">
      <c r="A179" s="519">
        <f t="shared" si="3"/>
        <v>984</v>
      </c>
      <c r="B179" s="500" t="str">
        <f>Suite&amp;" Electrical Room "&amp;SWFour</f>
        <v>G104 Electrical Room XXX</v>
      </c>
      <c r="C179" s="499" t="str" cm="1">
        <f t="array" ref="C179">"UPS " &amp; SWFour &amp; "2"</f>
        <v>UPS XXX2</v>
      </c>
      <c r="D179" s="190" t="str" cm="1">
        <f t="array" ref="D179">"Close battery breaker for cabinet " &amp; SWFour &amp; "2-2."</f>
        <v>Close battery breaker for cabinet XXX2-2.</v>
      </c>
      <c r="E179" s="499" t="s">
        <v>1464</v>
      </c>
      <c r="F179" s="500"/>
      <c r="G179" s="519"/>
    </row>
    <row r="180" spans="1:7" ht="37.5" x14ac:dyDescent="0.25">
      <c r="A180" s="519">
        <f t="shared" si="3"/>
        <v>985</v>
      </c>
      <c r="B180" s="500" t="str">
        <f>Suite&amp;" Electrical Room "&amp;SWFour</f>
        <v>G104 Electrical Room XXX</v>
      </c>
      <c r="C180" s="499" t="str" cm="1">
        <f t="array" ref="C180">"UPS " &amp; SWFour &amp; "2"</f>
        <v>UPS XXX2</v>
      </c>
      <c r="D180" s="190" t="str" cm="1">
        <f t="array" ref="D180">"Remove LOTO from battery breaker for cabinet " &amp; SWFour &amp; "2-3."</f>
        <v>Remove LOTO from battery breaker for cabinet XXX2-3.</v>
      </c>
      <c r="E180" s="499" t="s">
        <v>1464</v>
      </c>
      <c r="F180" s="500"/>
      <c r="G180" s="519"/>
    </row>
    <row r="181" spans="1:7" ht="37.5" x14ac:dyDescent="0.25">
      <c r="A181" s="519">
        <f t="shared" si="3"/>
        <v>986</v>
      </c>
      <c r="B181" s="500" t="str">
        <f>Suite&amp;" Electrical Room "&amp;SWFour</f>
        <v>G104 Electrical Room XXX</v>
      </c>
      <c r="C181" s="499" t="str" cm="1">
        <f t="array" ref="C181">"UPS " &amp; SWFour &amp; "2"</f>
        <v>UPS XXX2</v>
      </c>
      <c r="D181" s="233" t="s">
        <v>1518</v>
      </c>
      <c r="E181" s="499" t="s">
        <v>1464</v>
      </c>
      <c r="F181" s="500"/>
      <c r="G181" s="519"/>
    </row>
    <row r="182" spans="1:7" ht="37.5" x14ac:dyDescent="0.25">
      <c r="A182" s="519">
        <f t="shared" si="3"/>
        <v>987</v>
      </c>
      <c r="B182" s="500" t="str">
        <f>Suite&amp;" Electrical Room "&amp;SWFour</f>
        <v>G104 Electrical Room XXX</v>
      </c>
      <c r="C182" s="499" t="str" cm="1">
        <f t="array" ref="C182">"UPS " &amp; SWFour &amp; "2"</f>
        <v>UPS XXX2</v>
      </c>
      <c r="D182" s="190" t="str" cm="1">
        <f t="array" ref="D182">"Close battery breaker for cabinet " &amp; SWFour &amp; "2-3."</f>
        <v>Close battery breaker for cabinet XXX2-3.</v>
      </c>
      <c r="E182" s="499" t="s">
        <v>1464</v>
      </c>
      <c r="F182" s="500"/>
      <c r="G182" s="519"/>
    </row>
    <row r="183" spans="1:7" ht="37.5" x14ac:dyDescent="0.25">
      <c r="A183" s="519">
        <f t="shared" si="3"/>
        <v>988</v>
      </c>
      <c r="B183" s="500" t="str">
        <f>Suite&amp;" Electrical Room "&amp;SWFour</f>
        <v>G104 Electrical Room XXX</v>
      </c>
      <c r="C183" s="499" t="str" cm="1">
        <f t="array" ref="C183">"UP" &amp; SWFour</f>
        <v>UPXXX</v>
      </c>
      <c r="D183" s="190" t="str" cm="1">
        <f t="array" ref="D183">"Remove LOTO from DP-" &amp; SWFour &amp; "1 breaker (MOB)."</f>
        <v>Remove LOTO from DP-XXX1 breaker (MOB).</v>
      </c>
      <c r="E183" s="499" t="s">
        <v>1464</v>
      </c>
      <c r="F183" s="500"/>
      <c r="G183" s="519"/>
    </row>
    <row r="184" spans="1:7" ht="37.5" x14ac:dyDescent="0.25">
      <c r="A184" s="519">
        <f t="shared" si="3"/>
        <v>989</v>
      </c>
      <c r="B184" s="500" t="str">
        <f>Suite&amp;" Electrical Room "&amp;SWFour</f>
        <v>G104 Electrical Room XXX</v>
      </c>
      <c r="C184" s="499" t="str" cm="1">
        <f t="array" ref="C184">"UP" &amp; SWFour</f>
        <v>UPXXX</v>
      </c>
      <c r="D184" s="233" t="s">
        <v>1518</v>
      </c>
      <c r="E184" s="499" t="s">
        <v>1464</v>
      </c>
      <c r="F184" s="500"/>
      <c r="G184" s="519"/>
    </row>
    <row r="185" spans="1:7" ht="37.5" x14ac:dyDescent="0.25">
      <c r="A185" s="519">
        <f t="shared" si="3"/>
        <v>990</v>
      </c>
      <c r="B185" s="500" t="str">
        <f>Suite&amp;" Electrical Room "&amp;SWFour</f>
        <v>G104 Electrical Room XXX</v>
      </c>
      <c r="C185" s="499" t="str" cm="1">
        <f t="array" ref="C185">"UP" &amp; SWFour</f>
        <v>UPXXX</v>
      </c>
      <c r="D185" s="190" t="str" cm="1">
        <f t="array" ref="D185">"Remove LOTO from DP-" &amp; SWFour &amp; "2 breaker (MOB)."</f>
        <v>Remove LOTO from DP-XXX2 breaker (MOB).</v>
      </c>
      <c r="E185" s="499" t="s">
        <v>1464</v>
      </c>
      <c r="F185" s="500"/>
      <c r="G185" s="519"/>
    </row>
    <row r="186" spans="1:7" ht="37.5" x14ac:dyDescent="0.25">
      <c r="A186" s="519">
        <f t="shared" si="3"/>
        <v>991</v>
      </c>
      <c r="B186" s="500" t="str">
        <f>Suite&amp;" Electrical Room "&amp;SWFour</f>
        <v>G104 Electrical Room XXX</v>
      </c>
      <c r="C186" s="499" t="str" cm="1">
        <f t="array" ref="C186">"UP" &amp; SWFour</f>
        <v>UPXXX</v>
      </c>
      <c r="D186" s="233" t="s">
        <v>1518</v>
      </c>
      <c r="E186" s="499" t="s">
        <v>1464</v>
      </c>
      <c r="F186" s="500"/>
      <c r="G186" s="519"/>
    </row>
    <row r="187" spans="1:7" ht="37.5" x14ac:dyDescent="0.25">
      <c r="A187" s="519">
        <f t="shared" si="3"/>
        <v>992</v>
      </c>
      <c r="B187" s="500" t="str">
        <f>Suite&amp;" Electrical Room "&amp;SWFour</f>
        <v>G104 Electrical Room XXX</v>
      </c>
      <c r="C187" s="499" t="str" cm="1">
        <f t="array" ref="C187">"UPS " &amp; SWFour &amp; "1"</f>
        <v>UPS XXX1</v>
      </c>
      <c r="D187" s="190" t="s">
        <v>1538</v>
      </c>
      <c r="E187" s="499" t="s">
        <v>1464</v>
      </c>
      <c r="F187" s="500"/>
      <c r="G187" s="519"/>
    </row>
    <row r="188" spans="1:7" ht="37.5" x14ac:dyDescent="0.25">
      <c r="A188" s="519">
        <f t="shared" si="3"/>
        <v>993</v>
      </c>
      <c r="B188" s="500" t="str">
        <f>Suite&amp;" Electrical Room "&amp;SWFour</f>
        <v>G104 Electrical Room XXX</v>
      </c>
      <c r="C188" s="499" t="str" cm="1">
        <f t="array" ref="C188">"UP" &amp; SWFour</f>
        <v>UPXXX</v>
      </c>
      <c r="D188" s="190" t="str" cm="1">
        <f t="array" ref="D188">"Close DP-" &amp; SWFour &amp; "1 breaker."</f>
        <v>Close DP-XXX1 breaker.</v>
      </c>
      <c r="E188" s="499" t="s">
        <v>1464</v>
      </c>
      <c r="F188" s="500"/>
      <c r="G188" s="519"/>
    </row>
    <row r="189" spans="1:7" ht="37.5" x14ac:dyDescent="0.25">
      <c r="A189" s="519">
        <f t="shared" si="3"/>
        <v>994</v>
      </c>
      <c r="B189" s="500" t="str">
        <f>Suite&amp;" Electrical Room "&amp;SWFour</f>
        <v>G104 Electrical Room XXX</v>
      </c>
      <c r="C189" s="499" t="str" cm="1">
        <f t="array" ref="C189">"UP" &amp; SWFour</f>
        <v>UPXXX</v>
      </c>
      <c r="D189" s="190" t="str" cm="1">
        <f t="array" ref="D189">"Close DP-" &amp; SWFour &amp; "2 breaker."</f>
        <v>Close DP-XXX2 breaker.</v>
      </c>
      <c r="E189" s="499" t="s">
        <v>1464</v>
      </c>
      <c r="F189" s="500"/>
      <c r="G189" s="519"/>
    </row>
    <row r="190" spans="1:7" ht="37.5" x14ac:dyDescent="0.25">
      <c r="A190" s="519">
        <f t="shared" si="3"/>
        <v>995</v>
      </c>
      <c r="B190" s="500" t="str">
        <f>Suite&amp;" Electrical Room "&amp;SWFour</f>
        <v>G104 Electrical Room XXX</v>
      </c>
      <c r="C190" s="499" t="str" cm="1">
        <f t="array" ref="C190">"UPS " &amp; SWFour &amp; "1"</f>
        <v>UPS XXX1</v>
      </c>
      <c r="D190" s="190" t="s">
        <v>1539</v>
      </c>
      <c r="E190" s="499" t="s">
        <v>1464</v>
      </c>
      <c r="F190" s="500"/>
      <c r="G190" s="519"/>
    </row>
    <row r="191" spans="1:7" ht="37.5" x14ac:dyDescent="0.25">
      <c r="A191" s="519">
        <f t="shared" si="3"/>
        <v>996</v>
      </c>
      <c r="B191" s="500" t="str">
        <f>Suite&amp;" Electrical Room "&amp;SWFour</f>
        <v>G104 Electrical Room XXX</v>
      </c>
      <c r="C191" s="499" t="str" cm="1">
        <f t="array" ref="C191">"UPS " &amp; SWFour &amp; "1"</f>
        <v>UPS XXX1</v>
      </c>
      <c r="D191" s="190" t="s">
        <v>1540</v>
      </c>
      <c r="E191" s="499" t="s">
        <v>1464</v>
      </c>
      <c r="F191" s="500"/>
      <c r="G191" s="519"/>
    </row>
    <row r="192" spans="1:7" ht="37.5" x14ac:dyDescent="0.25">
      <c r="A192" s="519">
        <f t="shared" si="3"/>
        <v>997</v>
      </c>
      <c r="B192" s="500" t="str">
        <f>Suite&amp;" Electrical Room "&amp;SWFour</f>
        <v>G104 Electrical Room XXX</v>
      </c>
      <c r="C192" s="499" t="str" cm="1">
        <f t="array" ref="C192">"UPS " &amp; SWFour &amp; "1"</f>
        <v>UPS XXX1</v>
      </c>
      <c r="D192" s="190" t="s">
        <v>1541</v>
      </c>
      <c r="E192" s="499" t="s">
        <v>1464</v>
      </c>
      <c r="F192" s="500"/>
      <c r="G192" s="519"/>
    </row>
    <row r="193" spans="1:7" ht="37.5" x14ac:dyDescent="0.25">
      <c r="A193" s="519">
        <f t="shared" si="3"/>
        <v>998</v>
      </c>
      <c r="B193" s="500" t="str">
        <f>Suite&amp;" Electrical Room "&amp;SWFour</f>
        <v>G104 Electrical Room XXX</v>
      </c>
      <c r="C193" s="499" t="str" cm="1">
        <f t="array" ref="C193">"UPS " &amp; SWFour</f>
        <v>UPS XXX</v>
      </c>
      <c r="D193" s="190" t="str" cm="1">
        <f t="array" ref="D193">"When prompted, close the CB2 breaker on module DP-"&amp;SWFour&amp;"1."</f>
        <v>When prompted, close the CB2 breaker on module DP-XXX1.</v>
      </c>
      <c r="E193" s="499" t="s">
        <v>1464</v>
      </c>
      <c r="F193" s="500"/>
      <c r="G193" s="519"/>
    </row>
    <row r="194" spans="1:7" ht="37.5" x14ac:dyDescent="0.25">
      <c r="A194" s="519">
        <f t="shared" si="3"/>
        <v>999</v>
      </c>
      <c r="B194" s="500" t="str">
        <f>Suite&amp;" Electrical Room "&amp;SWFour</f>
        <v>G104 Electrical Room XXX</v>
      </c>
      <c r="C194" s="499" t="str" cm="1">
        <f t="array" ref="C194">"UPS " &amp; SWFour</f>
        <v>UPS XXX</v>
      </c>
      <c r="D194" s="190" t="str" cm="1">
        <f t="array" ref="D194">"When prompted, close the CB2 breaker on module DP-"&amp;SWFour&amp;"2."</f>
        <v>When prompted, close the CB2 breaker on module DP-XXX2.</v>
      </c>
      <c r="E194" s="499" t="s">
        <v>1464</v>
      </c>
      <c r="F194" s="500"/>
      <c r="G194" s="519"/>
    </row>
    <row r="195" spans="1:7" ht="37.5" x14ac:dyDescent="0.25">
      <c r="A195" s="519">
        <f t="shared" si="3"/>
        <v>1000</v>
      </c>
      <c r="B195" s="500" t="str">
        <f>Suite&amp;" Electrical Room "&amp;SWFour</f>
        <v>G104 Electrical Room XXX</v>
      </c>
      <c r="C195" s="499" t="str" cm="1">
        <f t="array" ref="C195">"UPS " &amp; SWFour &amp; "1"</f>
        <v>UPS XXX1</v>
      </c>
      <c r="D195" s="190" t="str" cm="1">
        <f t="array" ref="D195">"Close UPS-" &amp; SWFour &amp; "1 CB2 breaker."</f>
        <v>Close UPS-XXX1 CB2 breaker.</v>
      </c>
      <c r="E195" s="499" t="s">
        <v>1464</v>
      </c>
      <c r="F195" s="500"/>
      <c r="G195" s="519"/>
    </row>
    <row r="196" spans="1:7" ht="37.5" x14ac:dyDescent="0.25">
      <c r="A196" s="519">
        <f t="shared" si="3"/>
        <v>1001</v>
      </c>
      <c r="B196" s="500" t="str">
        <f>Suite&amp;" Electrical Room "&amp;SWFour</f>
        <v>G104 Electrical Room XXX</v>
      </c>
      <c r="C196" s="499" t="str" cm="1">
        <f t="array" ref="C196">"UPS " &amp; SWFour &amp; "2"</f>
        <v>UPS XXX2</v>
      </c>
      <c r="D196" s="190" t="str" cm="1">
        <f t="array" ref="D196">"Close UPS-" &amp; SWFour &amp; "2 CB2 breaker."</f>
        <v>Close UPS-XXX2 CB2 breaker.</v>
      </c>
      <c r="E196" s="499" t="s">
        <v>1464</v>
      </c>
      <c r="F196" s="500"/>
      <c r="G196" s="519"/>
    </row>
    <row r="197" spans="1:7" ht="37.5" x14ac:dyDescent="0.25">
      <c r="A197" s="519">
        <f t="shared" si="3"/>
        <v>1002</v>
      </c>
      <c r="B197" s="500" t="str">
        <f>Suite&amp;" Electrical Room "&amp;SWFour</f>
        <v>G104 Electrical Room XXX</v>
      </c>
      <c r="C197" s="499" t="str" cm="1">
        <f t="array" ref="C197">"UPS " &amp; SWFour &amp; "1"</f>
        <v>UPS XXX1</v>
      </c>
      <c r="D197" s="190" t="s">
        <v>1542</v>
      </c>
      <c r="E197" s="499" t="s">
        <v>1464</v>
      </c>
      <c r="F197" s="500"/>
      <c r="G197" s="519"/>
    </row>
    <row r="198" spans="1:7" ht="37.5" x14ac:dyDescent="0.25">
      <c r="A198" s="519">
        <f t="shared" si="3"/>
        <v>1003</v>
      </c>
      <c r="B198" s="500" t="str">
        <f>Suite&amp;" Electrical Room "&amp;SWFour</f>
        <v>G104 Electrical Room XXX</v>
      </c>
      <c r="C198" s="499" t="str" cm="1">
        <f t="array" ref="C198">"UPS " &amp; SWFour &amp; "1"</f>
        <v>UPS XXX1</v>
      </c>
      <c r="D198" s="190" t="s">
        <v>1543</v>
      </c>
      <c r="E198" s="499" t="s">
        <v>1464</v>
      </c>
      <c r="F198" s="500"/>
      <c r="G198" s="519"/>
    </row>
    <row r="199" spans="1:7" ht="37.5" x14ac:dyDescent="0.25">
      <c r="A199" s="519">
        <f t="shared" si="3"/>
        <v>1004</v>
      </c>
      <c r="B199" s="500" t="str">
        <f>Suite&amp;" Electrical Room "&amp;SWFour</f>
        <v>G104 Electrical Room XXX</v>
      </c>
      <c r="C199" s="499" t="str" cm="1">
        <f t="array" ref="C199">"UPS " &amp; SWFour &amp; "1"</f>
        <v>UPS XXX1</v>
      </c>
      <c r="D199" s="190" t="s">
        <v>1544</v>
      </c>
      <c r="E199" s="499" t="s">
        <v>1464</v>
      </c>
      <c r="F199" s="500"/>
      <c r="G199" s="519"/>
    </row>
    <row r="200" spans="1:7" ht="37.5" x14ac:dyDescent="0.25">
      <c r="A200" s="519">
        <f t="shared" si="3"/>
        <v>1005</v>
      </c>
      <c r="B200" s="500" t="str">
        <f>Suite&amp;" Electrical Room "&amp;SWFour</f>
        <v>G104 Electrical Room XXX</v>
      </c>
      <c r="C200" s="499" t="str" cm="1">
        <f t="array" ref="C200">"UPS " &amp; SWFour &amp; "1"</f>
        <v>UPS XXX1</v>
      </c>
      <c r="D200" s="190" t="s">
        <v>1545</v>
      </c>
      <c r="E200" s="499" t="s">
        <v>1464</v>
      </c>
      <c r="F200" s="500"/>
      <c r="G200" s="519"/>
    </row>
    <row r="201" spans="1:7" ht="37.5" x14ac:dyDescent="0.25">
      <c r="A201" s="519">
        <f t="shared" si="3"/>
        <v>1006</v>
      </c>
      <c r="B201" s="500" t="str">
        <f>Suite&amp;" Electrical Room "&amp;SWFour</f>
        <v>G104 Electrical Room XXX</v>
      </c>
      <c r="C201" s="499" t="str" cm="1">
        <f t="array" ref="C201">"UPS " &amp; SWFour &amp; "1"</f>
        <v>UPS XXX1</v>
      </c>
      <c r="D201" s="190" t="s">
        <v>1546</v>
      </c>
      <c r="E201" s="499" t="s">
        <v>1464</v>
      </c>
      <c r="F201" s="500"/>
      <c r="G201" s="519"/>
    </row>
    <row r="202" spans="1:7" ht="37.5" x14ac:dyDescent="0.25">
      <c r="A202" s="519">
        <f t="shared" si="3"/>
        <v>1007</v>
      </c>
      <c r="B202" s="500" t="str">
        <f>Suite&amp;" Electrical Room "&amp;SWFour</f>
        <v>G104 Electrical Room XXX</v>
      </c>
      <c r="C202" s="499" t="str" cm="1">
        <f t="array" ref="C202">"UPS " &amp; SWFour &amp; "1"</f>
        <v>UPS XXX1</v>
      </c>
      <c r="D202" s="190" t="s">
        <v>1511</v>
      </c>
      <c r="E202" s="499" t="s">
        <v>1464</v>
      </c>
      <c r="F202" s="500"/>
      <c r="G202" s="519"/>
    </row>
    <row r="203" spans="1:7" ht="37.5" x14ac:dyDescent="0.25">
      <c r="A203" s="519">
        <f t="shared" si="3"/>
        <v>1008</v>
      </c>
      <c r="B203" s="500" t="str">
        <f>Suite&amp;" Electrical Room "&amp;SWFour</f>
        <v>G104 Electrical Room XXX</v>
      </c>
      <c r="C203" s="499" t="str" cm="1">
        <f t="array" ref="C203">"UPS " &amp; SWFour &amp; "1"</f>
        <v>UPS XXX1</v>
      </c>
      <c r="D203" s="190" t="s">
        <v>1498</v>
      </c>
      <c r="E203" s="499" t="s">
        <v>1464</v>
      </c>
      <c r="F203" s="500"/>
      <c r="G203" s="519"/>
    </row>
    <row r="204" spans="1:7" ht="37.5" x14ac:dyDescent="0.25">
      <c r="A204" s="519">
        <f t="shared" si="3"/>
        <v>1009</v>
      </c>
      <c r="B204" s="500" t="str">
        <f>Suite&amp;" Electrical Room "&amp;SWFour</f>
        <v>G104 Electrical Room XXX</v>
      </c>
      <c r="C204" s="499" t="str" cm="1">
        <f t="array" ref="C204">"UPS " &amp; SWFour &amp; "1"</f>
        <v>UPS XXX1</v>
      </c>
      <c r="D204" s="190" t="s">
        <v>1547</v>
      </c>
      <c r="E204" s="499" t="s">
        <v>1464</v>
      </c>
      <c r="F204" s="500"/>
      <c r="G204" s="519"/>
    </row>
    <row r="205" spans="1:7" ht="37.5" x14ac:dyDescent="0.25">
      <c r="A205" s="519">
        <f t="shared" si="3"/>
        <v>1010</v>
      </c>
      <c r="B205" s="500" t="str">
        <f>Suite&amp;" Electrical Room "&amp;SWFour</f>
        <v>G104 Electrical Room XXX</v>
      </c>
      <c r="C205" s="499" t="str" cm="1">
        <f t="array" ref="C205">"UPS " &amp; SWFour &amp; "1"</f>
        <v>UPS XXX1</v>
      </c>
      <c r="D205" s="190" t="s">
        <v>1548</v>
      </c>
      <c r="E205" s="499" t="s">
        <v>1464</v>
      </c>
      <c r="F205" s="500"/>
      <c r="G205" s="519"/>
    </row>
    <row r="206" spans="1:7" ht="37.5" x14ac:dyDescent="0.25">
      <c r="A206" s="519">
        <f t="shared" si="3"/>
        <v>1011</v>
      </c>
      <c r="B206" s="500" t="str">
        <f>Suite&amp;" Electrical Room "&amp;SWFour</f>
        <v>G104 Electrical Room XXX</v>
      </c>
      <c r="C206" s="499" t="str" cm="1">
        <f t="array" ref="C206">"UPS " &amp; SWFour &amp; "1"</f>
        <v>UPS XXX1</v>
      </c>
      <c r="D206" s="190" t="s">
        <v>1544</v>
      </c>
      <c r="E206" s="499" t="s">
        <v>1464</v>
      </c>
      <c r="F206" s="500"/>
      <c r="G206" s="519"/>
    </row>
    <row r="207" spans="1:7" ht="37.5" x14ac:dyDescent="0.25">
      <c r="A207" s="519">
        <f t="shared" si="3"/>
        <v>1012</v>
      </c>
      <c r="B207" s="500" t="str">
        <f>Suite&amp;" Electrical Room "&amp;SWFour</f>
        <v>G104 Electrical Room XXX</v>
      </c>
      <c r="C207" s="499" t="str" cm="1">
        <f t="array" ref="C207">"UPS " &amp; SWFour &amp; "1"</f>
        <v>UPS XXX1</v>
      </c>
      <c r="D207" s="190" t="s">
        <v>1545</v>
      </c>
      <c r="E207" s="499" t="s">
        <v>1464</v>
      </c>
      <c r="F207" s="500"/>
      <c r="G207" s="519"/>
    </row>
    <row r="208" spans="1:7" ht="37.5" x14ac:dyDescent="0.25">
      <c r="A208" s="519">
        <f t="shared" si="3"/>
        <v>1013</v>
      </c>
      <c r="B208" s="500" t="str">
        <f>Suite&amp;" Electrical Room "&amp;SWFour</f>
        <v>G104 Electrical Room XXX</v>
      </c>
      <c r="C208" s="499" t="str" cm="1">
        <f t="array" ref="C208">"UPS " &amp; SWFour</f>
        <v>UPS XXX</v>
      </c>
      <c r="D208" s="190" t="s">
        <v>1549</v>
      </c>
      <c r="E208" s="499" t="s">
        <v>1464</v>
      </c>
      <c r="F208" s="500"/>
      <c r="G208" s="519"/>
    </row>
    <row r="209" spans="1:7" ht="37.5" x14ac:dyDescent="0.25">
      <c r="A209" s="519">
        <f t="shared" si="3"/>
        <v>1014</v>
      </c>
      <c r="B209" s="500" t="str">
        <f>Suite&amp;" Electrical Room "&amp;SWFour</f>
        <v>G104 Electrical Room XXX</v>
      </c>
      <c r="C209" s="499" t="str" cm="1">
        <f t="array" ref="C209">"UPS " &amp; SWFour</f>
        <v>UPS XXX</v>
      </c>
      <c r="D209" s="190" t="s">
        <v>1550</v>
      </c>
      <c r="E209" s="499" t="s">
        <v>1464</v>
      </c>
      <c r="F209" s="500"/>
      <c r="G209" s="519"/>
    </row>
    <row r="210" spans="1:7" ht="37.5" x14ac:dyDescent="0.25">
      <c r="A210" s="519">
        <f t="shared" si="3"/>
        <v>1015</v>
      </c>
      <c r="B210" s="500" t="str">
        <f>Suite&amp;" Electrical Room "&amp;SWFour</f>
        <v>G104 Electrical Room XXX</v>
      </c>
      <c r="C210" s="499" t="str" cm="1">
        <f t="array" ref="C210">"UPS " &amp; SWFour</f>
        <v>UPS XXX</v>
      </c>
      <c r="D210" s="233" t="str" cm="1">
        <f t="array" ref="D210">"UPS SYSTEM " &amp;SWFour&amp;" is now in Static Bypass. Critical customer loads remains on maintenance bypass."</f>
        <v>UPS SYSTEM XXX is now in Static Bypass. Critical customer loads remains on maintenance bypass.</v>
      </c>
      <c r="E210" s="499" t="s">
        <v>1464</v>
      </c>
      <c r="F210" s="500"/>
      <c r="G210" s="519"/>
    </row>
    <row r="211" spans="1:7" ht="37.5" x14ac:dyDescent="0.25">
      <c r="A211" s="519">
        <f t="shared" si="3"/>
        <v>1016</v>
      </c>
      <c r="B211" s="500" t="str">
        <f>Suite&amp;" Electrical Room "&amp;SWFour</f>
        <v>G104 Electrical Room XXX</v>
      </c>
      <c r="C211" s="499" t="str" cm="1">
        <f t="array" ref="C211">"UP" &amp; SWFour</f>
        <v>UPXXX</v>
      </c>
      <c r="D211" s="233" t="str" cm="1">
        <f t="array" ref="D211">"Notate the kW reading at UP" &amp; SWFour &amp; " Critical Bus Panel Meter: _________"</f>
        <v>Notate the kW reading at UPXXX Critical Bus Panel Meter: _________</v>
      </c>
      <c r="E211" s="499" t="s">
        <v>1464</v>
      </c>
      <c r="F211" s="500"/>
      <c r="G211" s="519"/>
    </row>
    <row r="212" spans="1:7" ht="37.5" x14ac:dyDescent="0.25">
      <c r="A212" s="519">
        <f t="shared" si="3"/>
        <v>1017</v>
      </c>
      <c r="B212" s="500" t="str">
        <f>Suite&amp;" Electrical Room "&amp;SWFour</f>
        <v>G104 Electrical Room XXX</v>
      </c>
      <c r="C212" s="499" t="str" cm="1">
        <f t="array" ref="C212">"UP" &amp; SWFour</f>
        <v>UPXXX</v>
      </c>
      <c r="D212" s="233" t="str">
        <f>"Verify the readings in step " &amp; A211 &amp; " and " &amp; A136 &amp; " are within 3% of each other. (new kW divided by original kW must be ≤1.03 and ≥0.97)."</f>
        <v>Verify the readings in step 1016 and 941 are within 3% of each other. (new kW divided by original kW must be ≤1.03 and ≥0.97).</v>
      </c>
      <c r="E212" s="499" t="s">
        <v>1464</v>
      </c>
      <c r="F212" s="500"/>
      <c r="G212" s="519"/>
    </row>
    <row r="213" spans="1:7" x14ac:dyDescent="0.25">
      <c r="A213" s="519">
        <f t="shared" si="3"/>
        <v>1018</v>
      </c>
      <c r="B213" s="702" t="s">
        <v>1551</v>
      </c>
      <c r="C213" s="703"/>
      <c r="D213" s="703"/>
      <c r="E213" s="703"/>
      <c r="F213" s="703"/>
      <c r="G213" s="703"/>
    </row>
    <row r="214" spans="1:7" ht="37.5" x14ac:dyDescent="0.25">
      <c r="A214" s="519">
        <f t="shared" si="3"/>
        <v>1019</v>
      </c>
      <c r="B214" s="500" t="str">
        <f>Suite&amp;" Electrical Room "&amp;SWFour</f>
        <v>G104 Electrical Room XXX</v>
      </c>
      <c r="C214" s="499" t="str" cm="1">
        <f t="array" ref="C214">"UP" &amp; SWFour</f>
        <v>UPXXX</v>
      </c>
      <c r="D214" s="233" t="s">
        <v>1503</v>
      </c>
      <c r="E214" s="499" t="s">
        <v>1464</v>
      </c>
      <c r="F214" s="502"/>
      <c r="G214" s="503" t="s">
        <v>1519</v>
      </c>
    </row>
    <row r="215" spans="1:7" ht="37.5" x14ac:dyDescent="0.25">
      <c r="A215" s="519">
        <f t="shared" si="3"/>
        <v>1020</v>
      </c>
      <c r="B215" s="500" t="str">
        <f>Suite&amp;" Electrical Room "&amp;SWFour</f>
        <v>G104 Electrical Room XXX</v>
      </c>
      <c r="C215" s="499" t="str" cm="1">
        <f t="array" ref="C215">"UP" &amp; SWFour</f>
        <v>UPXXX</v>
      </c>
      <c r="D215" s="233" t="s">
        <v>1552</v>
      </c>
      <c r="E215" s="499" t="s">
        <v>1464</v>
      </c>
      <c r="F215" s="502"/>
      <c r="G215" s="503" t="s">
        <v>1519</v>
      </c>
    </row>
    <row r="216" spans="1:7" ht="37.5" x14ac:dyDescent="0.25">
      <c r="A216" s="519">
        <f t="shared" si="3"/>
        <v>1021</v>
      </c>
      <c r="B216" s="500" t="str">
        <f>Suite&amp;" Electrical Room "&amp;SWFour</f>
        <v>G104 Electrical Room XXX</v>
      </c>
      <c r="C216" s="499" t="str" cm="1">
        <f t="array" ref="C216">"UP" &amp; SWFour</f>
        <v>UPXXX</v>
      </c>
      <c r="D216" s="233" t="s">
        <v>1505</v>
      </c>
      <c r="E216" s="499" t="s">
        <v>1464</v>
      </c>
      <c r="F216" s="502"/>
      <c r="G216" s="503" t="s">
        <v>1519</v>
      </c>
    </row>
    <row r="217" spans="1:7" ht="37.5" x14ac:dyDescent="0.25">
      <c r="A217" s="519">
        <f t="shared" si="3"/>
        <v>1022</v>
      </c>
      <c r="B217" s="500" t="str">
        <f>Suite&amp;" Electrical Room "&amp;SWFour</f>
        <v>G104 Electrical Room XXX</v>
      </c>
      <c r="C217" s="499" t="str" cm="1">
        <f t="array" ref="C217">"UP" &amp; SWFour</f>
        <v>UPXXX</v>
      </c>
      <c r="D217" s="233" t="str" cm="1">
        <f t="array" ref="D217">"Insert the interlock key into the MCBUP" &amp; SWFour &amp; " breaker lock cylinder."</f>
        <v>Insert the interlock key into the MCBUPXXX breaker lock cylinder.</v>
      </c>
      <c r="E217" s="499" t="s">
        <v>1464</v>
      </c>
      <c r="F217" s="502"/>
      <c r="G217" s="503" t="s">
        <v>1519</v>
      </c>
    </row>
    <row r="218" spans="1:7" ht="37.5" x14ac:dyDescent="0.25">
      <c r="A218" s="519">
        <f t="shared" si="3"/>
        <v>1023</v>
      </c>
      <c r="B218" s="500" t="str">
        <f>Suite&amp;" Electrical Room "&amp;SWFour</f>
        <v>G104 Electrical Room XXX</v>
      </c>
      <c r="C218" s="499" t="str" cm="1">
        <f t="array" ref="C218">"UP" &amp; SWFour</f>
        <v>UPXXX</v>
      </c>
      <c r="D218" s="233" t="str" cm="1">
        <f t="array" ref="D218">"ROTATE the interlock key 90 degrees to UNLOCK the MCBUP" &amp; SWFour &amp; " breaker."</f>
        <v>ROTATE the interlock key 90 degrees to UNLOCK the MCBUPXXX breaker.</v>
      </c>
      <c r="E218" s="499" t="s">
        <v>1464</v>
      </c>
      <c r="F218" s="502"/>
      <c r="G218" s="503" t="s">
        <v>1519</v>
      </c>
    </row>
    <row r="219" spans="1:7" ht="37.5" x14ac:dyDescent="0.25">
      <c r="A219" s="519">
        <f t="shared" si="3"/>
        <v>1024</v>
      </c>
      <c r="B219" s="500" t="str">
        <f>Suite&amp;" Electrical Room "&amp;SWFour</f>
        <v>G104 Electrical Room XXX</v>
      </c>
      <c r="C219" s="499" t="str" cm="1">
        <f t="array" ref="C219">"UP" &amp; SWFour</f>
        <v>UPXXX</v>
      </c>
      <c r="D219" s="233" t="str" cm="1">
        <f t="array" ref="D219">"Close breaker MCBUP"&amp;SWFour&amp;"."</f>
        <v>Close breaker MCBUPXXX.</v>
      </c>
      <c r="E219" s="499" t="s">
        <v>1464</v>
      </c>
      <c r="F219" s="502"/>
      <c r="G219" s="503" t="s">
        <v>1519</v>
      </c>
    </row>
    <row r="220" spans="1:7" ht="37.5" x14ac:dyDescent="0.25">
      <c r="A220" s="519">
        <f t="shared" ref="A220:A274" si="4">A219+1</f>
        <v>1025</v>
      </c>
      <c r="B220" s="500" t="str">
        <f>Suite&amp;" Electrical Room "&amp;SWFour</f>
        <v>G104 Electrical Room XXX</v>
      </c>
      <c r="C220" s="499" t="str" cm="1">
        <f t="array" ref="C220">"UP" &amp; SWFour</f>
        <v>UPXXX</v>
      </c>
      <c r="D220" s="233" t="str" cm="1">
        <f t="array" ref="D220">"Verify MCBUP" &amp; SWFour &amp; " breaker flag indicates CLOSED."</f>
        <v>Verify MCBUPXXX breaker flag indicates CLOSED.</v>
      </c>
      <c r="E220" s="499" t="s">
        <v>1464</v>
      </c>
      <c r="F220" s="502"/>
      <c r="G220" s="503" t="s">
        <v>1519</v>
      </c>
    </row>
    <row r="221" spans="1:7" ht="37.5" x14ac:dyDescent="0.25">
      <c r="A221" s="519">
        <f t="shared" si="4"/>
        <v>1026</v>
      </c>
      <c r="B221" s="500" t="str">
        <f>Suite&amp;" Electrical Room "&amp;SWFour</f>
        <v>G104 Electrical Room XXX</v>
      </c>
      <c r="C221" s="499" t="str" cm="1">
        <f t="array" ref="C221">"UP" &amp; SWFour</f>
        <v>UPXXX</v>
      </c>
      <c r="D221" s="233" t="str" cm="1">
        <f t="array" ref="D221">"Verify breaker MCBUP"&amp;SWFour&amp;" is carrying a portion of critical customer load using breaker mounted metering."</f>
        <v>Verify breaker MCBUPXXX is carrying a portion of critical customer load using breaker mounted metering.</v>
      </c>
      <c r="E221" s="499" t="s">
        <v>1464</v>
      </c>
      <c r="F221" s="502"/>
      <c r="G221" s="503" t="s">
        <v>1519</v>
      </c>
    </row>
    <row r="222" spans="1:7" ht="37.5" x14ac:dyDescent="0.25">
      <c r="A222" s="519">
        <f t="shared" si="4"/>
        <v>1027</v>
      </c>
      <c r="B222" s="500" t="str">
        <f>Suite&amp;" Electrical Room "&amp;SWFour</f>
        <v>G104 Electrical Room XXX</v>
      </c>
      <c r="C222" s="499" t="str" cm="1">
        <f t="array" ref="C222">"UP" &amp; SWFour</f>
        <v>UPXXX</v>
      </c>
      <c r="D222" s="233" t="str" cm="1">
        <f t="array" ref="D222">"Verify breaker MBUP"&amp;SWFour&amp;" is carrying a portion of critical customer load using breaker mounted metering."</f>
        <v>Verify breaker MBUPXXX is carrying a portion of critical customer load using breaker mounted metering.</v>
      </c>
      <c r="E222" s="499" t="s">
        <v>1464</v>
      </c>
      <c r="F222" s="502"/>
      <c r="G222" s="503" t="s">
        <v>1519</v>
      </c>
    </row>
    <row r="223" spans="1:7" ht="37.5" x14ac:dyDescent="0.25">
      <c r="A223" s="519">
        <f t="shared" si="4"/>
        <v>1028</v>
      </c>
      <c r="B223" s="500" t="str">
        <f>Suite&amp;" Electrical Room "&amp;SWFour</f>
        <v>G104 Electrical Room XXX</v>
      </c>
      <c r="C223" s="499" t="str" cm="1">
        <f t="array" ref="C223">"UP" &amp; SWFour</f>
        <v>UPXXX</v>
      </c>
      <c r="D223" s="233" t="str" cm="1">
        <f t="array" ref="D223">"Notate the kW reading at UP" &amp; SWFour &amp; " Critical Bus Panel Meter: _________"</f>
        <v>Notate the kW reading at UPXXX Critical Bus Panel Meter: _________</v>
      </c>
      <c r="E223" s="499" t="s">
        <v>1464</v>
      </c>
      <c r="F223" s="502"/>
      <c r="G223" s="503" t="s">
        <v>1519</v>
      </c>
    </row>
    <row r="224" spans="1:7" ht="37.5" x14ac:dyDescent="0.25">
      <c r="A224" s="519">
        <f t="shared" si="4"/>
        <v>1029</v>
      </c>
      <c r="B224" s="500" t="str">
        <f>Suite&amp;" Electrical Room "&amp;SWFour</f>
        <v>G104 Electrical Room XXX</v>
      </c>
      <c r="C224" s="499" t="str" cm="1">
        <f t="array" ref="C224">"UP" &amp; SWFour</f>
        <v>UPXXX</v>
      </c>
      <c r="D224" s="233" t="str">
        <f>"Verify the readings in step " &amp; A211 &amp; " and " &amp; A223 &amp; " are within 3% of each other. (new kW divided by original kW must be ≤1.03 and ≥0.97)."</f>
        <v>Verify the readings in step 1016 and 1028 are within 3% of each other. (new kW divided by original kW must be ≤1.03 and ≥0.97).</v>
      </c>
      <c r="E224" s="499" t="s">
        <v>1464</v>
      </c>
      <c r="F224" s="502"/>
      <c r="G224" s="503" t="s">
        <v>1519</v>
      </c>
    </row>
    <row r="225" spans="1:7" ht="37.5" x14ac:dyDescent="0.25">
      <c r="A225" s="519">
        <f t="shared" si="4"/>
        <v>1030</v>
      </c>
      <c r="B225" s="500" t="str">
        <f>Suite&amp;" Electrical Room "&amp;SWFour</f>
        <v>G104 Electrical Room XXX</v>
      </c>
      <c r="C225" s="499" t="str" cm="1">
        <f t="array" ref="C225">"UP" &amp; SWFour</f>
        <v>UPXXX</v>
      </c>
      <c r="D225" s="233" t="str" cm="1">
        <f t="array" ref="D225">"Open breaker MBUP"&amp;SWFour&amp;"."</f>
        <v>Open breaker MBUPXXX.</v>
      </c>
      <c r="E225" s="499" t="s">
        <v>1464</v>
      </c>
      <c r="F225" s="502"/>
      <c r="G225" s="503" t="s">
        <v>1519</v>
      </c>
    </row>
    <row r="226" spans="1:7" ht="37.5" x14ac:dyDescent="0.25">
      <c r="A226" s="519">
        <f t="shared" si="4"/>
        <v>1031</v>
      </c>
      <c r="B226" s="500" t="str">
        <f>Suite&amp;" Electrical Room "&amp;SWFour</f>
        <v>G104 Electrical Room XXX</v>
      </c>
      <c r="C226" s="499" t="str" cm="1">
        <f t="array" ref="C226">"UP" &amp; SWFour</f>
        <v>UPXXX</v>
      </c>
      <c r="D226" s="233" t="s">
        <v>1501</v>
      </c>
      <c r="E226" s="499" t="s">
        <v>1464</v>
      </c>
      <c r="F226" s="502"/>
      <c r="G226" s="503" t="s">
        <v>1519</v>
      </c>
    </row>
    <row r="227" spans="1:7" ht="37.5" x14ac:dyDescent="0.25">
      <c r="A227" s="519">
        <f t="shared" si="4"/>
        <v>1032</v>
      </c>
      <c r="B227" s="500" t="str">
        <f>Suite&amp;" Electrical Room "&amp;SWFour</f>
        <v>G104 Electrical Room XXX</v>
      </c>
      <c r="C227" s="499" t="str" cm="1">
        <f t="array" ref="C227">"UP" &amp; SWFour</f>
        <v>UPXXX</v>
      </c>
      <c r="D227" s="233" t="str" cm="1">
        <f t="array" ref="D227">"Verify MBUP" &amp; SWFour &amp; " breaker flag indicates OPEN."</f>
        <v>Verify MBUPXXX breaker flag indicates OPEN.</v>
      </c>
      <c r="E227" s="499" t="s">
        <v>1464</v>
      </c>
      <c r="F227" s="502"/>
      <c r="G227" s="503" t="s">
        <v>1519</v>
      </c>
    </row>
    <row r="228" spans="1:7" ht="37.5" x14ac:dyDescent="0.25">
      <c r="A228" s="519">
        <f t="shared" si="4"/>
        <v>1033</v>
      </c>
      <c r="B228" s="500" t="str">
        <f>Suite&amp;" Electrical Room "&amp;SWFour</f>
        <v>G104 Electrical Room XXX</v>
      </c>
      <c r="C228" s="499" t="str" cm="1">
        <f t="array" ref="C228">"UP" &amp; SWFour</f>
        <v>UPXXX</v>
      </c>
      <c r="D228" s="233" t="str" cm="1">
        <f t="array" ref="D228">"Notate the kW reading at UP" &amp; SWFour &amp; " Critical Bus Panel Meter: _________"</f>
        <v>Notate the kW reading at UPXXX Critical Bus Panel Meter: _________</v>
      </c>
      <c r="E228" s="499" t="s">
        <v>1464</v>
      </c>
      <c r="F228" s="502"/>
      <c r="G228" s="503" t="s">
        <v>1519</v>
      </c>
    </row>
    <row r="229" spans="1:7" ht="37.5" x14ac:dyDescent="0.25">
      <c r="A229" s="519">
        <f t="shared" si="4"/>
        <v>1034</v>
      </c>
      <c r="B229" s="500" t="str">
        <f>Suite&amp;" Electrical Room "&amp;SWFour</f>
        <v>G104 Electrical Room XXX</v>
      </c>
      <c r="C229" s="499" t="str" cm="1">
        <f t="array" ref="C229">"UP" &amp; SWFour</f>
        <v>UPXXX</v>
      </c>
      <c r="D229" s="233" t="str">
        <f>"Verify the readings in step " &amp; A223 &amp; " and " &amp; A228 &amp; " are within 3% of each other. (new kW divided by original kW must be ≤1.03 and ≥0.97)."</f>
        <v>Verify the readings in step 1028 and 1033 are within 3% of each other. (new kW divided by original kW must be ≤1.03 and ≥0.97).</v>
      </c>
      <c r="E229" s="499" t="s">
        <v>1464</v>
      </c>
      <c r="F229" s="502"/>
      <c r="G229" s="503" t="s">
        <v>1519</v>
      </c>
    </row>
    <row r="230" spans="1:7" ht="37.5" x14ac:dyDescent="0.25">
      <c r="A230" s="519">
        <f t="shared" si="4"/>
        <v>1035</v>
      </c>
      <c r="B230" s="500" t="str">
        <f>Suite&amp;" Electrical Room "&amp;SWFour</f>
        <v>G104 Electrical Room XXX</v>
      </c>
      <c r="C230" s="499" t="str" cm="1">
        <f t="array" ref="C230">"UP" &amp; SWFour</f>
        <v>UPXXX</v>
      </c>
      <c r="D230" s="233" t="s">
        <v>1553</v>
      </c>
      <c r="E230" s="499" t="s">
        <v>1464</v>
      </c>
      <c r="F230" s="502"/>
      <c r="G230" s="503" t="s">
        <v>1519</v>
      </c>
    </row>
    <row r="231" spans="1:7" ht="37.5" x14ac:dyDescent="0.25">
      <c r="A231" s="519">
        <f t="shared" si="4"/>
        <v>1036</v>
      </c>
      <c r="B231" s="500" t="str">
        <f>Suite&amp;" Electrical Room "&amp;SWFour</f>
        <v>G104 Electrical Room XXX</v>
      </c>
      <c r="C231" s="499" t="str" cm="1">
        <f t="array" ref="C231">"UP" &amp; SWFour</f>
        <v>UPXXX</v>
      </c>
      <c r="D231" s="233" t="str" cm="1">
        <f t="array" ref="D231">"Rotate the interlock key 90 degrees to LOCK the MBUP"&amp;SWFour&amp;" breaker."</f>
        <v>Rotate the interlock key 90 degrees to LOCK the MBUPXXX breaker.</v>
      </c>
      <c r="E231" s="499" t="s">
        <v>1464</v>
      </c>
      <c r="F231" s="502"/>
      <c r="G231" s="503" t="s">
        <v>1519</v>
      </c>
    </row>
    <row r="232" spans="1:7" ht="37.5" x14ac:dyDescent="0.25">
      <c r="A232" s="519">
        <f t="shared" si="4"/>
        <v>1037</v>
      </c>
      <c r="B232" s="500" t="str">
        <f>Suite&amp;" Electrical Room "&amp;SWFour</f>
        <v>G104 Electrical Room XXX</v>
      </c>
      <c r="C232" s="499" t="str" cm="1">
        <f t="array" ref="C232">"UP" &amp; SWFour</f>
        <v>UPXXX</v>
      </c>
      <c r="D232" s="233" t="str" cm="1">
        <f t="array" ref="D232">"Remove the interlock key from the MBUP"&amp;SWFour&amp;" breaker lock cylinder."</f>
        <v>Remove the interlock key from the MBUPXXX breaker lock cylinder.</v>
      </c>
      <c r="E232" s="499" t="s">
        <v>1464</v>
      </c>
      <c r="F232" s="502"/>
      <c r="G232" s="503" t="s">
        <v>1519</v>
      </c>
    </row>
    <row r="233" spans="1:7" ht="37.5" x14ac:dyDescent="0.25">
      <c r="A233" s="519">
        <f t="shared" si="4"/>
        <v>1038</v>
      </c>
      <c r="B233" s="500" t="str">
        <f>Suite&amp;" Electrical Room "&amp;SWFour</f>
        <v>G104 Electrical Room XXX</v>
      </c>
      <c r="C233" s="499" t="str" cm="1">
        <f t="array" ref="C233">"UP" &amp; SWFour</f>
        <v>UPXXX</v>
      </c>
      <c r="D233" s="233" t="s">
        <v>1507</v>
      </c>
      <c r="E233" s="499" t="s">
        <v>1464</v>
      </c>
      <c r="F233" s="502"/>
      <c r="G233" s="503" t="s">
        <v>1519</v>
      </c>
    </row>
    <row r="234" spans="1:7" ht="37.5" x14ac:dyDescent="0.25">
      <c r="A234" s="519">
        <f t="shared" si="4"/>
        <v>1039</v>
      </c>
      <c r="B234" s="500" t="str">
        <f>Suite&amp;" Electrical Room "&amp;SWFour</f>
        <v>G104 Electrical Room XXX</v>
      </c>
      <c r="C234" s="499" t="str" cm="1">
        <f t="array" ref="C234">"UP" &amp; SWFour</f>
        <v>UPXXX</v>
      </c>
      <c r="D234" s="233" t="s">
        <v>1508</v>
      </c>
      <c r="E234" s="499" t="s">
        <v>1464</v>
      </c>
      <c r="F234" s="502"/>
      <c r="G234" s="503" t="s">
        <v>1519</v>
      </c>
    </row>
    <row r="235" spans="1:7" ht="37.5" x14ac:dyDescent="0.25">
      <c r="A235" s="519">
        <f t="shared" si="4"/>
        <v>1040</v>
      </c>
      <c r="B235" s="500" t="str">
        <f>Suite&amp;" Electrical Room "&amp;SWFour</f>
        <v>G104 Electrical Room XXX</v>
      </c>
      <c r="C235" s="499" t="str" cm="1">
        <f t="array" ref="C235">"UP" &amp; SWFour</f>
        <v>UPXXX</v>
      </c>
      <c r="D235" s="233" t="s">
        <v>1509</v>
      </c>
      <c r="E235" s="499" t="s">
        <v>1464</v>
      </c>
      <c r="F235" s="502"/>
      <c r="G235" s="503" t="s">
        <v>1519</v>
      </c>
    </row>
    <row r="236" spans="1:7" ht="37.5" x14ac:dyDescent="0.25">
      <c r="A236" s="519">
        <f t="shared" si="4"/>
        <v>1041</v>
      </c>
      <c r="B236" s="500" t="str">
        <f>Suite&amp;" Electrical Room "&amp;SWFour</f>
        <v>G104 Electrical Room XXX</v>
      </c>
      <c r="C236" s="499" t="str" cm="1">
        <f t="array" ref="C236">"UP" &amp; SWFour</f>
        <v>UPXXX</v>
      </c>
      <c r="D236" s="233" t="s">
        <v>1510</v>
      </c>
      <c r="E236" s="499" t="s">
        <v>1464</v>
      </c>
      <c r="F236" s="502"/>
      <c r="G236" s="503" t="s">
        <v>1519</v>
      </c>
    </row>
    <row r="237" spans="1:7" x14ac:dyDescent="0.25">
      <c r="A237" s="519">
        <f t="shared" si="4"/>
        <v>1042</v>
      </c>
      <c r="B237" s="702" t="str" cm="1">
        <f t="array" ref="B237">"Transfer UPS System " &amp; SWFour &amp; " to Inverter Service"</f>
        <v>Transfer UPS System XXX to Inverter Service</v>
      </c>
      <c r="C237" s="703"/>
      <c r="D237" s="703"/>
      <c r="E237" s="703"/>
      <c r="F237" s="703"/>
      <c r="G237" s="703"/>
    </row>
    <row r="238" spans="1:7" ht="37.5" x14ac:dyDescent="0.25">
      <c r="A238" s="519">
        <f t="shared" si="4"/>
        <v>1043</v>
      </c>
      <c r="B238" s="500" t="str">
        <f>Suite&amp;" Electrical Room "&amp;SWFour</f>
        <v>G104 Electrical Room XXX</v>
      </c>
      <c r="C238" s="499" t="str" cm="1">
        <f t="array" ref="C238">"UPS " &amp; SWFour &amp; "1"</f>
        <v>UPS XXX1</v>
      </c>
      <c r="D238" s="190" t="s">
        <v>1554</v>
      </c>
      <c r="E238" s="499" t="s">
        <v>1464</v>
      </c>
      <c r="F238" s="500" t="s">
        <v>1519</v>
      </c>
      <c r="G238" s="519"/>
    </row>
    <row r="239" spans="1:7" ht="37.5" x14ac:dyDescent="0.25">
      <c r="A239" s="519">
        <f t="shared" si="4"/>
        <v>1044</v>
      </c>
      <c r="B239" s="500" t="str">
        <f>Suite&amp;" Electrical Room "&amp;SWFour</f>
        <v>G104 Electrical Room XXX</v>
      </c>
      <c r="C239" s="499" t="str" cm="1">
        <f t="array" ref="C239">"UPS " &amp; SWFour &amp; "1"</f>
        <v>UPS XXX1</v>
      </c>
      <c r="D239" s="233" t="s">
        <v>1497</v>
      </c>
      <c r="E239" s="499" t="s">
        <v>1464</v>
      </c>
      <c r="F239" s="500"/>
      <c r="G239" s="519"/>
    </row>
    <row r="240" spans="1:7" ht="37.5" x14ac:dyDescent="0.25">
      <c r="A240" s="519">
        <f t="shared" si="4"/>
        <v>1045</v>
      </c>
      <c r="B240" s="500" t="str">
        <f>Suite&amp;" Electrical Room "&amp;SWFour</f>
        <v>G104 Electrical Room XXX</v>
      </c>
      <c r="C240" s="499" t="str" cm="1">
        <f t="array" ref="C240">"UPS " &amp; SWFour &amp; "1"</f>
        <v>UPS XXX1</v>
      </c>
      <c r="D240" s="190" t="s">
        <v>1498</v>
      </c>
      <c r="E240" s="499" t="s">
        <v>1464</v>
      </c>
      <c r="F240" s="500"/>
      <c r="G240" s="519"/>
    </row>
    <row r="241" spans="1:7" ht="37.5" x14ac:dyDescent="0.25">
      <c r="A241" s="519">
        <f t="shared" si="4"/>
        <v>1046</v>
      </c>
      <c r="B241" s="500" t="str">
        <f>Suite&amp;" Electrical Room "&amp;SWFour</f>
        <v>G104 Electrical Room XXX</v>
      </c>
      <c r="C241" s="499" t="str" cm="1">
        <f t="array" ref="C241">"UPS " &amp; SWFour &amp; "1"</f>
        <v>UPS XXX1</v>
      </c>
      <c r="D241" s="190" t="s">
        <v>1499</v>
      </c>
      <c r="E241" s="499" t="s">
        <v>1464</v>
      </c>
      <c r="F241" s="500"/>
      <c r="G241" s="519"/>
    </row>
    <row r="242" spans="1:7" ht="37.5" x14ac:dyDescent="0.25">
      <c r="A242" s="519">
        <f t="shared" si="4"/>
        <v>1047</v>
      </c>
      <c r="B242" s="500" t="str">
        <f>Suite&amp;" Electrical Room "&amp;SWFour</f>
        <v>G104 Electrical Room XXX</v>
      </c>
      <c r="C242" s="499" t="str" cm="1">
        <f t="array" ref="C242">"UPS " &amp; SWFour &amp; "1"</f>
        <v>UPS XXX1</v>
      </c>
      <c r="D242" s="190" t="s">
        <v>1555</v>
      </c>
      <c r="E242" s="499" t="s">
        <v>1464</v>
      </c>
      <c r="F242" s="500"/>
      <c r="G242" s="519"/>
    </row>
    <row r="243" spans="1:7" ht="37.5" x14ac:dyDescent="0.25">
      <c r="A243" s="519">
        <f t="shared" si="4"/>
        <v>1048</v>
      </c>
      <c r="B243" s="500" t="str">
        <f>Suite&amp;" Electrical Room "&amp;SWFour</f>
        <v>G104 Electrical Room XXX</v>
      </c>
      <c r="C243" s="499" t="str" cm="1">
        <f t="array" ref="C243">"UPS " &amp; SWFour</f>
        <v>UPS XXX</v>
      </c>
      <c r="D243" s="190" t="s">
        <v>1556</v>
      </c>
      <c r="E243" s="499" t="s">
        <v>1464</v>
      </c>
      <c r="F243" s="500"/>
      <c r="G243" s="519"/>
    </row>
    <row r="244" spans="1:7" ht="37.5" x14ac:dyDescent="0.25">
      <c r="A244" s="519">
        <f t="shared" si="4"/>
        <v>1049</v>
      </c>
      <c r="B244" s="500" t="str">
        <f>Suite&amp;" Electrical Room "&amp;SWFour</f>
        <v>G104 Electrical Room XXX</v>
      </c>
      <c r="C244" s="499" t="str" cm="1">
        <f t="array" ref="C244">"UPS " &amp; SWFour</f>
        <v>UPS XXX</v>
      </c>
      <c r="D244" s="233" t="s">
        <v>1557</v>
      </c>
      <c r="E244" s="499" t="s">
        <v>1464</v>
      </c>
      <c r="F244" s="500"/>
      <c r="G244" s="519"/>
    </row>
    <row r="245" spans="1:7" ht="37.5" x14ac:dyDescent="0.25">
      <c r="A245" s="519">
        <f t="shared" si="4"/>
        <v>1050</v>
      </c>
      <c r="B245" s="500" t="str">
        <f>Suite&amp;" Electrical Room A"</f>
        <v>G104 Electrical Room A</v>
      </c>
      <c r="C245" s="499" t="s">
        <v>1466</v>
      </c>
      <c r="D245" s="191" t="s">
        <v>1467</v>
      </c>
      <c r="E245" s="499" t="s">
        <v>1464</v>
      </c>
      <c r="F245" s="500"/>
      <c r="G245" s="519"/>
    </row>
    <row r="246" spans="1:7" ht="37.5" x14ac:dyDescent="0.25">
      <c r="A246" s="519">
        <f t="shared" si="4"/>
        <v>1051</v>
      </c>
      <c r="B246" s="500" t="str">
        <f>Suite&amp;" Electrical Room A"</f>
        <v>G104 Electrical Room A</v>
      </c>
      <c r="C246" s="499" t="s">
        <v>1466</v>
      </c>
      <c r="D246" s="233" t="str">
        <f>"Verify the readings in step " &amp; A245 &amp; " and " &amp;A10 &amp; " are within 3% of each other. (new kW divided by original kW must be ≤1.03 and ≥0.97)."</f>
        <v>Verify the readings in step 1050 and 815 are within 3% of each other. (new kW divided by original kW must be ≤1.03 and ≥0.97).</v>
      </c>
      <c r="E246" s="499" t="s">
        <v>1464</v>
      </c>
      <c r="F246" s="500"/>
      <c r="G246" s="519"/>
    </row>
    <row r="247" spans="1:7" ht="37.5" x14ac:dyDescent="0.25">
      <c r="A247" s="519">
        <f t="shared" si="4"/>
        <v>1052</v>
      </c>
      <c r="B247" s="500" t="str">
        <f>Suite&amp;" Electrical Room A"</f>
        <v>G104 Electrical Room A</v>
      </c>
      <c r="C247" s="499" t="s">
        <v>1468</v>
      </c>
      <c r="D247" s="191" t="s">
        <v>1469</v>
      </c>
      <c r="E247" s="499" t="s">
        <v>1464</v>
      </c>
      <c r="F247" s="500"/>
      <c r="G247" s="519"/>
    </row>
    <row r="248" spans="1:7" ht="37.5" x14ac:dyDescent="0.25">
      <c r="A248" s="519">
        <f t="shared" si="4"/>
        <v>1053</v>
      </c>
      <c r="B248" s="500" t="str">
        <f>Suite&amp;" Electrical Room A"</f>
        <v>G104 Electrical Room A</v>
      </c>
      <c r="C248" s="499" t="s">
        <v>1468</v>
      </c>
      <c r="D248" s="233" t="str">
        <f>"Verify the readings in step " &amp; A247 &amp; " and " &amp; A11 &amp; " are within 3% of each other. (new kW divided by original kW must be ≤1.03 and ≥0.97)."</f>
        <v>Verify the readings in step 1052 and 816 are within 3% of each other. (new kW divided by original kW must be ≤1.03 and ≥0.97).</v>
      </c>
      <c r="E248" s="499" t="s">
        <v>1464</v>
      </c>
      <c r="F248" s="500"/>
      <c r="G248" s="519"/>
    </row>
    <row r="249" spans="1:7" ht="37.5" x14ac:dyDescent="0.25">
      <c r="A249" s="519">
        <f t="shared" si="4"/>
        <v>1054</v>
      </c>
      <c r="B249" s="500" t="str">
        <f>Suite&amp;" Electrical Room A"</f>
        <v>G104 Electrical Room A</v>
      </c>
      <c r="C249" s="499" t="s">
        <v>1521</v>
      </c>
      <c r="D249" s="191" t="s">
        <v>1471</v>
      </c>
      <c r="E249" s="499" t="s">
        <v>1464</v>
      </c>
      <c r="F249" s="500"/>
      <c r="G249" s="519"/>
    </row>
    <row r="250" spans="1:7" ht="37.5" x14ac:dyDescent="0.25">
      <c r="A250" s="519">
        <f t="shared" si="4"/>
        <v>1055</v>
      </c>
      <c r="B250" s="500" t="str">
        <f>Suite&amp;" Electrical Room A"</f>
        <v>G104 Electrical Room A</v>
      </c>
      <c r="C250" s="499" t="s">
        <v>1521</v>
      </c>
      <c r="D250" s="233" t="str">
        <f>"Verify the readings in step " &amp; A249 &amp; " and " &amp; A120 &amp; " are within 3% of each other. (new kW divided by original kW must be ≤1.03 and ≥0.97)."</f>
        <v>Verify the readings in step 1054 and 925 are within 3% of each other. (new kW divided by original kW must be ≤1.03 and ≥0.97).</v>
      </c>
      <c r="E250" s="499" t="s">
        <v>1464</v>
      </c>
      <c r="F250" s="500"/>
      <c r="G250" s="519"/>
    </row>
    <row r="251" spans="1:7" ht="37.5" x14ac:dyDescent="0.25">
      <c r="A251" s="519">
        <f t="shared" si="4"/>
        <v>1056</v>
      </c>
      <c r="B251" s="500" t="str">
        <f>Suite&amp;" Electrical Room B"</f>
        <v>G104 Electrical Room B</v>
      </c>
      <c r="C251" s="499" t="s">
        <v>1472</v>
      </c>
      <c r="D251" s="191" t="s">
        <v>1473</v>
      </c>
      <c r="E251" s="499" t="s">
        <v>1464</v>
      </c>
      <c r="F251" s="500"/>
      <c r="G251" s="519"/>
    </row>
    <row r="252" spans="1:7" ht="37.5" x14ac:dyDescent="0.25">
      <c r="A252" s="519">
        <f t="shared" si="4"/>
        <v>1057</v>
      </c>
      <c r="B252" s="500" t="str">
        <f>Suite&amp;" Electrical Room B"</f>
        <v>G104 Electrical Room B</v>
      </c>
      <c r="C252" s="499" t="s">
        <v>1472</v>
      </c>
      <c r="D252" s="233" t="str">
        <f>"Verify the readings in step " &amp; A251 &amp; " and " &amp; A13 &amp; " are within 3% of each other. (new kW divided by original kW must be ≤1.03 and ≥0.97)."</f>
        <v>Verify the readings in step 1056 and 818 are within 3% of each other. (new kW divided by original kW must be ≤1.03 and ≥0.97).</v>
      </c>
      <c r="E252" s="499" t="s">
        <v>1464</v>
      </c>
      <c r="F252" s="500"/>
      <c r="G252" s="519"/>
    </row>
    <row r="253" spans="1:7" ht="37.5" x14ac:dyDescent="0.25">
      <c r="A253" s="519">
        <f t="shared" si="4"/>
        <v>1058</v>
      </c>
      <c r="B253" s="500" t="str">
        <f>Suite&amp;" Electrical Room B"</f>
        <v>G104 Electrical Room B</v>
      </c>
      <c r="C253" s="499" t="s">
        <v>1474</v>
      </c>
      <c r="D253" s="191" t="s">
        <v>1475</v>
      </c>
      <c r="E253" s="499" t="s">
        <v>1464</v>
      </c>
      <c r="F253" s="500"/>
      <c r="G253" s="519"/>
    </row>
    <row r="254" spans="1:7" ht="37.5" x14ac:dyDescent="0.25">
      <c r="A254" s="519">
        <f t="shared" si="4"/>
        <v>1059</v>
      </c>
      <c r="B254" s="500" t="str">
        <f>Suite&amp;" Electrical Room B"</f>
        <v>G104 Electrical Room B</v>
      </c>
      <c r="C254" s="499" t="s">
        <v>1474</v>
      </c>
      <c r="D254" s="233" t="str">
        <f>"Verify the readings in step " &amp; A253 &amp; " and " &amp; A14 &amp; " are within 3% of each other. (new kW divided by original kW must be ≤1.03 and ≥0.97)."</f>
        <v>Verify the readings in step 1058 and 819 are within 3% of each other. (new kW divided by original kW must be ≤1.03 and ≥0.97).</v>
      </c>
      <c r="E254" s="499" t="s">
        <v>1464</v>
      </c>
      <c r="F254" s="500"/>
      <c r="G254" s="519"/>
    </row>
    <row r="255" spans="1:7" ht="37.5" x14ac:dyDescent="0.25">
      <c r="A255" s="519">
        <f t="shared" si="4"/>
        <v>1060</v>
      </c>
      <c r="B255" s="500" t="str">
        <f>Suite&amp;" Electrical Room B"</f>
        <v>G104 Electrical Room B</v>
      </c>
      <c r="C255" s="499" t="s">
        <v>1522</v>
      </c>
      <c r="D255" s="191" t="s">
        <v>1477</v>
      </c>
      <c r="E255" s="499" t="s">
        <v>1464</v>
      </c>
      <c r="F255" s="500"/>
      <c r="G255" s="519"/>
    </row>
    <row r="256" spans="1:7" ht="37.5" x14ac:dyDescent="0.25">
      <c r="A256" s="519">
        <f t="shared" si="4"/>
        <v>1061</v>
      </c>
      <c r="B256" s="500" t="str">
        <f>Suite&amp;" Electrical Room B"</f>
        <v>G104 Electrical Room B</v>
      </c>
      <c r="C256" s="499" t="s">
        <v>1522</v>
      </c>
      <c r="D256" s="233" t="str">
        <f>"Verify the readings in step " &amp; A255 &amp; " and " &amp; A122 &amp; " are within 3% of each other. (new kW divided by original kW must be ≤1.03 and ≥0.97)."</f>
        <v>Verify the readings in step 1060 and 927 are within 3% of each other. (new kW divided by original kW must be ≤1.03 and ≥0.97).</v>
      </c>
      <c r="E256" s="499" t="s">
        <v>1464</v>
      </c>
      <c r="F256" s="500"/>
      <c r="G256" s="519"/>
    </row>
    <row r="257" spans="1:7" ht="37.5" x14ac:dyDescent="0.25">
      <c r="A257" s="519">
        <f t="shared" si="4"/>
        <v>1062</v>
      </c>
      <c r="B257" s="500" t="str">
        <f>Suite&amp;" Electrical Room C"</f>
        <v>G104 Electrical Room C</v>
      </c>
      <c r="C257" s="499" t="s">
        <v>1478</v>
      </c>
      <c r="D257" s="191" t="s">
        <v>1479</v>
      </c>
      <c r="E257" s="499" t="s">
        <v>1464</v>
      </c>
      <c r="F257" s="500"/>
      <c r="G257" s="519"/>
    </row>
    <row r="258" spans="1:7" ht="37.5" x14ac:dyDescent="0.25">
      <c r="A258" s="519">
        <f t="shared" si="4"/>
        <v>1063</v>
      </c>
      <c r="B258" s="500" t="str">
        <f>Suite&amp;" Electrical Room C"</f>
        <v>G104 Electrical Room C</v>
      </c>
      <c r="C258" s="499" t="s">
        <v>1478</v>
      </c>
      <c r="D258" s="233" t="str">
        <f>"Verify the readings in step " &amp; A257 &amp; " and " &amp; A16 &amp; " are within 3% of each other. (new kW divided by original kW must be ≤1.03 and ≥0.97)."</f>
        <v>Verify the readings in step 1062 and 821 are within 3% of each other. (new kW divided by original kW must be ≤1.03 and ≥0.97).</v>
      </c>
      <c r="E258" s="499" t="s">
        <v>1464</v>
      </c>
      <c r="F258" s="500"/>
      <c r="G258" s="519"/>
    </row>
    <row r="259" spans="1:7" ht="37.5" x14ac:dyDescent="0.25">
      <c r="A259" s="519">
        <f t="shared" si="4"/>
        <v>1064</v>
      </c>
      <c r="B259" s="500" t="str">
        <f>Suite&amp;" Electrical Room C"</f>
        <v>G104 Electrical Room C</v>
      </c>
      <c r="C259" s="499" t="s">
        <v>1480</v>
      </c>
      <c r="D259" s="191" t="s">
        <v>1481</v>
      </c>
      <c r="E259" s="499" t="s">
        <v>1464</v>
      </c>
      <c r="F259" s="500"/>
      <c r="G259" s="519"/>
    </row>
    <row r="260" spans="1:7" ht="37.5" x14ac:dyDescent="0.25">
      <c r="A260" s="519">
        <f t="shared" si="4"/>
        <v>1065</v>
      </c>
      <c r="B260" s="500" t="str">
        <f>Suite&amp;" Electrical Room C"</f>
        <v>G104 Electrical Room C</v>
      </c>
      <c r="C260" s="499" t="s">
        <v>1480</v>
      </c>
      <c r="D260" s="233" t="str">
        <f>"Verify the readings in step " &amp; A259 &amp; " and " &amp; A17 &amp; " are within 3% of each other. (new kW divided by original kW must be ≤1.03 and ≥0.97)."</f>
        <v>Verify the readings in step 1064 and 822 are within 3% of each other. (new kW divided by original kW must be ≤1.03 and ≥0.97).</v>
      </c>
      <c r="E260" s="499" t="s">
        <v>1464</v>
      </c>
      <c r="F260" s="500"/>
      <c r="G260" s="519"/>
    </row>
    <row r="261" spans="1:7" ht="37.5" x14ac:dyDescent="0.25">
      <c r="A261" s="519">
        <f t="shared" si="4"/>
        <v>1066</v>
      </c>
      <c r="B261" s="500" t="str">
        <f>Suite&amp;" Electrical Room C"</f>
        <v>G104 Electrical Room C</v>
      </c>
      <c r="C261" s="499" t="s">
        <v>1523</v>
      </c>
      <c r="D261" s="191" t="s">
        <v>1483</v>
      </c>
      <c r="E261" s="499" t="s">
        <v>1464</v>
      </c>
      <c r="F261" s="500"/>
      <c r="G261" s="519"/>
    </row>
    <row r="262" spans="1:7" ht="37.5" x14ac:dyDescent="0.25">
      <c r="A262" s="519">
        <f t="shared" si="4"/>
        <v>1067</v>
      </c>
      <c r="B262" s="500" t="str">
        <f>Suite&amp;" Electrical Room C"</f>
        <v>G104 Electrical Room C</v>
      </c>
      <c r="C262" s="499" t="s">
        <v>1523</v>
      </c>
      <c r="D262" s="233" t="str">
        <f>"Verify the readings in step " &amp; A261 &amp; " and " &amp; A124 &amp; " are within 3% of each other. (new kW divided by original kW must be ≤1.03 and ≥0.97)."</f>
        <v>Verify the readings in step 1066 and 929 are within 3% of each other. (new kW divided by original kW must be ≤1.03 and ≥0.97).</v>
      </c>
      <c r="E262" s="499" t="s">
        <v>1464</v>
      </c>
      <c r="F262" s="500"/>
      <c r="G262" s="519"/>
    </row>
    <row r="263" spans="1:7" ht="37.5" x14ac:dyDescent="0.25">
      <c r="A263" s="519">
        <f t="shared" si="4"/>
        <v>1068</v>
      </c>
      <c r="B263" s="500" t="str">
        <f>Suite&amp;" Electrical Room D"</f>
        <v>G104 Electrical Room D</v>
      </c>
      <c r="C263" s="499" t="s">
        <v>1484</v>
      </c>
      <c r="D263" s="191" t="s">
        <v>1485</v>
      </c>
      <c r="E263" s="499" t="s">
        <v>1464</v>
      </c>
      <c r="F263" s="500"/>
      <c r="G263" s="519"/>
    </row>
    <row r="264" spans="1:7" ht="37.5" x14ac:dyDescent="0.25">
      <c r="A264" s="519">
        <f t="shared" si="4"/>
        <v>1069</v>
      </c>
      <c r="B264" s="500" t="str">
        <f>Suite&amp;" Electrical Room D"</f>
        <v>G104 Electrical Room D</v>
      </c>
      <c r="C264" s="499" t="s">
        <v>1484</v>
      </c>
      <c r="D264" s="233" t="str">
        <f>"Verify the readings in step " &amp; A263 &amp; " and " &amp; A19 &amp; " are within 3% of each other. (new kW divided by original kW must be ≤1.03 and ≥0.97)."</f>
        <v>Verify the readings in step 1068 and 824 are within 3% of each other. (new kW divided by original kW must be ≤1.03 and ≥0.97).</v>
      </c>
      <c r="E264" s="499" t="s">
        <v>1464</v>
      </c>
      <c r="F264" s="500"/>
      <c r="G264" s="519"/>
    </row>
    <row r="265" spans="1:7" ht="37.5" x14ac:dyDescent="0.25">
      <c r="A265" s="519">
        <f t="shared" si="4"/>
        <v>1070</v>
      </c>
      <c r="B265" s="500" t="str">
        <f>Suite&amp;" Electrical Room D"</f>
        <v>G104 Electrical Room D</v>
      </c>
      <c r="C265" s="499" t="s">
        <v>1486</v>
      </c>
      <c r="D265" s="191" t="s">
        <v>1487</v>
      </c>
      <c r="E265" s="499" t="s">
        <v>1464</v>
      </c>
      <c r="F265" s="500"/>
      <c r="G265" s="519"/>
    </row>
    <row r="266" spans="1:7" ht="37.5" x14ac:dyDescent="0.25">
      <c r="A266" s="519">
        <f t="shared" si="4"/>
        <v>1071</v>
      </c>
      <c r="B266" s="500" t="str">
        <f>Suite&amp;" Electrical Room D"</f>
        <v>G104 Electrical Room D</v>
      </c>
      <c r="C266" s="499" t="s">
        <v>1486</v>
      </c>
      <c r="D266" s="233" t="str">
        <f>"Verify the readings in step " &amp; A265 &amp; " and " &amp; A20 &amp; " are within 3% of each other. (new kW divided by original kW must be ≤1.03 and ≥0.97)."</f>
        <v>Verify the readings in step 1070 and 825 are within 3% of each other. (new kW divided by original kW must be ≤1.03 and ≥0.97).</v>
      </c>
      <c r="E266" s="499" t="s">
        <v>1464</v>
      </c>
      <c r="F266" s="500"/>
      <c r="G266" s="519"/>
    </row>
    <row r="267" spans="1:7" ht="37.5" x14ac:dyDescent="0.25">
      <c r="A267" s="519">
        <f t="shared" si="4"/>
        <v>1072</v>
      </c>
      <c r="B267" s="500" t="str">
        <f>Suite&amp;" Electrical Room D"</f>
        <v>G104 Electrical Room D</v>
      </c>
      <c r="C267" s="499" t="s">
        <v>1524</v>
      </c>
      <c r="D267" s="191" t="s">
        <v>1489</v>
      </c>
      <c r="E267" s="499" t="s">
        <v>1464</v>
      </c>
      <c r="F267" s="500"/>
      <c r="G267" s="519"/>
    </row>
    <row r="268" spans="1:7" ht="37.5" x14ac:dyDescent="0.25">
      <c r="A268" s="519">
        <f t="shared" si="4"/>
        <v>1073</v>
      </c>
      <c r="B268" s="500" t="str">
        <f>Suite&amp;" Electrical Room D"</f>
        <v>G104 Electrical Room D</v>
      </c>
      <c r="C268" s="499" t="s">
        <v>1524</v>
      </c>
      <c r="D268" s="233" t="str">
        <f>"Verify the readings in step " &amp; A267 &amp; " and " &amp; A228 &amp; " are within 3% of each other. (new kW divided by original kW must be ≤1.03 and ≥0.97)."</f>
        <v>Verify the readings in step 1072 and 1033 are within 3% of each other. (new kW divided by original kW must be ≤1.03 and ≥0.97).</v>
      </c>
      <c r="E268" s="499" t="s">
        <v>1464</v>
      </c>
      <c r="F268" s="500"/>
      <c r="G268" s="519"/>
    </row>
    <row r="269" spans="1:7" ht="37.5" x14ac:dyDescent="0.25">
      <c r="A269" s="519">
        <f t="shared" si="4"/>
        <v>1074</v>
      </c>
      <c r="B269" s="500" t="str">
        <f>Suite&amp;" Electrical Room F"</f>
        <v>G104 Electrical Room F</v>
      </c>
      <c r="C269" s="499" t="s">
        <v>1490</v>
      </c>
      <c r="D269" s="191" t="s">
        <v>1491</v>
      </c>
      <c r="E269" s="499" t="s">
        <v>1464</v>
      </c>
      <c r="F269" s="500"/>
      <c r="G269" s="519"/>
    </row>
    <row r="270" spans="1:7" ht="37.5" x14ac:dyDescent="0.25">
      <c r="A270" s="519">
        <f t="shared" si="4"/>
        <v>1075</v>
      </c>
      <c r="B270" s="500" t="str">
        <f>Suite&amp;" Electrical Room F"</f>
        <v>G104 Electrical Room F</v>
      </c>
      <c r="C270" s="499" t="s">
        <v>1490</v>
      </c>
      <c r="D270" s="233" t="str">
        <f>"Verify the readings in step " &amp; A269 &amp; " and " &amp; A22 &amp; " are within 3% of each other. (new kW divided by original kW must be ≤1.03 and ≥0.97)."</f>
        <v>Verify the readings in step 1074 and 827 are within 3% of each other. (new kW divided by original kW must be ≤1.03 and ≥0.97).</v>
      </c>
      <c r="E270" s="499" t="s">
        <v>1464</v>
      </c>
      <c r="F270" s="500"/>
      <c r="G270" s="519"/>
    </row>
    <row r="271" spans="1:7" ht="37.5" x14ac:dyDescent="0.25">
      <c r="A271" s="519">
        <f t="shared" si="4"/>
        <v>1076</v>
      </c>
      <c r="B271" s="500" t="str">
        <f>Suite&amp;" Electrical Room F"</f>
        <v>G104 Electrical Room F</v>
      </c>
      <c r="C271" s="499" t="s">
        <v>1492</v>
      </c>
      <c r="D271" s="191" t="s">
        <v>1493</v>
      </c>
      <c r="E271" s="499" t="s">
        <v>1464</v>
      </c>
      <c r="F271" s="500"/>
      <c r="G271" s="519"/>
    </row>
    <row r="272" spans="1:7" ht="37.5" x14ac:dyDescent="0.25">
      <c r="A272" s="519">
        <f t="shared" si="4"/>
        <v>1077</v>
      </c>
      <c r="B272" s="500" t="str">
        <f>Suite&amp;" Electrical Room F"</f>
        <v>G104 Electrical Room F</v>
      </c>
      <c r="C272" s="499" t="s">
        <v>1492</v>
      </c>
      <c r="D272" s="233" t="str">
        <f>"Verify the readings in step " &amp; A271 &amp; " and " &amp; A23 &amp; " are within 3% of each other. (new kW divided by original kW must be ≤1.03 and ≥0.97)."</f>
        <v>Verify the readings in step 1076 and 828 are within 3% of each other. (new kW divided by original kW must be ≤1.03 and ≥0.97).</v>
      </c>
      <c r="E272" s="499" t="s">
        <v>1464</v>
      </c>
      <c r="F272" s="500"/>
      <c r="G272" s="519"/>
    </row>
    <row r="273" spans="1:7" ht="37.5" x14ac:dyDescent="0.25">
      <c r="A273" s="519">
        <f t="shared" si="4"/>
        <v>1078</v>
      </c>
      <c r="B273" s="500" t="str">
        <f>Suite&amp;" Electrical Room F"</f>
        <v>G104 Electrical Room F</v>
      </c>
      <c r="C273" s="499" t="s">
        <v>1525</v>
      </c>
      <c r="D273" s="191" t="s">
        <v>1495</v>
      </c>
      <c r="E273" s="499" t="s">
        <v>1464</v>
      </c>
      <c r="F273" s="500"/>
      <c r="G273" s="519"/>
    </row>
    <row r="274" spans="1:7" ht="37.5" x14ac:dyDescent="0.25">
      <c r="A274" s="519">
        <f t="shared" si="4"/>
        <v>1079</v>
      </c>
      <c r="B274" s="500" t="str">
        <f>Suite&amp;" Electrical Room F"</f>
        <v>G104 Electrical Room F</v>
      </c>
      <c r="C274" s="499" t="s">
        <v>1525</v>
      </c>
      <c r="D274" s="233" t="str">
        <f>"Verify the readings in step " &amp; A273 &amp; " and " &amp; A128 &amp; " are within 3% of each other. (new kW divided by original kW must be ≤1.03 and ≥0.97)."</f>
        <v>Verify the readings in step 1078 and 933 are within 3% of each other. (new kW divided by original kW must be ≤1.03 and ≥0.97).</v>
      </c>
      <c r="E274" s="499" t="s">
        <v>1464</v>
      </c>
      <c r="F274" s="500"/>
      <c r="G274" s="519"/>
    </row>
    <row r="275" spans="1:7" ht="37.5" x14ac:dyDescent="0.25">
      <c r="A275" s="519" cm="1">
        <f t="array" ref="A275">IF(NumberOfSW=2,A256+1,IF(NumberOfSW=3,A262+1,IF(NumberOfSW=4,A268+1,A274+1)))</f>
        <v>1080</v>
      </c>
      <c r="B275" s="500" t="s">
        <v>1462</v>
      </c>
      <c r="C275" s="499" t="s">
        <v>84</v>
      </c>
      <c r="D275" s="190" t="s">
        <v>1558</v>
      </c>
      <c r="E275" s="499" t="s">
        <v>1464</v>
      </c>
      <c r="F275" s="500"/>
      <c r="G275" s="500" t="s">
        <v>1519</v>
      </c>
    </row>
  </sheetData>
  <sheetProtection formatCells="0" formatColumns="0" formatRows="0" insertRows="0" deleteRows="0" sort="0" autoFilter="0"/>
  <mergeCells count="12">
    <mergeCell ref="B237:G237"/>
    <mergeCell ref="B29:G29"/>
    <mergeCell ref="B38:G38"/>
    <mergeCell ref="B63:G63"/>
    <mergeCell ref="B131:G131"/>
    <mergeCell ref="B213:G213"/>
    <mergeCell ref="B27:G27"/>
    <mergeCell ref="A2:B2"/>
    <mergeCell ref="A4:C4"/>
    <mergeCell ref="B6:G6"/>
    <mergeCell ref="B8:G8"/>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C8A0E-7EBA-48CC-99E1-20B106C0202A}">
  <sheetPr codeName="eXL_F">
    <pageSetUpPr fitToPage="1"/>
  </sheetPr>
  <dimension ref="A1:I275"/>
  <sheetViews>
    <sheetView view="pageBreakPreview" zoomScale="90" zoomScaleNormal="100" zoomScaleSheetLayoutView="90" workbookViewId="0">
      <selection activeCell="I2" sqref="I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517" t="s">
        <v>1455</v>
      </c>
      <c r="B5" s="518" t="s">
        <v>8</v>
      </c>
      <c r="C5" s="518" t="s">
        <v>1456</v>
      </c>
      <c r="D5" s="517" t="s">
        <v>1457</v>
      </c>
      <c r="E5" s="518" t="s">
        <v>1458</v>
      </c>
      <c r="F5" s="518" t="s">
        <v>1459</v>
      </c>
      <c r="G5" s="517" t="s">
        <v>1460</v>
      </c>
    </row>
    <row r="6" spans="1:9" x14ac:dyDescent="0.3">
      <c r="A6" s="519">
        <f>'eXL-D'!A275+1</f>
        <v>1081</v>
      </c>
      <c r="B6" s="702" t="s">
        <v>1461</v>
      </c>
      <c r="C6" s="704"/>
      <c r="D6" s="704"/>
      <c r="E6" s="704"/>
      <c r="F6" s="704"/>
      <c r="G6" s="704"/>
    </row>
    <row r="7" spans="1:9" x14ac:dyDescent="0.25">
      <c r="A7" s="519">
        <f>A6+1</f>
        <v>1082</v>
      </c>
      <c r="B7" s="499" t="s">
        <v>1462</v>
      </c>
      <c r="C7" s="499" t="s">
        <v>84</v>
      </c>
      <c r="D7" s="191" t="s">
        <v>1463</v>
      </c>
      <c r="E7" s="499" t="s">
        <v>1464</v>
      </c>
      <c r="F7" s="500"/>
      <c r="G7" s="519"/>
    </row>
    <row r="8" spans="1:9" x14ac:dyDescent="0.3">
      <c r="A8" s="519">
        <f t="shared" ref="A8:A24" si="0">A7+1</f>
        <v>1083</v>
      </c>
      <c r="B8" s="702" t="s">
        <v>1465</v>
      </c>
      <c r="C8" s="704"/>
      <c r="D8" s="704"/>
      <c r="E8" s="704"/>
      <c r="F8" s="704"/>
      <c r="G8" s="704"/>
    </row>
    <row r="9" spans="1:9" ht="37.5" x14ac:dyDescent="0.25">
      <c r="A9" s="519">
        <f t="shared" si="0"/>
        <v>1084</v>
      </c>
      <c r="B9" s="500" t="str">
        <f>Suite&amp;" Electrical Rooms"</f>
        <v>G104 Electrical Rooms</v>
      </c>
      <c r="C9" s="499" t="str" cm="1">
        <f t="array" ref="C9">Suite &amp; " UPS Systems"</f>
        <v>G104 UPS Systems</v>
      </c>
      <c r="D9" s="191" t="str" cm="1">
        <f t="array" ref="D9">"Verify " &amp; Suite &amp; " UPS systems are on-line with no critical alarms present."</f>
        <v>Verify G104 UPS systems are on-line with no critical alarms present.</v>
      </c>
      <c r="E9" s="499" t="s">
        <v>1464</v>
      </c>
      <c r="F9" s="500"/>
      <c r="G9" s="519"/>
    </row>
    <row r="10" spans="1:9" ht="37.5" x14ac:dyDescent="0.25">
      <c r="A10" s="519">
        <f t="shared" si="0"/>
        <v>1085</v>
      </c>
      <c r="B10" s="500" t="str">
        <f>Suite&amp;" Electrical Room A"</f>
        <v>G104 Electrical Room A</v>
      </c>
      <c r="C10" s="499" t="s">
        <v>1466</v>
      </c>
      <c r="D10" s="191" t="s">
        <v>1467</v>
      </c>
      <c r="E10" s="499" t="s">
        <v>1464</v>
      </c>
      <c r="F10" s="500"/>
      <c r="G10" s="519"/>
    </row>
    <row r="11" spans="1:9" ht="37.5" x14ac:dyDescent="0.25">
      <c r="A11" s="519">
        <f t="shared" si="0"/>
        <v>1086</v>
      </c>
      <c r="B11" s="500" t="str">
        <f>Suite&amp;" Electrical Room A"</f>
        <v>G104 Electrical Room A</v>
      </c>
      <c r="C11" s="499" t="s">
        <v>1468</v>
      </c>
      <c r="D11" s="191" t="s">
        <v>1469</v>
      </c>
      <c r="E11" s="499" t="s">
        <v>1464</v>
      </c>
      <c r="F11" s="500"/>
      <c r="G11" s="519"/>
    </row>
    <row r="12" spans="1:9" ht="37.5" x14ac:dyDescent="0.25">
      <c r="A12" s="519">
        <f t="shared" si="0"/>
        <v>1087</v>
      </c>
      <c r="B12" s="500" t="str">
        <f>Suite&amp;" Electrical Room A"</f>
        <v>G104 Electrical Room A</v>
      </c>
      <c r="C12" s="499" t="s">
        <v>1470</v>
      </c>
      <c r="D12" s="191" t="s">
        <v>1471</v>
      </c>
      <c r="E12" s="499" t="s">
        <v>1464</v>
      </c>
      <c r="F12" s="500"/>
      <c r="G12" s="519"/>
    </row>
    <row r="13" spans="1:9" ht="37.5" x14ac:dyDescent="0.25">
      <c r="A13" s="519">
        <f t="shared" si="0"/>
        <v>1088</v>
      </c>
      <c r="B13" s="500" t="str">
        <f>Suite&amp;" Electrical Room B"</f>
        <v>G104 Electrical Room B</v>
      </c>
      <c r="C13" s="499" t="s">
        <v>1472</v>
      </c>
      <c r="D13" s="191" t="s">
        <v>1473</v>
      </c>
      <c r="E13" s="499" t="s">
        <v>1464</v>
      </c>
      <c r="F13" s="500"/>
      <c r="G13" s="519"/>
    </row>
    <row r="14" spans="1:9" ht="37.5" x14ac:dyDescent="0.25">
      <c r="A14" s="519">
        <f t="shared" si="0"/>
        <v>1089</v>
      </c>
      <c r="B14" s="500" t="str">
        <f>Suite&amp;" Electrical Room B"</f>
        <v>G104 Electrical Room B</v>
      </c>
      <c r="C14" s="499" t="s">
        <v>1474</v>
      </c>
      <c r="D14" s="191" t="s">
        <v>1475</v>
      </c>
      <c r="E14" s="499" t="s">
        <v>1464</v>
      </c>
      <c r="F14" s="500"/>
      <c r="G14" s="519"/>
    </row>
    <row r="15" spans="1:9" ht="37.5" x14ac:dyDescent="0.25">
      <c r="A15" s="519">
        <f t="shared" si="0"/>
        <v>1090</v>
      </c>
      <c r="B15" s="500" t="str">
        <f>Suite&amp;" Electrical Room B"</f>
        <v>G104 Electrical Room B</v>
      </c>
      <c r="C15" s="499" t="s">
        <v>1476</v>
      </c>
      <c r="D15" s="191" t="s">
        <v>1477</v>
      </c>
      <c r="E15" s="499" t="s">
        <v>1464</v>
      </c>
      <c r="F15" s="500"/>
      <c r="G15" s="519"/>
    </row>
    <row r="16" spans="1:9" ht="37.5" x14ac:dyDescent="0.25">
      <c r="A16" s="519">
        <f t="shared" si="0"/>
        <v>1091</v>
      </c>
      <c r="B16" s="500" t="str">
        <f>Suite&amp;" Electrical Room C"</f>
        <v>G104 Electrical Room C</v>
      </c>
      <c r="C16" s="499" t="s">
        <v>1478</v>
      </c>
      <c r="D16" s="191" t="s">
        <v>1479</v>
      </c>
      <c r="E16" s="499" t="s">
        <v>1464</v>
      </c>
      <c r="F16" s="500"/>
      <c r="G16" s="519"/>
    </row>
    <row r="17" spans="1:7" ht="37.5" x14ac:dyDescent="0.25">
      <c r="A17" s="519">
        <f t="shared" si="0"/>
        <v>1092</v>
      </c>
      <c r="B17" s="500" t="str">
        <f>Suite&amp;" Electrical Room C"</f>
        <v>G104 Electrical Room C</v>
      </c>
      <c r="C17" s="499" t="s">
        <v>1480</v>
      </c>
      <c r="D17" s="191" t="s">
        <v>1481</v>
      </c>
      <c r="E17" s="499" t="s">
        <v>1464</v>
      </c>
      <c r="F17" s="500"/>
      <c r="G17" s="519"/>
    </row>
    <row r="18" spans="1:7" ht="37.5" x14ac:dyDescent="0.25">
      <c r="A18" s="519">
        <f t="shared" si="0"/>
        <v>1093</v>
      </c>
      <c r="B18" s="500" t="str">
        <f>Suite&amp;" Electrical Room C"</f>
        <v>G104 Electrical Room C</v>
      </c>
      <c r="C18" s="499" t="s">
        <v>1482</v>
      </c>
      <c r="D18" s="191" t="s">
        <v>1483</v>
      </c>
      <c r="E18" s="499" t="s">
        <v>1464</v>
      </c>
      <c r="F18" s="500"/>
      <c r="G18" s="519"/>
    </row>
    <row r="19" spans="1:7" ht="37.5" x14ac:dyDescent="0.25">
      <c r="A19" s="519">
        <f t="shared" si="0"/>
        <v>1094</v>
      </c>
      <c r="B19" s="500" t="str">
        <f>Suite&amp;" Electrical Room D"</f>
        <v>G104 Electrical Room D</v>
      </c>
      <c r="C19" s="499" t="s">
        <v>1484</v>
      </c>
      <c r="D19" s="191" t="s">
        <v>1485</v>
      </c>
      <c r="E19" s="499" t="s">
        <v>1464</v>
      </c>
      <c r="F19" s="500"/>
      <c r="G19" s="519"/>
    </row>
    <row r="20" spans="1:7" ht="37.5" x14ac:dyDescent="0.25">
      <c r="A20" s="519">
        <f t="shared" si="0"/>
        <v>1095</v>
      </c>
      <c r="B20" s="500" t="str">
        <f>Suite&amp;" Electrical Room D"</f>
        <v>G104 Electrical Room D</v>
      </c>
      <c r="C20" s="499" t="s">
        <v>1486</v>
      </c>
      <c r="D20" s="191" t="s">
        <v>1487</v>
      </c>
      <c r="E20" s="499" t="s">
        <v>1464</v>
      </c>
      <c r="F20" s="500"/>
      <c r="G20" s="519"/>
    </row>
    <row r="21" spans="1:7" ht="37.5" x14ac:dyDescent="0.25">
      <c r="A21" s="519">
        <f t="shared" si="0"/>
        <v>1096</v>
      </c>
      <c r="B21" s="500" t="str">
        <f>Suite&amp;" Electrical Room D"</f>
        <v>G104 Electrical Room D</v>
      </c>
      <c r="C21" s="499" t="s">
        <v>1488</v>
      </c>
      <c r="D21" s="191" t="s">
        <v>1489</v>
      </c>
      <c r="E21" s="499" t="s">
        <v>1464</v>
      </c>
      <c r="F21" s="500"/>
      <c r="G21" s="519"/>
    </row>
    <row r="22" spans="1:7" ht="37.5" x14ac:dyDescent="0.25">
      <c r="A22" s="519">
        <f t="shared" si="0"/>
        <v>1097</v>
      </c>
      <c r="B22" s="500" t="str">
        <f>Suite&amp;" Electrical Room F"</f>
        <v>G104 Electrical Room F</v>
      </c>
      <c r="C22" s="499" t="s">
        <v>1490</v>
      </c>
      <c r="D22" s="191" t="s">
        <v>1491</v>
      </c>
      <c r="E22" s="499" t="s">
        <v>1464</v>
      </c>
      <c r="F22" s="500"/>
      <c r="G22" s="519"/>
    </row>
    <row r="23" spans="1:7" ht="37.5" x14ac:dyDescent="0.25">
      <c r="A23" s="519">
        <f t="shared" si="0"/>
        <v>1098</v>
      </c>
      <c r="B23" s="500" t="str">
        <f>Suite&amp;" Electrical Room F"</f>
        <v>G104 Electrical Room F</v>
      </c>
      <c r="C23" s="499" t="s">
        <v>1492</v>
      </c>
      <c r="D23" s="191" t="s">
        <v>1493</v>
      </c>
      <c r="E23" s="499" t="s">
        <v>1464</v>
      </c>
      <c r="F23" s="500"/>
      <c r="G23" s="519"/>
    </row>
    <row r="24" spans="1:7" ht="37.5" x14ac:dyDescent="0.25">
      <c r="A24" s="519">
        <f t="shared" si="0"/>
        <v>1099</v>
      </c>
      <c r="B24" s="500" t="str">
        <f>Suite&amp;" Electrical Room F"</f>
        <v>G104 Electrical Room F</v>
      </c>
      <c r="C24" s="499" t="s">
        <v>1494</v>
      </c>
      <c r="D24" s="191" t="s">
        <v>1495</v>
      </c>
      <c r="E24" s="499" t="s">
        <v>1464</v>
      </c>
      <c r="F24" s="500"/>
      <c r="G24" s="519"/>
    </row>
    <row r="25" spans="1:7" ht="56.25" x14ac:dyDescent="0.25">
      <c r="A25" s="519" cm="1">
        <f t="array" ref="A25">IF(NumberOfSW=2,A21+1,IF(NumberOfSW=3,A22+1,IF(NumberOfSW=4,A23+1,A24+1)))</f>
        <v>1100</v>
      </c>
      <c r="B25" s="500" t="str" cm="1">
        <f t="array" ref="B25">Suite &amp; " Electrical Rooms"</f>
        <v>G104 Electrical Rooms</v>
      </c>
      <c r="C25" s="499" t="str" cm="1">
        <f t="array" ref="C25">Suite &amp; " UPS System"</f>
        <v>G104 UPS System</v>
      </c>
      <c r="D25" s="190" t="s">
        <v>4621</v>
      </c>
      <c r="E25" s="499" t="s">
        <v>1464</v>
      </c>
      <c r="F25" s="500"/>
      <c r="G25" s="519"/>
    </row>
    <row r="26" spans="1:7" ht="37.5" x14ac:dyDescent="0.25">
      <c r="A26" s="519">
        <f>A25+1</f>
        <v>1101</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7" x14ac:dyDescent="0.3">
      <c r="A27" s="519">
        <f>A26+1</f>
        <v>1102</v>
      </c>
      <c r="B27" s="702" t="str" cm="1">
        <f t="array" ref="B27">"Prepare UP" &amp; SWFive &amp; " for Transfer to Maintenance Bypass"</f>
        <v>Prepare UPXXX for Transfer to Maintenance Bypass</v>
      </c>
      <c r="C27" s="704"/>
      <c r="D27" s="704"/>
      <c r="E27" s="704"/>
      <c r="F27" s="704"/>
      <c r="G27" s="704"/>
    </row>
    <row r="28" spans="1:7" ht="37.5" x14ac:dyDescent="0.25">
      <c r="A28" s="519">
        <f t="shared" ref="A28:A91" si="1">A27+1</f>
        <v>1103</v>
      </c>
      <c r="B28" s="500" t="str">
        <f>Suite&amp;" Electrical Room "&amp;SWFive</f>
        <v>G104 Electrical Room XXX</v>
      </c>
      <c r="C28" s="499" t="str" cm="1">
        <f t="array" ref="C28">"UP" &amp; SWFive</f>
        <v>UPXXX</v>
      </c>
      <c r="D28" s="190" t="str" cm="1">
        <f t="array" ref="D28">"At breaker MBUP" &amp; SWFive &amp; ", (MBB) pump charging handle repeatedly to compress spring and charge breaker."</f>
        <v>At breaker MBUPXXX, (MBB) pump charging handle repeatedly to compress spring and charge breaker.</v>
      </c>
      <c r="E28" s="499" t="s">
        <v>1464</v>
      </c>
      <c r="F28" s="500"/>
      <c r="G28" s="519"/>
    </row>
    <row r="29" spans="1:7" x14ac:dyDescent="0.3">
      <c r="A29" s="519">
        <f t="shared" si="1"/>
        <v>1104</v>
      </c>
      <c r="B29" s="702" t="str" cm="1">
        <f t="array" ref="B29">"Transfer UPS System " &amp; SWFive &amp; " to Static Bypass"</f>
        <v>Transfer UPS System XXX to Static Bypass</v>
      </c>
      <c r="C29" s="704"/>
      <c r="D29" s="704"/>
      <c r="E29" s="704"/>
      <c r="F29" s="704"/>
      <c r="G29" s="704"/>
    </row>
    <row r="30" spans="1:7" ht="37.5" x14ac:dyDescent="0.25">
      <c r="A30" s="519">
        <f t="shared" si="1"/>
        <v>1105</v>
      </c>
      <c r="B30" s="500" t="str">
        <f>Suite&amp;" Electrical Room "&amp;SWFive</f>
        <v>G104 Electrical Room XXX</v>
      </c>
      <c r="C30" s="499" t="str" cm="1">
        <f t="array" ref="C30">"UPS " &amp; SWFive &amp; "1"</f>
        <v>UPS XXX1</v>
      </c>
      <c r="D30" s="190" t="s">
        <v>1496</v>
      </c>
      <c r="E30" s="499" t="s">
        <v>1464</v>
      </c>
      <c r="F30" s="500"/>
      <c r="G30" s="519"/>
    </row>
    <row r="31" spans="1:7" ht="37.5" x14ac:dyDescent="0.25">
      <c r="A31" s="519">
        <f t="shared" si="1"/>
        <v>1106</v>
      </c>
      <c r="B31" s="500" t="str">
        <f>Suite&amp;" Electrical Room "&amp;SWFive</f>
        <v>G104 Electrical Room XXX</v>
      </c>
      <c r="C31" s="499" t="str" cm="1">
        <f t="array" ref="C31">"UPS " &amp; SWFive &amp; "1"</f>
        <v>UPS XXX1</v>
      </c>
      <c r="D31" s="233" t="s">
        <v>1497</v>
      </c>
      <c r="E31" s="499" t="s">
        <v>1464</v>
      </c>
      <c r="F31" s="500"/>
      <c r="G31" s="519"/>
    </row>
    <row r="32" spans="1:7" ht="37.5" x14ac:dyDescent="0.25">
      <c r="A32" s="519">
        <f t="shared" si="1"/>
        <v>1107</v>
      </c>
      <c r="B32" s="500" t="str">
        <f>Suite&amp;" Electrical Room "&amp;SWFive</f>
        <v>G104 Electrical Room XXX</v>
      </c>
      <c r="C32" s="499" t="str" cm="1">
        <f t="array" ref="C32">"UPS " &amp; SWFive &amp; "1"</f>
        <v>UPS XXX1</v>
      </c>
      <c r="D32" s="190" t="s">
        <v>1498</v>
      </c>
      <c r="E32" s="499" t="s">
        <v>1464</v>
      </c>
      <c r="F32" s="500"/>
      <c r="G32" s="519"/>
    </row>
    <row r="33" spans="1:7" ht="37.5" x14ac:dyDescent="0.25">
      <c r="A33" s="519">
        <f t="shared" si="1"/>
        <v>1108</v>
      </c>
      <c r="B33" s="500" t="str">
        <f>Suite&amp;" Electrical Room "&amp;SWFive</f>
        <v>G104 Electrical Room XXX</v>
      </c>
      <c r="C33" s="499" t="str" cm="1">
        <f t="array" ref="C33">"UPS " &amp; SWFive &amp; "1"</f>
        <v>UPS XXX1</v>
      </c>
      <c r="D33" s="190" t="s">
        <v>1499</v>
      </c>
      <c r="E33" s="499" t="s">
        <v>1464</v>
      </c>
      <c r="F33" s="500"/>
      <c r="G33" s="519"/>
    </row>
    <row r="34" spans="1:7" ht="37.5" x14ac:dyDescent="0.25">
      <c r="A34" s="519">
        <f t="shared" si="1"/>
        <v>1109</v>
      </c>
      <c r="B34" s="500" t="str">
        <f>Suite&amp;" Electrical Room "&amp;SWFive</f>
        <v>G104 Electrical Room XXX</v>
      </c>
      <c r="C34" s="499" t="str" cm="1">
        <f t="array" ref="C34">"UPS " &amp; SWFive &amp; "1"</f>
        <v>UPS XXX1</v>
      </c>
      <c r="D34" s="190" t="s">
        <v>1500</v>
      </c>
      <c r="E34" s="499" t="s">
        <v>1464</v>
      </c>
      <c r="F34" s="500"/>
      <c r="G34" s="519"/>
    </row>
    <row r="35" spans="1:7" ht="37.5" x14ac:dyDescent="0.25">
      <c r="A35" s="519">
        <f t="shared" si="1"/>
        <v>1110</v>
      </c>
      <c r="B35" s="500" t="str">
        <f>Suite&amp;" Electrical Room "&amp;SWFive</f>
        <v>G104 Electrical Room XXX</v>
      </c>
      <c r="C35" s="499" t="str" cm="1">
        <f t="array" ref="C35">"UPS " &amp; SWFive</f>
        <v>UPS XXX</v>
      </c>
      <c r="D35" s="233" t="s">
        <v>1501</v>
      </c>
      <c r="E35" s="499" t="s">
        <v>1464</v>
      </c>
      <c r="F35" s="500"/>
      <c r="G35" s="519"/>
    </row>
    <row r="36" spans="1:7" ht="37.5" x14ac:dyDescent="0.25">
      <c r="A36" s="519">
        <f t="shared" si="1"/>
        <v>1111</v>
      </c>
      <c r="B36" s="500" t="str">
        <f>Suite&amp;" Electrical Room "&amp;SWFive</f>
        <v>G104 Electrical Room XXX</v>
      </c>
      <c r="C36" s="499" t="str" cm="1">
        <f t="array" ref="C36">"UP" &amp; SWFive</f>
        <v>UPXXX</v>
      </c>
      <c r="D36" s="190" t="str" cm="1">
        <f t="array" ref="D36">"Notate the kW reading at UP" &amp; SWFive &amp; " Critical Bus Panel Meter: _________"</f>
        <v>Notate the kW reading at UPXXX Critical Bus Panel Meter: _________</v>
      </c>
      <c r="E36" s="499" t="s">
        <v>1464</v>
      </c>
      <c r="F36" s="500"/>
      <c r="G36" s="519"/>
    </row>
    <row r="37" spans="1:7" ht="37.5" x14ac:dyDescent="0.25">
      <c r="A37" s="519">
        <f t="shared" si="1"/>
        <v>1112</v>
      </c>
      <c r="B37" s="500" t="str">
        <f>Suite&amp;" Electrical Room "&amp;SWFive</f>
        <v>G104 Electrical Room XXX</v>
      </c>
      <c r="C37" s="499" t="str" cm="1">
        <f t="array" ref="C37">"UP" &amp; SWFive</f>
        <v>UPXXX</v>
      </c>
      <c r="D37" s="190" t="str">
        <f>"Verify the readings in step " &amp; A24 &amp; " and " &amp; A36 &amp; " are within 3% of each other. (new kW divided by original kW must be ≤1.03 and ≥0.97)."</f>
        <v>Verify the readings in step 1099 and 1111 are within 3% of each other. (new kW divided by original kW must be ≤1.03 and ≥0.97).</v>
      </c>
      <c r="E37" s="499" t="s">
        <v>1464</v>
      </c>
      <c r="F37" s="500"/>
      <c r="G37" s="519"/>
    </row>
    <row r="38" spans="1:7" x14ac:dyDescent="0.25">
      <c r="A38" s="519">
        <f t="shared" si="1"/>
        <v>1113</v>
      </c>
      <c r="B38" s="702" t="s">
        <v>1502</v>
      </c>
      <c r="C38" s="703"/>
      <c r="D38" s="703"/>
      <c r="E38" s="703"/>
      <c r="F38" s="703"/>
      <c r="G38" s="703"/>
    </row>
    <row r="39" spans="1:7" ht="37.5" x14ac:dyDescent="0.25">
      <c r="A39" s="519">
        <f t="shared" si="1"/>
        <v>1114</v>
      </c>
      <c r="B39" s="500" t="str">
        <f>Suite&amp;" Electrical Room "&amp;SWFive</f>
        <v>G104 Electrical Room XXX</v>
      </c>
      <c r="C39" s="499" t="str" cm="1">
        <f t="array" ref="C39">"UP" &amp; SWFive</f>
        <v>UPXXX</v>
      </c>
      <c r="D39" s="233" t="s">
        <v>1503</v>
      </c>
      <c r="E39" s="499" t="s">
        <v>1464</v>
      </c>
      <c r="F39" s="500"/>
      <c r="G39" s="519"/>
    </row>
    <row r="40" spans="1:7" ht="37.5" x14ac:dyDescent="0.25">
      <c r="A40" s="519">
        <f t="shared" si="1"/>
        <v>1115</v>
      </c>
      <c r="B40" s="500" t="str">
        <f>Suite&amp;" Electrical Room "&amp;SWFive</f>
        <v>G104 Electrical Room XXX</v>
      </c>
      <c r="C40" s="499" t="str" cm="1">
        <f t="array" ref="C40">"UP" &amp; SWFive</f>
        <v>UPXXX</v>
      </c>
      <c r="D40" s="233" t="s">
        <v>1504</v>
      </c>
      <c r="E40" s="499" t="s">
        <v>1464</v>
      </c>
      <c r="F40" s="500"/>
      <c r="G40" s="519"/>
    </row>
    <row r="41" spans="1:7" ht="37.5" x14ac:dyDescent="0.25">
      <c r="A41" s="519">
        <f t="shared" si="1"/>
        <v>1116</v>
      </c>
      <c r="B41" s="500" t="str">
        <f>Suite&amp;" Electrical Room "&amp;SWFive</f>
        <v>G104 Electrical Room XXX</v>
      </c>
      <c r="C41" s="499" t="str" cm="1">
        <f t="array" ref="C41">"UP" &amp; SWFive</f>
        <v>UPXXX</v>
      </c>
      <c r="D41" s="233" t="s">
        <v>1505</v>
      </c>
      <c r="E41" s="499" t="s">
        <v>1464</v>
      </c>
      <c r="F41" s="500"/>
      <c r="G41" s="519"/>
    </row>
    <row r="42" spans="1:7" ht="37.5" x14ac:dyDescent="0.25">
      <c r="A42" s="519">
        <f t="shared" si="1"/>
        <v>1117</v>
      </c>
      <c r="B42" s="500" t="str">
        <f>Suite&amp;" Electrical Room "&amp;SWFive</f>
        <v>G104 Electrical Room XXX</v>
      </c>
      <c r="C42" s="499" t="str" cm="1">
        <f t="array" ref="C42">"UP" &amp; SWFive</f>
        <v>UPXXX</v>
      </c>
      <c r="D42" s="233" t="str" cm="1">
        <f t="array" ref="D42">"Insert the interlock key into the MBUP" &amp; SWFive &amp; " breaker lock cylinder."</f>
        <v>Insert the interlock key into the MBUPXXX breaker lock cylinder.</v>
      </c>
      <c r="E42" s="499" t="s">
        <v>1464</v>
      </c>
      <c r="F42" s="500"/>
      <c r="G42" s="519"/>
    </row>
    <row r="43" spans="1:7" ht="37.5" x14ac:dyDescent="0.25">
      <c r="A43" s="519">
        <f t="shared" si="1"/>
        <v>1118</v>
      </c>
      <c r="B43" s="500" t="str">
        <f>Suite&amp;" Electrical Room "&amp;SWFive</f>
        <v>G104 Electrical Room XXX</v>
      </c>
      <c r="C43" s="499" t="str" cm="1">
        <f t="array" ref="C43">"UP" &amp; SWFive</f>
        <v>UPXXX</v>
      </c>
      <c r="D43" s="233" t="str" cm="1">
        <f t="array" ref="D43">"Rotate the interlock key 90 degrees to UNLOCK the MBUP" &amp; SWFive &amp; " breaker."</f>
        <v>Rotate the interlock key 90 degrees to UNLOCK the MBUPXXX breaker.</v>
      </c>
      <c r="E43" s="499" t="s">
        <v>1464</v>
      </c>
      <c r="F43" s="500"/>
      <c r="G43" s="519"/>
    </row>
    <row r="44" spans="1:7" ht="37.5" x14ac:dyDescent="0.25">
      <c r="A44" s="519">
        <f t="shared" si="1"/>
        <v>1119</v>
      </c>
      <c r="B44" s="500" t="str">
        <f>Suite&amp;" Electrical Room "&amp;SWFive</f>
        <v>G104 Electrical Room XXX</v>
      </c>
      <c r="C44" s="499" t="str" cm="1">
        <f t="array" ref="C44">"UP" &amp; SWFive</f>
        <v>UPXXX</v>
      </c>
      <c r="D44" s="233" t="str" cm="1">
        <f t="array" ref="D44">"Close breaker MBUP" &amp; SWFive &amp; "."</f>
        <v>Close breaker MBUPXXX.</v>
      </c>
      <c r="E44" s="499" t="s">
        <v>1464</v>
      </c>
      <c r="F44" s="500"/>
      <c r="G44" s="519"/>
    </row>
    <row r="45" spans="1:7" ht="37.5" x14ac:dyDescent="0.25">
      <c r="A45" s="519">
        <f t="shared" si="1"/>
        <v>1120</v>
      </c>
      <c r="B45" s="500" t="str">
        <f>Suite&amp;" Electrical Room "&amp;SWFive</f>
        <v>G104 Electrical Room XXX</v>
      </c>
      <c r="C45" s="499" t="str" cm="1">
        <f t="array" ref="C45">"UP" &amp; SWFive</f>
        <v>UPXXX</v>
      </c>
      <c r="D45" s="233" t="str" cm="1">
        <f t="array" ref="D45">"Verify MBUP" &amp; SWFive &amp; " breaker flag indicates CLOSED."</f>
        <v>Verify MBUPXXX breaker flag indicates CLOSED.</v>
      </c>
      <c r="E45" s="499" t="s">
        <v>1464</v>
      </c>
      <c r="F45" s="500"/>
      <c r="G45" s="519"/>
    </row>
    <row r="46" spans="1:7" ht="37.5" x14ac:dyDescent="0.25">
      <c r="A46" s="519">
        <f t="shared" si="1"/>
        <v>1121</v>
      </c>
      <c r="B46" s="500" t="str">
        <f>Suite&amp;" Electrical Room "&amp;SWFive</f>
        <v>G104 Electrical Room XXX</v>
      </c>
      <c r="C46" s="499" t="str" cm="1">
        <f t="array" ref="C46">"UP" &amp; SWFive</f>
        <v>UPXXX</v>
      </c>
      <c r="D46" s="233" t="str" cm="1">
        <f t="array" ref="D46">"Verify breaker MBUP" &amp; SWFive &amp; " is carrying a portion of critical customer load using breaker mounted metering."</f>
        <v>Verify breaker MBUPXXX is carrying a portion of critical customer load using breaker mounted metering.</v>
      </c>
      <c r="E46" s="499" t="s">
        <v>1464</v>
      </c>
      <c r="F46" s="500"/>
      <c r="G46" s="519"/>
    </row>
    <row r="47" spans="1:7" ht="37.5" x14ac:dyDescent="0.25">
      <c r="A47" s="519">
        <f t="shared" si="1"/>
        <v>1122</v>
      </c>
      <c r="B47" s="500" t="str">
        <f>Suite&amp;" Electrical Room "&amp;SWFive</f>
        <v>G104 Electrical Room XXX</v>
      </c>
      <c r="C47" s="499" t="str" cm="1">
        <f t="array" ref="C47">"UP" &amp; SWFive</f>
        <v>UPXXX</v>
      </c>
      <c r="D47" s="233" t="str" cm="1">
        <f t="array" ref="D47">"Verify breaker MCBUP" &amp; SWFive &amp; " is carrying a portion of critical customer load using breaker mounted metering."</f>
        <v>Verify breaker MCBUPXXX is carrying a portion of critical customer load using breaker mounted metering.</v>
      </c>
      <c r="E47" s="499" t="s">
        <v>1464</v>
      </c>
      <c r="F47" s="500"/>
      <c r="G47" s="519"/>
    </row>
    <row r="48" spans="1:7" ht="37.5" x14ac:dyDescent="0.25">
      <c r="A48" s="519">
        <f t="shared" si="1"/>
        <v>1123</v>
      </c>
      <c r="B48" s="500" t="str">
        <f>Suite&amp;" Electrical Room "&amp;SWFive</f>
        <v>G104 Electrical Room XXX</v>
      </c>
      <c r="C48" s="499" t="str" cm="1">
        <f t="array" ref="C48">"UP" &amp; SWFive</f>
        <v>UPXXX</v>
      </c>
      <c r="D48" s="233" t="str" cm="1">
        <f t="array" ref="D48">"Notate the kW reading at UP" &amp; SWFive &amp; " Critical Bus Panel Meter: _________"</f>
        <v>Notate the kW reading at UPXXX Critical Bus Panel Meter: _________</v>
      </c>
      <c r="E48" s="499" t="s">
        <v>1464</v>
      </c>
      <c r="F48" s="500"/>
      <c r="G48" s="519"/>
    </row>
    <row r="49" spans="1:7" ht="37.5" x14ac:dyDescent="0.25">
      <c r="A49" s="519">
        <f t="shared" si="1"/>
        <v>1124</v>
      </c>
      <c r="B49" s="500" t="str">
        <f>Suite&amp;" Electrical Room "&amp;SWFive</f>
        <v>G104 Electrical Room XXX</v>
      </c>
      <c r="C49" s="499" t="str" cm="1">
        <f t="array" ref="C49">"UP" &amp; SWFive</f>
        <v>UPXXX</v>
      </c>
      <c r="D49" s="233" t="str">
        <f>"Verify the readings in step " &amp; A36 &amp; " and " &amp; A48 &amp; " are within 3% of each other. (new kW divided by original kW must be ≤1.03 and ≥0.97)."</f>
        <v>Verify the readings in step 1111 and 1123 are within 3% of each other. (new kW divided by original kW must be ≤1.03 and ≥0.97).</v>
      </c>
      <c r="E49" s="499" t="s">
        <v>1464</v>
      </c>
      <c r="F49" s="500"/>
      <c r="G49" s="519"/>
    </row>
    <row r="50" spans="1:7" ht="37.5" x14ac:dyDescent="0.25">
      <c r="A50" s="519">
        <f t="shared" si="1"/>
        <v>1125</v>
      </c>
      <c r="B50" s="500" t="str">
        <f>Suite&amp;" Electrical Room "&amp;SWFive</f>
        <v>G104 Electrical Room XXX</v>
      </c>
      <c r="C50" s="499" t="str" cm="1">
        <f t="array" ref="C50">"UP" &amp; SWFive</f>
        <v>UPXXX</v>
      </c>
      <c r="D50" s="233" t="str" cm="1">
        <f t="array" ref="D50">"Pump the MCBUP" &amp; SWFive &amp; " breaker charging handle repeatedly to compress the charging spring and charge the breaker."</f>
        <v>Pump the MCBUPXXX breaker charging handle repeatedly to compress the charging spring and charge the breaker.</v>
      </c>
      <c r="E50" s="499" t="s">
        <v>1464</v>
      </c>
      <c r="F50" s="500"/>
      <c r="G50" s="519"/>
    </row>
    <row r="51" spans="1:7" ht="56.25" x14ac:dyDescent="0.25">
      <c r="A51" s="519">
        <f t="shared" si="1"/>
        <v>1126</v>
      </c>
      <c r="B51" s="500" t="str">
        <f>Suite&amp;" Electrical Room "&amp;SWFive</f>
        <v>G104 Electrical Room XXX</v>
      </c>
      <c r="C51" s="499" t="str" cm="1">
        <f t="array" ref="C51">"UP" &amp; SWFive</f>
        <v>UPXXX</v>
      </c>
      <c r="D51" s="233" t="str" cm="1">
        <f t="array" ref="D51">"Note: If breaker MCBUP" &amp; SWFive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51" s="499" t="s">
        <v>1464</v>
      </c>
      <c r="F51" s="500"/>
      <c r="G51" s="519"/>
    </row>
    <row r="52" spans="1:7" ht="37.5" x14ac:dyDescent="0.25">
      <c r="A52" s="519">
        <f t="shared" si="1"/>
        <v>1127</v>
      </c>
      <c r="B52" s="500" t="str">
        <f>Suite&amp;" Electrical Room "&amp;SWFive</f>
        <v>G104 Electrical Room XXX</v>
      </c>
      <c r="C52" s="499" t="str" cm="1">
        <f t="array" ref="C52">"UP" &amp; SWFive</f>
        <v>UPXXX</v>
      </c>
      <c r="D52" s="233" t="str" cm="1">
        <f t="array" ref="D52">"Open breaker MCBUP" &amp; SWFive &amp; "."</f>
        <v>Open breaker MCBUPXXX.</v>
      </c>
      <c r="E52" s="499" t="s">
        <v>1464</v>
      </c>
      <c r="F52" s="500"/>
      <c r="G52" s="519"/>
    </row>
    <row r="53" spans="1:7" ht="37.5" x14ac:dyDescent="0.25">
      <c r="A53" s="519">
        <f t="shared" si="1"/>
        <v>1128</v>
      </c>
      <c r="B53" s="500" t="str">
        <f>Suite&amp;" Electrical Room "&amp;SWFive</f>
        <v>G104 Electrical Room XXX</v>
      </c>
      <c r="C53" s="499" t="str" cm="1">
        <f t="array" ref="C53">"UP" &amp; SWFive</f>
        <v>UPXXX</v>
      </c>
      <c r="D53" s="233" t="s">
        <v>1506</v>
      </c>
      <c r="E53" s="499" t="s">
        <v>1464</v>
      </c>
      <c r="F53" s="500"/>
      <c r="G53" s="519"/>
    </row>
    <row r="54" spans="1:7" ht="37.5" x14ac:dyDescent="0.25">
      <c r="A54" s="519">
        <f t="shared" si="1"/>
        <v>1129</v>
      </c>
      <c r="B54" s="500" t="str">
        <f>Suite&amp;" Electrical Room "&amp;SWFive</f>
        <v>G104 Electrical Room XXX</v>
      </c>
      <c r="C54" s="499" t="str" cm="1">
        <f t="array" ref="C54">"UP" &amp; SWFive</f>
        <v>UPXXX</v>
      </c>
      <c r="D54" s="233" t="str" cm="1">
        <f t="array" ref="D54">"Verify MCBUP" &amp; SWFive &amp; " breaker flag indicates OPEN."</f>
        <v>Verify MCBUPXXX breaker flag indicates OPEN.</v>
      </c>
      <c r="E54" s="499" t="s">
        <v>1464</v>
      </c>
      <c r="F54" s="500"/>
      <c r="G54" s="519"/>
    </row>
    <row r="55" spans="1:7" ht="37.5" x14ac:dyDescent="0.25">
      <c r="A55" s="519">
        <f t="shared" si="1"/>
        <v>1130</v>
      </c>
      <c r="B55" s="500" t="str">
        <f>Suite&amp;" Electrical Room "&amp;SWFive</f>
        <v>G104 Electrical Room XXX</v>
      </c>
      <c r="C55" s="499" t="str" cm="1">
        <f t="array" ref="C55">"UP" &amp; SWFive</f>
        <v>UPXXX</v>
      </c>
      <c r="D55" s="233" t="str" cm="1">
        <f t="array" ref="D55">"Notate the kW reading at UP" &amp; SWFive &amp; " Critical Bus Panel Meter: _________"</f>
        <v>Notate the kW reading at UPXXX Critical Bus Panel Meter: _________</v>
      </c>
      <c r="E55" s="499" t="s">
        <v>1464</v>
      </c>
      <c r="F55" s="500"/>
      <c r="G55" s="519"/>
    </row>
    <row r="56" spans="1:7" ht="37.5" x14ac:dyDescent="0.25">
      <c r="A56" s="519">
        <f t="shared" si="1"/>
        <v>1131</v>
      </c>
      <c r="B56" s="500" t="str">
        <f>Suite&amp;" Electrical Room "&amp;SWFive</f>
        <v>G104 Electrical Room XXX</v>
      </c>
      <c r="C56" s="499" t="str" cm="1">
        <f t="array" ref="C56">"UP" &amp; SWFive</f>
        <v>UPXXX</v>
      </c>
      <c r="D56" s="233" t="str">
        <f>"Verify the readings in step " &amp; A48 &amp; " and " &amp; A55 &amp; " are within 3% of each other. (new kW divided by original kW must be ≤1.03 and ≥0.97)."</f>
        <v>Verify the readings in step 1123 and 1130 are within 3% of each other. (new kW divided by original kW must be ≤1.03 and ≥0.97).</v>
      </c>
      <c r="E56" s="499" t="s">
        <v>1464</v>
      </c>
      <c r="F56" s="500"/>
      <c r="G56" s="519"/>
    </row>
    <row r="57" spans="1:7" ht="37.5" x14ac:dyDescent="0.25">
      <c r="A57" s="519">
        <f t="shared" si="1"/>
        <v>1132</v>
      </c>
      <c r="B57" s="500" t="str">
        <f>Suite&amp;" Electrical Room "&amp;SWFive</f>
        <v>G104 Electrical Room XXX</v>
      </c>
      <c r="C57" s="499" t="str" cm="1">
        <f t="array" ref="C57">"UP" &amp; SWFive</f>
        <v>UPXXX</v>
      </c>
      <c r="D57" s="233" t="str" cm="1">
        <f t="array" ref="D57">"Rotate the interlock key 90 degrees to LOCK the MCBUP"&amp;SWFive&amp;" breaker."</f>
        <v>Rotate the interlock key 90 degrees to LOCK the MCBUPXXX breaker.</v>
      </c>
      <c r="E57" s="499" t="s">
        <v>1464</v>
      </c>
      <c r="F57" s="500"/>
      <c r="G57" s="519"/>
    </row>
    <row r="58" spans="1:7" ht="37.5" x14ac:dyDescent="0.25">
      <c r="A58" s="519">
        <f t="shared" si="1"/>
        <v>1133</v>
      </c>
      <c r="B58" s="500" t="str">
        <f>Suite&amp;" Electrical Room "&amp;SWFive</f>
        <v>G104 Electrical Room XXX</v>
      </c>
      <c r="C58" s="499" t="str" cm="1">
        <f t="array" ref="C58">"UP" &amp; SWFive</f>
        <v>UPXXX</v>
      </c>
      <c r="D58" s="233" t="str" cm="1">
        <f t="array" ref="D58">"Remove the interlock key from the MCBUP"&amp;SWFive&amp;" breaker lock cylinder."</f>
        <v>Remove the interlock key from the MCBUPXXX breaker lock cylinder.</v>
      </c>
      <c r="E58" s="499" t="s">
        <v>1464</v>
      </c>
      <c r="F58" s="500"/>
      <c r="G58" s="519"/>
    </row>
    <row r="59" spans="1:7" ht="37.5" x14ac:dyDescent="0.25">
      <c r="A59" s="519">
        <f t="shared" si="1"/>
        <v>1134</v>
      </c>
      <c r="B59" s="500" t="str">
        <f>Suite&amp;" Electrical Room "&amp;SWFive</f>
        <v>G104 Electrical Room XXX</v>
      </c>
      <c r="C59" s="499" t="str" cm="1">
        <f t="array" ref="C59">"UP" &amp; SWFive</f>
        <v>UPXXX</v>
      </c>
      <c r="D59" s="233" t="s">
        <v>1507</v>
      </c>
      <c r="E59" s="499" t="s">
        <v>1464</v>
      </c>
      <c r="F59" s="500"/>
      <c r="G59" s="519"/>
    </row>
    <row r="60" spans="1:7" ht="37.5" x14ac:dyDescent="0.25">
      <c r="A60" s="519">
        <f t="shared" si="1"/>
        <v>1135</v>
      </c>
      <c r="B60" s="500" t="str">
        <f>Suite&amp;" Electrical Room "&amp;SWFive</f>
        <v>G104 Electrical Room XXX</v>
      </c>
      <c r="C60" s="499" t="str" cm="1">
        <f t="array" ref="C60">"UP" &amp; SWFive</f>
        <v>UPXXX</v>
      </c>
      <c r="D60" s="233" t="s">
        <v>1508</v>
      </c>
      <c r="E60" s="499" t="s">
        <v>1464</v>
      </c>
      <c r="F60" s="500"/>
      <c r="G60" s="519"/>
    </row>
    <row r="61" spans="1:7" ht="37.5" x14ac:dyDescent="0.25">
      <c r="A61" s="519">
        <f t="shared" si="1"/>
        <v>1136</v>
      </c>
      <c r="B61" s="500" t="str">
        <f>Suite&amp;" Electrical Room "&amp;SWFive</f>
        <v>G104 Electrical Room XXX</v>
      </c>
      <c r="C61" s="499" t="str" cm="1">
        <f t="array" ref="C61">"UP" &amp; SWFive</f>
        <v>UPXXX</v>
      </c>
      <c r="D61" s="233" t="s">
        <v>1509</v>
      </c>
      <c r="E61" s="499" t="s">
        <v>1464</v>
      </c>
      <c r="F61" s="500"/>
      <c r="G61" s="519"/>
    </row>
    <row r="62" spans="1:7" ht="37.5" x14ac:dyDescent="0.25">
      <c r="A62" s="519">
        <f t="shared" si="1"/>
        <v>1137</v>
      </c>
      <c r="B62" s="500" t="str">
        <f>Suite&amp;" Electrical Room "&amp;SWFive</f>
        <v>G104 Electrical Room XXX</v>
      </c>
      <c r="C62" s="499" t="str" cm="1">
        <f t="array" ref="C62">"UP" &amp; SWFive</f>
        <v>UPXXX</v>
      </c>
      <c r="D62" s="233" t="s">
        <v>1510</v>
      </c>
      <c r="E62" s="499" t="s">
        <v>1464</v>
      </c>
      <c r="F62" s="500"/>
      <c r="G62" s="519"/>
    </row>
    <row r="63" spans="1:7" x14ac:dyDescent="0.25">
      <c r="A63" s="519">
        <f t="shared" si="1"/>
        <v>1138</v>
      </c>
      <c r="B63" s="702" t="str" cm="1">
        <f t="array" ref="B63">"Shut Down UPS System " &amp; SWFive</f>
        <v>Shut Down UPS System XXX</v>
      </c>
      <c r="C63" s="703"/>
      <c r="D63" s="703"/>
      <c r="E63" s="703"/>
      <c r="F63" s="703"/>
      <c r="G63" s="703"/>
    </row>
    <row r="64" spans="1:7" ht="37.5" x14ac:dyDescent="0.25">
      <c r="A64" s="519">
        <f t="shared" si="1"/>
        <v>1139</v>
      </c>
      <c r="B64" s="500" t="str">
        <f>Suite&amp;" Electrical Room "&amp;SWFive</f>
        <v>G104 Electrical Room XXX</v>
      </c>
      <c r="C64" s="499" t="str" cm="1">
        <f t="array" ref="C64">"UPS " &amp; SWFive &amp; "1"</f>
        <v>UPS XXX1</v>
      </c>
      <c r="D64" s="190" t="s">
        <v>1511</v>
      </c>
      <c r="E64" s="499" t="s">
        <v>1464</v>
      </c>
      <c r="F64" s="500"/>
      <c r="G64" s="519"/>
    </row>
    <row r="65" spans="1:7" ht="37.5" x14ac:dyDescent="0.25">
      <c r="A65" s="519">
        <f t="shared" si="1"/>
        <v>1140</v>
      </c>
      <c r="B65" s="500" t="str">
        <f>Suite&amp;" Electrical Room "&amp;SWFive</f>
        <v>G104 Electrical Room XXX</v>
      </c>
      <c r="C65" s="499" t="str" cm="1">
        <f t="array" ref="C65">"UPS " &amp; SWFive &amp; "1"</f>
        <v>UPS XXX1</v>
      </c>
      <c r="D65" s="233" t="s">
        <v>1497</v>
      </c>
      <c r="E65" s="499" t="s">
        <v>1464</v>
      </c>
      <c r="F65" s="500"/>
      <c r="G65" s="519"/>
    </row>
    <row r="66" spans="1:7" ht="37.5" x14ac:dyDescent="0.25">
      <c r="A66" s="519">
        <f t="shared" si="1"/>
        <v>1141</v>
      </c>
      <c r="B66" s="500" t="str">
        <f>Suite&amp;" Electrical Room "&amp;SWFive</f>
        <v>G104 Electrical Room XXX</v>
      </c>
      <c r="C66" s="499" t="str" cm="1">
        <f t="array" ref="C66">"UPS " &amp; SWFive &amp; "1"</f>
        <v>UPS XXX1</v>
      </c>
      <c r="D66" s="190" t="s">
        <v>1512</v>
      </c>
      <c r="E66" s="499" t="s">
        <v>1464</v>
      </c>
      <c r="F66" s="500"/>
      <c r="G66" s="519"/>
    </row>
    <row r="67" spans="1:7" ht="56.25" x14ac:dyDescent="0.25">
      <c r="A67" s="519">
        <f t="shared" si="1"/>
        <v>1142</v>
      </c>
      <c r="B67" s="500" t="str">
        <f>Suite&amp;" Electrical Room "&amp;SWFive</f>
        <v>G104 Electrical Room XXX</v>
      </c>
      <c r="C67" s="499" t="str" cm="1">
        <f t="array" ref="C67">"UPS " &amp; SWFive &amp; "1"</f>
        <v>UPS XXX1</v>
      </c>
      <c r="D67" s="190" t="s">
        <v>1513</v>
      </c>
      <c r="E67" s="499" t="s">
        <v>1464</v>
      </c>
      <c r="F67" s="500"/>
      <c r="G67" s="519"/>
    </row>
    <row r="68" spans="1:7" ht="37.5" x14ac:dyDescent="0.25">
      <c r="A68" s="519">
        <f t="shared" si="1"/>
        <v>1143</v>
      </c>
      <c r="B68" s="500" t="str">
        <f>Suite&amp;" Electrical Room "&amp;SWFive</f>
        <v>G104 Electrical Room XXX</v>
      </c>
      <c r="C68" s="499" t="str" cm="1">
        <f t="array" ref="C68">"UPS " &amp; SWFive &amp; "1"</f>
        <v>UPS XXX1</v>
      </c>
      <c r="D68" s="190" t="s">
        <v>1514</v>
      </c>
      <c r="E68" s="499" t="s">
        <v>1464</v>
      </c>
      <c r="F68" s="500"/>
      <c r="G68" s="519"/>
    </row>
    <row r="69" spans="1:7" ht="37.5" x14ac:dyDescent="0.25">
      <c r="A69" s="519">
        <f t="shared" si="1"/>
        <v>1144</v>
      </c>
      <c r="B69" s="500" t="str">
        <f>Suite&amp;" Electrical Room "&amp;SWFive</f>
        <v>G104 Electrical Room XXX</v>
      </c>
      <c r="C69" s="499" t="str" cm="1">
        <f t="array" ref="C69">"UPS " &amp; SWFive &amp; "1"</f>
        <v>UPS XXX1</v>
      </c>
      <c r="D69" s="190" t="s">
        <v>1515</v>
      </c>
      <c r="E69" s="499" t="s">
        <v>1464</v>
      </c>
      <c r="F69" s="500"/>
      <c r="G69" s="519"/>
    </row>
    <row r="70" spans="1:7" ht="37.5" x14ac:dyDescent="0.25">
      <c r="A70" s="519">
        <f t="shared" si="1"/>
        <v>1145</v>
      </c>
      <c r="B70" s="500" t="str">
        <f>Suite&amp;" Electrical Room "&amp;SWFive</f>
        <v>G104 Electrical Room XXX</v>
      </c>
      <c r="C70" s="499" t="str" cm="1">
        <f t="array" ref="C70">"UPS " &amp; SWFive &amp; "1"</f>
        <v>UPS XXX1</v>
      </c>
      <c r="D70" s="190" t="s">
        <v>1516</v>
      </c>
      <c r="E70" s="499" t="s">
        <v>1464</v>
      </c>
      <c r="F70" s="500"/>
      <c r="G70" s="519"/>
    </row>
    <row r="71" spans="1:7" ht="37.5" x14ac:dyDescent="0.25">
      <c r="A71" s="519">
        <f t="shared" si="1"/>
        <v>1146</v>
      </c>
      <c r="B71" s="500" t="str">
        <f>Suite&amp;" Electrical Room "&amp;SWFive</f>
        <v>G104 Electrical Room XXX</v>
      </c>
      <c r="C71" s="499" t="str" cm="1">
        <f t="array" ref="C71">"UPS " &amp; SWFive</f>
        <v>UPS XXX</v>
      </c>
      <c r="D71" s="190" t="s">
        <v>1517</v>
      </c>
      <c r="E71" s="499" t="s">
        <v>1464</v>
      </c>
      <c r="F71" s="500"/>
      <c r="G71" s="519"/>
    </row>
    <row r="72" spans="1:7" ht="56.25" x14ac:dyDescent="0.25">
      <c r="A72" s="519">
        <f t="shared" si="1"/>
        <v>1147</v>
      </c>
      <c r="B72" s="500" t="str">
        <f>Suite&amp;" Electrical Room "&amp;SWFive</f>
        <v>G104 Electrical Room XXX</v>
      </c>
      <c r="C72" s="499" t="str" cm="1">
        <f t="array" ref="C72">"UPS " &amp; SWFive &amp; " Battery Cabinets"</f>
        <v>UPS XXX Battery Cabinets</v>
      </c>
      <c r="D72" s="190" t="str" cm="1">
        <f t="array" ref="D72">"Verify battery breaker for cabinet " &amp; SWFive &amp; "1-1 is in the tripped position."</f>
        <v>Verify battery breaker for cabinet XXX1-1 is in the tripped position.</v>
      </c>
      <c r="E72" s="499" t="s">
        <v>1464</v>
      </c>
      <c r="F72" s="500"/>
      <c r="G72" s="519"/>
    </row>
    <row r="73" spans="1:7" ht="56.25" x14ac:dyDescent="0.25">
      <c r="A73" s="519">
        <f t="shared" si="1"/>
        <v>1148</v>
      </c>
      <c r="B73" s="500" t="str">
        <f>Suite&amp;" Electrical Room "&amp;SWFive</f>
        <v>G104 Electrical Room XXX</v>
      </c>
      <c r="C73" s="499" t="str" cm="1">
        <f t="array" ref="C73">"UPS " &amp; SWFive &amp; " Battery Cabinets"</f>
        <v>UPS XXX Battery Cabinets</v>
      </c>
      <c r="D73" s="190" t="str" cm="1">
        <f t="array" ref="D73">"Open battery breaker " &amp; SWFive &amp; "1-1."</f>
        <v>Open battery breaker XXX1-1.</v>
      </c>
      <c r="E73" s="499" t="s">
        <v>1464</v>
      </c>
      <c r="F73" s="500"/>
      <c r="G73" s="519"/>
    </row>
    <row r="74" spans="1:7" ht="56.25" x14ac:dyDescent="0.25">
      <c r="A74" s="519">
        <f t="shared" si="1"/>
        <v>1149</v>
      </c>
      <c r="B74" s="500" t="str">
        <f>Suite&amp;" Electrical Room "&amp;SWFive</f>
        <v>G104 Electrical Room XXX</v>
      </c>
      <c r="C74" s="499" t="str" cm="1">
        <f t="array" ref="C74">"UPS " &amp; SWFive &amp; " Battery Cabinets"</f>
        <v>UPS XXX Battery Cabinets</v>
      </c>
      <c r="D74" s="190" t="str" cm="1">
        <f t="array" ref="D74">"Apply LOTO to battery breaker " &amp; SWFive &amp; "1-1."</f>
        <v>Apply LOTO to battery breaker XXX1-1.</v>
      </c>
      <c r="E74" s="499" t="s">
        <v>1464</v>
      </c>
      <c r="F74" s="500"/>
      <c r="G74" s="519"/>
    </row>
    <row r="75" spans="1:7" ht="56.25" x14ac:dyDescent="0.25">
      <c r="A75" s="519">
        <f t="shared" si="1"/>
        <v>1150</v>
      </c>
      <c r="B75" s="500" t="str">
        <f>Suite&amp;" Electrical Room "&amp;SWFive</f>
        <v>G104 Electrical Room XXX</v>
      </c>
      <c r="C75" s="499" t="str" cm="1">
        <f t="array" ref="C75">"UPS " &amp; SWFive &amp; " Battery Cabinets"</f>
        <v>UPS XXX Battery Cabinets</v>
      </c>
      <c r="D75" s="233" t="s">
        <v>1518</v>
      </c>
      <c r="E75" s="499" t="s">
        <v>1464</v>
      </c>
      <c r="F75" s="500" t="s">
        <v>1519</v>
      </c>
      <c r="G75" s="519"/>
    </row>
    <row r="76" spans="1:7" ht="56.25" x14ac:dyDescent="0.25">
      <c r="A76" s="519">
        <f t="shared" si="1"/>
        <v>1151</v>
      </c>
      <c r="B76" s="500" t="str">
        <f>Suite&amp;" Electrical Room "&amp;SWFive</f>
        <v>G104 Electrical Room XXX</v>
      </c>
      <c r="C76" s="499" t="str" cm="1">
        <f t="array" ref="C76">"UPS " &amp; SWFive &amp; " Battery Cabinets"</f>
        <v>UPS XXX Battery Cabinets</v>
      </c>
      <c r="D76" s="190" t="str" cm="1">
        <f t="array" ref="D76">"Verify battery breaker for cabinet " &amp; SWFive &amp; "1-2 is in the tripped position."</f>
        <v>Verify battery breaker for cabinet XXX1-2 is in the tripped position.</v>
      </c>
      <c r="E76" s="499" t="s">
        <v>1464</v>
      </c>
      <c r="F76" s="500"/>
      <c r="G76" s="519"/>
    </row>
    <row r="77" spans="1:7" ht="56.25" x14ac:dyDescent="0.25">
      <c r="A77" s="519">
        <f t="shared" si="1"/>
        <v>1152</v>
      </c>
      <c r="B77" s="500" t="str">
        <f>Suite&amp;" Electrical Room "&amp;SWFive</f>
        <v>G104 Electrical Room XXX</v>
      </c>
      <c r="C77" s="499" t="str" cm="1">
        <f t="array" ref="C77">"UPS " &amp; SWFive &amp; " Battery Cabinets"</f>
        <v>UPS XXX Battery Cabinets</v>
      </c>
      <c r="D77" s="190" t="str" cm="1">
        <f t="array" ref="D77">"Open battery breaker " &amp; SWFive &amp; "1-2."</f>
        <v>Open battery breaker XXX1-2.</v>
      </c>
      <c r="E77" s="499" t="s">
        <v>1464</v>
      </c>
      <c r="F77" s="500"/>
      <c r="G77" s="519"/>
    </row>
    <row r="78" spans="1:7" ht="56.25" x14ac:dyDescent="0.25">
      <c r="A78" s="519">
        <f t="shared" si="1"/>
        <v>1153</v>
      </c>
      <c r="B78" s="500" t="str">
        <f>Suite&amp;" Electrical Room "&amp;SWFive</f>
        <v>G104 Electrical Room XXX</v>
      </c>
      <c r="C78" s="499" t="str" cm="1">
        <f t="array" ref="C78">"UPS " &amp; SWFive &amp; " Battery Cabinets"</f>
        <v>UPS XXX Battery Cabinets</v>
      </c>
      <c r="D78" s="190" t="str" cm="1">
        <f t="array" ref="D78">"Apply LOTO to battery breaker " &amp; SWFive &amp; "1-2."</f>
        <v>Apply LOTO to battery breaker XXX1-2.</v>
      </c>
      <c r="E78" s="499" t="s">
        <v>1464</v>
      </c>
      <c r="F78" s="500"/>
      <c r="G78" s="519"/>
    </row>
    <row r="79" spans="1:7" ht="56.25" x14ac:dyDescent="0.25">
      <c r="A79" s="519">
        <f t="shared" si="1"/>
        <v>1154</v>
      </c>
      <c r="B79" s="500" t="str">
        <f>Suite&amp;" Electrical Room "&amp;SWFive</f>
        <v>G104 Electrical Room XXX</v>
      </c>
      <c r="C79" s="499" t="str" cm="1">
        <f t="array" ref="C79">"UPS " &amp; SWFive &amp; " Battery Cabinets"</f>
        <v>UPS XXX Battery Cabinets</v>
      </c>
      <c r="D79" s="233" t="s">
        <v>1518</v>
      </c>
      <c r="E79" s="499" t="s">
        <v>1464</v>
      </c>
      <c r="F79" s="500"/>
      <c r="G79" s="519"/>
    </row>
    <row r="80" spans="1:7" ht="56.25" x14ac:dyDescent="0.25">
      <c r="A80" s="519">
        <f t="shared" si="1"/>
        <v>1155</v>
      </c>
      <c r="B80" s="500" t="str">
        <f>Suite&amp;" Electrical Room "&amp;SWFive</f>
        <v>G104 Electrical Room XXX</v>
      </c>
      <c r="C80" s="499" t="str" cm="1">
        <f t="array" ref="C80">"UPS " &amp; SWFive &amp; " Battery Cabinets"</f>
        <v>UPS XXX Battery Cabinets</v>
      </c>
      <c r="D80" s="190" t="str" cm="1">
        <f t="array" ref="D80">"Verify battery breaker for cabinet " &amp; SWFive &amp; "1-3 is in the tripped position."</f>
        <v>Verify battery breaker for cabinet XXX1-3 is in the tripped position.</v>
      </c>
      <c r="E80" s="499" t="s">
        <v>1464</v>
      </c>
      <c r="F80" s="500"/>
      <c r="G80" s="519"/>
    </row>
    <row r="81" spans="1:7" ht="56.25" x14ac:dyDescent="0.25">
      <c r="A81" s="519">
        <f t="shared" si="1"/>
        <v>1156</v>
      </c>
      <c r="B81" s="500" t="str">
        <f>Suite&amp;" Electrical Room "&amp;SWFive</f>
        <v>G104 Electrical Room XXX</v>
      </c>
      <c r="C81" s="499" t="str" cm="1">
        <f t="array" ref="C81">"UPS " &amp; SWFive &amp; " Battery Cabinets"</f>
        <v>UPS XXX Battery Cabinets</v>
      </c>
      <c r="D81" s="190" t="str" cm="1">
        <f t="array" ref="D81">"Open battery breaker " &amp; SWFive &amp; "1-3."</f>
        <v>Open battery breaker XXX1-3.</v>
      </c>
      <c r="E81" s="499" t="s">
        <v>1464</v>
      </c>
      <c r="F81" s="500"/>
      <c r="G81" s="519"/>
    </row>
    <row r="82" spans="1:7" ht="56.25" x14ac:dyDescent="0.25">
      <c r="A82" s="519">
        <f t="shared" si="1"/>
        <v>1157</v>
      </c>
      <c r="B82" s="500" t="str">
        <f>Suite&amp;" Electrical Room "&amp;SWFive</f>
        <v>G104 Electrical Room XXX</v>
      </c>
      <c r="C82" s="499" t="str" cm="1">
        <f t="array" ref="C82">"UPS " &amp; SWFive &amp; " Battery Cabinets"</f>
        <v>UPS XXX Battery Cabinets</v>
      </c>
      <c r="D82" s="190" t="str" cm="1">
        <f t="array" ref="D82">"Apply LOTO to battery breaker " &amp; SWFive &amp; "1-3."</f>
        <v>Apply LOTO to battery breaker XXX1-3.</v>
      </c>
      <c r="E82" s="499" t="s">
        <v>1464</v>
      </c>
      <c r="F82" s="500"/>
      <c r="G82" s="519"/>
    </row>
    <row r="83" spans="1:7" ht="56.25" x14ac:dyDescent="0.25">
      <c r="A83" s="519">
        <f t="shared" si="1"/>
        <v>1158</v>
      </c>
      <c r="B83" s="500" t="str">
        <f>Suite&amp;" Electrical Room "&amp;SWFive</f>
        <v>G104 Electrical Room XXX</v>
      </c>
      <c r="C83" s="499" t="str" cm="1">
        <f t="array" ref="C83">"UPS " &amp; SWFive &amp; " Battery Cabinets"</f>
        <v>UPS XXX Battery Cabinets</v>
      </c>
      <c r="D83" s="233" t="s">
        <v>1518</v>
      </c>
      <c r="E83" s="499" t="s">
        <v>1464</v>
      </c>
      <c r="F83" s="500"/>
      <c r="G83" s="519"/>
    </row>
    <row r="84" spans="1:7" ht="56.25" x14ac:dyDescent="0.25">
      <c r="A84" s="519">
        <f t="shared" si="1"/>
        <v>1159</v>
      </c>
      <c r="B84" s="500" t="str">
        <f>Suite&amp;" Electrical Room "&amp;SWFive</f>
        <v>G104 Electrical Room XXX</v>
      </c>
      <c r="C84" s="499" t="str" cm="1">
        <f t="array" ref="C84">"UPS " &amp; SWFive &amp; " Battery Cabinets"</f>
        <v>UPS XXX Battery Cabinets</v>
      </c>
      <c r="D84" s="190" t="str" cm="1">
        <f t="array" ref="D84">"Verify battery breaker for cabinet " &amp; SWFive &amp; "2-1 is in the tripped position."</f>
        <v>Verify battery breaker for cabinet XXX2-1 is in the tripped position.</v>
      </c>
      <c r="E84" s="499" t="s">
        <v>1464</v>
      </c>
      <c r="F84" s="500"/>
      <c r="G84" s="519"/>
    </row>
    <row r="85" spans="1:7" ht="56.25" x14ac:dyDescent="0.25">
      <c r="A85" s="519">
        <f t="shared" si="1"/>
        <v>1160</v>
      </c>
      <c r="B85" s="500" t="str">
        <f>Suite&amp;" Electrical Room "&amp;SWFive</f>
        <v>G104 Electrical Room XXX</v>
      </c>
      <c r="C85" s="499" t="str" cm="1">
        <f t="array" ref="C85">"UPS " &amp; SWFive &amp; " Battery Cabinets"</f>
        <v>UPS XXX Battery Cabinets</v>
      </c>
      <c r="D85" s="190" t="str" cm="1">
        <f t="array" ref="D85">"Open battery breaker " &amp; SWFive &amp; "2-1."</f>
        <v>Open battery breaker XXX2-1.</v>
      </c>
      <c r="E85" s="499" t="s">
        <v>1464</v>
      </c>
      <c r="F85" s="500"/>
      <c r="G85" s="519"/>
    </row>
    <row r="86" spans="1:7" ht="56.25" x14ac:dyDescent="0.25">
      <c r="A86" s="519">
        <f t="shared" si="1"/>
        <v>1161</v>
      </c>
      <c r="B86" s="500" t="str">
        <f>Suite&amp;" Electrical Room "&amp;SWFive</f>
        <v>G104 Electrical Room XXX</v>
      </c>
      <c r="C86" s="499" t="str" cm="1">
        <f t="array" ref="C86">"UPS " &amp; SWFive &amp; " Battery Cabinets"</f>
        <v>UPS XXX Battery Cabinets</v>
      </c>
      <c r="D86" s="190" t="str" cm="1">
        <f t="array" ref="D86">"Apply LOTO to battery breaker " &amp; SWFive &amp; "2-1."</f>
        <v>Apply LOTO to battery breaker XXX2-1.</v>
      </c>
      <c r="E86" s="499" t="s">
        <v>1464</v>
      </c>
      <c r="F86" s="500"/>
      <c r="G86" s="519"/>
    </row>
    <row r="87" spans="1:7" ht="56.25" x14ac:dyDescent="0.25">
      <c r="A87" s="519">
        <f t="shared" si="1"/>
        <v>1162</v>
      </c>
      <c r="B87" s="500" t="str">
        <f>Suite&amp;" Electrical Room "&amp;SWFive</f>
        <v>G104 Electrical Room XXX</v>
      </c>
      <c r="C87" s="499" t="str" cm="1">
        <f t="array" ref="C87">"UPS " &amp; SWFive &amp; " Battery Cabinets"</f>
        <v>UPS XXX Battery Cabinets</v>
      </c>
      <c r="D87" s="233" t="s">
        <v>1518</v>
      </c>
      <c r="E87" s="499" t="s">
        <v>1464</v>
      </c>
      <c r="F87" s="500"/>
      <c r="G87" s="519"/>
    </row>
    <row r="88" spans="1:7" ht="56.25" x14ac:dyDescent="0.25">
      <c r="A88" s="519">
        <f t="shared" si="1"/>
        <v>1163</v>
      </c>
      <c r="B88" s="500" t="str">
        <f>Suite&amp;" Electrical Room "&amp;SWFive</f>
        <v>G104 Electrical Room XXX</v>
      </c>
      <c r="C88" s="499" t="str" cm="1">
        <f t="array" ref="C88">"UPS " &amp; SWFive &amp; " Battery Cabinets"</f>
        <v>UPS XXX Battery Cabinets</v>
      </c>
      <c r="D88" s="190" t="str" cm="1">
        <f t="array" ref="D88">"Verify battery breaker for cabinet " &amp; SWFive &amp; "2-2 is in the tripped position."</f>
        <v>Verify battery breaker for cabinet XXX2-2 is in the tripped position.</v>
      </c>
      <c r="E88" s="499" t="s">
        <v>1464</v>
      </c>
      <c r="F88" s="500"/>
      <c r="G88" s="519"/>
    </row>
    <row r="89" spans="1:7" ht="56.25" x14ac:dyDescent="0.25">
      <c r="A89" s="519">
        <f t="shared" si="1"/>
        <v>1164</v>
      </c>
      <c r="B89" s="500" t="str">
        <f>Suite&amp;" Electrical Room "&amp;SWFive</f>
        <v>G104 Electrical Room XXX</v>
      </c>
      <c r="C89" s="499" t="str" cm="1">
        <f t="array" ref="C89">"UPS " &amp; SWFive &amp; " Battery Cabinets"</f>
        <v>UPS XXX Battery Cabinets</v>
      </c>
      <c r="D89" s="190" t="str" cm="1">
        <f t="array" ref="D89">"Open battery breaker " &amp; SWFive &amp; "2-2."</f>
        <v>Open battery breaker XXX2-2.</v>
      </c>
      <c r="E89" s="499" t="s">
        <v>1464</v>
      </c>
      <c r="F89" s="500"/>
      <c r="G89" s="519"/>
    </row>
    <row r="90" spans="1:7" ht="56.25" x14ac:dyDescent="0.25">
      <c r="A90" s="519">
        <f t="shared" si="1"/>
        <v>1165</v>
      </c>
      <c r="B90" s="500" t="str">
        <f>Suite&amp;" Electrical Room "&amp;SWFive</f>
        <v>G104 Electrical Room XXX</v>
      </c>
      <c r="C90" s="499" t="str" cm="1">
        <f t="array" ref="C90">"UPS " &amp; SWFive &amp; " Battery Cabinets"</f>
        <v>UPS XXX Battery Cabinets</v>
      </c>
      <c r="D90" s="190" t="str" cm="1">
        <f t="array" ref="D90">"Apply LOTO to battery breaker " &amp; SWFive &amp; "2-2."</f>
        <v>Apply LOTO to battery breaker XXX2-2.</v>
      </c>
      <c r="E90" s="499" t="s">
        <v>1464</v>
      </c>
      <c r="F90" s="500"/>
      <c r="G90" s="519"/>
    </row>
    <row r="91" spans="1:7" ht="56.25" x14ac:dyDescent="0.25">
      <c r="A91" s="519">
        <f t="shared" si="1"/>
        <v>1166</v>
      </c>
      <c r="B91" s="500" t="str">
        <f>Suite&amp;" Electrical Room "&amp;SWFive</f>
        <v>G104 Electrical Room XXX</v>
      </c>
      <c r="C91" s="499" t="str" cm="1">
        <f t="array" ref="C91">"UPS " &amp; SWFive &amp; " Battery Cabinets"</f>
        <v>UPS XXX Battery Cabinets</v>
      </c>
      <c r="D91" s="233" t="s">
        <v>1518</v>
      </c>
      <c r="E91" s="499" t="s">
        <v>1464</v>
      </c>
      <c r="F91" s="500"/>
      <c r="G91" s="519"/>
    </row>
    <row r="92" spans="1:7" ht="56.25" x14ac:dyDescent="0.25">
      <c r="A92" s="519">
        <f t="shared" ref="A92:A155" si="2">A91+1</f>
        <v>1167</v>
      </c>
      <c r="B92" s="500" t="str">
        <f>Suite&amp;" Electrical Room "&amp;SWFive</f>
        <v>G104 Electrical Room XXX</v>
      </c>
      <c r="C92" s="499" t="str" cm="1">
        <f t="array" ref="C92">"UPS " &amp; SWFive &amp; " Battery Cabinets"</f>
        <v>UPS XXX Battery Cabinets</v>
      </c>
      <c r="D92" s="190" t="str" cm="1">
        <f t="array" ref="D92">"Verify battery breaker for cabinet " &amp; SWFive &amp; "2-3 is in the tripped position."</f>
        <v>Verify battery breaker for cabinet XXX2-3 is in the tripped position.</v>
      </c>
      <c r="E92" s="499" t="s">
        <v>1464</v>
      </c>
      <c r="F92" s="500"/>
      <c r="G92" s="519"/>
    </row>
    <row r="93" spans="1:7" ht="56.25" x14ac:dyDescent="0.25">
      <c r="A93" s="519">
        <f t="shared" si="2"/>
        <v>1168</v>
      </c>
      <c r="B93" s="500" t="str">
        <f>Suite&amp;" Electrical Room "&amp;SWFive</f>
        <v>G104 Electrical Room XXX</v>
      </c>
      <c r="C93" s="499" t="str" cm="1">
        <f t="array" ref="C93">"UPS " &amp; SWFive &amp; " Battery Cabinets"</f>
        <v>UPS XXX Battery Cabinets</v>
      </c>
      <c r="D93" s="190" t="str" cm="1">
        <f t="array" ref="D93">"Open battery breaker " &amp; SWFive &amp; "2-3."</f>
        <v>Open battery breaker XXX2-3.</v>
      </c>
      <c r="E93" s="499" t="s">
        <v>1464</v>
      </c>
      <c r="F93" s="500"/>
      <c r="G93" s="519"/>
    </row>
    <row r="94" spans="1:7" ht="56.25" x14ac:dyDescent="0.25">
      <c r="A94" s="519">
        <f t="shared" si="2"/>
        <v>1169</v>
      </c>
      <c r="B94" s="500" t="str">
        <f>Suite&amp;" Electrical Room "&amp;SWFive</f>
        <v>G104 Electrical Room XXX</v>
      </c>
      <c r="C94" s="499" t="str" cm="1">
        <f t="array" ref="C94">"UPS " &amp; SWFive &amp; " Battery Cabinets"</f>
        <v>UPS XXX Battery Cabinets</v>
      </c>
      <c r="D94" s="190" t="str" cm="1">
        <f t="array" ref="D94">"Apply LOTO to battery breaker " &amp; SWFive &amp; "2-3."</f>
        <v>Apply LOTO to battery breaker XXX2-3.</v>
      </c>
      <c r="E94" s="499" t="s">
        <v>1464</v>
      </c>
      <c r="F94" s="500"/>
      <c r="G94" s="519"/>
    </row>
    <row r="95" spans="1:7" ht="56.25" x14ac:dyDescent="0.25">
      <c r="A95" s="519">
        <f t="shared" si="2"/>
        <v>1170</v>
      </c>
      <c r="B95" s="500" t="str">
        <f>Suite&amp;" Electrical Room "&amp;SWFive</f>
        <v>G104 Electrical Room XXX</v>
      </c>
      <c r="C95" s="499" t="str" cm="1">
        <f t="array" ref="C95">"UPS " &amp; SWFive &amp; " Battery Cabinets"</f>
        <v>UPS XXX Battery Cabinets</v>
      </c>
      <c r="D95" s="233" t="s">
        <v>1518</v>
      </c>
      <c r="E95" s="499" t="s">
        <v>1464</v>
      </c>
      <c r="F95" s="500"/>
      <c r="G95" s="519"/>
    </row>
    <row r="96" spans="1:7" ht="37.5" x14ac:dyDescent="0.25">
      <c r="A96" s="519">
        <f t="shared" si="2"/>
        <v>1171</v>
      </c>
      <c r="B96" s="500" t="str">
        <f>Suite&amp;" Electrical Room "&amp;SWFive</f>
        <v>G104 Electrical Room XXX</v>
      </c>
      <c r="C96" s="499" t="str" cm="1">
        <f t="array" ref="C96">"UP" &amp; SWFive</f>
        <v>UPXXX</v>
      </c>
      <c r="D96" s="190" t="str" cm="1">
        <f t="array" ref="D96">"Open breaker DP-" &amp; SWFive &amp; "1."</f>
        <v>Open breaker DP-XXX1.</v>
      </c>
      <c r="E96" s="499" t="s">
        <v>1464</v>
      </c>
      <c r="F96" s="500"/>
      <c r="G96" s="519"/>
    </row>
    <row r="97" spans="1:7" ht="37.5" x14ac:dyDescent="0.25">
      <c r="A97" s="519">
        <f t="shared" si="2"/>
        <v>1172</v>
      </c>
      <c r="B97" s="500" t="str">
        <f>Suite&amp;" Electrical Room "&amp;SWFive</f>
        <v>G104 Electrical Room XXX</v>
      </c>
      <c r="C97" s="499" t="str" cm="1">
        <f t="array" ref="C97">"UP" &amp; SWFive</f>
        <v>UPXXX</v>
      </c>
      <c r="D97" s="190" t="str" cm="1">
        <f t="array" ref="D97">"Apply LOTO to breaker DP-" &amp; SWFive &amp; "1."</f>
        <v>Apply LOTO to breaker DP-XXX1.</v>
      </c>
      <c r="E97" s="499" t="s">
        <v>1464</v>
      </c>
      <c r="F97" s="500"/>
      <c r="G97" s="519"/>
    </row>
    <row r="98" spans="1:7" ht="37.5" x14ac:dyDescent="0.25">
      <c r="A98" s="519">
        <f t="shared" si="2"/>
        <v>1173</v>
      </c>
      <c r="B98" s="500" t="str">
        <f>Suite&amp;" Electrical Room "&amp;SWFive</f>
        <v>G104 Electrical Room XXX</v>
      </c>
      <c r="C98" s="499" t="str" cm="1">
        <f t="array" ref="C98">"UP" &amp; SWFive</f>
        <v>UPXXX</v>
      </c>
      <c r="D98" s="233" t="s">
        <v>1518</v>
      </c>
      <c r="E98" s="499" t="s">
        <v>1464</v>
      </c>
      <c r="F98" s="500"/>
      <c r="G98" s="519"/>
    </row>
    <row r="99" spans="1:7" ht="37.5" x14ac:dyDescent="0.25">
      <c r="A99" s="519">
        <f t="shared" si="2"/>
        <v>1174</v>
      </c>
      <c r="B99" s="500" t="str">
        <f>Suite&amp;" Electrical Room "&amp;SWFive</f>
        <v>G104 Electrical Room XXX</v>
      </c>
      <c r="C99" s="499" t="str" cm="1">
        <f t="array" ref="C99">"UP" &amp; SWFive</f>
        <v>UPXXX</v>
      </c>
      <c r="D99" s="190" t="str" cm="1">
        <f t="array" ref="D99">"Open breaker DP-" &amp; SWFive &amp; "2."</f>
        <v>Open breaker DP-XXX2.</v>
      </c>
      <c r="E99" s="499" t="s">
        <v>1464</v>
      </c>
      <c r="F99" s="500"/>
      <c r="G99" s="519"/>
    </row>
    <row r="100" spans="1:7" ht="37.5" x14ac:dyDescent="0.25">
      <c r="A100" s="519">
        <f t="shared" si="2"/>
        <v>1175</v>
      </c>
      <c r="B100" s="500" t="str">
        <f>Suite&amp;" Electrical Room "&amp;SWFive</f>
        <v>G104 Electrical Room XXX</v>
      </c>
      <c r="C100" s="499" t="str" cm="1">
        <f t="array" ref="C100">"UP" &amp; SWFive</f>
        <v>UPXXX</v>
      </c>
      <c r="D100" s="190" t="str" cm="1">
        <f t="array" ref="D100">"Apply LOTO to breaker DP-" &amp; SWFive &amp; "2."</f>
        <v>Apply LOTO to breaker DP-XXX2.</v>
      </c>
      <c r="E100" s="499" t="s">
        <v>1464</v>
      </c>
      <c r="F100" s="500"/>
      <c r="G100" s="519"/>
    </row>
    <row r="101" spans="1:7" ht="37.5" x14ac:dyDescent="0.25">
      <c r="A101" s="519">
        <f t="shared" si="2"/>
        <v>1176</v>
      </c>
      <c r="B101" s="500" t="str">
        <f>Suite&amp;" Electrical Room "&amp;SWFive</f>
        <v>G104 Electrical Room XXX</v>
      </c>
      <c r="C101" s="499" t="str" cm="1">
        <f t="array" ref="C101">"UP" &amp; SWFive</f>
        <v>UPXXX</v>
      </c>
      <c r="D101" s="233" t="s">
        <v>1518</v>
      </c>
      <c r="E101" s="499" t="s">
        <v>1464</v>
      </c>
      <c r="F101" s="500"/>
      <c r="G101" s="519"/>
    </row>
    <row r="102" spans="1:7" ht="37.5" x14ac:dyDescent="0.25">
      <c r="A102" s="519">
        <f t="shared" si="2"/>
        <v>1177</v>
      </c>
      <c r="B102" s="500" t="str">
        <f>Suite&amp;" Electrical Room "&amp;SWFive</f>
        <v>G104 Electrical Room XXX</v>
      </c>
      <c r="C102" s="499" t="str" cm="1">
        <f t="array" ref="C102">"UPS " &amp; SWFive &amp; "1"</f>
        <v>UPS XXX1</v>
      </c>
      <c r="D102" s="501" t="s">
        <v>1520</v>
      </c>
      <c r="E102" s="499" t="s">
        <v>1464</v>
      </c>
      <c r="F102" s="500"/>
      <c r="G102" s="519"/>
    </row>
    <row r="103" spans="1:7" ht="37.5" x14ac:dyDescent="0.25">
      <c r="A103" s="519">
        <f t="shared" si="2"/>
        <v>1178</v>
      </c>
      <c r="B103" s="500" t="str">
        <f>Suite&amp;" Electrical Room "&amp;SWFive</f>
        <v>G104 Electrical Room XXX</v>
      </c>
      <c r="C103" s="499" t="str" cm="1">
        <f t="array" ref="C103">"SW" &amp; SWFive</f>
        <v>SWXXX</v>
      </c>
      <c r="D103" s="190" t="str" cm="1">
        <f t="array" ref="D103">"Open breaker UPS-" &amp; SWFive &amp; "1."</f>
        <v>Open breaker UPS-XXX1.</v>
      </c>
      <c r="E103" s="499" t="s">
        <v>1464</v>
      </c>
      <c r="F103" s="500"/>
      <c r="G103" s="519"/>
    </row>
    <row r="104" spans="1:7" ht="37.5" x14ac:dyDescent="0.25">
      <c r="A104" s="519">
        <f t="shared" si="2"/>
        <v>1179</v>
      </c>
      <c r="B104" s="500" t="str">
        <f>Suite&amp;" Electrical Room "&amp;SWFive</f>
        <v>G104 Electrical Room XXX</v>
      </c>
      <c r="C104" s="499" t="str" cm="1">
        <f t="array" ref="C104">"SW" &amp; SWFive</f>
        <v>SWXXX</v>
      </c>
      <c r="D104" s="190" t="str" cm="1">
        <f t="array" ref="D104">"Apply LOTO to breaker UPS-" &amp; SWFive &amp; "1."</f>
        <v>Apply LOTO to breaker UPS-XXX1.</v>
      </c>
      <c r="E104" s="499" t="s">
        <v>1464</v>
      </c>
      <c r="F104" s="500"/>
      <c r="G104" s="519"/>
    </row>
    <row r="105" spans="1:7" ht="37.5" x14ac:dyDescent="0.25">
      <c r="A105" s="519">
        <f t="shared" si="2"/>
        <v>1180</v>
      </c>
      <c r="B105" s="500" t="str">
        <f>Suite&amp;" Electrical Room "&amp;SWFive</f>
        <v>G104 Electrical Room XXX</v>
      </c>
      <c r="C105" s="499" t="str" cm="1">
        <f t="array" ref="C105">"SW" &amp; SWFive</f>
        <v>SWXXX</v>
      </c>
      <c r="D105" s="233" t="s">
        <v>1518</v>
      </c>
      <c r="E105" s="499" t="s">
        <v>1464</v>
      </c>
      <c r="F105" s="500"/>
      <c r="G105" s="519"/>
    </row>
    <row r="106" spans="1:7" ht="37.5" x14ac:dyDescent="0.25">
      <c r="A106" s="519">
        <f t="shared" si="2"/>
        <v>1181</v>
      </c>
      <c r="B106" s="500" t="str">
        <f>Suite&amp;" Electrical Room "&amp;SWFive</f>
        <v>G104 Electrical Room XXX</v>
      </c>
      <c r="C106" s="499" t="str" cm="1">
        <f t="array" ref="C106">"SW" &amp; SWFive</f>
        <v>SWXXX</v>
      </c>
      <c r="D106" s="190" t="str" cm="1">
        <f t="array" ref="D106">"Open breaker UPS-" &amp; SWFive &amp; "2."</f>
        <v>Open breaker UPS-XXX2.</v>
      </c>
      <c r="E106" s="499" t="s">
        <v>1464</v>
      </c>
      <c r="F106" s="500"/>
      <c r="G106" s="519"/>
    </row>
    <row r="107" spans="1:7" ht="37.5" x14ac:dyDescent="0.25">
      <c r="A107" s="519">
        <f t="shared" si="2"/>
        <v>1182</v>
      </c>
      <c r="B107" s="500" t="str">
        <f>Suite&amp;" Electrical Room "&amp;SWFive</f>
        <v>G104 Electrical Room XXX</v>
      </c>
      <c r="C107" s="499" t="str" cm="1">
        <f t="array" ref="C107">"SW" &amp; SWFive</f>
        <v>SWXXX</v>
      </c>
      <c r="D107" s="190" t="str" cm="1">
        <f t="array" ref="D107">"Apply LOTO to breaker UPS-" &amp; SWFive &amp; "2."</f>
        <v>Apply LOTO to breaker UPS-XXX2.</v>
      </c>
      <c r="E107" s="499" t="s">
        <v>1464</v>
      </c>
      <c r="F107" s="500"/>
      <c r="G107" s="519"/>
    </row>
    <row r="108" spans="1:7" ht="37.5" x14ac:dyDescent="0.25">
      <c r="A108" s="519">
        <f t="shared" si="2"/>
        <v>1183</v>
      </c>
      <c r="B108" s="500" t="str">
        <f>Suite&amp;" Electrical Room "&amp;SWFive</f>
        <v>G104 Electrical Room XXX</v>
      </c>
      <c r="C108" s="499" t="str" cm="1">
        <f t="array" ref="C108">"SW" &amp; SWFive</f>
        <v>SWXXX</v>
      </c>
      <c r="D108" s="233" t="s">
        <v>1518</v>
      </c>
      <c r="E108" s="499" t="s">
        <v>1464</v>
      </c>
      <c r="F108" s="500"/>
      <c r="G108" s="519"/>
    </row>
    <row r="109" spans="1:7" ht="56.25" x14ac:dyDescent="0.25">
      <c r="A109" s="519">
        <f t="shared" si="2"/>
        <v>1184</v>
      </c>
      <c r="B109" s="500" t="str">
        <f>Suite&amp;" Electrical Room "&amp;SWFive</f>
        <v>G104 Electrical Room XXX</v>
      </c>
      <c r="C109" s="499" t="str" cm="1">
        <f t="array" ref="C109">"UPS " &amp; SWFive &amp; "1"</f>
        <v>UPS XXX1</v>
      </c>
      <c r="D109" s="190" t="str" cm="1">
        <f t="array" ref="D109">"Verify UPS-" &amp;SWFive&amp; "1 CB1 breaker is in the ''Tripped'' position. 
Note: The CB1 breaker will automatically reset and close during system startup."</f>
        <v>Verify UPS-XXX1 CB1 breaker is in the ''Tripped'' position. 
Note: The CB1 breaker will automatically reset and close during system startup.</v>
      </c>
      <c r="E109" s="499" t="s">
        <v>1464</v>
      </c>
      <c r="F109" s="500"/>
      <c r="G109" s="519"/>
    </row>
    <row r="110" spans="1:7" ht="56.25" x14ac:dyDescent="0.25">
      <c r="A110" s="519">
        <f t="shared" si="2"/>
        <v>1185</v>
      </c>
      <c r="B110" s="500" t="str">
        <f>Suite&amp;" Electrical Room "&amp;SWFive</f>
        <v>G104 Electrical Room XXX</v>
      </c>
      <c r="C110" s="499" t="str" cm="1">
        <f t="array" ref="C110">"UPS " &amp; SWFive &amp; "2"</f>
        <v>UPS XXX2</v>
      </c>
      <c r="D110" s="190" t="str" cm="1">
        <f t="array" ref="D110">"Verify UPS-" &amp;SWFive&amp; "2 CB1 breaker is in the ''Tripped'' position. 
Note: The CB1 breaker will automatically reset and close during system startup."</f>
        <v>Verify UPS-XXX2 CB1 breaker is in the ''Tripped'' position. 
Note: The CB1 breaker will automatically reset and close during system startup.</v>
      </c>
      <c r="E110" s="499" t="s">
        <v>1464</v>
      </c>
      <c r="F110" s="500"/>
      <c r="G110" s="519"/>
    </row>
    <row r="111" spans="1:7" ht="37.5" x14ac:dyDescent="0.25">
      <c r="A111" s="519">
        <f t="shared" si="2"/>
        <v>1186</v>
      </c>
      <c r="B111" s="500" t="str">
        <f>Suite&amp;" Electrical Room "&amp;SWFive</f>
        <v>G104 Electrical Room XXX</v>
      </c>
      <c r="C111" s="499" t="str" cm="1">
        <f t="array" ref="C111">"UPS " &amp; SWFive &amp; "1"</f>
        <v>UPS XXX1</v>
      </c>
      <c r="D111" s="190" t="str" cm="1">
        <f t="array" ref="D111">"Verify UPS-" &amp;SWFive&amp; "1 Backfeed Breaker breaker is in the ''Tripped'' position."</f>
        <v>Verify UPS-XXX1 Backfeed Breaker breaker is in the ''Tripped'' position.</v>
      </c>
      <c r="E111" s="499" t="s">
        <v>1464</v>
      </c>
      <c r="F111" s="500"/>
      <c r="G111" s="519"/>
    </row>
    <row r="112" spans="1:7" ht="37.5" x14ac:dyDescent="0.25">
      <c r="A112" s="519">
        <f t="shared" si="2"/>
        <v>1187</v>
      </c>
      <c r="B112" s="500" t="str">
        <f>Suite&amp;" Electrical Room "&amp;SWFive</f>
        <v>G104 Electrical Room XXX</v>
      </c>
      <c r="C112" s="499" t="str" cm="1">
        <f t="array" ref="C112">"UPS " &amp; SWFive &amp; "1"</f>
        <v>UPS XXX1</v>
      </c>
      <c r="D112" s="233" t="str" cm="1">
        <f t="array" ref="D112">"Open UPS-" &amp;SWFive&amp; "1 Backfeed Breaker."</f>
        <v>Open UPS-XXX1 Backfeed Breaker.</v>
      </c>
      <c r="E112" s="499" t="s">
        <v>1464</v>
      </c>
      <c r="F112" s="500"/>
      <c r="G112" s="519"/>
    </row>
    <row r="113" spans="1:7" ht="37.5" x14ac:dyDescent="0.25">
      <c r="A113" s="519">
        <f t="shared" si="2"/>
        <v>1188</v>
      </c>
      <c r="B113" s="500" t="str">
        <f>Suite&amp;" Electrical Room "&amp;SWFive</f>
        <v>G104 Electrical Room XXX</v>
      </c>
      <c r="C113" s="499" t="str" cm="1">
        <f t="array" ref="C113">"UPS " &amp; SWFive &amp; "2"</f>
        <v>UPS XXX2</v>
      </c>
      <c r="D113" s="190" t="str" cm="1">
        <f t="array" ref="D113">"Verify UPS-" &amp;SWFive&amp; "2 Backfeed Breaker breaker is in the ''Tripped'' position."</f>
        <v>Verify UPS-XXX2 Backfeed Breaker breaker is in the ''Tripped'' position.</v>
      </c>
      <c r="E113" s="499" t="s">
        <v>1464</v>
      </c>
      <c r="F113" s="500"/>
      <c r="G113" s="519"/>
    </row>
    <row r="114" spans="1:7" ht="37.5" x14ac:dyDescent="0.25">
      <c r="A114" s="519">
        <f t="shared" si="2"/>
        <v>1189</v>
      </c>
      <c r="B114" s="500" t="str">
        <f>Suite&amp;" Electrical Room "&amp;SWFive</f>
        <v>G104 Electrical Room XXX</v>
      </c>
      <c r="C114" s="499" t="str" cm="1">
        <f t="array" ref="C114">"UPS " &amp; SWFive &amp; "2"</f>
        <v>UPS XXX2</v>
      </c>
      <c r="D114" s="233" t="str" cm="1">
        <f t="array" ref="D114">"Open UPS-" &amp;SWFive&amp; "2 Backfeed Breaker."</f>
        <v>Open UPS-XXX2 Backfeed Breaker.</v>
      </c>
      <c r="E114" s="499" t="s">
        <v>1464</v>
      </c>
      <c r="F114" s="500"/>
      <c r="G114" s="519"/>
    </row>
    <row r="115" spans="1:7" ht="37.5" x14ac:dyDescent="0.25">
      <c r="A115" s="519">
        <f t="shared" si="2"/>
        <v>1190</v>
      </c>
      <c r="B115" s="500" t="str">
        <f>Suite&amp;" Electrical Room "&amp;SWFive</f>
        <v>G104 Electrical Room XXX</v>
      </c>
      <c r="C115" s="499" t="str" cm="1">
        <f t="array" ref="C115">"UPS " &amp; SWFive &amp; "1"</f>
        <v>UPS XXX1</v>
      </c>
      <c r="D115" s="190" t="str" cm="1">
        <f t="array" ref="D115">"Verify UPS-" &amp;SWFive&amp; "1 CB2 breaker is in the ''Tripped'' position."</f>
        <v>Verify UPS-XXX1 CB2 breaker is in the ''Tripped'' position.</v>
      </c>
      <c r="E115" s="499" t="s">
        <v>1464</v>
      </c>
      <c r="F115" s="500"/>
      <c r="G115" s="519"/>
    </row>
    <row r="116" spans="1:7" ht="37.5" x14ac:dyDescent="0.25">
      <c r="A116" s="519">
        <f t="shared" si="2"/>
        <v>1191</v>
      </c>
      <c r="B116" s="500" t="str">
        <f>Suite&amp;" Electrical Room "&amp;SWFive</f>
        <v>G104 Electrical Room XXX</v>
      </c>
      <c r="C116" s="499" t="str" cm="1">
        <f t="array" ref="C116">"UPS " &amp; SWFive &amp; "1"</f>
        <v>UPS XXX1</v>
      </c>
      <c r="D116" s="233" t="str" cm="1">
        <f t="array" ref="D116">"Open UPS-" &amp;SWFive&amp; "1 CB2 breaker."</f>
        <v>Open UPS-XXX1 CB2 breaker.</v>
      </c>
      <c r="E116" s="499" t="s">
        <v>1464</v>
      </c>
      <c r="F116" s="500"/>
      <c r="G116" s="519"/>
    </row>
    <row r="117" spans="1:7" ht="37.5" x14ac:dyDescent="0.25">
      <c r="A117" s="519">
        <f t="shared" si="2"/>
        <v>1192</v>
      </c>
      <c r="B117" s="500" t="str">
        <f>Suite&amp;" Electrical Room "&amp;SWFive</f>
        <v>G104 Electrical Room XXX</v>
      </c>
      <c r="C117" s="499" t="str" cm="1">
        <f t="array" ref="C117">"UPS " &amp; SWFive &amp; "2"</f>
        <v>UPS XXX2</v>
      </c>
      <c r="D117" s="190" t="str" cm="1">
        <f t="array" ref="D117">"Verify UPS-" &amp;SWFive&amp; "2 CB2 breaker is in the ''Tripped'' position."</f>
        <v>Verify UPS-XXX2 CB2 breaker is in the ''Tripped'' position.</v>
      </c>
      <c r="E117" s="499" t="s">
        <v>1464</v>
      </c>
      <c r="F117" s="500"/>
      <c r="G117" s="519"/>
    </row>
    <row r="118" spans="1:7" ht="37.5" x14ac:dyDescent="0.25">
      <c r="A118" s="519">
        <f t="shared" si="2"/>
        <v>1193</v>
      </c>
      <c r="B118" s="500" t="str">
        <f>Suite&amp;" Electrical Room "&amp;SWFive</f>
        <v>G104 Electrical Room XXX</v>
      </c>
      <c r="C118" s="499" t="str" cm="1">
        <f t="array" ref="C118">"UPS " &amp; SWFive &amp; "2"</f>
        <v>UPS XXX2</v>
      </c>
      <c r="D118" s="233" t="str" cm="1">
        <f t="array" ref="D118">"Open UPS-" &amp;SWFive&amp; "2 CB2 breaker."</f>
        <v>Open UPS-XXX2 CB2 breaker.</v>
      </c>
      <c r="E118" s="499" t="s">
        <v>1464</v>
      </c>
      <c r="F118" s="500"/>
      <c r="G118" s="519"/>
    </row>
    <row r="119" spans="1:7" ht="37.5" x14ac:dyDescent="0.25">
      <c r="A119" s="519">
        <f t="shared" si="2"/>
        <v>1194</v>
      </c>
      <c r="B119" s="500" t="str">
        <f>Suite&amp;" Electrical Room "&amp;SWFive</f>
        <v>G104 Electrical Room XXX</v>
      </c>
      <c r="C119" s="499" t="str" cm="1">
        <f t="array" ref="C119">"UPS " &amp; SWFive</f>
        <v>UPS XXX</v>
      </c>
      <c r="D119" s="233" t="str" cm="1">
        <f t="array" ref="D119">"UPS SYSTEM " &amp;SWFive&amp; " is now completely offline. Critical Customer Load remains on Maintenance Bypass."</f>
        <v>UPS SYSTEM XXX is now completely offline. Critical Customer Load remains on Maintenance Bypass.</v>
      </c>
      <c r="E119" s="499" t="s">
        <v>1464</v>
      </c>
      <c r="F119" s="500"/>
      <c r="G119" s="519"/>
    </row>
    <row r="120" spans="1:7" ht="37.5" x14ac:dyDescent="0.25">
      <c r="A120" s="519">
        <f t="shared" si="2"/>
        <v>1195</v>
      </c>
      <c r="B120" s="500" t="str">
        <f>Suite&amp;" Electrical Room A"</f>
        <v>G104 Electrical Room A</v>
      </c>
      <c r="C120" s="499" t="s">
        <v>1521</v>
      </c>
      <c r="D120" s="191" t="s">
        <v>1471</v>
      </c>
      <c r="E120" s="499" t="s">
        <v>1464</v>
      </c>
      <c r="F120" s="500"/>
      <c r="G120" s="519"/>
    </row>
    <row r="121" spans="1:7" ht="37.5" x14ac:dyDescent="0.25">
      <c r="A121" s="519">
        <f t="shared" si="2"/>
        <v>1196</v>
      </c>
      <c r="B121" s="500" t="str">
        <f>Suite&amp;" Electrical Room A"</f>
        <v>G104 Electrical Room A</v>
      </c>
      <c r="C121" s="499" t="s">
        <v>1521</v>
      </c>
      <c r="D121" s="233" t="str">
        <f>"Verify the readings in step " &amp; A120 &amp; " and " &amp; A12 &amp; " are within 3% of each other. (new kW divided by original kW must be ≤1.03 and ≥0.97)."</f>
        <v>Verify the readings in step 1195 and 1087 are within 3% of each other. (new kW divided by original kW must be ≤1.03 and ≥0.97).</v>
      </c>
      <c r="E121" s="499" t="s">
        <v>1464</v>
      </c>
      <c r="F121" s="500"/>
      <c r="G121" s="519"/>
    </row>
    <row r="122" spans="1:7" ht="37.5" x14ac:dyDescent="0.25">
      <c r="A122" s="519">
        <f t="shared" si="2"/>
        <v>1197</v>
      </c>
      <c r="B122" s="500" t="str">
        <f>Suite&amp;" Electrical Room B"</f>
        <v>G104 Electrical Room B</v>
      </c>
      <c r="C122" s="499" t="s">
        <v>1522</v>
      </c>
      <c r="D122" s="191" t="s">
        <v>1477</v>
      </c>
      <c r="E122" s="499" t="s">
        <v>1464</v>
      </c>
      <c r="F122" s="500"/>
      <c r="G122" s="519"/>
    </row>
    <row r="123" spans="1:7" ht="37.5" x14ac:dyDescent="0.25">
      <c r="A123" s="519">
        <f t="shared" si="2"/>
        <v>1198</v>
      </c>
      <c r="B123" s="500" t="str">
        <f>Suite&amp;" Electrical Room B"</f>
        <v>G104 Electrical Room B</v>
      </c>
      <c r="C123" s="499" t="s">
        <v>1522</v>
      </c>
      <c r="D123" s="233" t="str">
        <f>"Verify the readings in step " &amp; A122 &amp; " and " &amp; A15 &amp; " are within 3% of each other. (new kW divided by original kW must be ≤1.03 and ≥0.97)."</f>
        <v>Verify the readings in step 1197 and 1090 are within 3% of each other. (new kW divided by original kW must be ≤1.03 and ≥0.97).</v>
      </c>
      <c r="E123" s="499" t="s">
        <v>1464</v>
      </c>
      <c r="F123" s="500"/>
      <c r="G123" s="519"/>
    </row>
    <row r="124" spans="1:7" ht="37.5" x14ac:dyDescent="0.25">
      <c r="A124" s="519">
        <f t="shared" si="2"/>
        <v>1199</v>
      </c>
      <c r="B124" s="500" t="str">
        <f>Suite&amp;" Electrical Room C"</f>
        <v>G104 Electrical Room C</v>
      </c>
      <c r="C124" s="499" t="s">
        <v>1523</v>
      </c>
      <c r="D124" s="191" t="s">
        <v>1483</v>
      </c>
      <c r="E124" s="499" t="s">
        <v>1464</v>
      </c>
      <c r="F124" s="500"/>
      <c r="G124" s="519"/>
    </row>
    <row r="125" spans="1:7" ht="37.5" x14ac:dyDescent="0.25">
      <c r="A125" s="519">
        <f t="shared" si="2"/>
        <v>1200</v>
      </c>
      <c r="B125" s="500" t="str">
        <f>Suite&amp;" Electrical Room C"</f>
        <v>G104 Electrical Room C</v>
      </c>
      <c r="C125" s="499" t="s">
        <v>1523</v>
      </c>
      <c r="D125" s="233" t="str">
        <f>"Verify the readings in step " &amp; A124 &amp; " and " &amp; A18 &amp; " are within 3% of each other. (new kW divided by original kW must be ≤1.03 and ≥0.97)."</f>
        <v>Verify the readings in step 1199 and 1093 are within 3% of each other. (new kW divided by original kW must be ≤1.03 and ≥0.97).</v>
      </c>
      <c r="E125" s="499" t="s">
        <v>1464</v>
      </c>
      <c r="F125" s="500"/>
      <c r="G125" s="519"/>
    </row>
    <row r="126" spans="1:7" ht="37.5" x14ac:dyDescent="0.25">
      <c r="A126" s="519">
        <f t="shared" si="2"/>
        <v>1201</v>
      </c>
      <c r="B126" s="500" t="str">
        <f>Suite&amp;" Electrical Room D"</f>
        <v>G104 Electrical Room D</v>
      </c>
      <c r="C126" s="499" t="s">
        <v>1524</v>
      </c>
      <c r="D126" s="191" t="s">
        <v>1489</v>
      </c>
      <c r="E126" s="499" t="s">
        <v>1464</v>
      </c>
      <c r="F126" s="500"/>
      <c r="G126" s="519"/>
    </row>
    <row r="127" spans="1:7" ht="37.5" x14ac:dyDescent="0.25">
      <c r="A127" s="519">
        <f t="shared" si="2"/>
        <v>1202</v>
      </c>
      <c r="B127" s="500" t="str">
        <f>Suite&amp;" Electrical Room D"</f>
        <v>G104 Electrical Room D</v>
      </c>
      <c r="C127" s="499" t="s">
        <v>1524</v>
      </c>
      <c r="D127" s="233" t="str">
        <f>"Verify the readings in step " &amp; A126 &amp; " and " &amp; A21 &amp; " are within 3% of each other. (new kW divided by original kW must be ≤1.03 and ≥0.97)."</f>
        <v>Verify the readings in step 1201 and 1096 are within 3% of each other. (new kW divided by original kW must be ≤1.03 and ≥0.97).</v>
      </c>
      <c r="E127" s="499" t="s">
        <v>1464</v>
      </c>
      <c r="F127" s="500"/>
      <c r="G127" s="519"/>
    </row>
    <row r="128" spans="1:7" ht="37.5" x14ac:dyDescent="0.25">
      <c r="A128" s="519">
        <f t="shared" si="2"/>
        <v>1203</v>
      </c>
      <c r="B128" s="500" t="str">
        <f>Suite&amp;" Electrical Room F"</f>
        <v>G104 Electrical Room F</v>
      </c>
      <c r="C128" s="499" t="s">
        <v>1525</v>
      </c>
      <c r="D128" s="191" t="s">
        <v>1495</v>
      </c>
      <c r="E128" s="499" t="s">
        <v>1464</v>
      </c>
      <c r="F128" s="500"/>
      <c r="G128" s="519"/>
    </row>
    <row r="129" spans="1:7" ht="37.5" x14ac:dyDescent="0.25">
      <c r="A129" s="519">
        <f t="shared" si="2"/>
        <v>1204</v>
      </c>
      <c r="B129" s="500" t="str">
        <f>Suite&amp;" Electrical Room F"</f>
        <v>G104 Electrical Room F</v>
      </c>
      <c r="C129" s="499" t="s">
        <v>1525</v>
      </c>
      <c r="D129" s="233" t="str">
        <f>"Verify the readings in step " &amp; A128 &amp; " and " &amp; A55 &amp; " are within 3% of each other. (new kW divided by original kW must be ≤1.03 and ≥0.97)."</f>
        <v>Verify the readings in step 1203 and 1130 are within 3% of each other. (new kW divided by original kW must be ≤1.03 and ≥0.97).</v>
      </c>
      <c r="E129" s="499" t="s">
        <v>1464</v>
      </c>
      <c r="F129" s="500"/>
      <c r="G129" s="519"/>
    </row>
    <row r="130" spans="1:7" ht="75" x14ac:dyDescent="0.25">
      <c r="A130" s="519">
        <f t="shared" si="2"/>
        <v>1205</v>
      </c>
      <c r="B130" s="500" t="str">
        <f>Suite&amp;" Electrical Room "&amp;SWFive</f>
        <v>G104 Electrical Room XXX</v>
      </c>
      <c r="C130" s="499" t="str" cm="1">
        <f t="array" ref="C130">"UPS " &amp; SWFive</f>
        <v>UPS XXX</v>
      </c>
      <c r="D130" s="190" t="s">
        <v>1526</v>
      </c>
      <c r="E130" s="499" t="s">
        <v>1464</v>
      </c>
      <c r="F130" s="500"/>
      <c r="G130" s="519"/>
    </row>
    <row r="131" spans="1:7" x14ac:dyDescent="0.25">
      <c r="A131" s="519">
        <f t="shared" si="2"/>
        <v>1206</v>
      </c>
      <c r="B131" s="702" t="str" cm="1">
        <f t="array" ref="B131">"Restart UPS System " &amp; SWFive</f>
        <v>Restart UPS System XXX</v>
      </c>
      <c r="C131" s="703"/>
      <c r="D131" s="703"/>
      <c r="E131" s="703"/>
      <c r="F131" s="703"/>
      <c r="G131" s="703"/>
    </row>
    <row r="132" spans="1:7" ht="37.5" x14ac:dyDescent="0.25">
      <c r="A132" s="519">
        <f t="shared" si="2"/>
        <v>1207</v>
      </c>
      <c r="B132" s="500" t="str">
        <f>Suite&amp;" Electrical Room "&amp;SWFive</f>
        <v>G104 Electrical Room XXX</v>
      </c>
      <c r="C132" s="499" t="str" cm="1">
        <f t="array" ref="C132">"UPS " &amp; SWFive</f>
        <v>UPS XXX</v>
      </c>
      <c r="D132" s="190" t="s">
        <v>1527</v>
      </c>
      <c r="E132" s="499" t="s">
        <v>1464</v>
      </c>
      <c r="F132" s="500"/>
      <c r="G132" s="519"/>
    </row>
    <row r="133" spans="1:7" ht="37.5" x14ac:dyDescent="0.25">
      <c r="A133" s="519">
        <f t="shared" si="2"/>
        <v>1208</v>
      </c>
      <c r="B133" s="500" t="str">
        <f>Suite&amp;" Electrical Room "&amp;SWFive</f>
        <v>G104 Electrical Room XXX</v>
      </c>
      <c r="C133" s="499" t="str" cm="1">
        <f t="array" ref="C133">"UPS " &amp; SWFive</f>
        <v>UPS XXX</v>
      </c>
      <c r="D133" s="190" t="s">
        <v>1528</v>
      </c>
      <c r="E133" s="499" t="s">
        <v>1464</v>
      </c>
      <c r="F133" s="500"/>
      <c r="G133" s="519"/>
    </row>
    <row r="134" spans="1:7" ht="37.5" x14ac:dyDescent="0.25">
      <c r="A134" s="519">
        <f t="shared" si="2"/>
        <v>1209</v>
      </c>
      <c r="B134" s="500" t="str">
        <f>Suite&amp;" Electrical Room "&amp;SWFive</f>
        <v>G104 Electrical Room XXX</v>
      </c>
      <c r="C134" s="499" t="str" cm="1">
        <f t="array" ref="C134">"UPS " &amp; SWFive</f>
        <v>UPS XXX</v>
      </c>
      <c r="D134" s="190" t="str" cm="1">
        <f t="array" ref="D134">"By my signature below I certify that UPS-" &amp; SWFive &amp; "1 and UPS-" &amp; SWFive &amp; "2 are ready to be returned to service."</f>
        <v>By my signature below I certify that UPS-XXX1 and UPS-XXX2 are ready to be returned to service.</v>
      </c>
      <c r="E134" s="499" t="s">
        <v>1529</v>
      </c>
      <c r="F134" s="500"/>
      <c r="G134" s="519"/>
    </row>
    <row r="135" spans="1:7" ht="37.5" x14ac:dyDescent="0.25">
      <c r="A135" s="519">
        <f t="shared" si="2"/>
        <v>1210</v>
      </c>
      <c r="B135" s="500" t="str">
        <f>Suite&amp;" Electrical Room "&amp;SWFive</f>
        <v>G104 Electrical Room XXX</v>
      </c>
      <c r="C135" s="499" t="str" cm="1">
        <f t="array" ref="C135">"UPS " &amp; SWFive</f>
        <v>UPS XXX</v>
      </c>
      <c r="D135" s="191" t="s">
        <v>1530</v>
      </c>
      <c r="E135" s="499" t="s">
        <v>1529</v>
      </c>
      <c r="F135" s="500"/>
      <c r="G135" s="519"/>
    </row>
    <row r="136" spans="1:7" ht="37.5" x14ac:dyDescent="0.25">
      <c r="A136" s="519">
        <f t="shared" si="2"/>
        <v>1211</v>
      </c>
      <c r="B136" s="500" t="str">
        <f>Suite&amp;" Electrical Room "&amp;SWFive</f>
        <v>G104 Electrical Room XXX</v>
      </c>
      <c r="C136" s="499" t="str" cm="1">
        <f t="array" ref="C136">"UP" &amp; SWFive</f>
        <v>UPXXX</v>
      </c>
      <c r="D136" s="233" t="str" cm="1">
        <f t="array" ref="D136">"Notate the kW reading at UP" &amp; SWFive &amp; " Critical Bus Panel Meter: _________"</f>
        <v>Notate the kW reading at UPXXX Critical Bus Panel Meter: _________</v>
      </c>
      <c r="E136" s="499" t="s">
        <v>1464</v>
      </c>
      <c r="F136" s="500"/>
      <c r="G136" s="519"/>
    </row>
    <row r="137" spans="1:7" ht="37.5" x14ac:dyDescent="0.25">
      <c r="A137" s="519">
        <f t="shared" si="2"/>
        <v>1212</v>
      </c>
      <c r="B137" s="500" t="str">
        <f>Suite&amp;" Electrical Room "&amp;SWFive</f>
        <v>G104 Electrical Room XXX</v>
      </c>
      <c r="C137" s="499" t="str" cm="1">
        <f t="array" ref="C137">"UP" &amp; SWFive</f>
        <v>UPXXX</v>
      </c>
      <c r="D137" s="233" t="str">
        <f>"Verify the readings in step " &amp; A136 &amp; " and " &amp; A128 &amp; " are within 3% of each other. (new kW divided by original kW must be ≤1.03 and ≥0.97)."</f>
        <v>Verify the readings in step 1211 and 1203 are within 3% of each other. (new kW divided by original kW must be ≤1.03 and ≥0.97).</v>
      </c>
      <c r="E137" s="499" t="s">
        <v>1464</v>
      </c>
      <c r="F137" s="500"/>
      <c r="G137" s="519"/>
    </row>
    <row r="138" spans="1:7" ht="37.5" x14ac:dyDescent="0.25">
      <c r="A138" s="519">
        <f t="shared" si="2"/>
        <v>1213</v>
      </c>
      <c r="B138" s="500" t="str">
        <f>Suite&amp;" Electrical Room "&amp;SWFive</f>
        <v>G104 Electrical Room XXX</v>
      </c>
      <c r="C138" s="499" t="str" cm="1">
        <f t="array" ref="C138">"SW" &amp; SWFive</f>
        <v>SWXXX</v>
      </c>
      <c r="D138" s="190" t="str" cm="1">
        <f t="array" ref="D138">"Remove LOTO from input breaker UPS-" &amp; SWFive &amp; "1."</f>
        <v>Remove LOTO from input breaker UPS-XXX1.</v>
      </c>
      <c r="E138" s="499" t="s">
        <v>1464</v>
      </c>
      <c r="F138" s="500"/>
      <c r="G138" s="519"/>
    </row>
    <row r="139" spans="1:7" ht="37.5" x14ac:dyDescent="0.25">
      <c r="A139" s="519">
        <f t="shared" si="2"/>
        <v>1214</v>
      </c>
      <c r="B139" s="500" t="str">
        <f>Suite&amp;" Electrical Room "&amp;SWFive</f>
        <v>G104 Electrical Room XXX</v>
      </c>
      <c r="C139" s="499" t="str" cm="1">
        <f t="array" ref="C139">"SW" &amp; SWFive</f>
        <v>SWXXX</v>
      </c>
      <c r="D139" s="233" t="s">
        <v>1518</v>
      </c>
      <c r="E139" s="499" t="s">
        <v>1464</v>
      </c>
      <c r="F139" s="500"/>
      <c r="G139" s="519"/>
    </row>
    <row r="140" spans="1:7" ht="37.5" x14ac:dyDescent="0.25">
      <c r="A140" s="519">
        <f t="shared" si="2"/>
        <v>1215</v>
      </c>
      <c r="B140" s="500" t="str">
        <f>Suite&amp;" Electrical Room "&amp;SWFive</f>
        <v>G104 Electrical Room XXX</v>
      </c>
      <c r="C140" s="499" t="str" cm="1">
        <f t="array" ref="C140">"SW" &amp; SWFive</f>
        <v>SWXXX</v>
      </c>
      <c r="D140" s="190" t="str" cm="1">
        <f t="array" ref="D140">"Close breaker UPS-" &amp; SWFive &amp; "1."</f>
        <v>Close breaker UPS-XXX1.</v>
      </c>
      <c r="E140" s="499" t="s">
        <v>1464</v>
      </c>
      <c r="F140" s="500"/>
      <c r="G140" s="519"/>
    </row>
    <row r="141" spans="1:7" ht="37.5" x14ac:dyDescent="0.25">
      <c r="A141" s="519">
        <f t="shared" si="2"/>
        <v>1216</v>
      </c>
      <c r="B141" s="500" t="str">
        <f>Suite&amp;" Electrical Room "&amp;SWFive</f>
        <v>G104 Electrical Room XXX</v>
      </c>
      <c r="C141" s="499" t="str" cm="1">
        <f t="array" ref="C141">"SW" &amp; SWFive</f>
        <v>SWXXX</v>
      </c>
      <c r="D141" s="190" t="str" cm="1">
        <f t="array" ref="D141">"Remove LOTO from input breaker UPS-" &amp; SWFive &amp; "2."</f>
        <v>Remove LOTO from input breaker UPS-XXX2.</v>
      </c>
      <c r="E141" s="499" t="s">
        <v>1464</v>
      </c>
      <c r="F141" s="500"/>
      <c r="G141" s="519"/>
    </row>
    <row r="142" spans="1:7" ht="37.5" x14ac:dyDescent="0.25">
      <c r="A142" s="519">
        <f t="shared" si="2"/>
        <v>1217</v>
      </c>
      <c r="B142" s="500" t="str">
        <f>Suite&amp;" Electrical Room "&amp;SWFive</f>
        <v>G104 Electrical Room XXX</v>
      </c>
      <c r="C142" s="499" t="str" cm="1">
        <f t="array" ref="C142">"SW" &amp; SWFive</f>
        <v>SWXXX</v>
      </c>
      <c r="D142" s="233" t="s">
        <v>1518</v>
      </c>
      <c r="E142" s="499" t="s">
        <v>1464</v>
      </c>
      <c r="F142" s="500"/>
      <c r="G142" s="519"/>
    </row>
    <row r="143" spans="1:7" ht="37.5" x14ac:dyDescent="0.25">
      <c r="A143" s="519">
        <f t="shared" si="2"/>
        <v>1218</v>
      </c>
      <c r="B143" s="500" t="str">
        <f>Suite&amp;" Electrical Room "&amp;SWFive</f>
        <v>G104 Electrical Room XXX</v>
      </c>
      <c r="C143" s="499" t="str" cm="1">
        <f t="array" ref="C143">"SW" &amp; SWFive</f>
        <v>SWXXX</v>
      </c>
      <c r="D143" s="190" t="str" cm="1">
        <f t="array" ref="D143">"Close breaker UPS-" &amp; SWFive &amp; "2."</f>
        <v>Close breaker UPS-XXX2.</v>
      </c>
      <c r="E143" s="499" t="s">
        <v>1464</v>
      </c>
      <c r="F143" s="500"/>
      <c r="G143" s="519"/>
    </row>
    <row r="144" spans="1:7" ht="37.5" x14ac:dyDescent="0.25">
      <c r="A144" s="519">
        <f t="shared" si="2"/>
        <v>1219</v>
      </c>
      <c r="B144" s="500" t="str">
        <f>Suite&amp;" Electrical Room "&amp;SWFive</f>
        <v>G104 Electrical Room XXX</v>
      </c>
      <c r="C144" s="499" t="str" cm="1">
        <f t="array" ref="C144">"UPS " &amp; SWFive</f>
        <v>UPS XXX</v>
      </c>
      <c r="D144" s="190" t="str" cm="1">
        <f t="array" ref="D144">"Allow time for both UPS-" &amp; SWFive &amp; "1 and UPS-" &amp; SWFive &amp; "2 module displays to boot up."</f>
        <v>Allow time for both UPS-XXX1 and UPS-XXX2 module displays to boot up.</v>
      </c>
      <c r="E144" s="499" t="s">
        <v>1464</v>
      </c>
      <c r="F144" s="500"/>
      <c r="G144" s="519"/>
    </row>
    <row r="145" spans="1:7" ht="37.5" x14ac:dyDescent="0.25">
      <c r="A145" s="519">
        <f t="shared" si="2"/>
        <v>1220</v>
      </c>
      <c r="B145" s="500" t="str">
        <f>Suite&amp;" Electrical Room "&amp;SWFive</f>
        <v>G104 Electrical Room XXX</v>
      </c>
      <c r="C145" s="499" t="str" cm="1">
        <f t="array" ref="C145">"UPS " &amp; SWFive &amp; "1"</f>
        <v>UPS XXX1</v>
      </c>
      <c r="D145" s="190" t="s">
        <v>1511</v>
      </c>
      <c r="E145" s="499" t="s">
        <v>1464</v>
      </c>
      <c r="F145" s="500"/>
      <c r="G145" s="519"/>
    </row>
    <row r="146" spans="1:7" ht="37.5" x14ac:dyDescent="0.25">
      <c r="A146" s="519">
        <f t="shared" si="2"/>
        <v>1221</v>
      </c>
      <c r="B146" s="500" t="str">
        <f>Suite&amp;" Electrical Room "&amp;SWFive</f>
        <v>G104 Electrical Room XXX</v>
      </c>
      <c r="C146" s="499" t="str" cm="1">
        <f t="array" ref="C146">"UPS " &amp; SWFive &amp; "1"</f>
        <v>UPS XXX1</v>
      </c>
      <c r="D146" s="233" t="s">
        <v>1497</v>
      </c>
      <c r="E146" s="499" t="s">
        <v>1464</v>
      </c>
      <c r="F146" s="500"/>
      <c r="G146" s="519"/>
    </row>
    <row r="147" spans="1:7" ht="37.5" x14ac:dyDescent="0.25">
      <c r="A147" s="519">
        <f t="shared" si="2"/>
        <v>1222</v>
      </c>
      <c r="B147" s="500" t="str">
        <f>Suite&amp;" Electrical Room "&amp;SWFive</f>
        <v>G104 Electrical Room XXX</v>
      </c>
      <c r="C147" s="499" t="str" cm="1">
        <f t="array" ref="C147">"UPS " &amp; SWFive &amp; "1"</f>
        <v>UPS XXX1</v>
      </c>
      <c r="D147" s="190" t="s">
        <v>1531</v>
      </c>
      <c r="E147" s="499" t="s">
        <v>1464</v>
      </c>
      <c r="F147" s="500"/>
      <c r="G147" s="519"/>
    </row>
    <row r="148" spans="1:7" ht="37.5" x14ac:dyDescent="0.25">
      <c r="A148" s="519">
        <f t="shared" si="2"/>
        <v>1223</v>
      </c>
      <c r="B148" s="500" t="str">
        <f>Suite&amp;" Electrical Room "&amp;SWFive</f>
        <v>G104 Electrical Room XXX</v>
      </c>
      <c r="C148" s="499" t="str" cm="1">
        <f t="array" ref="C148">"UPS " &amp; SWFive &amp; "1"</f>
        <v>UPS XXX1</v>
      </c>
      <c r="D148" s="190" t="s">
        <v>1532</v>
      </c>
      <c r="E148" s="499" t="s">
        <v>1464</v>
      </c>
      <c r="F148" s="500"/>
      <c r="G148" s="519"/>
    </row>
    <row r="149" spans="1:7" ht="37.5" x14ac:dyDescent="0.25">
      <c r="A149" s="519">
        <f t="shared" si="2"/>
        <v>1224</v>
      </c>
      <c r="B149" s="500" t="str">
        <f>Suite&amp;" Electrical Room "&amp;SWFive</f>
        <v>G104 Electrical Room XXX</v>
      </c>
      <c r="C149" s="499" t="str" cm="1">
        <f t="array" ref="C149">"UPS " &amp; SWFive &amp; "1"</f>
        <v>UPS XXX1</v>
      </c>
      <c r="D149" s="190" t="s">
        <v>1516</v>
      </c>
      <c r="E149" s="499" t="s">
        <v>1464</v>
      </c>
      <c r="F149" s="500"/>
      <c r="G149" s="519"/>
    </row>
    <row r="150" spans="1:7" ht="37.5" x14ac:dyDescent="0.25">
      <c r="A150" s="519">
        <f t="shared" si="2"/>
        <v>1225</v>
      </c>
      <c r="B150" s="500" t="str">
        <f>Suite&amp;" Electrical Room "&amp;SWFive</f>
        <v>G104 Electrical Room XXX</v>
      </c>
      <c r="C150" s="499" t="str" cm="1">
        <f t="array" ref="C150">"UPS " &amp; SWFive &amp; "1"</f>
        <v>UPS XXX1</v>
      </c>
      <c r="D150" s="190" t="s">
        <v>1533</v>
      </c>
      <c r="E150" s="499" t="s">
        <v>1464</v>
      </c>
      <c r="F150" s="500"/>
      <c r="G150" s="519"/>
    </row>
    <row r="151" spans="1:7" ht="56.25" x14ac:dyDescent="0.25">
      <c r="A151" s="519">
        <f t="shared" si="2"/>
        <v>1226</v>
      </c>
      <c r="B151" s="500" t="str">
        <f>Suite&amp;" Electrical Room "&amp;SWFive</f>
        <v>G104 Electrical Room XXX</v>
      </c>
      <c r="C151" s="499" t="str" cm="1">
        <f t="array" ref="C151">"UPS " &amp; SWFive &amp; "1"</f>
        <v>UPS XXX1</v>
      </c>
      <c r="D151" s="190" t="s">
        <v>4608</v>
      </c>
      <c r="E151" s="499" t="s">
        <v>1464</v>
      </c>
      <c r="F151" s="500"/>
      <c r="G151" s="519"/>
    </row>
    <row r="152" spans="1:7" ht="37.5" x14ac:dyDescent="0.25">
      <c r="A152" s="519">
        <f t="shared" si="2"/>
        <v>1227</v>
      </c>
      <c r="B152" s="500" t="str">
        <f>Suite&amp;" Electrical Room "&amp;SWFive</f>
        <v>G104 Electrical Room XXX</v>
      </c>
      <c r="C152" s="499" t="str" cm="1">
        <f t="array" ref="C152">"UPS " &amp; SWFive &amp; "1"</f>
        <v>UPS XXX1</v>
      </c>
      <c r="D152" s="190" t="s">
        <v>1534</v>
      </c>
      <c r="E152" s="499" t="s">
        <v>1464</v>
      </c>
      <c r="F152" s="500"/>
      <c r="G152" s="519"/>
    </row>
    <row r="153" spans="1:7" ht="37.5" x14ac:dyDescent="0.25">
      <c r="A153" s="519">
        <f t="shared" si="2"/>
        <v>1228</v>
      </c>
      <c r="B153" s="500" t="str">
        <f>Suite&amp;" Electrical Room "&amp;SWFive</f>
        <v>G104 Electrical Room XXX</v>
      </c>
      <c r="C153" s="499" t="str" cm="1">
        <f t="array" ref="C153">"UPS " &amp; SWFive &amp; "1"</f>
        <v>UPS XXX1</v>
      </c>
      <c r="D153" s="190" t="s">
        <v>1535</v>
      </c>
      <c r="E153" s="499" t="s">
        <v>1464</v>
      </c>
      <c r="F153" s="500"/>
      <c r="G153" s="519"/>
    </row>
    <row r="154" spans="1:7" ht="37.5" x14ac:dyDescent="0.25">
      <c r="A154" s="519">
        <f t="shared" si="2"/>
        <v>1229</v>
      </c>
      <c r="B154" s="500" t="str">
        <f>Suite&amp;" Electrical Room "&amp;SWFive</f>
        <v>G104 Electrical Room XXX</v>
      </c>
      <c r="C154" s="499" t="str" cm="1">
        <f t="array" ref="C154">"UPS " &amp; SWFive &amp; "1"</f>
        <v>UPS XXX1</v>
      </c>
      <c r="D154" s="190" t="s">
        <v>1536</v>
      </c>
      <c r="E154" s="499" t="s">
        <v>1464</v>
      </c>
      <c r="F154" s="500"/>
      <c r="G154" s="519"/>
    </row>
    <row r="155" spans="1:7" ht="37.5" x14ac:dyDescent="0.25">
      <c r="A155" s="519">
        <f t="shared" si="2"/>
        <v>1230</v>
      </c>
      <c r="B155" s="500" t="str">
        <f>Suite&amp;" Electrical Room "&amp;SWFive</f>
        <v>G104 Electrical Room XXX</v>
      </c>
      <c r="C155" s="499" t="str" cm="1">
        <f t="array" ref="C155">"UPS " &amp; SWFive &amp; "1"</f>
        <v>UPS XXX1</v>
      </c>
      <c r="D155" s="190" t="str" cm="1">
        <f t="array" ref="D155">"Remove LOTO from battery breaker for cabinet " &amp; SWFive &amp; "1-1."</f>
        <v>Remove LOTO from battery breaker for cabinet XXX1-1.</v>
      </c>
      <c r="E155" s="499" t="s">
        <v>1464</v>
      </c>
      <c r="F155" s="500"/>
      <c r="G155" s="519"/>
    </row>
    <row r="156" spans="1:7" ht="37.5" x14ac:dyDescent="0.25">
      <c r="A156" s="519">
        <f t="shared" ref="A156:A219" si="3">A155+1</f>
        <v>1231</v>
      </c>
      <c r="B156" s="500" t="str">
        <f>Suite&amp;" Electrical Room "&amp;SWFive</f>
        <v>G104 Electrical Room XXX</v>
      </c>
      <c r="C156" s="499" t="str" cm="1">
        <f t="array" ref="C156">"UPS " &amp; SWFive &amp; "1"</f>
        <v>UPS XXX1</v>
      </c>
      <c r="D156" s="233" t="s">
        <v>1518</v>
      </c>
      <c r="E156" s="499" t="s">
        <v>1464</v>
      </c>
      <c r="F156" s="500"/>
      <c r="G156" s="519"/>
    </row>
    <row r="157" spans="1:7" ht="37.5" x14ac:dyDescent="0.25">
      <c r="A157" s="519">
        <f t="shared" si="3"/>
        <v>1232</v>
      </c>
      <c r="B157" s="500" t="str">
        <f>Suite&amp;" Electrical Room "&amp;SWFive</f>
        <v>G104 Electrical Room XXX</v>
      </c>
      <c r="C157" s="499" t="str" cm="1">
        <f t="array" ref="C157">"UPS " &amp; SWFive &amp; "1"</f>
        <v>UPS XXX1</v>
      </c>
      <c r="D157" s="190" t="str" cm="1">
        <f t="array" ref="D157">"Close battery breaker for cabinet " &amp; SWFive &amp; "1-1."</f>
        <v>Close battery breaker for cabinet XXX1-1.</v>
      </c>
      <c r="E157" s="499" t="s">
        <v>1464</v>
      </c>
      <c r="F157" s="500"/>
      <c r="G157" s="519"/>
    </row>
    <row r="158" spans="1:7" ht="37.5" x14ac:dyDescent="0.25">
      <c r="A158" s="519">
        <f t="shared" si="3"/>
        <v>1233</v>
      </c>
      <c r="B158" s="500" t="str">
        <f>Suite&amp;" Electrical Room "&amp;SWFive</f>
        <v>G104 Electrical Room XXX</v>
      </c>
      <c r="C158" s="499" t="str" cm="1">
        <f t="array" ref="C158">"UPS " &amp; SWFive &amp; "1"</f>
        <v>UPS XXX1</v>
      </c>
      <c r="D158" s="190" t="str" cm="1">
        <f t="array" ref="D158">"Remove LOTO from battery breaker for cabinet " &amp; SWFive &amp; "1-2."</f>
        <v>Remove LOTO from battery breaker for cabinet XXX1-2.</v>
      </c>
      <c r="E158" s="499" t="s">
        <v>1464</v>
      </c>
      <c r="F158" s="500"/>
      <c r="G158" s="519"/>
    </row>
    <row r="159" spans="1:7" ht="37.5" x14ac:dyDescent="0.25">
      <c r="A159" s="519">
        <f t="shared" si="3"/>
        <v>1234</v>
      </c>
      <c r="B159" s="500" t="str">
        <f>Suite&amp;" Electrical Room "&amp;SWFive</f>
        <v>G104 Electrical Room XXX</v>
      </c>
      <c r="C159" s="499" t="str" cm="1">
        <f t="array" ref="C159">"UPS " &amp; SWFive &amp; "1"</f>
        <v>UPS XXX1</v>
      </c>
      <c r="D159" s="233" t="s">
        <v>1518</v>
      </c>
      <c r="E159" s="499" t="s">
        <v>1464</v>
      </c>
      <c r="F159" s="500"/>
      <c r="G159" s="519"/>
    </row>
    <row r="160" spans="1:7" ht="37.5" x14ac:dyDescent="0.25">
      <c r="A160" s="519">
        <f t="shared" si="3"/>
        <v>1235</v>
      </c>
      <c r="B160" s="500" t="str">
        <f>Suite&amp;" Electrical Room "&amp;SWFive</f>
        <v>G104 Electrical Room XXX</v>
      </c>
      <c r="C160" s="499" t="str" cm="1">
        <f t="array" ref="C160">"UPS " &amp; SWFive &amp; "1"</f>
        <v>UPS XXX1</v>
      </c>
      <c r="D160" s="190" t="str" cm="1">
        <f t="array" ref="D160">"Close battery breaker for cabinet " &amp; SWFive &amp; "1-2."</f>
        <v>Close battery breaker for cabinet XXX1-2.</v>
      </c>
      <c r="E160" s="499" t="s">
        <v>1464</v>
      </c>
      <c r="F160" s="500"/>
      <c r="G160" s="519"/>
    </row>
    <row r="161" spans="1:7" ht="37.5" x14ac:dyDescent="0.25">
      <c r="A161" s="519">
        <f t="shared" si="3"/>
        <v>1236</v>
      </c>
      <c r="B161" s="500" t="str">
        <f>Suite&amp;" Electrical Room "&amp;SWFive</f>
        <v>G104 Electrical Room XXX</v>
      </c>
      <c r="C161" s="499" t="str" cm="1">
        <f t="array" ref="C161">"UPS " &amp; SWFive &amp; "1"</f>
        <v>UPS XXX1</v>
      </c>
      <c r="D161" s="190" t="str" cm="1">
        <f t="array" ref="D161">"Remove LOTO from battery breaker for cabinet " &amp; SWFive &amp; "1-3."</f>
        <v>Remove LOTO from battery breaker for cabinet XXX1-3.</v>
      </c>
      <c r="E161" s="499" t="s">
        <v>1464</v>
      </c>
      <c r="F161" s="500"/>
      <c r="G161" s="519"/>
    </row>
    <row r="162" spans="1:7" ht="37.5" x14ac:dyDescent="0.25">
      <c r="A162" s="519">
        <f t="shared" si="3"/>
        <v>1237</v>
      </c>
      <c r="B162" s="500" t="str">
        <f>Suite&amp;" Electrical Room "&amp;SWFive</f>
        <v>G104 Electrical Room XXX</v>
      </c>
      <c r="C162" s="499" t="str" cm="1">
        <f t="array" ref="C162">"UPS " &amp; SWFive &amp; "1"</f>
        <v>UPS XXX1</v>
      </c>
      <c r="D162" s="233" t="s">
        <v>1518</v>
      </c>
      <c r="E162" s="499" t="s">
        <v>1464</v>
      </c>
      <c r="F162" s="500"/>
      <c r="G162" s="519"/>
    </row>
    <row r="163" spans="1:7" ht="37.5" x14ac:dyDescent="0.25">
      <c r="A163" s="519">
        <f t="shared" si="3"/>
        <v>1238</v>
      </c>
      <c r="B163" s="500" t="str">
        <f>Suite&amp;" Electrical Room "&amp;SWFive</f>
        <v>G104 Electrical Room XXX</v>
      </c>
      <c r="C163" s="499" t="str" cm="1">
        <f t="array" ref="C163">"UPS " &amp; SWFive &amp; "1"</f>
        <v>UPS XXX1</v>
      </c>
      <c r="D163" s="190" t="str" cm="1">
        <f t="array" ref="D163">"Close battery breaker for cabinet " &amp; SWFive &amp; "1-3."</f>
        <v>Close battery breaker for cabinet XXX1-3.</v>
      </c>
      <c r="E163" s="499" t="s">
        <v>1464</v>
      </c>
      <c r="F163" s="500"/>
      <c r="G163" s="519"/>
    </row>
    <row r="164" spans="1:7" ht="37.5" x14ac:dyDescent="0.25">
      <c r="A164" s="519">
        <f t="shared" si="3"/>
        <v>1239</v>
      </c>
      <c r="B164" s="500" t="str">
        <f>Suite&amp;" Electrical Room "&amp;SWFive</f>
        <v>G104 Electrical Room XXX</v>
      </c>
      <c r="C164" s="499" t="str" cm="1">
        <f t="array" ref="C164">"UPS " &amp; SWFive &amp; "2"</f>
        <v>UPS XXX2</v>
      </c>
      <c r="D164" s="190" t="s">
        <v>1511</v>
      </c>
      <c r="E164" s="499" t="s">
        <v>1464</v>
      </c>
      <c r="F164" s="500"/>
      <c r="G164" s="519"/>
    </row>
    <row r="165" spans="1:7" ht="37.5" x14ac:dyDescent="0.25">
      <c r="A165" s="519">
        <f t="shared" si="3"/>
        <v>1240</v>
      </c>
      <c r="B165" s="500" t="str">
        <f>Suite&amp;" Electrical Room "&amp;SWFive</f>
        <v>G104 Electrical Room XXX</v>
      </c>
      <c r="C165" s="499" t="str" cm="1">
        <f t="array" ref="C165">"UPS " &amp; SWFive &amp; "2"</f>
        <v>UPS XXX2</v>
      </c>
      <c r="D165" s="233" t="s">
        <v>1497</v>
      </c>
      <c r="E165" s="499" t="s">
        <v>1464</v>
      </c>
      <c r="F165" s="500"/>
      <c r="G165" s="519"/>
    </row>
    <row r="166" spans="1:7" ht="37.5" x14ac:dyDescent="0.25">
      <c r="A166" s="519">
        <f t="shared" si="3"/>
        <v>1241</v>
      </c>
      <c r="B166" s="500" t="str">
        <f>Suite&amp;" Electrical Room "&amp;SWFive</f>
        <v>G104 Electrical Room XXX</v>
      </c>
      <c r="C166" s="499" t="str" cm="1">
        <f t="array" ref="C166">"UPS " &amp; SWFive &amp; "2"</f>
        <v>UPS XXX2</v>
      </c>
      <c r="D166" s="190" t="s">
        <v>1531</v>
      </c>
      <c r="E166" s="499" t="s">
        <v>1464</v>
      </c>
      <c r="F166" s="500"/>
      <c r="G166" s="519"/>
    </row>
    <row r="167" spans="1:7" ht="37.5" x14ac:dyDescent="0.25">
      <c r="A167" s="519">
        <f t="shared" si="3"/>
        <v>1242</v>
      </c>
      <c r="B167" s="500" t="str">
        <f>Suite&amp;" Electrical Room "&amp;SWFive</f>
        <v>G104 Electrical Room XXX</v>
      </c>
      <c r="C167" s="499" t="str" cm="1">
        <f t="array" ref="C167">"UPS " &amp; SWFive &amp; "2"</f>
        <v>UPS XXX2</v>
      </c>
      <c r="D167" s="190" t="s">
        <v>1537</v>
      </c>
      <c r="E167" s="499" t="s">
        <v>1464</v>
      </c>
      <c r="F167" s="500"/>
      <c r="G167" s="519"/>
    </row>
    <row r="168" spans="1:7" ht="37.5" x14ac:dyDescent="0.25">
      <c r="A168" s="519">
        <f t="shared" si="3"/>
        <v>1243</v>
      </c>
      <c r="B168" s="500" t="str">
        <f>Suite&amp;" Electrical Room "&amp;SWFive</f>
        <v>G104 Electrical Room XXX</v>
      </c>
      <c r="C168" s="499" t="str" cm="1">
        <f t="array" ref="C168">"UPS " &amp; SWFive &amp; "2"</f>
        <v>UPS XXX2</v>
      </c>
      <c r="D168" s="190" t="s">
        <v>1516</v>
      </c>
      <c r="E168" s="499" t="s">
        <v>1464</v>
      </c>
      <c r="F168" s="500"/>
      <c r="G168" s="519"/>
    </row>
    <row r="169" spans="1:7" ht="37.5" x14ac:dyDescent="0.25">
      <c r="A169" s="519">
        <f t="shared" si="3"/>
        <v>1244</v>
      </c>
      <c r="B169" s="500" t="str">
        <f>Suite&amp;" Electrical Room "&amp;SWFive</f>
        <v>G104 Electrical Room XXX</v>
      </c>
      <c r="C169" s="499" t="str" cm="1">
        <f t="array" ref="C169">"UPS " &amp; SWFive &amp; "2"</f>
        <v>UPS XXX2</v>
      </c>
      <c r="D169" s="190" t="s">
        <v>1533</v>
      </c>
      <c r="E169" s="499" t="s">
        <v>1464</v>
      </c>
      <c r="F169" s="500"/>
      <c r="G169" s="519"/>
    </row>
    <row r="170" spans="1:7" ht="56.25" x14ac:dyDescent="0.25">
      <c r="A170" s="519">
        <f t="shared" si="3"/>
        <v>1245</v>
      </c>
      <c r="B170" s="500" t="str">
        <f>Suite&amp;" Electrical Room "&amp;SWFive</f>
        <v>G104 Electrical Room XXX</v>
      </c>
      <c r="C170" s="499" t="str" cm="1">
        <f t="array" ref="C170">"UPS " &amp; SWFive &amp; "2"</f>
        <v>UPS XXX2</v>
      </c>
      <c r="D170" s="190" t="s">
        <v>4608</v>
      </c>
      <c r="E170" s="499" t="s">
        <v>1464</v>
      </c>
      <c r="F170" s="500"/>
      <c r="G170" s="519"/>
    </row>
    <row r="171" spans="1:7" ht="37.5" x14ac:dyDescent="0.25">
      <c r="A171" s="519">
        <f t="shared" si="3"/>
        <v>1246</v>
      </c>
      <c r="B171" s="500" t="str">
        <f>Suite&amp;" Electrical Room "&amp;SWFive</f>
        <v>G104 Electrical Room XXX</v>
      </c>
      <c r="C171" s="499" t="str" cm="1">
        <f t="array" ref="C171">"UPS " &amp; SWFive &amp; "2"</f>
        <v>UPS XXX2</v>
      </c>
      <c r="D171" s="190" t="s">
        <v>1534</v>
      </c>
      <c r="E171" s="499" t="s">
        <v>1464</v>
      </c>
      <c r="F171" s="500"/>
      <c r="G171" s="519"/>
    </row>
    <row r="172" spans="1:7" ht="37.5" x14ac:dyDescent="0.25">
      <c r="A172" s="519">
        <f t="shared" si="3"/>
        <v>1247</v>
      </c>
      <c r="B172" s="500" t="str">
        <f>Suite&amp;" Electrical Room "&amp;SWFive</f>
        <v>G104 Electrical Room XXX</v>
      </c>
      <c r="C172" s="499" t="str" cm="1">
        <f t="array" ref="C172">"UPS " &amp; SWFive &amp; "2"</f>
        <v>UPS XXX2</v>
      </c>
      <c r="D172" s="190" t="s">
        <v>1535</v>
      </c>
      <c r="E172" s="499" t="s">
        <v>1464</v>
      </c>
      <c r="F172" s="500"/>
      <c r="G172" s="519"/>
    </row>
    <row r="173" spans="1:7" ht="37.5" x14ac:dyDescent="0.25">
      <c r="A173" s="519">
        <f t="shared" si="3"/>
        <v>1248</v>
      </c>
      <c r="B173" s="500" t="str">
        <f>Suite&amp;" Electrical Room "&amp;SWFive</f>
        <v>G104 Electrical Room XXX</v>
      </c>
      <c r="C173" s="499" t="str" cm="1">
        <f t="array" ref="C173">"UPS " &amp; SWFive &amp; "2"</f>
        <v>UPS XXX2</v>
      </c>
      <c r="D173" s="190" t="s">
        <v>1536</v>
      </c>
      <c r="E173" s="499" t="s">
        <v>1464</v>
      </c>
      <c r="F173" s="500"/>
      <c r="G173" s="519"/>
    </row>
    <row r="174" spans="1:7" ht="37.5" x14ac:dyDescent="0.25">
      <c r="A174" s="519">
        <f t="shared" si="3"/>
        <v>1249</v>
      </c>
      <c r="B174" s="500" t="str">
        <f>Suite&amp;" Electrical Room "&amp;SWFive</f>
        <v>G104 Electrical Room XXX</v>
      </c>
      <c r="C174" s="499" t="str" cm="1">
        <f t="array" ref="C174">"UPS " &amp; SWFive &amp; "2"</f>
        <v>UPS XXX2</v>
      </c>
      <c r="D174" s="190" t="str" cm="1">
        <f t="array" ref="D174">"Remove LOTO from battery breaker for cabinet " &amp; SWFive &amp; "2-1."</f>
        <v>Remove LOTO from battery breaker for cabinet XXX2-1.</v>
      </c>
      <c r="E174" s="499" t="s">
        <v>1464</v>
      </c>
      <c r="F174" s="500"/>
      <c r="G174" s="519"/>
    </row>
    <row r="175" spans="1:7" ht="37.5" x14ac:dyDescent="0.25">
      <c r="A175" s="519">
        <f t="shared" si="3"/>
        <v>1250</v>
      </c>
      <c r="B175" s="500" t="str">
        <f>Suite&amp;" Electrical Room "&amp;SWFive</f>
        <v>G104 Electrical Room XXX</v>
      </c>
      <c r="C175" s="499" t="str" cm="1">
        <f t="array" ref="C175">"UPS " &amp; SWFive &amp; "2"</f>
        <v>UPS XXX2</v>
      </c>
      <c r="D175" s="233" t="s">
        <v>1518</v>
      </c>
      <c r="E175" s="499" t="s">
        <v>1464</v>
      </c>
      <c r="F175" s="500"/>
      <c r="G175" s="519"/>
    </row>
    <row r="176" spans="1:7" ht="37.5" x14ac:dyDescent="0.25">
      <c r="A176" s="519">
        <f t="shared" si="3"/>
        <v>1251</v>
      </c>
      <c r="B176" s="500" t="str">
        <f>Suite&amp;" Electrical Room "&amp;SWFive</f>
        <v>G104 Electrical Room XXX</v>
      </c>
      <c r="C176" s="499" t="str" cm="1">
        <f t="array" ref="C176">"UPS " &amp; SWFive &amp; "2"</f>
        <v>UPS XXX2</v>
      </c>
      <c r="D176" s="190" t="str" cm="1">
        <f t="array" ref="D176">"Close battery breaker for cabinet " &amp; SWFive &amp; "2-1."</f>
        <v>Close battery breaker for cabinet XXX2-1.</v>
      </c>
      <c r="E176" s="499" t="s">
        <v>1464</v>
      </c>
      <c r="F176" s="500"/>
      <c r="G176" s="519"/>
    </row>
    <row r="177" spans="1:7" ht="37.5" x14ac:dyDescent="0.25">
      <c r="A177" s="519">
        <f t="shared" si="3"/>
        <v>1252</v>
      </c>
      <c r="B177" s="500" t="str">
        <f>Suite&amp;" Electrical Room "&amp;SWFive</f>
        <v>G104 Electrical Room XXX</v>
      </c>
      <c r="C177" s="499" t="str" cm="1">
        <f t="array" ref="C177">"UPS " &amp; SWFive &amp; "2"</f>
        <v>UPS XXX2</v>
      </c>
      <c r="D177" s="190" t="str" cm="1">
        <f t="array" ref="D177">"Remove LOTO from battery breaker for cabinet " &amp; SWFive &amp; "2-2."</f>
        <v>Remove LOTO from battery breaker for cabinet XXX2-2.</v>
      </c>
      <c r="E177" s="499" t="s">
        <v>1464</v>
      </c>
      <c r="F177" s="500"/>
      <c r="G177" s="519"/>
    </row>
    <row r="178" spans="1:7" ht="37.5" x14ac:dyDescent="0.25">
      <c r="A178" s="519">
        <f t="shared" si="3"/>
        <v>1253</v>
      </c>
      <c r="B178" s="500" t="str">
        <f>Suite&amp;" Electrical Room "&amp;SWFive</f>
        <v>G104 Electrical Room XXX</v>
      </c>
      <c r="C178" s="499" t="str" cm="1">
        <f t="array" ref="C178">"UPS " &amp; SWFive &amp; "2"</f>
        <v>UPS XXX2</v>
      </c>
      <c r="D178" s="233" t="s">
        <v>1518</v>
      </c>
      <c r="E178" s="499" t="s">
        <v>1464</v>
      </c>
      <c r="F178" s="500"/>
      <c r="G178" s="519"/>
    </row>
    <row r="179" spans="1:7" ht="37.5" x14ac:dyDescent="0.25">
      <c r="A179" s="519">
        <f t="shared" si="3"/>
        <v>1254</v>
      </c>
      <c r="B179" s="500" t="str">
        <f>Suite&amp;" Electrical Room "&amp;SWFive</f>
        <v>G104 Electrical Room XXX</v>
      </c>
      <c r="C179" s="499" t="str" cm="1">
        <f t="array" ref="C179">"UPS " &amp; SWFive &amp; "2"</f>
        <v>UPS XXX2</v>
      </c>
      <c r="D179" s="190" t="str" cm="1">
        <f t="array" ref="D179">"Close battery breaker for cabinet " &amp; SWFive &amp; "2-2."</f>
        <v>Close battery breaker for cabinet XXX2-2.</v>
      </c>
      <c r="E179" s="499" t="s">
        <v>1464</v>
      </c>
      <c r="F179" s="500"/>
      <c r="G179" s="519"/>
    </row>
    <row r="180" spans="1:7" ht="37.5" x14ac:dyDescent="0.25">
      <c r="A180" s="519">
        <f t="shared" si="3"/>
        <v>1255</v>
      </c>
      <c r="B180" s="500" t="str">
        <f>Suite&amp;" Electrical Room "&amp;SWFive</f>
        <v>G104 Electrical Room XXX</v>
      </c>
      <c r="C180" s="499" t="str" cm="1">
        <f t="array" ref="C180">"UPS " &amp; SWFive &amp; "2"</f>
        <v>UPS XXX2</v>
      </c>
      <c r="D180" s="190" t="str" cm="1">
        <f t="array" ref="D180">"Remove LOTO from battery breaker for cabinet " &amp; SWFive &amp; "2-3."</f>
        <v>Remove LOTO from battery breaker for cabinet XXX2-3.</v>
      </c>
      <c r="E180" s="499" t="s">
        <v>1464</v>
      </c>
      <c r="F180" s="500"/>
      <c r="G180" s="519"/>
    </row>
    <row r="181" spans="1:7" ht="37.5" x14ac:dyDescent="0.25">
      <c r="A181" s="519">
        <f t="shared" si="3"/>
        <v>1256</v>
      </c>
      <c r="B181" s="500" t="str">
        <f>Suite&amp;" Electrical Room "&amp;SWFive</f>
        <v>G104 Electrical Room XXX</v>
      </c>
      <c r="C181" s="499" t="str" cm="1">
        <f t="array" ref="C181">"UPS " &amp; SWFive &amp; "2"</f>
        <v>UPS XXX2</v>
      </c>
      <c r="D181" s="233" t="s">
        <v>1518</v>
      </c>
      <c r="E181" s="499" t="s">
        <v>1464</v>
      </c>
      <c r="F181" s="500"/>
      <c r="G181" s="519"/>
    </row>
    <row r="182" spans="1:7" ht="37.5" x14ac:dyDescent="0.25">
      <c r="A182" s="519">
        <f t="shared" si="3"/>
        <v>1257</v>
      </c>
      <c r="B182" s="500" t="str">
        <f>Suite&amp;" Electrical Room "&amp;SWFive</f>
        <v>G104 Electrical Room XXX</v>
      </c>
      <c r="C182" s="499" t="str" cm="1">
        <f t="array" ref="C182">"UPS " &amp; SWFive &amp; "2"</f>
        <v>UPS XXX2</v>
      </c>
      <c r="D182" s="190" t="str" cm="1">
        <f t="array" ref="D182">"Close battery breaker for cabinet " &amp; SWFive &amp; "2-3."</f>
        <v>Close battery breaker for cabinet XXX2-3.</v>
      </c>
      <c r="E182" s="499" t="s">
        <v>1464</v>
      </c>
      <c r="F182" s="500"/>
      <c r="G182" s="519"/>
    </row>
    <row r="183" spans="1:7" ht="37.5" x14ac:dyDescent="0.25">
      <c r="A183" s="519">
        <f t="shared" si="3"/>
        <v>1258</v>
      </c>
      <c r="B183" s="500" t="str">
        <f>Suite&amp;" Electrical Room "&amp;SWFive</f>
        <v>G104 Electrical Room XXX</v>
      </c>
      <c r="C183" s="499" t="str" cm="1">
        <f t="array" ref="C183">"UP" &amp; SWFive</f>
        <v>UPXXX</v>
      </c>
      <c r="D183" s="190" t="str" cm="1">
        <f t="array" ref="D183">"Remove LOTO from DP-" &amp; SWFive &amp; "1 breaker (MOB)."</f>
        <v>Remove LOTO from DP-XXX1 breaker (MOB).</v>
      </c>
      <c r="E183" s="499" t="s">
        <v>1464</v>
      </c>
      <c r="F183" s="500"/>
      <c r="G183" s="519"/>
    </row>
    <row r="184" spans="1:7" ht="37.5" x14ac:dyDescent="0.25">
      <c r="A184" s="519">
        <f t="shared" si="3"/>
        <v>1259</v>
      </c>
      <c r="B184" s="500" t="str">
        <f>Suite&amp;" Electrical Room "&amp;SWFive</f>
        <v>G104 Electrical Room XXX</v>
      </c>
      <c r="C184" s="499" t="str" cm="1">
        <f t="array" ref="C184">"UP" &amp; SWFive</f>
        <v>UPXXX</v>
      </c>
      <c r="D184" s="233" t="s">
        <v>1518</v>
      </c>
      <c r="E184" s="499" t="s">
        <v>1464</v>
      </c>
      <c r="F184" s="500"/>
      <c r="G184" s="519"/>
    </row>
    <row r="185" spans="1:7" ht="37.5" x14ac:dyDescent="0.25">
      <c r="A185" s="519">
        <f t="shared" si="3"/>
        <v>1260</v>
      </c>
      <c r="B185" s="500" t="str">
        <f>Suite&amp;" Electrical Room "&amp;SWFive</f>
        <v>G104 Electrical Room XXX</v>
      </c>
      <c r="C185" s="499" t="str" cm="1">
        <f t="array" ref="C185">"UP" &amp; SWFive</f>
        <v>UPXXX</v>
      </c>
      <c r="D185" s="190" t="str" cm="1">
        <f t="array" ref="D185">"Remove LOTO from DP-" &amp; SWFive &amp; "2 breaker (MOB)."</f>
        <v>Remove LOTO from DP-XXX2 breaker (MOB).</v>
      </c>
      <c r="E185" s="499" t="s">
        <v>1464</v>
      </c>
      <c r="F185" s="500"/>
      <c r="G185" s="519"/>
    </row>
    <row r="186" spans="1:7" ht="37.5" x14ac:dyDescent="0.25">
      <c r="A186" s="519">
        <f t="shared" si="3"/>
        <v>1261</v>
      </c>
      <c r="B186" s="500" t="str">
        <f>Suite&amp;" Electrical Room "&amp;SWFive</f>
        <v>G104 Electrical Room XXX</v>
      </c>
      <c r="C186" s="499" t="str" cm="1">
        <f t="array" ref="C186">"UP" &amp; SWFive</f>
        <v>UPXXX</v>
      </c>
      <c r="D186" s="233" t="s">
        <v>1518</v>
      </c>
      <c r="E186" s="499" t="s">
        <v>1464</v>
      </c>
      <c r="F186" s="500"/>
      <c r="G186" s="519"/>
    </row>
    <row r="187" spans="1:7" ht="37.5" x14ac:dyDescent="0.25">
      <c r="A187" s="519">
        <f t="shared" si="3"/>
        <v>1262</v>
      </c>
      <c r="B187" s="500" t="str">
        <f>Suite&amp;" Electrical Room "&amp;SWFive</f>
        <v>G104 Electrical Room XXX</v>
      </c>
      <c r="C187" s="499" t="str" cm="1">
        <f t="array" ref="C187">"UPS " &amp; SWFive &amp; "1"</f>
        <v>UPS XXX1</v>
      </c>
      <c r="D187" s="190" t="s">
        <v>1538</v>
      </c>
      <c r="E187" s="499" t="s">
        <v>1464</v>
      </c>
      <c r="F187" s="500"/>
      <c r="G187" s="519"/>
    </row>
    <row r="188" spans="1:7" ht="37.5" x14ac:dyDescent="0.25">
      <c r="A188" s="519">
        <f t="shared" si="3"/>
        <v>1263</v>
      </c>
      <c r="B188" s="500" t="str">
        <f>Suite&amp;" Electrical Room "&amp;SWFive</f>
        <v>G104 Electrical Room XXX</v>
      </c>
      <c r="C188" s="499" t="str" cm="1">
        <f t="array" ref="C188">"UP" &amp; SWFive</f>
        <v>UPXXX</v>
      </c>
      <c r="D188" s="190" t="str" cm="1">
        <f t="array" ref="D188">"Close DP-" &amp; SWFive &amp; "1 breaker."</f>
        <v>Close DP-XXX1 breaker.</v>
      </c>
      <c r="E188" s="499" t="s">
        <v>1464</v>
      </c>
      <c r="F188" s="500"/>
      <c r="G188" s="519"/>
    </row>
    <row r="189" spans="1:7" ht="37.5" x14ac:dyDescent="0.25">
      <c r="A189" s="519">
        <f t="shared" si="3"/>
        <v>1264</v>
      </c>
      <c r="B189" s="500" t="str">
        <f>Suite&amp;" Electrical Room "&amp;SWFive</f>
        <v>G104 Electrical Room XXX</v>
      </c>
      <c r="C189" s="499" t="str" cm="1">
        <f t="array" ref="C189">"UP" &amp; SWFive</f>
        <v>UPXXX</v>
      </c>
      <c r="D189" s="190" t="str" cm="1">
        <f t="array" ref="D189">"Close DP-" &amp; SWFive &amp; "2 breaker."</f>
        <v>Close DP-XXX2 breaker.</v>
      </c>
      <c r="E189" s="499" t="s">
        <v>1464</v>
      </c>
      <c r="F189" s="500"/>
      <c r="G189" s="519"/>
    </row>
    <row r="190" spans="1:7" ht="37.5" x14ac:dyDescent="0.25">
      <c r="A190" s="519">
        <f t="shared" si="3"/>
        <v>1265</v>
      </c>
      <c r="B190" s="500" t="str">
        <f>Suite&amp;" Electrical Room "&amp;SWFive</f>
        <v>G104 Electrical Room XXX</v>
      </c>
      <c r="C190" s="499" t="str" cm="1">
        <f t="array" ref="C190">"UPS " &amp; SWFive &amp; "1"</f>
        <v>UPS XXX1</v>
      </c>
      <c r="D190" s="190" t="s">
        <v>1539</v>
      </c>
      <c r="E190" s="499" t="s">
        <v>1464</v>
      </c>
      <c r="F190" s="500"/>
      <c r="G190" s="519"/>
    </row>
    <row r="191" spans="1:7" ht="37.5" x14ac:dyDescent="0.25">
      <c r="A191" s="519">
        <f t="shared" si="3"/>
        <v>1266</v>
      </c>
      <c r="B191" s="500" t="str">
        <f>Suite&amp;" Electrical Room "&amp;SWFive</f>
        <v>G104 Electrical Room XXX</v>
      </c>
      <c r="C191" s="499" t="str" cm="1">
        <f t="array" ref="C191">"UPS " &amp; SWFive &amp; "1"</f>
        <v>UPS XXX1</v>
      </c>
      <c r="D191" s="190" t="s">
        <v>1540</v>
      </c>
      <c r="E191" s="499" t="s">
        <v>1464</v>
      </c>
      <c r="F191" s="500"/>
      <c r="G191" s="519"/>
    </row>
    <row r="192" spans="1:7" ht="37.5" x14ac:dyDescent="0.25">
      <c r="A192" s="519">
        <f t="shared" si="3"/>
        <v>1267</v>
      </c>
      <c r="B192" s="500" t="str">
        <f>Suite&amp;" Electrical Room "&amp;SWFive</f>
        <v>G104 Electrical Room XXX</v>
      </c>
      <c r="C192" s="499" t="str" cm="1">
        <f t="array" ref="C192">"UPS " &amp; SWFive &amp; "1"</f>
        <v>UPS XXX1</v>
      </c>
      <c r="D192" s="190" t="s">
        <v>1541</v>
      </c>
      <c r="E192" s="499" t="s">
        <v>1464</v>
      </c>
      <c r="F192" s="500"/>
      <c r="G192" s="519"/>
    </row>
    <row r="193" spans="1:7" ht="37.5" x14ac:dyDescent="0.25">
      <c r="A193" s="519">
        <f t="shared" si="3"/>
        <v>1268</v>
      </c>
      <c r="B193" s="500" t="str">
        <f>Suite&amp;" Electrical Room "&amp;SWFive</f>
        <v>G104 Electrical Room XXX</v>
      </c>
      <c r="C193" s="499" t="str" cm="1">
        <f t="array" ref="C193">"UPS " &amp; SWFive</f>
        <v>UPS XXX</v>
      </c>
      <c r="D193" s="190" t="str" cm="1">
        <f t="array" ref="D193">"When prompted, close the CB2 breaker on module DP-"&amp;SWFive&amp;"1."</f>
        <v>When prompted, close the CB2 breaker on module DP-XXX1.</v>
      </c>
      <c r="E193" s="499" t="s">
        <v>1464</v>
      </c>
      <c r="F193" s="500"/>
      <c r="G193" s="519"/>
    </row>
    <row r="194" spans="1:7" ht="37.5" x14ac:dyDescent="0.25">
      <c r="A194" s="519">
        <f t="shared" si="3"/>
        <v>1269</v>
      </c>
      <c r="B194" s="500" t="str">
        <f>Suite&amp;" Electrical Room "&amp;SWFive</f>
        <v>G104 Electrical Room XXX</v>
      </c>
      <c r="C194" s="499" t="str" cm="1">
        <f t="array" ref="C194">"UPS " &amp; SWFive</f>
        <v>UPS XXX</v>
      </c>
      <c r="D194" s="190" t="str" cm="1">
        <f t="array" ref="D194">"When prompted, close the CB2 breaker on module DP-"&amp;SWFive&amp;"2."</f>
        <v>When prompted, close the CB2 breaker on module DP-XXX2.</v>
      </c>
      <c r="E194" s="499" t="s">
        <v>1464</v>
      </c>
      <c r="F194" s="500"/>
      <c r="G194" s="519"/>
    </row>
    <row r="195" spans="1:7" ht="37.5" x14ac:dyDescent="0.25">
      <c r="A195" s="519">
        <f t="shared" si="3"/>
        <v>1270</v>
      </c>
      <c r="B195" s="500" t="str">
        <f>Suite&amp;" Electrical Room "&amp;SWFive</f>
        <v>G104 Electrical Room XXX</v>
      </c>
      <c r="C195" s="499" t="str" cm="1">
        <f t="array" ref="C195">"UPS " &amp; SWFive &amp; "1"</f>
        <v>UPS XXX1</v>
      </c>
      <c r="D195" s="190" t="str" cm="1">
        <f t="array" ref="D195">"Close UPS-" &amp; SWFive &amp; "1 CB2 breaker."</f>
        <v>Close UPS-XXX1 CB2 breaker.</v>
      </c>
      <c r="E195" s="499" t="s">
        <v>1464</v>
      </c>
      <c r="F195" s="500"/>
      <c r="G195" s="519"/>
    </row>
    <row r="196" spans="1:7" ht="37.5" x14ac:dyDescent="0.25">
      <c r="A196" s="519">
        <f t="shared" si="3"/>
        <v>1271</v>
      </c>
      <c r="B196" s="500" t="str">
        <f>Suite&amp;" Electrical Room "&amp;SWFive</f>
        <v>G104 Electrical Room XXX</v>
      </c>
      <c r="C196" s="499" t="str" cm="1">
        <f t="array" ref="C196">"UPS " &amp; SWFive &amp; "2"</f>
        <v>UPS XXX2</v>
      </c>
      <c r="D196" s="190" t="str" cm="1">
        <f t="array" ref="D196">"Close UPS-" &amp; SWFive &amp; "2 CB2 breaker."</f>
        <v>Close UPS-XXX2 CB2 breaker.</v>
      </c>
      <c r="E196" s="499" t="s">
        <v>1464</v>
      </c>
      <c r="F196" s="500"/>
      <c r="G196" s="519"/>
    </row>
    <row r="197" spans="1:7" ht="37.5" x14ac:dyDescent="0.25">
      <c r="A197" s="519">
        <f t="shared" si="3"/>
        <v>1272</v>
      </c>
      <c r="B197" s="500" t="str">
        <f>Suite&amp;" Electrical Room "&amp;SWFive</f>
        <v>G104 Electrical Room XXX</v>
      </c>
      <c r="C197" s="499" t="str" cm="1">
        <f t="array" ref="C197">"UPS " &amp; SWFive &amp; "1"</f>
        <v>UPS XXX1</v>
      </c>
      <c r="D197" s="190" t="s">
        <v>1542</v>
      </c>
      <c r="E197" s="499" t="s">
        <v>1464</v>
      </c>
      <c r="F197" s="500"/>
      <c r="G197" s="519"/>
    </row>
    <row r="198" spans="1:7" ht="37.5" x14ac:dyDescent="0.25">
      <c r="A198" s="519">
        <f t="shared" si="3"/>
        <v>1273</v>
      </c>
      <c r="B198" s="500" t="str">
        <f>Suite&amp;" Electrical Room "&amp;SWFive</f>
        <v>G104 Electrical Room XXX</v>
      </c>
      <c r="C198" s="499" t="str" cm="1">
        <f t="array" ref="C198">"UPS " &amp; SWFive &amp; "1"</f>
        <v>UPS XXX1</v>
      </c>
      <c r="D198" s="190" t="s">
        <v>1543</v>
      </c>
      <c r="E198" s="499" t="s">
        <v>1464</v>
      </c>
      <c r="F198" s="500"/>
      <c r="G198" s="519"/>
    </row>
    <row r="199" spans="1:7" ht="37.5" x14ac:dyDescent="0.25">
      <c r="A199" s="519">
        <f t="shared" si="3"/>
        <v>1274</v>
      </c>
      <c r="B199" s="500" t="str">
        <f>Suite&amp;" Electrical Room "&amp;SWFive</f>
        <v>G104 Electrical Room XXX</v>
      </c>
      <c r="C199" s="499" t="str" cm="1">
        <f t="array" ref="C199">"UPS " &amp; SWFive &amp; "1"</f>
        <v>UPS XXX1</v>
      </c>
      <c r="D199" s="190" t="s">
        <v>1544</v>
      </c>
      <c r="E199" s="499" t="s">
        <v>1464</v>
      </c>
      <c r="F199" s="500"/>
      <c r="G199" s="519"/>
    </row>
    <row r="200" spans="1:7" ht="37.5" x14ac:dyDescent="0.25">
      <c r="A200" s="519">
        <f t="shared" si="3"/>
        <v>1275</v>
      </c>
      <c r="B200" s="500" t="str">
        <f>Suite&amp;" Electrical Room "&amp;SWFive</f>
        <v>G104 Electrical Room XXX</v>
      </c>
      <c r="C200" s="499" t="str" cm="1">
        <f t="array" ref="C200">"UPS " &amp; SWFive &amp; "1"</f>
        <v>UPS XXX1</v>
      </c>
      <c r="D200" s="190" t="s">
        <v>1545</v>
      </c>
      <c r="E200" s="499" t="s">
        <v>1464</v>
      </c>
      <c r="F200" s="500"/>
      <c r="G200" s="519"/>
    </row>
    <row r="201" spans="1:7" ht="37.5" x14ac:dyDescent="0.25">
      <c r="A201" s="519">
        <f t="shared" si="3"/>
        <v>1276</v>
      </c>
      <c r="B201" s="500" t="str">
        <f>Suite&amp;" Electrical Room "&amp;SWFive</f>
        <v>G104 Electrical Room XXX</v>
      </c>
      <c r="C201" s="499" t="str" cm="1">
        <f t="array" ref="C201">"UPS " &amp; SWFive &amp; "1"</f>
        <v>UPS XXX1</v>
      </c>
      <c r="D201" s="190" t="s">
        <v>1546</v>
      </c>
      <c r="E201" s="499" t="s">
        <v>1464</v>
      </c>
      <c r="F201" s="500"/>
      <c r="G201" s="519"/>
    </row>
    <row r="202" spans="1:7" ht="37.5" x14ac:dyDescent="0.25">
      <c r="A202" s="519">
        <f t="shared" si="3"/>
        <v>1277</v>
      </c>
      <c r="B202" s="500" t="str">
        <f>Suite&amp;" Electrical Room "&amp;SWFive</f>
        <v>G104 Electrical Room XXX</v>
      </c>
      <c r="C202" s="499" t="str" cm="1">
        <f t="array" ref="C202">"UPS " &amp; SWFive &amp; "1"</f>
        <v>UPS XXX1</v>
      </c>
      <c r="D202" s="190" t="s">
        <v>1511</v>
      </c>
      <c r="E202" s="499" t="s">
        <v>1464</v>
      </c>
      <c r="F202" s="500"/>
      <c r="G202" s="519"/>
    </row>
    <row r="203" spans="1:7" ht="37.5" x14ac:dyDescent="0.25">
      <c r="A203" s="519">
        <f t="shared" si="3"/>
        <v>1278</v>
      </c>
      <c r="B203" s="500" t="str">
        <f>Suite&amp;" Electrical Room "&amp;SWFive</f>
        <v>G104 Electrical Room XXX</v>
      </c>
      <c r="C203" s="499" t="str" cm="1">
        <f t="array" ref="C203">"UPS " &amp; SWFive &amp; "1"</f>
        <v>UPS XXX1</v>
      </c>
      <c r="D203" s="190" t="s">
        <v>1498</v>
      </c>
      <c r="E203" s="499" t="s">
        <v>1464</v>
      </c>
      <c r="F203" s="500"/>
      <c r="G203" s="519"/>
    </row>
    <row r="204" spans="1:7" ht="37.5" x14ac:dyDescent="0.25">
      <c r="A204" s="519">
        <f t="shared" si="3"/>
        <v>1279</v>
      </c>
      <c r="B204" s="500" t="str">
        <f>Suite&amp;" Electrical Room "&amp;SWFive</f>
        <v>G104 Electrical Room XXX</v>
      </c>
      <c r="C204" s="499" t="str" cm="1">
        <f t="array" ref="C204">"UPS " &amp; SWFive &amp; "1"</f>
        <v>UPS XXX1</v>
      </c>
      <c r="D204" s="190" t="s">
        <v>1547</v>
      </c>
      <c r="E204" s="499" t="s">
        <v>1464</v>
      </c>
      <c r="F204" s="500"/>
      <c r="G204" s="519"/>
    </row>
    <row r="205" spans="1:7" ht="37.5" x14ac:dyDescent="0.25">
      <c r="A205" s="519">
        <f t="shared" si="3"/>
        <v>1280</v>
      </c>
      <c r="B205" s="500" t="str">
        <f>Suite&amp;" Electrical Room "&amp;SWFive</f>
        <v>G104 Electrical Room XXX</v>
      </c>
      <c r="C205" s="499" t="str" cm="1">
        <f t="array" ref="C205">"UPS " &amp; SWFive &amp; "1"</f>
        <v>UPS XXX1</v>
      </c>
      <c r="D205" s="190" t="s">
        <v>1548</v>
      </c>
      <c r="E205" s="499" t="s">
        <v>1464</v>
      </c>
      <c r="F205" s="500"/>
      <c r="G205" s="519"/>
    </row>
    <row r="206" spans="1:7" ht="37.5" x14ac:dyDescent="0.25">
      <c r="A206" s="519">
        <f t="shared" si="3"/>
        <v>1281</v>
      </c>
      <c r="B206" s="500" t="str">
        <f>Suite&amp;" Electrical Room "&amp;SWFive</f>
        <v>G104 Electrical Room XXX</v>
      </c>
      <c r="C206" s="499" t="str" cm="1">
        <f t="array" ref="C206">"UPS " &amp; SWFive &amp; "1"</f>
        <v>UPS XXX1</v>
      </c>
      <c r="D206" s="190" t="s">
        <v>1544</v>
      </c>
      <c r="E206" s="499" t="s">
        <v>1464</v>
      </c>
      <c r="F206" s="500"/>
      <c r="G206" s="519"/>
    </row>
    <row r="207" spans="1:7" ht="37.5" x14ac:dyDescent="0.25">
      <c r="A207" s="519">
        <f t="shared" si="3"/>
        <v>1282</v>
      </c>
      <c r="B207" s="500" t="str">
        <f>Suite&amp;" Electrical Room "&amp;SWFive</f>
        <v>G104 Electrical Room XXX</v>
      </c>
      <c r="C207" s="499" t="str" cm="1">
        <f t="array" ref="C207">"UPS " &amp; SWFive &amp; "1"</f>
        <v>UPS XXX1</v>
      </c>
      <c r="D207" s="190" t="s">
        <v>1545</v>
      </c>
      <c r="E207" s="499" t="s">
        <v>1464</v>
      </c>
      <c r="F207" s="500"/>
      <c r="G207" s="519"/>
    </row>
    <row r="208" spans="1:7" ht="37.5" x14ac:dyDescent="0.25">
      <c r="A208" s="519">
        <f t="shared" si="3"/>
        <v>1283</v>
      </c>
      <c r="B208" s="500" t="str">
        <f>Suite&amp;" Electrical Room "&amp;SWFive</f>
        <v>G104 Electrical Room XXX</v>
      </c>
      <c r="C208" s="499" t="str" cm="1">
        <f t="array" ref="C208">"UPS " &amp; SWFive</f>
        <v>UPS XXX</v>
      </c>
      <c r="D208" s="190" t="s">
        <v>1549</v>
      </c>
      <c r="E208" s="499" t="s">
        <v>1464</v>
      </c>
      <c r="F208" s="500"/>
      <c r="G208" s="519"/>
    </row>
    <row r="209" spans="1:7" ht="37.5" x14ac:dyDescent="0.25">
      <c r="A209" s="519">
        <f t="shared" si="3"/>
        <v>1284</v>
      </c>
      <c r="B209" s="500" t="str">
        <f>Suite&amp;" Electrical Room "&amp;SWFive</f>
        <v>G104 Electrical Room XXX</v>
      </c>
      <c r="C209" s="499" t="str" cm="1">
        <f t="array" ref="C209">"UPS " &amp; SWFive</f>
        <v>UPS XXX</v>
      </c>
      <c r="D209" s="190" t="s">
        <v>1550</v>
      </c>
      <c r="E209" s="499" t="s">
        <v>1464</v>
      </c>
      <c r="F209" s="500"/>
      <c r="G209" s="519"/>
    </row>
    <row r="210" spans="1:7" ht="37.5" x14ac:dyDescent="0.25">
      <c r="A210" s="519">
        <f t="shared" si="3"/>
        <v>1285</v>
      </c>
      <c r="B210" s="500" t="str">
        <f>Suite&amp;" Electrical Room "&amp;SWFive</f>
        <v>G104 Electrical Room XXX</v>
      </c>
      <c r="C210" s="499" t="str" cm="1">
        <f t="array" ref="C210">"UPS " &amp; SWFive</f>
        <v>UPS XXX</v>
      </c>
      <c r="D210" s="233" t="str" cm="1">
        <f t="array" ref="D210">"UPS SYSTEM " &amp;SWFive&amp;" is now in Static Bypass. Critical customer loads remains on maintenance bypass."</f>
        <v>UPS SYSTEM XXX is now in Static Bypass. Critical customer loads remains on maintenance bypass.</v>
      </c>
      <c r="E210" s="499" t="s">
        <v>1464</v>
      </c>
      <c r="F210" s="500"/>
      <c r="G210" s="519"/>
    </row>
    <row r="211" spans="1:7" ht="37.5" x14ac:dyDescent="0.25">
      <c r="A211" s="519">
        <f t="shared" si="3"/>
        <v>1286</v>
      </c>
      <c r="B211" s="500" t="str">
        <f>Suite&amp;" Electrical Room "&amp;SWFive</f>
        <v>G104 Electrical Room XXX</v>
      </c>
      <c r="C211" s="499" t="str" cm="1">
        <f t="array" ref="C211">"UP" &amp; SWFive</f>
        <v>UPXXX</v>
      </c>
      <c r="D211" s="233" t="str" cm="1">
        <f t="array" ref="D211">"Notate the kW reading at UP" &amp; SWFive &amp; " Critical Bus Panel Meter: _________"</f>
        <v>Notate the kW reading at UPXXX Critical Bus Panel Meter: _________</v>
      </c>
      <c r="E211" s="499" t="s">
        <v>1464</v>
      </c>
      <c r="F211" s="500"/>
      <c r="G211" s="519"/>
    </row>
    <row r="212" spans="1:7" ht="37.5" x14ac:dyDescent="0.25">
      <c r="A212" s="519">
        <f t="shared" si="3"/>
        <v>1287</v>
      </c>
      <c r="B212" s="500" t="str">
        <f>Suite&amp;" Electrical Room "&amp;SWFive</f>
        <v>G104 Electrical Room XXX</v>
      </c>
      <c r="C212" s="499" t="str" cm="1">
        <f t="array" ref="C212">"UP" &amp; SWFive</f>
        <v>UPXXX</v>
      </c>
      <c r="D212" s="233" t="str">
        <f>"Verify the readings in step " &amp; A211 &amp; " and " &amp; A136 &amp; " are within 3% of each other. (new kW divided by original kW must be ≤1.03 and ≥0.97)."</f>
        <v>Verify the readings in step 1286 and 1211 are within 3% of each other. (new kW divided by original kW must be ≤1.03 and ≥0.97).</v>
      </c>
      <c r="E212" s="499" t="s">
        <v>1464</v>
      </c>
      <c r="F212" s="500"/>
      <c r="G212" s="519"/>
    </row>
    <row r="213" spans="1:7" x14ac:dyDescent="0.25">
      <c r="A213" s="519">
        <f t="shared" si="3"/>
        <v>1288</v>
      </c>
      <c r="B213" s="702" t="s">
        <v>1551</v>
      </c>
      <c r="C213" s="703"/>
      <c r="D213" s="703"/>
      <c r="E213" s="703"/>
      <c r="F213" s="703"/>
      <c r="G213" s="703"/>
    </row>
    <row r="214" spans="1:7" ht="37.5" x14ac:dyDescent="0.25">
      <c r="A214" s="519">
        <f t="shared" si="3"/>
        <v>1289</v>
      </c>
      <c r="B214" s="500" t="str">
        <f>Suite&amp;" Electrical Room "&amp;SWFive</f>
        <v>G104 Electrical Room XXX</v>
      </c>
      <c r="C214" s="499" t="str" cm="1">
        <f t="array" ref="C214">"UP" &amp; SWFive</f>
        <v>UPXXX</v>
      </c>
      <c r="D214" s="233" t="s">
        <v>1503</v>
      </c>
      <c r="E214" s="499" t="s">
        <v>1464</v>
      </c>
      <c r="F214" s="502"/>
      <c r="G214" s="503" t="s">
        <v>1519</v>
      </c>
    </row>
    <row r="215" spans="1:7" ht="37.5" x14ac:dyDescent="0.25">
      <c r="A215" s="519">
        <f t="shared" si="3"/>
        <v>1290</v>
      </c>
      <c r="B215" s="500" t="str">
        <f>Suite&amp;" Electrical Room "&amp;SWFive</f>
        <v>G104 Electrical Room XXX</v>
      </c>
      <c r="C215" s="499" t="str" cm="1">
        <f t="array" ref="C215">"UP" &amp; SWFive</f>
        <v>UPXXX</v>
      </c>
      <c r="D215" s="233" t="s">
        <v>1552</v>
      </c>
      <c r="E215" s="499" t="s">
        <v>1464</v>
      </c>
      <c r="F215" s="502"/>
      <c r="G215" s="503" t="s">
        <v>1519</v>
      </c>
    </row>
    <row r="216" spans="1:7" ht="37.5" x14ac:dyDescent="0.25">
      <c r="A216" s="519">
        <f t="shared" si="3"/>
        <v>1291</v>
      </c>
      <c r="B216" s="500" t="str">
        <f>Suite&amp;" Electrical Room "&amp;SWFive</f>
        <v>G104 Electrical Room XXX</v>
      </c>
      <c r="C216" s="499" t="str" cm="1">
        <f t="array" ref="C216">"UP" &amp; SWFive</f>
        <v>UPXXX</v>
      </c>
      <c r="D216" s="233" t="s">
        <v>1505</v>
      </c>
      <c r="E216" s="499" t="s">
        <v>1464</v>
      </c>
      <c r="F216" s="502"/>
      <c r="G216" s="503" t="s">
        <v>1519</v>
      </c>
    </row>
    <row r="217" spans="1:7" ht="37.5" x14ac:dyDescent="0.25">
      <c r="A217" s="519">
        <f t="shared" si="3"/>
        <v>1292</v>
      </c>
      <c r="B217" s="500" t="str">
        <f>Suite&amp;" Electrical Room "&amp;SWFive</f>
        <v>G104 Electrical Room XXX</v>
      </c>
      <c r="C217" s="499" t="str" cm="1">
        <f t="array" ref="C217">"UP" &amp; SWFive</f>
        <v>UPXXX</v>
      </c>
      <c r="D217" s="233" t="str" cm="1">
        <f t="array" ref="D217">"Insert the interlock key into the MCBUP" &amp; SWFive &amp; " breaker lock cylinder."</f>
        <v>Insert the interlock key into the MCBUPXXX breaker lock cylinder.</v>
      </c>
      <c r="E217" s="499" t="s">
        <v>1464</v>
      </c>
      <c r="F217" s="502"/>
      <c r="G217" s="503" t="s">
        <v>1519</v>
      </c>
    </row>
    <row r="218" spans="1:7" ht="37.5" x14ac:dyDescent="0.25">
      <c r="A218" s="519">
        <f t="shared" si="3"/>
        <v>1293</v>
      </c>
      <c r="B218" s="500" t="str">
        <f>Suite&amp;" Electrical Room "&amp;SWFive</f>
        <v>G104 Electrical Room XXX</v>
      </c>
      <c r="C218" s="499" t="str" cm="1">
        <f t="array" ref="C218">"UP" &amp; SWFive</f>
        <v>UPXXX</v>
      </c>
      <c r="D218" s="233" t="str" cm="1">
        <f t="array" ref="D218">"ROTATE the interlock key 90 degrees to UNLOCK the MCBUP" &amp; SWFive &amp; " breaker."</f>
        <v>ROTATE the interlock key 90 degrees to UNLOCK the MCBUPXXX breaker.</v>
      </c>
      <c r="E218" s="499" t="s">
        <v>1464</v>
      </c>
      <c r="F218" s="502"/>
      <c r="G218" s="503" t="s">
        <v>1519</v>
      </c>
    </row>
    <row r="219" spans="1:7" ht="37.5" x14ac:dyDescent="0.25">
      <c r="A219" s="519">
        <f t="shared" si="3"/>
        <v>1294</v>
      </c>
      <c r="B219" s="500" t="str">
        <f>Suite&amp;" Electrical Room "&amp;SWFive</f>
        <v>G104 Electrical Room XXX</v>
      </c>
      <c r="C219" s="499" t="str" cm="1">
        <f t="array" ref="C219">"UP" &amp; SWFive</f>
        <v>UPXXX</v>
      </c>
      <c r="D219" s="233" t="str" cm="1">
        <f t="array" ref="D219">"Close breaker MCBUP"&amp;SWFive&amp;"."</f>
        <v>Close breaker MCBUPXXX.</v>
      </c>
      <c r="E219" s="499" t="s">
        <v>1464</v>
      </c>
      <c r="F219" s="502"/>
      <c r="G219" s="503" t="s">
        <v>1519</v>
      </c>
    </row>
    <row r="220" spans="1:7" ht="37.5" x14ac:dyDescent="0.25">
      <c r="A220" s="519">
        <f t="shared" ref="A220:A274" si="4">A219+1</f>
        <v>1295</v>
      </c>
      <c r="B220" s="500" t="str">
        <f>Suite&amp;" Electrical Room "&amp;SWFive</f>
        <v>G104 Electrical Room XXX</v>
      </c>
      <c r="C220" s="499" t="str" cm="1">
        <f t="array" ref="C220">"UP" &amp; SWFive</f>
        <v>UPXXX</v>
      </c>
      <c r="D220" s="233" t="str" cm="1">
        <f t="array" ref="D220">"Verify MCBUP" &amp; SWFive &amp; " breaker flag indicates CLOSED."</f>
        <v>Verify MCBUPXXX breaker flag indicates CLOSED.</v>
      </c>
      <c r="E220" s="499" t="s">
        <v>1464</v>
      </c>
      <c r="F220" s="502"/>
      <c r="G220" s="503" t="s">
        <v>1519</v>
      </c>
    </row>
    <row r="221" spans="1:7" ht="37.5" x14ac:dyDescent="0.25">
      <c r="A221" s="519">
        <f t="shared" si="4"/>
        <v>1296</v>
      </c>
      <c r="B221" s="500" t="str">
        <f>Suite&amp;" Electrical Room "&amp;SWFive</f>
        <v>G104 Electrical Room XXX</v>
      </c>
      <c r="C221" s="499" t="str" cm="1">
        <f t="array" ref="C221">"UP" &amp; SWFive</f>
        <v>UPXXX</v>
      </c>
      <c r="D221" s="233" t="str" cm="1">
        <f t="array" ref="D221">"Verify breaker MCBUP"&amp;SWFive&amp;" is carrying a portion of critical customer load using breaker mounted metering."</f>
        <v>Verify breaker MCBUPXXX is carrying a portion of critical customer load using breaker mounted metering.</v>
      </c>
      <c r="E221" s="499" t="s">
        <v>1464</v>
      </c>
      <c r="F221" s="502"/>
      <c r="G221" s="503" t="s">
        <v>1519</v>
      </c>
    </row>
    <row r="222" spans="1:7" ht="37.5" x14ac:dyDescent="0.25">
      <c r="A222" s="519">
        <f t="shared" si="4"/>
        <v>1297</v>
      </c>
      <c r="B222" s="500" t="str">
        <f>Suite&amp;" Electrical Room "&amp;SWFive</f>
        <v>G104 Electrical Room XXX</v>
      </c>
      <c r="C222" s="499" t="str" cm="1">
        <f t="array" ref="C222">"UP" &amp; SWFive</f>
        <v>UPXXX</v>
      </c>
      <c r="D222" s="233" t="str" cm="1">
        <f t="array" ref="D222">"Verify breaker MBUP"&amp;SWFive&amp;" is carrying a portion of critical customer load using breaker mounted metering."</f>
        <v>Verify breaker MBUPXXX is carrying a portion of critical customer load using breaker mounted metering.</v>
      </c>
      <c r="E222" s="499" t="s">
        <v>1464</v>
      </c>
      <c r="F222" s="502"/>
      <c r="G222" s="503" t="s">
        <v>1519</v>
      </c>
    </row>
    <row r="223" spans="1:7" ht="37.5" x14ac:dyDescent="0.25">
      <c r="A223" s="519">
        <f t="shared" si="4"/>
        <v>1298</v>
      </c>
      <c r="B223" s="500" t="str">
        <f>Suite&amp;" Electrical Room "&amp;SWFive</f>
        <v>G104 Electrical Room XXX</v>
      </c>
      <c r="C223" s="499" t="str" cm="1">
        <f t="array" ref="C223">"UP" &amp; SWFive</f>
        <v>UPXXX</v>
      </c>
      <c r="D223" s="233" t="str" cm="1">
        <f t="array" ref="D223">"Notate the kW reading at UP" &amp; SWFive &amp; " Critical Bus Panel Meter: _________"</f>
        <v>Notate the kW reading at UPXXX Critical Bus Panel Meter: _________</v>
      </c>
      <c r="E223" s="499" t="s">
        <v>1464</v>
      </c>
      <c r="F223" s="502"/>
      <c r="G223" s="503" t="s">
        <v>1519</v>
      </c>
    </row>
    <row r="224" spans="1:7" ht="37.5" x14ac:dyDescent="0.25">
      <c r="A224" s="519">
        <f t="shared" si="4"/>
        <v>1299</v>
      </c>
      <c r="B224" s="500" t="str">
        <f>Suite&amp;" Electrical Room "&amp;SWFive</f>
        <v>G104 Electrical Room XXX</v>
      </c>
      <c r="C224" s="499" t="str" cm="1">
        <f t="array" ref="C224">"UP" &amp; SWFive</f>
        <v>UPXXX</v>
      </c>
      <c r="D224" s="233" t="str">
        <f>"Verify the readings in step " &amp; A211 &amp; " and " &amp; A223 &amp; " are within 3% of each other. (new kW divided by original kW must be ≤1.03 and ≥0.97)."</f>
        <v>Verify the readings in step 1286 and 1298 are within 3% of each other. (new kW divided by original kW must be ≤1.03 and ≥0.97).</v>
      </c>
      <c r="E224" s="499" t="s">
        <v>1464</v>
      </c>
      <c r="F224" s="502"/>
      <c r="G224" s="503" t="s">
        <v>1519</v>
      </c>
    </row>
    <row r="225" spans="1:7" ht="37.5" x14ac:dyDescent="0.25">
      <c r="A225" s="519">
        <f t="shared" si="4"/>
        <v>1300</v>
      </c>
      <c r="B225" s="500" t="str">
        <f>Suite&amp;" Electrical Room "&amp;SWFive</f>
        <v>G104 Electrical Room XXX</v>
      </c>
      <c r="C225" s="499" t="str" cm="1">
        <f t="array" ref="C225">"UP" &amp; SWFive</f>
        <v>UPXXX</v>
      </c>
      <c r="D225" s="233" t="str" cm="1">
        <f t="array" ref="D225">"Open breaker MBUP"&amp;SWFive&amp;"."</f>
        <v>Open breaker MBUPXXX.</v>
      </c>
      <c r="E225" s="499" t="s">
        <v>1464</v>
      </c>
      <c r="F225" s="502"/>
      <c r="G225" s="503" t="s">
        <v>1519</v>
      </c>
    </row>
    <row r="226" spans="1:7" ht="37.5" x14ac:dyDescent="0.25">
      <c r="A226" s="519">
        <f t="shared" si="4"/>
        <v>1301</v>
      </c>
      <c r="B226" s="500" t="str">
        <f>Suite&amp;" Electrical Room "&amp;SWFive</f>
        <v>G104 Electrical Room XXX</v>
      </c>
      <c r="C226" s="499" t="str" cm="1">
        <f t="array" ref="C226">"UP" &amp; SWFive</f>
        <v>UPXXX</v>
      </c>
      <c r="D226" s="233" t="s">
        <v>1501</v>
      </c>
      <c r="E226" s="499" t="s">
        <v>1464</v>
      </c>
      <c r="F226" s="502"/>
      <c r="G226" s="503" t="s">
        <v>1519</v>
      </c>
    </row>
    <row r="227" spans="1:7" ht="37.5" x14ac:dyDescent="0.25">
      <c r="A227" s="519">
        <f t="shared" si="4"/>
        <v>1302</v>
      </c>
      <c r="B227" s="500" t="str">
        <f>Suite&amp;" Electrical Room "&amp;SWFive</f>
        <v>G104 Electrical Room XXX</v>
      </c>
      <c r="C227" s="499" t="str" cm="1">
        <f t="array" ref="C227">"UP" &amp; SWFive</f>
        <v>UPXXX</v>
      </c>
      <c r="D227" s="233" t="str" cm="1">
        <f t="array" ref="D227">"Verify MBUP" &amp; SWFive &amp; " breaker flag indicates OPEN."</f>
        <v>Verify MBUPXXX breaker flag indicates OPEN.</v>
      </c>
      <c r="E227" s="499" t="s">
        <v>1464</v>
      </c>
      <c r="F227" s="502"/>
      <c r="G227" s="503" t="s">
        <v>1519</v>
      </c>
    </row>
    <row r="228" spans="1:7" ht="37.5" x14ac:dyDescent="0.25">
      <c r="A228" s="519">
        <f t="shared" si="4"/>
        <v>1303</v>
      </c>
      <c r="B228" s="500" t="str">
        <f>Suite&amp;" Electrical Room "&amp;SWFive</f>
        <v>G104 Electrical Room XXX</v>
      </c>
      <c r="C228" s="499" t="str" cm="1">
        <f t="array" ref="C228">"UP" &amp; SWFive</f>
        <v>UPXXX</v>
      </c>
      <c r="D228" s="233" t="str" cm="1">
        <f t="array" ref="D228">"Notate the kW reading at UP" &amp; SWFive &amp; " Critical Bus Panel Meter: _________"</f>
        <v>Notate the kW reading at UPXXX Critical Bus Panel Meter: _________</v>
      </c>
      <c r="E228" s="499" t="s">
        <v>1464</v>
      </c>
      <c r="F228" s="502"/>
      <c r="G228" s="503" t="s">
        <v>1519</v>
      </c>
    </row>
    <row r="229" spans="1:7" ht="37.5" x14ac:dyDescent="0.25">
      <c r="A229" s="519">
        <f t="shared" si="4"/>
        <v>1304</v>
      </c>
      <c r="B229" s="500" t="str">
        <f>Suite&amp;" Electrical Room "&amp;SWFive</f>
        <v>G104 Electrical Room XXX</v>
      </c>
      <c r="C229" s="499" t="str" cm="1">
        <f t="array" ref="C229">"UP" &amp; SWFive</f>
        <v>UPXXX</v>
      </c>
      <c r="D229" s="233" t="str">
        <f>"Verify the readings in step " &amp; A223 &amp; " and " &amp; A228 &amp; " are within 3% of each other. (new kW divided by original kW must be ≤1.03 and ≥0.97)."</f>
        <v>Verify the readings in step 1298 and 1303 are within 3% of each other. (new kW divided by original kW must be ≤1.03 and ≥0.97).</v>
      </c>
      <c r="E229" s="499" t="s">
        <v>1464</v>
      </c>
      <c r="F229" s="502"/>
      <c r="G229" s="503" t="s">
        <v>1519</v>
      </c>
    </row>
    <row r="230" spans="1:7" ht="37.5" x14ac:dyDescent="0.25">
      <c r="A230" s="519">
        <f t="shared" si="4"/>
        <v>1305</v>
      </c>
      <c r="B230" s="500" t="str">
        <f>Suite&amp;" Electrical Room "&amp;SWFive</f>
        <v>G104 Electrical Room XXX</v>
      </c>
      <c r="C230" s="499" t="str" cm="1">
        <f t="array" ref="C230">"UP" &amp; SWFive</f>
        <v>UPXXX</v>
      </c>
      <c r="D230" s="233" t="s">
        <v>1553</v>
      </c>
      <c r="E230" s="499" t="s">
        <v>1464</v>
      </c>
      <c r="F230" s="502"/>
      <c r="G230" s="503" t="s">
        <v>1519</v>
      </c>
    </row>
    <row r="231" spans="1:7" ht="37.5" x14ac:dyDescent="0.25">
      <c r="A231" s="519">
        <f t="shared" si="4"/>
        <v>1306</v>
      </c>
      <c r="B231" s="500" t="str">
        <f>Suite&amp;" Electrical Room "&amp;SWFive</f>
        <v>G104 Electrical Room XXX</v>
      </c>
      <c r="C231" s="499" t="str" cm="1">
        <f t="array" ref="C231">"UP" &amp; SWFive</f>
        <v>UPXXX</v>
      </c>
      <c r="D231" s="233" t="str" cm="1">
        <f t="array" ref="D231">"Rotate the interlock key 90 degrees to LOCK the MBUP"&amp;SWFive&amp;" breaker."</f>
        <v>Rotate the interlock key 90 degrees to LOCK the MBUPXXX breaker.</v>
      </c>
      <c r="E231" s="499" t="s">
        <v>1464</v>
      </c>
      <c r="F231" s="502"/>
      <c r="G231" s="503" t="s">
        <v>1519</v>
      </c>
    </row>
    <row r="232" spans="1:7" ht="37.5" x14ac:dyDescent="0.25">
      <c r="A232" s="519">
        <f t="shared" si="4"/>
        <v>1307</v>
      </c>
      <c r="B232" s="500" t="str">
        <f>Suite&amp;" Electrical Room "&amp;SWFive</f>
        <v>G104 Electrical Room XXX</v>
      </c>
      <c r="C232" s="499" t="str" cm="1">
        <f t="array" ref="C232">"UP" &amp; SWFive</f>
        <v>UPXXX</v>
      </c>
      <c r="D232" s="233" t="str" cm="1">
        <f t="array" ref="D232">"Remove the interlock key from the MBUP"&amp;SWFive&amp;" breaker lock cylinder."</f>
        <v>Remove the interlock key from the MBUPXXX breaker lock cylinder.</v>
      </c>
      <c r="E232" s="499" t="s">
        <v>1464</v>
      </c>
      <c r="F232" s="502"/>
      <c r="G232" s="503" t="s">
        <v>1519</v>
      </c>
    </row>
    <row r="233" spans="1:7" ht="37.5" x14ac:dyDescent="0.25">
      <c r="A233" s="519">
        <f t="shared" si="4"/>
        <v>1308</v>
      </c>
      <c r="B233" s="500" t="str">
        <f>Suite&amp;" Electrical Room "&amp;SWFive</f>
        <v>G104 Electrical Room XXX</v>
      </c>
      <c r="C233" s="499" t="str" cm="1">
        <f t="array" ref="C233">"UP" &amp; SWFive</f>
        <v>UPXXX</v>
      </c>
      <c r="D233" s="233" t="s">
        <v>1507</v>
      </c>
      <c r="E233" s="499" t="s">
        <v>1464</v>
      </c>
      <c r="F233" s="502"/>
      <c r="G233" s="503" t="s">
        <v>1519</v>
      </c>
    </row>
    <row r="234" spans="1:7" ht="37.5" x14ac:dyDescent="0.25">
      <c r="A234" s="519">
        <f t="shared" si="4"/>
        <v>1309</v>
      </c>
      <c r="B234" s="500" t="str">
        <f>Suite&amp;" Electrical Room "&amp;SWFive</f>
        <v>G104 Electrical Room XXX</v>
      </c>
      <c r="C234" s="499" t="str" cm="1">
        <f t="array" ref="C234">"UP" &amp; SWFive</f>
        <v>UPXXX</v>
      </c>
      <c r="D234" s="233" t="s">
        <v>1508</v>
      </c>
      <c r="E234" s="499" t="s">
        <v>1464</v>
      </c>
      <c r="F234" s="502"/>
      <c r="G234" s="503" t="s">
        <v>1519</v>
      </c>
    </row>
    <row r="235" spans="1:7" ht="37.5" x14ac:dyDescent="0.25">
      <c r="A235" s="519">
        <f t="shared" si="4"/>
        <v>1310</v>
      </c>
      <c r="B235" s="500" t="str">
        <f>Suite&amp;" Electrical Room "&amp;SWFive</f>
        <v>G104 Electrical Room XXX</v>
      </c>
      <c r="C235" s="499" t="str" cm="1">
        <f t="array" ref="C235">"UP" &amp; SWFive</f>
        <v>UPXXX</v>
      </c>
      <c r="D235" s="233" t="s">
        <v>1509</v>
      </c>
      <c r="E235" s="499" t="s">
        <v>1464</v>
      </c>
      <c r="F235" s="502"/>
      <c r="G235" s="503" t="s">
        <v>1519</v>
      </c>
    </row>
    <row r="236" spans="1:7" ht="37.5" x14ac:dyDescent="0.25">
      <c r="A236" s="519">
        <f t="shared" si="4"/>
        <v>1311</v>
      </c>
      <c r="B236" s="500" t="str">
        <f>Suite&amp;" Electrical Room "&amp;SWFive</f>
        <v>G104 Electrical Room XXX</v>
      </c>
      <c r="C236" s="499" t="str" cm="1">
        <f t="array" ref="C236">"UP" &amp; SWFive</f>
        <v>UPXXX</v>
      </c>
      <c r="D236" s="233" t="s">
        <v>1510</v>
      </c>
      <c r="E236" s="499" t="s">
        <v>1464</v>
      </c>
      <c r="F236" s="502"/>
      <c r="G236" s="503" t="s">
        <v>1519</v>
      </c>
    </row>
    <row r="237" spans="1:7" x14ac:dyDescent="0.25">
      <c r="A237" s="519">
        <f t="shared" si="4"/>
        <v>1312</v>
      </c>
      <c r="B237" s="702" t="str" cm="1">
        <f t="array" ref="B237">"Transfer UPS System " &amp; SWFive &amp; " to Inverter Service"</f>
        <v>Transfer UPS System XXX to Inverter Service</v>
      </c>
      <c r="C237" s="703"/>
      <c r="D237" s="703"/>
      <c r="E237" s="703"/>
      <c r="F237" s="703"/>
      <c r="G237" s="703"/>
    </row>
    <row r="238" spans="1:7" ht="37.5" x14ac:dyDescent="0.25">
      <c r="A238" s="519">
        <f t="shared" si="4"/>
        <v>1313</v>
      </c>
      <c r="B238" s="500" t="str">
        <f>Suite&amp;" Electrical Room "&amp;SWFive</f>
        <v>G104 Electrical Room XXX</v>
      </c>
      <c r="C238" s="499" t="str" cm="1">
        <f t="array" ref="C238">"UPS " &amp; SWFive &amp; "1"</f>
        <v>UPS XXX1</v>
      </c>
      <c r="D238" s="190" t="s">
        <v>1554</v>
      </c>
      <c r="E238" s="499" t="s">
        <v>1464</v>
      </c>
      <c r="F238" s="500" t="s">
        <v>1519</v>
      </c>
      <c r="G238" s="519"/>
    </row>
    <row r="239" spans="1:7" ht="37.5" x14ac:dyDescent="0.25">
      <c r="A239" s="519">
        <f t="shared" si="4"/>
        <v>1314</v>
      </c>
      <c r="B239" s="500" t="str">
        <f>Suite&amp;" Electrical Room "&amp;SWFive</f>
        <v>G104 Electrical Room XXX</v>
      </c>
      <c r="C239" s="499" t="str" cm="1">
        <f t="array" ref="C239">"UPS " &amp; SWFive &amp; "1"</f>
        <v>UPS XXX1</v>
      </c>
      <c r="D239" s="233" t="s">
        <v>1497</v>
      </c>
      <c r="E239" s="499" t="s">
        <v>1464</v>
      </c>
      <c r="F239" s="500"/>
      <c r="G239" s="519"/>
    </row>
    <row r="240" spans="1:7" ht="37.5" x14ac:dyDescent="0.25">
      <c r="A240" s="519">
        <f t="shared" si="4"/>
        <v>1315</v>
      </c>
      <c r="B240" s="500" t="str">
        <f>Suite&amp;" Electrical Room "&amp;SWFive</f>
        <v>G104 Electrical Room XXX</v>
      </c>
      <c r="C240" s="499" t="str" cm="1">
        <f t="array" ref="C240">"UPS " &amp; SWFive &amp; "1"</f>
        <v>UPS XXX1</v>
      </c>
      <c r="D240" s="190" t="s">
        <v>1498</v>
      </c>
      <c r="E240" s="499" t="s">
        <v>1464</v>
      </c>
      <c r="F240" s="500"/>
      <c r="G240" s="519"/>
    </row>
    <row r="241" spans="1:7" ht="37.5" x14ac:dyDescent="0.25">
      <c r="A241" s="519">
        <f t="shared" si="4"/>
        <v>1316</v>
      </c>
      <c r="B241" s="500" t="str">
        <f>Suite&amp;" Electrical Room "&amp;SWFive</f>
        <v>G104 Electrical Room XXX</v>
      </c>
      <c r="C241" s="499" t="str" cm="1">
        <f t="array" ref="C241">"UPS " &amp; SWFive &amp; "1"</f>
        <v>UPS XXX1</v>
      </c>
      <c r="D241" s="190" t="s">
        <v>1499</v>
      </c>
      <c r="E241" s="499" t="s">
        <v>1464</v>
      </c>
      <c r="F241" s="500"/>
      <c r="G241" s="519"/>
    </row>
    <row r="242" spans="1:7" ht="37.5" x14ac:dyDescent="0.25">
      <c r="A242" s="519">
        <f t="shared" si="4"/>
        <v>1317</v>
      </c>
      <c r="B242" s="500" t="str">
        <f>Suite&amp;" Electrical Room "&amp;SWFive</f>
        <v>G104 Electrical Room XXX</v>
      </c>
      <c r="C242" s="499" t="str" cm="1">
        <f t="array" ref="C242">"UPS " &amp; SWFive &amp; "1"</f>
        <v>UPS XXX1</v>
      </c>
      <c r="D242" s="190" t="s">
        <v>1555</v>
      </c>
      <c r="E242" s="499" t="s">
        <v>1464</v>
      </c>
      <c r="F242" s="500"/>
      <c r="G242" s="519"/>
    </row>
    <row r="243" spans="1:7" ht="37.5" x14ac:dyDescent="0.25">
      <c r="A243" s="519">
        <f t="shared" si="4"/>
        <v>1318</v>
      </c>
      <c r="B243" s="500" t="str">
        <f>Suite&amp;" Electrical Room "&amp;SWFive</f>
        <v>G104 Electrical Room XXX</v>
      </c>
      <c r="C243" s="499" t="str" cm="1">
        <f t="array" ref="C243">"UPS " &amp; SWFive</f>
        <v>UPS XXX</v>
      </c>
      <c r="D243" s="190" t="s">
        <v>1556</v>
      </c>
      <c r="E243" s="499" t="s">
        <v>1464</v>
      </c>
      <c r="F243" s="500"/>
      <c r="G243" s="519"/>
    </row>
    <row r="244" spans="1:7" ht="37.5" x14ac:dyDescent="0.25">
      <c r="A244" s="519">
        <f t="shared" si="4"/>
        <v>1319</v>
      </c>
      <c r="B244" s="500" t="str">
        <f>Suite&amp;" Electrical Room "&amp;SWFive</f>
        <v>G104 Electrical Room XXX</v>
      </c>
      <c r="C244" s="499" t="str" cm="1">
        <f t="array" ref="C244">"UPS " &amp; SWFive</f>
        <v>UPS XXX</v>
      </c>
      <c r="D244" s="233" t="s">
        <v>1557</v>
      </c>
      <c r="E244" s="499" t="s">
        <v>1464</v>
      </c>
      <c r="F244" s="500"/>
      <c r="G244" s="519"/>
    </row>
    <row r="245" spans="1:7" ht="37.5" x14ac:dyDescent="0.25">
      <c r="A245" s="519">
        <f t="shared" si="4"/>
        <v>1320</v>
      </c>
      <c r="B245" s="500" t="str">
        <f>Suite&amp;" Electrical Room A"</f>
        <v>G104 Electrical Room A</v>
      </c>
      <c r="C245" s="499" t="s">
        <v>1466</v>
      </c>
      <c r="D245" s="191" t="s">
        <v>1467</v>
      </c>
      <c r="E245" s="499" t="s">
        <v>1464</v>
      </c>
      <c r="F245" s="500"/>
      <c r="G245" s="519"/>
    </row>
    <row r="246" spans="1:7" ht="37.5" x14ac:dyDescent="0.25">
      <c r="A246" s="519">
        <f t="shared" si="4"/>
        <v>1321</v>
      </c>
      <c r="B246" s="500" t="str">
        <f>Suite&amp;" Electrical Room A"</f>
        <v>G104 Electrical Room A</v>
      </c>
      <c r="C246" s="499" t="s">
        <v>1466</v>
      </c>
      <c r="D246" s="233" t="str">
        <f>"Verify the readings in step " &amp; A245 &amp; " and " &amp;A10 &amp; " are within 3% of each other. (new kW divided by original kW must be ≤1.03 and ≥0.97)."</f>
        <v>Verify the readings in step 1320 and 1085 are within 3% of each other. (new kW divided by original kW must be ≤1.03 and ≥0.97).</v>
      </c>
      <c r="E246" s="499" t="s">
        <v>1464</v>
      </c>
      <c r="F246" s="500"/>
      <c r="G246" s="519"/>
    </row>
    <row r="247" spans="1:7" ht="37.5" x14ac:dyDescent="0.25">
      <c r="A247" s="519">
        <f t="shared" si="4"/>
        <v>1322</v>
      </c>
      <c r="B247" s="500" t="str">
        <f>Suite&amp;" Electrical Room A"</f>
        <v>G104 Electrical Room A</v>
      </c>
      <c r="C247" s="499" t="s">
        <v>1468</v>
      </c>
      <c r="D247" s="191" t="s">
        <v>1469</v>
      </c>
      <c r="E247" s="499" t="s">
        <v>1464</v>
      </c>
      <c r="F247" s="500"/>
      <c r="G247" s="519"/>
    </row>
    <row r="248" spans="1:7" ht="37.5" x14ac:dyDescent="0.25">
      <c r="A248" s="519">
        <f t="shared" si="4"/>
        <v>1323</v>
      </c>
      <c r="B248" s="500" t="str">
        <f>Suite&amp;" Electrical Room A"</f>
        <v>G104 Electrical Room A</v>
      </c>
      <c r="C248" s="499" t="s">
        <v>1468</v>
      </c>
      <c r="D248" s="233" t="str">
        <f>"Verify the readings in step " &amp; A247 &amp; " and " &amp; A11 &amp; " are within 3% of each other. (new kW divided by original kW must be ≤1.03 and ≥0.97)."</f>
        <v>Verify the readings in step 1322 and 1086 are within 3% of each other. (new kW divided by original kW must be ≤1.03 and ≥0.97).</v>
      </c>
      <c r="E248" s="499" t="s">
        <v>1464</v>
      </c>
      <c r="F248" s="500"/>
      <c r="G248" s="519"/>
    </row>
    <row r="249" spans="1:7" ht="37.5" x14ac:dyDescent="0.25">
      <c r="A249" s="519">
        <f t="shared" si="4"/>
        <v>1324</v>
      </c>
      <c r="B249" s="500" t="str">
        <f>Suite&amp;" Electrical Room A"</f>
        <v>G104 Electrical Room A</v>
      </c>
      <c r="C249" s="499" t="s">
        <v>1521</v>
      </c>
      <c r="D249" s="191" t="s">
        <v>1471</v>
      </c>
      <c r="E249" s="499" t="s">
        <v>1464</v>
      </c>
      <c r="F249" s="500"/>
      <c r="G249" s="519"/>
    </row>
    <row r="250" spans="1:7" ht="37.5" x14ac:dyDescent="0.25">
      <c r="A250" s="519">
        <f t="shared" si="4"/>
        <v>1325</v>
      </c>
      <c r="B250" s="500" t="str">
        <f>Suite&amp;" Electrical Room A"</f>
        <v>G104 Electrical Room A</v>
      </c>
      <c r="C250" s="499" t="s">
        <v>1521</v>
      </c>
      <c r="D250" s="233" t="str">
        <f>"Verify the readings in step " &amp; A249 &amp; " and " &amp; A120 &amp; " are within 3% of each other. (new kW divided by original kW must be ≤1.03 and ≥0.97)."</f>
        <v>Verify the readings in step 1324 and 1195 are within 3% of each other. (new kW divided by original kW must be ≤1.03 and ≥0.97).</v>
      </c>
      <c r="E250" s="499" t="s">
        <v>1464</v>
      </c>
      <c r="F250" s="500"/>
      <c r="G250" s="519"/>
    </row>
    <row r="251" spans="1:7" ht="37.5" x14ac:dyDescent="0.25">
      <c r="A251" s="519">
        <f t="shared" si="4"/>
        <v>1326</v>
      </c>
      <c r="B251" s="500" t="str">
        <f>Suite&amp;" Electrical Room B"</f>
        <v>G104 Electrical Room B</v>
      </c>
      <c r="C251" s="499" t="s">
        <v>1472</v>
      </c>
      <c r="D251" s="191" t="s">
        <v>1473</v>
      </c>
      <c r="E251" s="499" t="s">
        <v>1464</v>
      </c>
      <c r="F251" s="500"/>
      <c r="G251" s="519"/>
    </row>
    <row r="252" spans="1:7" ht="37.5" x14ac:dyDescent="0.25">
      <c r="A252" s="519">
        <f t="shared" si="4"/>
        <v>1327</v>
      </c>
      <c r="B252" s="500" t="str">
        <f>Suite&amp;" Electrical Room B"</f>
        <v>G104 Electrical Room B</v>
      </c>
      <c r="C252" s="499" t="s">
        <v>1472</v>
      </c>
      <c r="D252" s="233" t="str">
        <f>"Verify the readings in step " &amp; A251 &amp; " and " &amp; A13 &amp; " are within 3% of each other. (new kW divided by original kW must be ≤1.03 and ≥0.97)."</f>
        <v>Verify the readings in step 1326 and 1088 are within 3% of each other. (new kW divided by original kW must be ≤1.03 and ≥0.97).</v>
      </c>
      <c r="E252" s="499" t="s">
        <v>1464</v>
      </c>
      <c r="F252" s="500"/>
      <c r="G252" s="519"/>
    </row>
    <row r="253" spans="1:7" ht="37.5" x14ac:dyDescent="0.25">
      <c r="A253" s="519">
        <f t="shared" si="4"/>
        <v>1328</v>
      </c>
      <c r="B253" s="500" t="str">
        <f>Suite&amp;" Electrical Room B"</f>
        <v>G104 Electrical Room B</v>
      </c>
      <c r="C253" s="499" t="s">
        <v>1474</v>
      </c>
      <c r="D253" s="191" t="s">
        <v>1475</v>
      </c>
      <c r="E253" s="499" t="s">
        <v>1464</v>
      </c>
      <c r="F253" s="500"/>
      <c r="G253" s="519"/>
    </row>
    <row r="254" spans="1:7" ht="37.5" x14ac:dyDescent="0.25">
      <c r="A254" s="519">
        <f t="shared" si="4"/>
        <v>1329</v>
      </c>
      <c r="B254" s="500" t="str">
        <f>Suite&amp;" Electrical Room B"</f>
        <v>G104 Electrical Room B</v>
      </c>
      <c r="C254" s="499" t="s">
        <v>1474</v>
      </c>
      <c r="D254" s="233" t="str">
        <f>"Verify the readings in step " &amp; A253 &amp; " and " &amp; A14 &amp; " are within 3% of each other. (new kW divided by original kW must be ≤1.03 and ≥0.97)."</f>
        <v>Verify the readings in step 1328 and 1089 are within 3% of each other. (new kW divided by original kW must be ≤1.03 and ≥0.97).</v>
      </c>
      <c r="E254" s="499" t="s">
        <v>1464</v>
      </c>
      <c r="F254" s="500"/>
      <c r="G254" s="519"/>
    </row>
    <row r="255" spans="1:7" ht="37.5" x14ac:dyDescent="0.25">
      <c r="A255" s="519">
        <f t="shared" si="4"/>
        <v>1330</v>
      </c>
      <c r="B255" s="500" t="str">
        <f>Suite&amp;" Electrical Room B"</f>
        <v>G104 Electrical Room B</v>
      </c>
      <c r="C255" s="499" t="s">
        <v>1522</v>
      </c>
      <c r="D255" s="191" t="s">
        <v>1477</v>
      </c>
      <c r="E255" s="499" t="s">
        <v>1464</v>
      </c>
      <c r="F255" s="500"/>
      <c r="G255" s="519"/>
    </row>
    <row r="256" spans="1:7" ht="37.5" x14ac:dyDescent="0.25">
      <c r="A256" s="519">
        <f t="shared" si="4"/>
        <v>1331</v>
      </c>
      <c r="B256" s="500" t="str">
        <f>Suite&amp;" Electrical Room B"</f>
        <v>G104 Electrical Room B</v>
      </c>
      <c r="C256" s="499" t="s">
        <v>1522</v>
      </c>
      <c r="D256" s="233" t="str">
        <f>"Verify the readings in step " &amp; A255 &amp; " and " &amp; A122 &amp; " are within 3% of each other. (new kW divided by original kW must be ≤1.03 and ≥0.97)."</f>
        <v>Verify the readings in step 1330 and 1197 are within 3% of each other. (new kW divided by original kW must be ≤1.03 and ≥0.97).</v>
      </c>
      <c r="E256" s="499" t="s">
        <v>1464</v>
      </c>
      <c r="F256" s="500"/>
      <c r="G256" s="519"/>
    </row>
    <row r="257" spans="1:7" ht="37.5" x14ac:dyDescent="0.25">
      <c r="A257" s="519">
        <f t="shared" si="4"/>
        <v>1332</v>
      </c>
      <c r="B257" s="500" t="str">
        <f>Suite&amp;" Electrical Room C"</f>
        <v>G104 Electrical Room C</v>
      </c>
      <c r="C257" s="499" t="s">
        <v>1478</v>
      </c>
      <c r="D257" s="191" t="s">
        <v>1479</v>
      </c>
      <c r="E257" s="499" t="s">
        <v>1464</v>
      </c>
      <c r="F257" s="500"/>
      <c r="G257" s="519"/>
    </row>
    <row r="258" spans="1:7" ht="37.5" x14ac:dyDescent="0.25">
      <c r="A258" s="519">
        <f t="shared" si="4"/>
        <v>1333</v>
      </c>
      <c r="B258" s="500" t="str">
        <f>Suite&amp;" Electrical Room C"</f>
        <v>G104 Electrical Room C</v>
      </c>
      <c r="C258" s="499" t="s">
        <v>1478</v>
      </c>
      <c r="D258" s="233" t="str">
        <f>"Verify the readings in step " &amp; A257 &amp; " and " &amp; A16 &amp; " are within 3% of each other. (new kW divided by original kW must be ≤1.03 and ≥0.97)."</f>
        <v>Verify the readings in step 1332 and 1091 are within 3% of each other. (new kW divided by original kW must be ≤1.03 and ≥0.97).</v>
      </c>
      <c r="E258" s="499" t="s">
        <v>1464</v>
      </c>
      <c r="F258" s="500"/>
      <c r="G258" s="519"/>
    </row>
    <row r="259" spans="1:7" ht="37.5" x14ac:dyDescent="0.25">
      <c r="A259" s="519">
        <f t="shared" si="4"/>
        <v>1334</v>
      </c>
      <c r="B259" s="500" t="str">
        <f>Suite&amp;" Electrical Room C"</f>
        <v>G104 Electrical Room C</v>
      </c>
      <c r="C259" s="499" t="s">
        <v>1480</v>
      </c>
      <c r="D259" s="191" t="s">
        <v>1481</v>
      </c>
      <c r="E259" s="499" t="s">
        <v>1464</v>
      </c>
      <c r="F259" s="500"/>
      <c r="G259" s="519"/>
    </row>
    <row r="260" spans="1:7" ht="37.5" x14ac:dyDescent="0.25">
      <c r="A260" s="519">
        <f t="shared" si="4"/>
        <v>1335</v>
      </c>
      <c r="B260" s="500" t="str">
        <f>Suite&amp;" Electrical Room C"</f>
        <v>G104 Electrical Room C</v>
      </c>
      <c r="C260" s="499" t="s">
        <v>1480</v>
      </c>
      <c r="D260" s="233" t="str">
        <f>"Verify the readings in step " &amp; A259 &amp; " and " &amp; A17 &amp; " are within 3% of each other. (new kW divided by original kW must be ≤1.03 and ≥0.97)."</f>
        <v>Verify the readings in step 1334 and 1092 are within 3% of each other. (new kW divided by original kW must be ≤1.03 and ≥0.97).</v>
      </c>
      <c r="E260" s="499" t="s">
        <v>1464</v>
      </c>
      <c r="F260" s="500"/>
      <c r="G260" s="519"/>
    </row>
    <row r="261" spans="1:7" ht="37.5" x14ac:dyDescent="0.25">
      <c r="A261" s="519">
        <f t="shared" si="4"/>
        <v>1336</v>
      </c>
      <c r="B261" s="500" t="str">
        <f>Suite&amp;" Electrical Room C"</f>
        <v>G104 Electrical Room C</v>
      </c>
      <c r="C261" s="499" t="s">
        <v>1523</v>
      </c>
      <c r="D261" s="191" t="s">
        <v>1483</v>
      </c>
      <c r="E261" s="499" t="s">
        <v>1464</v>
      </c>
      <c r="F261" s="500"/>
      <c r="G261" s="519"/>
    </row>
    <row r="262" spans="1:7" ht="37.5" x14ac:dyDescent="0.25">
      <c r="A262" s="519">
        <f t="shared" si="4"/>
        <v>1337</v>
      </c>
      <c r="B262" s="500" t="str">
        <f>Suite&amp;" Electrical Room C"</f>
        <v>G104 Electrical Room C</v>
      </c>
      <c r="C262" s="499" t="s">
        <v>1523</v>
      </c>
      <c r="D262" s="233" t="str">
        <f>"Verify the readings in step " &amp; A261 &amp; " and " &amp; A124 &amp; " are within 3% of each other. (new kW divided by original kW must be ≤1.03 and ≥0.97)."</f>
        <v>Verify the readings in step 1336 and 1199 are within 3% of each other. (new kW divided by original kW must be ≤1.03 and ≥0.97).</v>
      </c>
      <c r="E262" s="499" t="s">
        <v>1464</v>
      </c>
      <c r="F262" s="500"/>
      <c r="G262" s="519"/>
    </row>
    <row r="263" spans="1:7" ht="37.5" x14ac:dyDescent="0.25">
      <c r="A263" s="519">
        <f t="shared" si="4"/>
        <v>1338</v>
      </c>
      <c r="B263" s="500" t="str">
        <f>Suite&amp;" Electrical Room D"</f>
        <v>G104 Electrical Room D</v>
      </c>
      <c r="C263" s="499" t="s">
        <v>1484</v>
      </c>
      <c r="D263" s="191" t="s">
        <v>1485</v>
      </c>
      <c r="E263" s="499" t="s">
        <v>1464</v>
      </c>
      <c r="F263" s="500"/>
      <c r="G263" s="519"/>
    </row>
    <row r="264" spans="1:7" ht="37.5" x14ac:dyDescent="0.25">
      <c r="A264" s="519">
        <f t="shared" si="4"/>
        <v>1339</v>
      </c>
      <c r="B264" s="500" t="str">
        <f>Suite&amp;" Electrical Room D"</f>
        <v>G104 Electrical Room D</v>
      </c>
      <c r="C264" s="499" t="s">
        <v>1484</v>
      </c>
      <c r="D264" s="233" t="str">
        <f>"Verify the readings in step " &amp; A263 &amp; " and " &amp; A19 &amp; " are within 3% of each other. (new kW divided by original kW must be ≤1.03 and ≥0.97)."</f>
        <v>Verify the readings in step 1338 and 1094 are within 3% of each other. (new kW divided by original kW must be ≤1.03 and ≥0.97).</v>
      </c>
      <c r="E264" s="499" t="s">
        <v>1464</v>
      </c>
      <c r="F264" s="500"/>
      <c r="G264" s="519"/>
    </row>
    <row r="265" spans="1:7" ht="37.5" x14ac:dyDescent="0.25">
      <c r="A265" s="519">
        <f t="shared" si="4"/>
        <v>1340</v>
      </c>
      <c r="B265" s="500" t="str">
        <f>Suite&amp;" Electrical Room D"</f>
        <v>G104 Electrical Room D</v>
      </c>
      <c r="C265" s="499" t="s">
        <v>1486</v>
      </c>
      <c r="D265" s="191" t="s">
        <v>1487</v>
      </c>
      <c r="E265" s="499" t="s">
        <v>1464</v>
      </c>
      <c r="F265" s="500"/>
      <c r="G265" s="519"/>
    </row>
    <row r="266" spans="1:7" ht="37.5" x14ac:dyDescent="0.25">
      <c r="A266" s="519">
        <f t="shared" si="4"/>
        <v>1341</v>
      </c>
      <c r="B266" s="500" t="str">
        <f>Suite&amp;" Electrical Room D"</f>
        <v>G104 Electrical Room D</v>
      </c>
      <c r="C266" s="499" t="s">
        <v>1486</v>
      </c>
      <c r="D266" s="233" t="str">
        <f>"Verify the readings in step " &amp; A265 &amp; " and " &amp; A20 &amp; " are within 3% of each other. (new kW divided by original kW must be ≤1.03 and ≥0.97)."</f>
        <v>Verify the readings in step 1340 and 1095 are within 3% of each other. (new kW divided by original kW must be ≤1.03 and ≥0.97).</v>
      </c>
      <c r="E266" s="499" t="s">
        <v>1464</v>
      </c>
      <c r="F266" s="500"/>
      <c r="G266" s="519"/>
    </row>
    <row r="267" spans="1:7" ht="37.5" x14ac:dyDescent="0.25">
      <c r="A267" s="519">
        <f t="shared" si="4"/>
        <v>1342</v>
      </c>
      <c r="B267" s="500" t="str">
        <f>Suite&amp;" Electrical Room D"</f>
        <v>G104 Electrical Room D</v>
      </c>
      <c r="C267" s="499" t="s">
        <v>1524</v>
      </c>
      <c r="D267" s="191" t="s">
        <v>1489</v>
      </c>
      <c r="E267" s="499" t="s">
        <v>1464</v>
      </c>
      <c r="F267" s="500"/>
      <c r="G267" s="519"/>
    </row>
    <row r="268" spans="1:7" ht="37.5" x14ac:dyDescent="0.25">
      <c r="A268" s="519">
        <f t="shared" si="4"/>
        <v>1343</v>
      </c>
      <c r="B268" s="500" t="str">
        <f>Suite&amp;" Electrical Room D"</f>
        <v>G104 Electrical Room D</v>
      </c>
      <c r="C268" s="499" t="s">
        <v>1524</v>
      </c>
      <c r="D268" s="233" t="str">
        <f>"Verify the readings in step " &amp; A267 &amp; " and " &amp; A126 &amp; " are within 3% of each other. (new kW divided by original kW must be ≤1.03 and ≥0.97)."</f>
        <v>Verify the readings in step 1342 and 1201 are within 3% of each other. (new kW divided by original kW must be ≤1.03 and ≥0.97).</v>
      </c>
      <c r="E268" s="499" t="s">
        <v>1464</v>
      </c>
      <c r="F268" s="500"/>
      <c r="G268" s="519"/>
    </row>
    <row r="269" spans="1:7" ht="37.5" x14ac:dyDescent="0.25">
      <c r="A269" s="519">
        <f t="shared" si="4"/>
        <v>1344</v>
      </c>
      <c r="B269" s="500" t="str">
        <f>Suite&amp;" Electrical Room F"</f>
        <v>G104 Electrical Room F</v>
      </c>
      <c r="C269" s="499" t="s">
        <v>1490</v>
      </c>
      <c r="D269" s="191" t="s">
        <v>1491</v>
      </c>
      <c r="E269" s="499" t="s">
        <v>1464</v>
      </c>
      <c r="F269" s="500"/>
      <c r="G269" s="519"/>
    </row>
    <row r="270" spans="1:7" ht="37.5" x14ac:dyDescent="0.25">
      <c r="A270" s="519">
        <f t="shared" si="4"/>
        <v>1345</v>
      </c>
      <c r="B270" s="500" t="str">
        <f>Suite&amp;" Electrical Room F"</f>
        <v>G104 Electrical Room F</v>
      </c>
      <c r="C270" s="499" t="s">
        <v>1490</v>
      </c>
      <c r="D270" s="233" t="str">
        <f>"Verify the readings in step " &amp; A269 &amp; " and " &amp; A22 &amp; " are within 3% of each other. (new kW divided by original kW must be ≤1.03 and ≥0.97)."</f>
        <v>Verify the readings in step 1344 and 1097 are within 3% of each other. (new kW divided by original kW must be ≤1.03 and ≥0.97).</v>
      </c>
      <c r="E270" s="499" t="s">
        <v>1464</v>
      </c>
      <c r="F270" s="500"/>
      <c r="G270" s="519"/>
    </row>
    <row r="271" spans="1:7" ht="37.5" x14ac:dyDescent="0.25">
      <c r="A271" s="519">
        <f t="shared" si="4"/>
        <v>1346</v>
      </c>
      <c r="B271" s="500" t="str">
        <f>Suite&amp;" Electrical Room F"</f>
        <v>G104 Electrical Room F</v>
      </c>
      <c r="C271" s="499" t="s">
        <v>1492</v>
      </c>
      <c r="D271" s="191" t="s">
        <v>1493</v>
      </c>
      <c r="E271" s="499" t="s">
        <v>1464</v>
      </c>
      <c r="F271" s="500"/>
      <c r="G271" s="519"/>
    </row>
    <row r="272" spans="1:7" ht="37.5" x14ac:dyDescent="0.25">
      <c r="A272" s="519">
        <f t="shared" si="4"/>
        <v>1347</v>
      </c>
      <c r="B272" s="500" t="str">
        <f>Suite&amp;" Electrical Room F"</f>
        <v>G104 Electrical Room F</v>
      </c>
      <c r="C272" s="499" t="s">
        <v>1492</v>
      </c>
      <c r="D272" s="233" t="str">
        <f>"Verify the readings in step " &amp; A271 &amp; " and " &amp; A23 &amp; " are within 3% of each other. (new kW divided by original kW must be ≤1.03 and ≥0.97)."</f>
        <v>Verify the readings in step 1346 and 1098 are within 3% of each other. (new kW divided by original kW must be ≤1.03 and ≥0.97).</v>
      </c>
      <c r="E272" s="499" t="s">
        <v>1464</v>
      </c>
      <c r="F272" s="500"/>
      <c r="G272" s="519"/>
    </row>
    <row r="273" spans="1:7" ht="37.5" x14ac:dyDescent="0.25">
      <c r="A273" s="519">
        <f t="shared" si="4"/>
        <v>1348</v>
      </c>
      <c r="B273" s="500" t="str">
        <f>Suite&amp;" Electrical Room F"</f>
        <v>G104 Electrical Room F</v>
      </c>
      <c r="C273" s="499" t="s">
        <v>1525</v>
      </c>
      <c r="D273" s="191" t="s">
        <v>1495</v>
      </c>
      <c r="E273" s="499" t="s">
        <v>1464</v>
      </c>
      <c r="F273" s="500"/>
      <c r="G273" s="519"/>
    </row>
    <row r="274" spans="1:7" ht="37.5" x14ac:dyDescent="0.25">
      <c r="A274" s="519">
        <f t="shared" si="4"/>
        <v>1349</v>
      </c>
      <c r="B274" s="500" t="str">
        <f>Suite&amp;" Electrical Room F"</f>
        <v>G104 Electrical Room F</v>
      </c>
      <c r="C274" s="499" t="s">
        <v>1525</v>
      </c>
      <c r="D274" s="233" t="str">
        <f>"Verify the readings in step " &amp; A273 &amp; " and " &amp; A228 &amp; " are within 3% of each other. (new kW divided by original kW must be ≤1.03 and ≥0.97)."</f>
        <v>Verify the readings in step 1348 and 1303 are within 3% of each other. (new kW divided by original kW must be ≤1.03 and ≥0.97).</v>
      </c>
      <c r="E274" s="499" t="s">
        <v>1464</v>
      </c>
      <c r="F274" s="500"/>
      <c r="G274" s="519"/>
    </row>
    <row r="275" spans="1:7" ht="37.5" x14ac:dyDescent="0.25">
      <c r="A275" s="519" cm="1">
        <f t="array" ref="A275">IF(NumberOfSW=2,A256+1,IF(NumberOfSW=3,A262+1,IF(NumberOfSW=4,A268+1,A274+1)))</f>
        <v>1350</v>
      </c>
      <c r="B275" s="500" t="s">
        <v>1462</v>
      </c>
      <c r="C275" s="499" t="s">
        <v>84</v>
      </c>
      <c r="D275" s="190" t="s">
        <v>1558</v>
      </c>
      <c r="E275" s="499" t="s">
        <v>1464</v>
      </c>
      <c r="F275" s="500"/>
      <c r="G275" s="500" t="s">
        <v>1519</v>
      </c>
    </row>
  </sheetData>
  <sheetProtection formatCells="0" formatColumns="0" formatRows="0" insertRows="0" deleteRows="0" sort="0" autoFilter="0"/>
  <mergeCells count="12">
    <mergeCell ref="B237:G237"/>
    <mergeCell ref="B29:G29"/>
    <mergeCell ref="B38:G38"/>
    <mergeCell ref="B63:G63"/>
    <mergeCell ref="B131:G131"/>
    <mergeCell ref="B213:G213"/>
    <mergeCell ref="B27:G27"/>
    <mergeCell ref="A2:B2"/>
    <mergeCell ref="A4:C4"/>
    <mergeCell ref="B6:G6"/>
    <mergeCell ref="B8:G8"/>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E67FE-9914-473E-998F-A47DDC5AE2AD}">
  <sheetPr codeName="APC_A">
    <pageSetUpPr fitToPage="1"/>
  </sheetPr>
  <dimension ref="A1:P311"/>
  <sheetViews>
    <sheetView view="pageBreakPreview" topLeftCell="A281" zoomScale="90" zoomScaleNormal="80" zoomScaleSheetLayoutView="90" workbookViewId="0">
      <selection activeCell="D103" sqref="D103"/>
    </sheetView>
  </sheetViews>
  <sheetFormatPr defaultColWidth="8.7109375" defaultRowHeight="18.75" x14ac:dyDescent="0.3"/>
  <cols>
    <col min="1" max="1" width="6.85546875" style="254" customWidth="1"/>
    <col min="2" max="2" width="19.5703125" style="254" customWidth="1"/>
    <col min="3" max="3" width="15.42578125" style="254" customWidth="1"/>
    <col min="4" max="4" width="87.42578125" style="254" customWidth="1"/>
    <col min="5" max="5" width="22.140625" style="254" bestFit="1" customWidth="1"/>
    <col min="6" max="6" width="13.85546875" style="254" bestFit="1" customWidth="1"/>
    <col min="7" max="7" width="10.42578125" style="254" customWidth="1"/>
    <col min="8" max="8" width="7" style="25" customWidth="1"/>
    <col min="9" max="9" width="8" style="25" customWidth="1"/>
    <col min="10" max="10" width="72.28515625" style="25" customWidth="1"/>
    <col min="11" max="16384" width="8.7109375" style="25"/>
  </cols>
  <sheetData>
    <row r="1" spans="1:11" customFormat="1" x14ac:dyDescent="0.25">
      <c r="A1" s="172" t="s">
        <v>1454</v>
      </c>
      <c r="B1" s="172"/>
      <c r="C1" s="173"/>
      <c r="D1" s="173"/>
      <c r="E1" s="173"/>
      <c r="F1" s="173"/>
      <c r="G1" s="173"/>
    </row>
    <row r="2" spans="1:11" customFormat="1" ht="18.75" customHeight="1" x14ac:dyDescent="0.25">
      <c r="A2" s="705" t="s">
        <v>42</v>
      </c>
      <c r="B2" s="705"/>
      <c r="C2" s="708" t="str">
        <f>zTaskName</f>
        <v>Routine Generator run with no load transfer</v>
      </c>
      <c r="D2" s="709"/>
      <c r="E2" s="709"/>
      <c r="F2" s="709"/>
      <c r="G2" s="710"/>
    </row>
    <row r="3" spans="1:11" customFormat="1" ht="9.9499999999999993" customHeight="1" x14ac:dyDescent="0.25">
      <c r="A3" s="459"/>
      <c r="B3" s="460"/>
      <c r="C3" s="461"/>
      <c r="D3" s="461"/>
      <c r="E3" s="461"/>
      <c r="F3" s="461"/>
      <c r="G3" s="462"/>
    </row>
    <row r="4" spans="1:11" customFormat="1" ht="9.9499999999999993" customHeight="1" x14ac:dyDescent="0.25">
      <c r="A4" s="706"/>
      <c r="B4" s="707"/>
      <c r="C4" s="707"/>
      <c r="D4" s="382"/>
      <c r="E4" s="382"/>
      <c r="F4" s="382"/>
      <c r="G4" s="383"/>
      <c r="H4" s="3"/>
      <c r="I4" s="3"/>
    </row>
    <row r="5" spans="1:11" customFormat="1" ht="37.5" x14ac:dyDescent="0.25">
      <c r="A5" s="421" t="s">
        <v>1455</v>
      </c>
      <c r="B5" s="516" t="s">
        <v>8</v>
      </c>
      <c r="C5" s="516" t="s">
        <v>1456</v>
      </c>
      <c r="D5" s="421" t="s">
        <v>1457</v>
      </c>
      <c r="E5" s="516" t="s">
        <v>1458</v>
      </c>
      <c r="F5" s="516" t="s">
        <v>1459</v>
      </c>
      <c r="G5" s="421" t="s">
        <v>1460</v>
      </c>
    </row>
    <row r="6" spans="1:11" customFormat="1" x14ac:dyDescent="0.25">
      <c r="A6" s="200">
        <v>1</v>
      </c>
      <c r="B6" s="712" t="s">
        <v>1461</v>
      </c>
      <c r="C6" s="712"/>
      <c r="D6" s="712"/>
      <c r="E6" s="712"/>
      <c r="F6" s="712"/>
      <c r="G6" s="712"/>
      <c r="H6" s="135"/>
      <c r="I6" s="135"/>
      <c r="J6" s="135"/>
    </row>
    <row r="7" spans="1:11" customFormat="1" ht="37.5" x14ac:dyDescent="0.25">
      <c r="A7" s="200">
        <f>A6+1</f>
        <v>2</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c r="H7" s="135"/>
      <c r="I7" s="135"/>
      <c r="J7" s="135"/>
    </row>
    <row r="8" spans="1:11" customFormat="1" x14ac:dyDescent="0.25">
      <c r="A8" s="200">
        <f>A7+1</f>
        <v>3</v>
      </c>
      <c r="B8" s="713" t="s">
        <v>1465</v>
      </c>
      <c r="C8" s="713"/>
      <c r="D8" s="713"/>
      <c r="E8" s="713"/>
      <c r="F8" s="713"/>
      <c r="G8" s="713"/>
      <c r="H8" s="135"/>
      <c r="I8" s="135"/>
      <c r="J8" s="135"/>
    </row>
    <row r="9" spans="1:11" customFormat="1" ht="37.5" x14ac:dyDescent="0.25">
      <c r="A9" s="200">
        <f>A8+1</f>
        <v>4</v>
      </c>
      <c r="B9" s="231" t="str">
        <f>Suite&amp;" Electrical Rooms"</f>
        <v>G104 Electrical Rooms</v>
      </c>
      <c r="C9" s="183" t="str">
        <f>Suite&amp;" UPS Systems"</f>
        <v>G104 UPS Systems</v>
      </c>
      <c r="D9" s="252" t="str">
        <f>"VERIFY all "&amp;Suite&amp;" UPS systems are on-line with no critical alarms present."</f>
        <v>VERIFY all G104 UPS systems are on-line with no critical alarms present.</v>
      </c>
      <c r="E9" s="183" t="s">
        <v>1464</v>
      </c>
      <c r="F9" s="193"/>
      <c r="G9" s="193"/>
      <c r="H9" s="135"/>
      <c r="I9" s="135"/>
      <c r="J9" s="135"/>
    </row>
    <row r="10" spans="1:11" customFormat="1" ht="37.5" x14ac:dyDescent="0.25">
      <c r="A10" s="200">
        <f>A9+1</f>
        <v>5</v>
      </c>
      <c r="B10" s="231" t="str">
        <f>Suite&amp;" Electrical Room "&amp;SWOne</f>
        <v>G104 Electrical Room XXX</v>
      </c>
      <c r="C10" s="183" t="str">
        <f>"UPS "&amp;SWOne&amp;"1"</f>
        <v>UPS XXX1</v>
      </c>
      <c r="D10" s="252" t="str" cm="1">
        <f t="array" ref="D10">"NOTATE the output kW reading at UPS-" &amp; SWOne &amp; "1:  ___________"</f>
        <v>NOTATE the output kW reading at UPS-XXX1:  ___________</v>
      </c>
      <c r="E10" s="183" t="s">
        <v>1464</v>
      </c>
      <c r="F10" s="193"/>
      <c r="G10" s="193"/>
      <c r="H10" s="135"/>
      <c r="I10" s="135"/>
      <c r="J10" s="135"/>
    </row>
    <row r="11" spans="1:11" customFormat="1" ht="37.5" x14ac:dyDescent="0.25">
      <c r="A11" s="200">
        <f t="shared" ref="A11:A16" si="0">A10+1</f>
        <v>6</v>
      </c>
      <c r="B11" s="231" t="str">
        <f>Suite&amp;" Electrical Room "&amp;SWOne</f>
        <v>G104 Electrical Room XXX</v>
      </c>
      <c r="C11" s="183" t="str">
        <f>"UPS "&amp;SWOne&amp;"2"</f>
        <v>UPS XXX2</v>
      </c>
      <c r="D11" s="252" t="str" cm="1">
        <f t="array" ref="D11">"NOTATE the output kW reading at UPS-" &amp; SWOne &amp; "2:  ___________"</f>
        <v>NOTATE the output kW reading at UPS-XXX2:  ___________</v>
      </c>
      <c r="E11" s="183" t="s">
        <v>1464</v>
      </c>
      <c r="F11" s="193"/>
      <c r="G11" s="193"/>
      <c r="H11" s="135"/>
      <c r="I11" s="135"/>
      <c r="J11" s="135"/>
    </row>
    <row r="12" spans="1:11" customFormat="1" ht="37.5" x14ac:dyDescent="0.25">
      <c r="A12" s="200">
        <f t="shared" si="0"/>
        <v>7</v>
      </c>
      <c r="B12" s="231" t="str">
        <f>Suite&amp;" Electrical Room "&amp;SWOne</f>
        <v>G104 Electrical Room XXX</v>
      </c>
      <c r="C12" s="183" t="str">
        <f>"UP"&amp;SWOne</f>
        <v>UPXXX</v>
      </c>
      <c r="D12" s="252" t="str" cm="1">
        <f t="array" ref="D12">"NOTATE the kW reading at UP" &amp; SWOne &amp; " Critical Bus Panel Meter: _________"</f>
        <v>NOTATE the kW reading at UPXXX Critical Bus Panel Meter: _________</v>
      </c>
      <c r="E12" s="183" t="s">
        <v>1464</v>
      </c>
      <c r="F12" s="193"/>
      <c r="G12" s="193"/>
      <c r="H12" s="135"/>
      <c r="I12" s="135"/>
      <c r="J12" s="135"/>
    </row>
    <row r="13" spans="1:11" customFormat="1" ht="56.25" x14ac:dyDescent="0.25">
      <c r="A13" s="200">
        <f t="shared" si="0"/>
        <v>8</v>
      </c>
      <c r="B13" s="500" t="str" cm="1">
        <f t="array" ref="B13">Suite &amp; " Electrical Rooms"</f>
        <v>G104 Electrical Rooms</v>
      </c>
      <c r="C13" s="499" t="str" cm="1">
        <f t="array" ref="C13">Suite &amp; " UPS System"</f>
        <v>G104 UPS System</v>
      </c>
      <c r="D13" s="190" t="s">
        <v>4621</v>
      </c>
      <c r="E13" s="499" t="s">
        <v>1464</v>
      </c>
      <c r="F13" s="500"/>
      <c r="G13" s="519"/>
      <c r="K13" s="4"/>
    </row>
    <row r="14" spans="1:11" customFormat="1" ht="37.5" x14ac:dyDescent="0.25">
      <c r="A14" s="200">
        <f t="shared" si="0"/>
        <v>9</v>
      </c>
      <c r="B14" s="500" t="str" cm="1">
        <f t="array" ref="B14">Suite &amp; " Electrical Rooms"</f>
        <v>G104 Electrical Rooms</v>
      </c>
      <c r="C14" s="499" t="str" cm="1">
        <f t="array" ref="C14">Suite &amp; " UPS System"</f>
        <v>G104 UPS System</v>
      </c>
      <c r="D14" s="191" t="str" cm="1">
        <f t="array" ref="D14">"Verify output kW readings on all UPS modules do not exceed " &amp; ROUNDDOWN(IF(POD="DR", (NumberOfSW-1)/NumberOfSW, 0.5)*(UPSkW), 0) &amp; " kW."</f>
        <v>Verify output kW readings on all UPS modules do not exceed 281 kW.</v>
      </c>
      <c r="E14" s="499" t="s">
        <v>1464</v>
      </c>
      <c r="F14" s="500"/>
      <c r="G14" s="519"/>
    </row>
    <row r="15" spans="1:11" customFormat="1" ht="37.5" x14ac:dyDescent="0.25">
      <c r="A15" s="200">
        <f t="shared" si="0"/>
        <v>10</v>
      </c>
      <c r="B15" s="231" t="str">
        <f>Suite&amp;" Electrical Rooms"</f>
        <v>G104 Electrical Rooms</v>
      </c>
      <c r="C15" s="183" t="str">
        <f>Suite&amp;" UPS Systems"</f>
        <v>G104 UPS Systems</v>
      </c>
      <c r="D15" s="184" t="s">
        <v>1559</v>
      </c>
      <c r="E15" s="183" t="s">
        <v>1464</v>
      </c>
      <c r="F15" s="193"/>
      <c r="G15" s="193"/>
      <c r="H15" s="135"/>
      <c r="I15" s="135"/>
      <c r="J15" s="135"/>
    </row>
    <row r="16" spans="1:11" customFormat="1" x14ac:dyDescent="0.25">
      <c r="A16" s="200">
        <f t="shared" si="0"/>
        <v>11</v>
      </c>
      <c r="B16" s="713" t="str">
        <f>"Prepare UP"&amp;SWOne&amp;" for Transfer to Maintenance Bypass"</f>
        <v>Prepare UPXXX for Transfer to Maintenance Bypass</v>
      </c>
      <c r="C16" s="713"/>
      <c r="D16" s="713"/>
      <c r="E16" s="713"/>
      <c r="F16" s="713"/>
      <c r="G16" s="713"/>
      <c r="H16" s="135"/>
      <c r="I16" s="135"/>
      <c r="J16" s="135"/>
    </row>
    <row r="17" spans="1:10" customFormat="1" ht="37.5" x14ac:dyDescent="0.25">
      <c r="A17" s="200">
        <f>A16+1</f>
        <v>12</v>
      </c>
      <c r="B17" s="231" t="str">
        <f>Suite&amp;" Electrical Room "&amp;SWOne</f>
        <v>G104 Electrical Room XXX</v>
      </c>
      <c r="C17" s="183" t="str">
        <f>"UP"&amp;SWOne</f>
        <v>UPXXX</v>
      </c>
      <c r="D17" s="233" t="str" cm="1">
        <f t="array" ref="D17">"Pump the MBUP" &amp; SWOne &amp; " breaker charging handle repeatedly to compress the charging spring and charge the breaker."</f>
        <v>Pump the MBUPXXX breaker charging handle repeatedly to compress the charging spring and charge the breaker.</v>
      </c>
      <c r="E17" s="183" t="s">
        <v>1464</v>
      </c>
      <c r="F17" s="193"/>
      <c r="G17" s="193"/>
      <c r="H17" s="135"/>
      <c r="I17" s="135"/>
      <c r="J17" s="135"/>
    </row>
    <row r="18" spans="1:10" customFormat="1" x14ac:dyDescent="0.25">
      <c r="A18" s="200">
        <f>A17+1</f>
        <v>13</v>
      </c>
      <c r="B18" s="711" t="str">
        <f>"Transfer UPS System "&amp;SWOne&amp;" to Static Bypass"</f>
        <v>Transfer UPS System XXX to Static Bypass</v>
      </c>
      <c r="C18" s="711"/>
      <c r="D18" s="711"/>
      <c r="E18" s="711"/>
      <c r="F18" s="711"/>
      <c r="G18" s="711"/>
      <c r="H18" s="135"/>
      <c r="I18" s="135"/>
      <c r="J18" s="135"/>
    </row>
    <row r="19" spans="1:10" customFormat="1" ht="37.5" x14ac:dyDescent="0.25">
      <c r="A19" s="200">
        <f>A18+1</f>
        <v>14</v>
      </c>
      <c r="B19" s="231" t="str">
        <f>Suite&amp;" Electrical Room "&amp;SWOne</f>
        <v>G104 Electrical Room XXX</v>
      </c>
      <c r="C19" s="183" t="str">
        <f>"UPS "&amp;SWOne&amp;"1"</f>
        <v>UPS XXX1</v>
      </c>
      <c r="D19" s="233" t="str" cm="1">
        <f t="array" ref="D19">"TOUCH the UPS-" &amp; SWOne &amp; "1 module graphic on the UPS display."</f>
        <v>TOUCH the UPS-XXX1 module graphic on the UPS display.</v>
      </c>
      <c r="E19" s="183" t="s">
        <v>1464</v>
      </c>
      <c r="F19" s="193"/>
      <c r="G19" s="193"/>
      <c r="H19" s="135"/>
      <c r="I19" s="135"/>
      <c r="J19" s="135"/>
    </row>
    <row r="20" spans="1:10" customFormat="1" ht="37.5" x14ac:dyDescent="0.25">
      <c r="A20" s="200">
        <f t="shared" ref="A20:A77" si="1">A19+1</f>
        <v>15</v>
      </c>
      <c r="B20" s="231" t="str">
        <f>Suite&amp;" Electrical Room "&amp;SWOne</f>
        <v>G104 Electrical Room XXX</v>
      </c>
      <c r="C20" s="183" t="str">
        <f>"UPS "&amp;SWOne&amp;"1"</f>
        <v>UPS XXX1</v>
      </c>
      <c r="D20" s="233" t="s">
        <v>1560</v>
      </c>
      <c r="E20" s="183" t="s">
        <v>1464</v>
      </c>
      <c r="F20" s="193"/>
      <c r="G20" s="193"/>
      <c r="H20" s="135"/>
      <c r="I20" s="135"/>
      <c r="J20" s="135"/>
    </row>
    <row r="21" spans="1:10" customFormat="1" ht="37.5" x14ac:dyDescent="0.25">
      <c r="A21" s="200">
        <f t="shared" si="1"/>
        <v>16</v>
      </c>
      <c r="B21" s="231" t="str">
        <f>Suite&amp;" Electrical Room "&amp;SWOne</f>
        <v>G104 Electrical Room XXX</v>
      </c>
      <c r="C21" s="183" t="str">
        <f>"UPS "&amp;SWOne&amp;"1"</f>
        <v>UPS XXX1</v>
      </c>
      <c r="D21" s="233" t="s">
        <v>1561</v>
      </c>
      <c r="E21" s="183" t="s">
        <v>1464</v>
      </c>
      <c r="F21" s="193"/>
      <c r="G21" s="193"/>
      <c r="H21" s="135"/>
      <c r="I21" s="135"/>
      <c r="J21" s="135"/>
    </row>
    <row r="22" spans="1:10" customFormat="1" ht="37.5" x14ac:dyDescent="0.25">
      <c r="A22" s="200">
        <f t="shared" si="1"/>
        <v>17</v>
      </c>
      <c r="B22" s="231" t="str">
        <f>Suite&amp;" Electrical Room "&amp;SWOne</f>
        <v>G104 Electrical Room XXX</v>
      </c>
      <c r="C22" s="183" t="str">
        <f>"UPS "&amp;SWOne&amp;"1"</f>
        <v>UPS XXX1</v>
      </c>
      <c r="D22" s="233" t="s">
        <v>1562</v>
      </c>
      <c r="E22" s="183" t="s">
        <v>1464</v>
      </c>
      <c r="F22" s="193"/>
      <c r="G22" s="193"/>
      <c r="H22" s="135"/>
      <c r="I22" s="135"/>
      <c r="J22" s="135"/>
    </row>
    <row r="23" spans="1:10" customFormat="1" ht="37.5" x14ac:dyDescent="0.25">
      <c r="A23" s="200">
        <f t="shared" si="1"/>
        <v>18</v>
      </c>
      <c r="B23" s="231" t="str">
        <f>Suite&amp;" Electrical Room "&amp;SWOne</f>
        <v>G104 Electrical Room XXX</v>
      </c>
      <c r="C23" s="183" t="str">
        <f>"UPS "&amp;SWOne&amp;"1"</f>
        <v>UPS XXX1</v>
      </c>
      <c r="D23" s="233" t="s">
        <v>1563</v>
      </c>
      <c r="E23" s="183" t="s">
        <v>1464</v>
      </c>
      <c r="F23" s="193"/>
      <c r="G23" s="193"/>
      <c r="H23" s="135"/>
      <c r="I23" s="135"/>
      <c r="J23" s="135"/>
    </row>
    <row r="24" spans="1:10" customFormat="1" ht="37.5" x14ac:dyDescent="0.25">
      <c r="A24" s="200">
        <f t="shared" si="1"/>
        <v>19</v>
      </c>
      <c r="B24" s="231" t="str">
        <f>Suite&amp;" Electrical Room "&amp;SWOne</f>
        <v>G104 Electrical Room XXX</v>
      </c>
      <c r="C24" s="183" t="str">
        <f>"UPS "&amp;SWOne&amp;"1"</f>
        <v>UPS XXX1</v>
      </c>
      <c r="D24" s="233" t="s">
        <v>1564</v>
      </c>
      <c r="E24" s="183" t="s">
        <v>1464</v>
      </c>
      <c r="F24" s="193"/>
      <c r="G24" s="193"/>
      <c r="H24" s="135"/>
      <c r="I24" s="135"/>
      <c r="J24" s="135"/>
    </row>
    <row r="25" spans="1:10" customFormat="1" ht="37.5" x14ac:dyDescent="0.25">
      <c r="A25" s="200">
        <f t="shared" si="1"/>
        <v>20</v>
      </c>
      <c r="B25" s="231" t="str">
        <f>Suite&amp;" Electrical Room "&amp;SWOne</f>
        <v>G104 Electrical Room XXX</v>
      </c>
      <c r="C25" s="183" t="str">
        <f>"UPS "&amp;SWOne&amp;"1"</f>
        <v>UPS XXX1</v>
      </c>
      <c r="D25" s="233" t="s">
        <v>1565</v>
      </c>
      <c r="E25" s="183" t="s">
        <v>1464</v>
      </c>
      <c r="F25" s="193"/>
      <c r="G25" s="193"/>
      <c r="H25" s="135"/>
      <c r="I25" s="135"/>
      <c r="J25" s="135"/>
    </row>
    <row r="26" spans="1:10" customFormat="1" ht="37.5" x14ac:dyDescent="0.25">
      <c r="A26" s="200">
        <f t="shared" si="1"/>
        <v>21</v>
      </c>
      <c r="B26" s="231" t="str">
        <f>Suite&amp;" Electrical Room "&amp;SWOne</f>
        <v>G104 Electrical Room XXX</v>
      </c>
      <c r="C26" s="183" t="str">
        <f>"UPS "&amp;SWOne&amp;"1 &amp; "&amp;SWOne&amp;"2"</f>
        <v>UPS XXX1 &amp; XXX2</v>
      </c>
      <c r="D26" s="233" t="str" cm="1">
        <f t="array" ref="D26">"UPS-" &amp; SWOne &amp; "1 and UPS-" &amp; SWOne &amp; "2 will transfer to Static Bypass."</f>
        <v>UPS-XXX1 and UPS-XXX2 will transfer to Static Bypass.</v>
      </c>
      <c r="E26" s="183" t="s">
        <v>1464</v>
      </c>
      <c r="F26" s="193"/>
      <c r="G26" s="193"/>
      <c r="H26" s="135"/>
      <c r="I26" s="135"/>
      <c r="J26" s="135"/>
    </row>
    <row r="27" spans="1:10" customFormat="1" ht="37.5" x14ac:dyDescent="0.25">
      <c r="A27" s="200">
        <f t="shared" si="1"/>
        <v>22</v>
      </c>
      <c r="B27" s="231" t="str">
        <f>Suite&amp;" Electrical Room "&amp;SWOne</f>
        <v>G104 Electrical Room XXX</v>
      </c>
      <c r="C27" s="183" t="str">
        <f>"UPS "&amp;SWOne</f>
        <v>UPS XXX</v>
      </c>
      <c r="D27" s="233" t="s">
        <v>1501</v>
      </c>
      <c r="E27" s="183" t="s">
        <v>1464</v>
      </c>
      <c r="F27" s="193"/>
      <c r="G27" s="193"/>
      <c r="H27" s="135"/>
      <c r="I27" s="135"/>
      <c r="J27" s="135"/>
    </row>
    <row r="28" spans="1:10" customFormat="1" ht="37.5" x14ac:dyDescent="0.25">
      <c r="A28" s="200">
        <f t="shared" si="1"/>
        <v>23</v>
      </c>
      <c r="B28" s="231" t="str">
        <f>Suite&amp;" Electrical Room "&amp;SWOne</f>
        <v>G104 Electrical Room XXX</v>
      </c>
      <c r="C28" s="183" t="s">
        <v>1566</v>
      </c>
      <c r="D28" s="186" t="s">
        <v>1567</v>
      </c>
      <c r="E28" s="183" t="s">
        <v>1464</v>
      </c>
      <c r="F28" s="193"/>
      <c r="G28" s="193"/>
      <c r="H28" s="135"/>
      <c r="I28" s="135"/>
      <c r="J28" s="135"/>
    </row>
    <row r="29" spans="1:10" customFormat="1" ht="37.5" x14ac:dyDescent="0.25">
      <c r="A29" s="200">
        <f t="shared" si="1"/>
        <v>24</v>
      </c>
      <c r="B29" s="231" t="str">
        <f>Suite&amp;" Electrical Room "&amp;SWOne</f>
        <v>G104 Electrical Room XXX</v>
      </c>
      <c r="C29" s="183" t="str">
        <f>"UP"&amp;SWOne</f>
        <v>UPXXX</v>
      </c>
      <c r="D29" s="233" t="str" cm="1">
        <f t="array" ref="D29">"NOTATE the kW reading at UP" &amp; SWOne &amp; " Critical Bus Panel Meter: _________"</f>
        <v>NOTATE the kW reading at UPXXX Critical Bus Panel Meter: _________</v>
      </c>
      <c r="E29" s="183" t="s">
        <v>1464</v>
      </c>
      <c r="F29" s="193"/>
      <c r="G29" s="193"/>
      <c r="H29" s="135"/>
      <c r="I29" s="135"/>
      <c r="J29" s="135"/>
    </row>
    <row r="30" spans="1:10" customFormat="1" ht="37.5" x14ac:dyDescent="0.25">
      <c r="A30" s="200">
        <f t="shared" si="1"/>
        <v>25</v>
      </c>
      <c r="B30" s="231" t="str">
        <f>Suite&amp;" Electrical Room "&amp;SWOne</f>
        <v>G104 Electrical Room XXX</v>
      </c>
      <c r="C30" s="183" t="str">
        <f>"UP"&amp;SWOne</f>
        <v>UPXXX</v>
      </c>
      <c r="D30" s="233" t="str">
        <f>"VERIFY the readings in step " &amp; A12 &amp; " and " &amp; A29 &amp; " are within 3% of each other. (new kW divided by original kW must be ≤1.03 and ≥0.97)."</f>
        <v>VERIFY the readings in step 7 and 24 are within 3% of each other. (new kW divided by original kW must be ≤1.03 and ≥0.97).</v>
      </c>
      <c r="E30" s="183" t="s">
        <v>1464</v>
      </c>
      <c r="F30" s="193"/>
      <c r="G30" s="193"/>
      <c r="H30" s="135"/>
      <c r="I30" s="135"/>
      <c r="J30" s="135"/>
    </row>
    <row r="31" spans="1:10" customFormat="1" x14ac:dyDescent="0.25">
      <c r="A31" s="200">
        <f t="shared" si="1"/>
        <v>26</v>
      </c>
      <c r="B31" s="711" t="s">
        <v>1502</v>
      </c>
      <c r="C31" s="711"/>
      <c r="D31" s="711"/>
      <c r="E31" s="711"/>
      <c r="F31" s="711"/>
      <c r="G31" s="711"/>
      <c r="H31" s="135"/>
      <c r="I31" s="135"/>
      <c r="J31" s="135"/>
    </row>
    <row r="32" spans="1:10" customFormat="1" ht="37.5" x14ac:dyDescent="0.25">
      <c r="A32" s="200">
        <f t="shared" si="1"/>
        <v>27</v>
      </c>
      <c r="B32" s="231" t="str">
        <f>Suite&amp;" Electrical Room "&amp;SWOne</f>
        <v>G104 Electrical Room XXX</v>
      </c>
      <c r="C32" s="183" t="str">
        <f>"UP"&amp;SWOne</f>
        <v>UPXXX</v>
      </c>
      <c r="D32" s="233" t="s">
        <v>1568</v>
      </c>
      <c r="E32" s="183" t="s">
        <v>1464</v>
      </c>
      <c r="F32" s="193"/>
      <c r="G32" s="193"/>
      <c r="H32" s="135"/>
      <c r="I32" s="135"/>
      <c r="J32" s="135"/>
    </row>
    <row r="33" spans="1:10" customFormat="1" ht="37.5" x14ac:dyDescent="0.25">
      <c r="A33" s="200">
        <f t="shared" si="1"/>
        <v>28</v>
      </c>
      <c r="B33" s="231" t="str">
        <f>Suite&amp;" Electrical Room "&amp;SWOne</f>
        <v>G104 Electrical Room XXX</v>
      </c>
      <c r="C33" s="183" t="str">
        <f>"UP"&amp;SWOne</f>
        <v>UPXXX</v>
      </c>
      <c r="D33" s="186" t="s">
        <v>1569</v>
      </c>
      <c r="E33" s="183" t="s">
        <v>1464</v>
      </c>
      <c r="F33" s="193"/>
      <c r="G33" s="193"/>
      <c r="H33" s="135"/>
      <c r="I33" s="135"/>
      <c r="J33" s="135"/>
    </row>
    <row r="34" spans="1:10" customFormat="1" ht="37.5" x14ac:dyDescent="0.25">
      <c r="A34" s="200">
        <f t="shared" si="1"/>
        <v>29</v>
      </c>
      <c r="B34" s="231" t="str">
        <f>Suite&amp;" Electrical Room "&amp;SWOne</f>
        <v>G104 Electrical Room XXX</v>
      </c>
      <c r="C34" s="183" t="str">
        <f>"UP"&amp;SWOne</f>
        <v>UPXXX</v>
      </c>
      <c r="D34" s="186" t="s">
        <v>1570</v>
      </c>
      <c r="E34" s="183" t="s">
        <v>1464</v>
      </c>
      <c r="F34" s="193"/>
      <c r="G34" s="193"/>
      <c r="H34" s="135"/>
      <c r="I34" s="135"/>
      <c r="J34" s="135"/>
    </row>
    <row r="35" spans="1:10" customFormat="1" ht="37.5" x14ac:dyDescent="0.25">
      <c r="A35" s="200">
        <f t="shared" si="1"/>
        <v>30</v>
      </c>
      <c r="B35" s="231" t="str">
        <f>Suite&amp;" Electrical Room "&amp;SWOne</f>
        <v>G104 Electrical Room XXX</v>
      </c>
      <c r="C35" s="183" t="str">
        <f>"UP"&amp;SWOne</f>
        <v>UPXXX</v>
      </c>
      <c r="D35" s="233" t="str" cm="1">
        <f t="array" ref="D35">"INSERT the interlock key into the MBUP" &amp; SWOne &amp; " breaker lock cylinder."</f>
        <v>INSERT the interlock key into the MBUPXXX breaker lock cylinder.</v>
      </c>
      <c r="E35" s="183" t="s">
        <v>1464</v>
      </c>
      <c r="F35" s="193"/>
      <c r="G35" s="193"/>
      <c r="H35" s="135"/>
      <c r="I35" s="135"/>
      <c r="J35" s="135"/>
    </row>
    <row r="36" spans="1:10" customFormat="1" ht="37.5" x14ac:dyDescent="0.25">
      <c r="A36" s="200">
        <f t="shared" si="1"/>
        <v>31</v>
      </c>
      <c r="B36" s="231" t="str">
        <f>Suite&amp;" Electrical Room "&amp;SWOne</f>
        <v>G104 Electrical Room XXX</v>
      </c>
      <c r="C36" s="183" t="str">
        <f>"UP"&amp;SWOne</f>
        <v>UPXXX</v>
      </c>
      <c r="D36" s="186" t="str" cm="1">
        <f t="array" ref="D36">"ROTATE the interlock key 90 degrees to UNLOCK the MBUP" &amp; SWOne &amp; " breaker."</f>
        <v>ROTATE the interlock key 90 degrees to UNLOCK the MBUPXXX breaker.</v>
      </c>
      <c r="E36" s="183" t="s">
        <v>1464</v>
      </c>
      <c r="F36" s="193"/>
      <c r="G36" s="193"/>
      <c r="H36" s="135"/>
      <c r="I36" s="135"/>
      <c r="J36" s="135"/>
    </row>
    <row r="37" spans="1:10" customFormat="1" ht="37.5" x14ac:dyDescent="0.25">
      <c r="A37" s="200">
        <f t="shared" si="1"/>
        <v>32</v>
      </c>
      <c r="B37" s="231" t="str">
        <f>Suite&amp;" Electrical Room "&amp;SWOne</f>
        <v>G104 Electrical Room XXX</v>
      </c>
      <c r="C37" s="183" t="str">
        <f>"UP"&amp;SWOne</f>
        <v>UPXXX</v>
      </c>
      <c r="D37" s="233" t="str" cm="1">
        <f t="array" ref="D37">"Close breaker MBUP" &amp; SWOne &amp; "."</f>
        <v>Close breaker MBUPXXX.</v>
      </c>
      <c r="E37" s="183" t="s">
        <v>1464</v>
      </c>
      <c r="F37" s="193"/>
      <c r="G37" s="193"/>
      <c r="H37" s="135"/>
      <c r="I37" s="135"/>
      <c r="J37" s="135"/>
    </row>
    <row r="38" spans="1:10" customFormat="1" ht="37.5" x14ac:dyDescent="0.25">
      <c r="A38" s="200">
        <f t="shared" si="1"/>
        <v>33</v>
      </c>
      <c r="B38" s="231" t="str">
        <f>Suite&amp;" Electrical Room "&amp;SWOne</f>
        <v>G104 Electrical Room XXX</v>
      </c>
      <c r="C38" s="183" t="str">
        <f>"UP"&amp;SWOne</f>
        <v>UPXXX</v>
      </c>
      <c r="D38" s="186" t="str" cm="1">
        <f t="array" ref="D38">"VERIFY MBUP" &amp; SWOne &amp; " breaker flag indicates CLOSED."</f>
        <v>VERIFY MBUPXXX breaker flag indicates CLOSED.</v>
      </c>
      <c r="E38" s="183" t="s">
        <v>1464</v>
      </c>
      <c r="F38" s="193"/>
      <c r="G38" s="193"/>
      <c r="H38" s="135"/>
      <c r="I38" s="135"/>
      <c r="J38" s="135"/>
    </row>
    <row r="39" spans="1:10" customFormat="1" ht="37.5" x14ac:dyDescent="0.25">
      <c r="A39" s="200">
        <f t="shared" si="1"/>
        <v>34</v>
      </c>
      <c r="B39" s="231" t="str">
        <f>Suite&amp;" Electrical Room "&amp;SWOne</f>
        <v>G104 Electrical Room XXX</v>
      </c>
      <c r="C39" s="183" t="str">
        <f>"UP"&amp;SWOne</f>
        <v>UPXXX</v>
      </c>
      <c r="D39" s="233" t="str" cm="1">
        <f t="array" ref="D39">"VERIFY breaker MBUP" &amp; SWOne &amp; " is carrying a portion of critical customer load using breaker mounted metering."</f>
        <v>VERIFY breaker MBUPXXX is carrying a portion of critical customer load using breaker mounted metering.</v>
      </c>
      <c r="E39" s="183" t="s">
        <v>1464</v>
      </c>
      <c r="F39" s="193"/>
      <c r="G39" s="193"/>
      <c r="H39" s="135"/>
      <c r="I39" s="135"/>
      <c r="J39" s="135"/>
    </row>
    <row r="40" spans="1:10" customFormat="1" ht="37.5" x14ac:dyDescent="0.25">
      <c r="A40" s="200">
        <f t="shared" si="1"/>
        <v>35</v>
      </c>
      <c r="B40" s="231" t="str">
        <f>Suite&amp;" Electrical Room "&amp;SWOne</f>
        <v>G104 Electrical Room XXX</v>
      </c>
      <c r="C40" s="183" t="str">
        <f>"UP"&amp;SWOne</f>
        <v>UPXXX</v>
      </c>
      <c r="D40" s="233" t="str" cm="1">
        <f t="array" ref="D40">"VERIFY breaker MCBUP" &amp; SWOne &amp; " is carrying a portion of critical customer load using breaker mounted metering."</f>
        <v>VERIFY breaker MCBUPXXX is carrying a portion of critical customer load using breaker mounted metering.</v>
      </c>
      <c r="E40" s="183" t="s">
        <v>1464</v>
      </c>
      <c r="F40" s="193"/>
      <c r="G40" s="193"/>
      <c r="H40" s="135"/>
      <c r="I40" s="135"/>
      <c r="J40" s="135"/>
    </row>
    <row r="41" spans="1:10" customFormat="1" ht="37.5" x14ac:dyDescent="0.25">
      <c r="A41" s="200">
        <f t="shared" si="1"/>
        <v>36</v>
      </c>
      <c r="B41" s="231" t="str">
        <f>Suite&amp;" Electrical Room "&amp;SWOne</f>
        <v>G104 Electrical Room XXX</v>
      </c>
      <c r="C41" s="183" t="str">
        <f>"UP"&amp;SWOne</f>
        <v>UPXXX</v>
      </c>
      <c r="D41" s="233" t="str" cm="1">
        <f t="array" ref="D41">"NOTATE the kW reading at UP" &amp; SWOne &amp; " Critical Bus Panel Meter: _________"</f>
        <v>NOTATE the kW reading at UPXXX Critical Bus Panel Meter: _________</v>
      </c>
      <c r="E41" s="183" t="s">
        <v>1464</v>
      </c>
      <c r="F41" s="193"/>
      <c r="G41" s="193"/>
      <c r="H41" s="135"/>
      <c r="I41" s="135"/>
      <c r="J41" s="135"/>
    </row>
    <row r="42" spans="1:10" customFormat="1" ht="37.5" x14ac:dyDescent="0.25">
      <c r="A42" s="200">
        <f t="shared" si="1"/>
        <v>37</v>
      </c>
      <c r="B42" s="231" t="str">
        <f>Suite&amp;" Electrical Room "&amp;SWOne</f>
        <v>G104 Electrical Room XXX</v>
      </c>
      <c r="C42" s="183" t="str">
        <f>"UP"&amp;SWOne</f>
        <v>UPXXX</v>
      </c>
      <c r="D42" s="233" t="str">
        <f>"VERIFY the readings in step " &amp; A29 &amp; " and " &amp; A41 &amp; " are within 3% of each other. (new kW divided by original kW must be ≤1.03 and ≥0.97)."</f>
        <v>VERIFY the readings in step 24 and 36 are within 3% of each other. (new kW divided by original kW must be ≤1.03 and ≥0.97).</v>
      </c>
      <c r="E42" s="183" t="s">
        <v>1464</v>
      </c>
      <c r="F42" s="193"/>
      <c r="G42" s="193"/>
      <c r="H42" s="135"/>
      <c r="I42" s="135"/>
      <c r="J42" s="135"/>
    </row>
    <row r="43" spans="1:10" customFormat="1" ht="37.5" x14ac:dyDescent="0.25">
      <c r="A43" s="200">
        <f t="shared" si="1"/>
        <v>38</v>
      </c>
      <c r="B43" s="231" t="str">
        <f>Suite&amp;" Electrical Room "&amp;SWOne</f>
        <v>G104 Electrical Room XXX</v>
      </c>
      <c r="C43" s="183" t="s">
        <v>1566</v>
      </c>
      <c r="D43" s="186" t="s">
        <v>1571</v>
      </c>
      <c r="E43" s="183" t="s">
        <v>1464</v>
      </c>
      <c r="F43" s="193"/>
      <c r="G43" s="193"/>
      <c r="H43" s="135"/>
      <c r="I43" s="135"/>
      <c r="J43" s="135"/>
    </row>
    <row r="44" spans="1:10" customFormat="1" ht="37.5" x14ac:dyDescent="0.25">
      <c r="A44" s="200">
        <f t="shared" si="1"/>
        <v>39</v>
      </c>
      <c r="B44" s="231" t="str">
        <f>Suite&amp;" Electrical Room "&amp;SWOne</f>
        <v>G104 Electrical Room XXX</v>
      </c>
      <c r="C44" s="183" t="str">
        <f>"UP"&amp;SWOne</f>
        <v>UPXXX</v>
      </c>
      <c r="D44" s="233" t="str" cm="1">
        <f t="array" ref="D44">"Pump the MCBUP" &amp; SWOne &amp; " breaker charging handle repeatedly to compress the charging spring and charge the breaker."</f>
        <v>Pump the MCBUPXXX breaker charging handle repeatedly to compress the charging spring and charge the breaker.</v>
      </c>
      <c r="E44" s="183" t="s">
        <v>1464</v>
      </c>
      <c r="F44" s="193"/>
      <c r="G44" s="193"/>
      <c r="H44" s="135"/>
      <c r="I44" s="135"/>
      <c r="J44" s="135"/>
    </row>
    <row r="45" spans="1:10" customFormat="1" ht="56.25" x14ac:dyDescent="0.25">
      <c r="A45" s="200">
        <f t="shared" si="1"/>
        <v>40</v>
      </c>
      <c r="B45" s="231" t="str">
        <f>Suite&amp;" Electrical Room "&amp;SWOne</f>
        <v>G104 Electrical Room XXX</v>
      </c>
      <c r="C45" s="183" t="str">
        <f>"UP"&amp;SWOne</f>
        <v>UPXXX</v>
      </c>
      <c r="D45" s="233" t="str" cm="1">
        <f t="array" ref="D45">"Note: If breaker MCBUP" &amp; SWOne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c r="H45" s="135"/>
      <c r="I45" s="135"/>
      <c r="J45" s="135"/>
    </row>
    <row r="46" spans="1:10" customFormat="1" ht="37.5" x14ac:dyDescent="0.25">
      <c r="A46" s="200">
        <f t="shared" si="1"/>
        <v>41</v>
      </c>
      <c r="B46" s="231" t="str">
        <f>Suite&amp;" Electrical Room "&amp;SWOne</f>
        <v>G104 Electrical Room XXX</v>
      </c>
      <c r="C46" s="183" t="str">
        <f>"UP"&amp;SWOne</f>
        <v>UPXXX</v>
      </c>
      <c r="D46" s="233" t="str" cm="1">
        <f t="array" ref="D46">"OPEN breaker MCBUP" &amp; SWOne &amp; "."</f>
        <v>OPEN breaker MCBUPXXX.</v>
      </c>
      <c r="E46" s="183" t="s">
        <v>1464</v>
      </c>
      <c r="F46" s="193"/>
      <c r="G46" s="193"/>
      <c r="H46" s="135"/>
      <c r="I46" s="135"/>
      <c r="J46" s="135"/>
    </row>
    <row r="47" spans="1:10" customFormat="1" ht="37.5" x14ac:dyDescent="0.25">
      <c r="A47" s="200">
        <f t="shared" si="1"/>
        <v>42</v>
      </c>
      <c r="B47" s="231" t="str">
        <f>Suite&amp;" Electrical Room "&amp;SWOne</f>
        <v>G104 Electrical Room XXX</v>
      </c>
      <c r="C47" s="183" t="str">
        <f>"UP"&amp;SWOne</f>
        <v>UPXXX</v>
      </c>
      <c r="D47" s="233" t="s">
        <v>1506</v>
      </c>
      <c r="E47" s="183" t="s">
        <v>1464</v>
      </c>
      <c r="F47" s="193"/>
      <c r="G47" s="193"/>
      <c r="H47" s="135"/>
      <c r="I47" s="135"/>
      <c r="J47" s="135"/>
    </row>
    <row r="48" spans="1:10" customFormat="1" ht="37.5" x14ac:dyDescent="0.25">
      <c r="A48" s="200">
        <f t="shared" si="1"/>
        <v>43</v>
      </c>
      <c r="B48" s="231" t="str">
        <f>Suite&amp;" Electrical Room "&amp;SWOne</f>
        <v>G104 Electrical Room XXX</v>
      </c>
      <c r="C48" s="183" t="str">
        <f>"UP"&amp;SWOne</f>
        <v>UPXXX</v>
      </c>
      <c r="D48" s="186" t="str" cm="1">
        <f t="array" ref="D48">"VERIFY MCBUP" &amp; SWOne &amp; " breaker flag indicates OPEN."</f>
        <v>VERIFY MCBUPXXX breaker flag indicates OPEN.</v>
      </c>
      <c r="E48" s="183" t="s">
        <v>1464</v>
      </c>
      <c r="F48" s="193"/>
      <c r="G48" s="193"/>
      <c r="H48" s="135"/>
      <c r="I48" s="135"/>
      <c r="J48" s="135"/>
    </row>
    <row r="49" spans="1:10" customFormat="1" ht="37.5" x14ac:dyDescent="0.25">
      <c r="A49" s="200">
        <f t="shared" si="1"/>
        <v>44</v>
      </c>
      <c r="B49" s="231" t="str">
        <f>Suite&amp;" Electrical Room "&amp;SWOne</f>
        <v>G104 Electrical Room XXX</v>
      </c>
      <c r="C49" s="183" t="str">
        <f>"UP"&amp;SWOne</f>
        <v>UPXXX</v>
      </c>
      <c r="D49" s="233" t="str" cm="1">
        <f t="array" ref="D49">"NOTATE the kW reading at UP" &amp; SWOne &amp; " Critical Bus Panel Meter: _________"</f>
        <v>NOTATE the kW reading at UPXXX Critical Bus Panel Meter: _________</v>
      </c>
      <c r="E49" s="183" t="s">
        <v>1464</v>
      </c>
      <c r="F49" s="193"/>
      <c r="G49" s="193"/>
      <c r="H49" s="135"/>
      <c r="I49" s="135"/>
      <c r="J49" s="135"/>
    </row>
    <row r="50" spans="1:10" customFormat="1" ht="37.5" x14ac:dyDescent="0.25">
      <c r="A50" s="200">
        <f t="shared" si="1"/>
        <v>45</v>
      </c>
      <c r="B50" s="231" t="str">
        <f>Suite&amp;" Electrical Room "&amp;SWOne</f>
        <v>G104 Electrical Room XXX</v>
      </c>
      <c r="C50" s="183" t="str">
        <f>"UP"&amp;SWOne</f>
        <v>UPXXX</v>
      </c>
      <c r="D50" s="233" t="str">
        <f>"VERIFY the readings in step " &amp; A41 &amp; " and " &amp; A49 &amp; " are within 3% of each other. (new kW divided by original kW must be ≤1.03 and ≥0.97)."</f>
        <v>VERIFY the readings in step 36 and 44 are within 3% of each other. (new kW divided by original kW must be ≤1.03 and ≥0.97).</v>
      </c>
      <c r="E50" s="183" t="s">
        <v>1464</v>
      </c>
      <c r="F50" s="193"/>
      <c r="G50" s="193"/>
      <c r="H50" s="135"/>
      <c r="I50" s="135"/>
      <c r="J50" s="135"/>
    </row>
    <row r="51" spans="1:10" customFormat="1" ht="37.5" x14ac:dyDescent="0.25">
      <c r="A51" s="200">
        <f t="shared" si="1"/>
        <v>46</v>
      </c>
      <c r="B51" s="231" t="str">
        <f>Suite&amp;" Electrical Room "&amp;SWOne</f>
        <v>G104 Electrical Room XXX</v>
      </c>
      <c r="C51" s="183" t="s">
        <v>1566</v>
      </c>
      <c r="D51" s="233" t="s">
        <v>1572</v>
      </c>
      <c r="E51" s="183" t="s">
        <v>1464</v>
      </c>
      <c r="F51" s="193"/>
      <c r="G51" s="193"/>
      <c r="H51" s="135"/>
      <c r="I51" s="135"/>
      <c r="J51" s="135"/>
    </row>
    <row r="52" spans="1:10" customFormat="1" ht="37.5" x14ac:dyDescent="0.25">
      <c r="A52" s="200">
        <f t="shared" si="1"/>
        <v>47</v>
      </c>
      <c r="B52" s="231" t="str">
        <f>Suite&amp;" Electrical Room "&amp;SWOne</f>
        <v>G104 Electrical Room XXX</v>
      </c>
      <c r="C52" s="183" t="str">
        <f>"UP"&amp;SWOne</f>
        <v>UPXXX</v>
      </c>
      <c r="D52" s="186" t="str" cm="1">
        <f t="array" ref="D52">"ROTATE the interlock key 90 degrees to LOCK the MCBUP"&amp;SWOne&amp;" breaker."</f>
        <v>ROTATE the interlock key 90 degrees to LOCK the MCBUPXXX breaker.</v>
      </c>
      <c r="E52" s="183" t="s">
        <v>1464</v>
      </c>
      <c r="F52" s="193"/>
      <c r="G52" s="193"/>
      <c r="H52" s="135"/>
      <c r="I52" s="135"/>
      <c r="J52" s="135"/>
    </row>
    <row r="53" spans="1:10" customFormat="1" ht="37.5" x14ac:dyDescent="0.25">
      <c r="A53" s="200">
        <f t="shared" si="1"/>
        <v>48</v>
      </c>
      <c r="B53" s="231" t="str">
        <f>Suite&amp;" Electrical Room "&amp;SWOne</f>
        <v>G104 Electrical Room XXX</v>
      </c>
      <c r="C53" s="183" t="str">
        <f>"UP"&amp;SWOne</f>
        <v>UPXXX</v>
      </c>
      <c r="D53" s="186" t="str" cm="1">
        <f t="array" ref="D53">"REMOVE the interlock key from the MCBUP"&amp;SWOne&amp;" breaker lock cylinder."</f>
        <v>REMOVE the interlock key from the MCBUPXXX breaker lock cylinder.</v>
      </c>
      <c r="E53" s="183" t="s">
        <v>1464</v>
      </c>
      <c r="F53" s="193"/>
      <c r="G53" s="193"/>
      <c r="H53" s="135"/>
      <c r="I53" s="135"/>
      <c r="J53" s="135"/>
    </row>
    <row r="54" spans="1:10" customFormat="1" ht="37.5" x14ac:dyDescent="0.25">
      <c r="A54" s="200">
        <f t="shared" si="1"/>
        <v>49</v>
      </c>
      <c r="B54" s="231" t="str">
        <f>Suite&amp;" Electrical Room "&amp;SWOne</f>
        <v>G104 Electrical Room XXX</v>
      </c>
      <c r="C54" s="183" t="str">
        <f>"UP"&amp;SWOne</f>
        <v>UPXXX</v>
      </c>
      <c r="D54" s="233" t="s">
        <v>1573</v>
      </c>
      <c r="E54" s="183" t="s">
        <v>1464</v>
      </c>
      <c r="F54" s="193"/>
      <c r="G54" s="193"/>
      <c r="H54" s="135"/>
      <c r="I54" s="135"/>
      <c r="J54" s="135"/>
    </row>
    <row r="55" spans="1:10" customFormat="1" ht="37.5" x14ac:dyDescent="0.25">
      <c r="A55" s="200">
        <f t="shared" si="1"/>
        <v>50</v>
      </c>
      <c r="B55" s="231" t="str">
        <f>Suite&amp;" Electrical Room "&amp;SWOne</f>
        <v>G104 Electrical Room XXX</v>
      </c>
      <c r="C55" s="183" t="str">
        <f>"UP"&amp;SWOne</f>
        <v>UPXXX</v>
      </c>
      <c r="D55" s="186" t="s">
        <v>1574</v>
      </c>
      <c r="E55" s="183" t="s">
        <v>1464</v>
      </c>
      <c r="F55" s="193"/>
      <c r="G55" s="193"/>
      <c r="H55" s="135"/>
      <c r="I55" s="135"/>
      <c r="J55" s="135"/>
    </row>
    <row r="56" spans="1:10" customFormat="1" ht="37.5" x14ac:dyDescent="0.25">
      <c r="A56" s="200">
        <f t="shared" si="1"/>
        <v>51</v>
      </c>
      <c r="B56" s="231" t="str">
        <f>Suite&amp;" Electrical Room "&amp;SWOne</f>
        <v>G104 Electrical Room XXX</v>
      </c>
      <c r="C56" s="183" t="str">
        <f>"UP"&amp;SWOne</f>
        <v>UPXXX</v>
      </c>
      <c r="D56" s="186" t="s">
        <v>1575</v>
      </c>
      <c r="E56" s="183" t="s">
        <v>1464</v>
      </c>
      <c r="F56" s="193"/>
      <c r="G56" s="193"/>
      <c r="H56" s="135"/>
      <c r="I56" s="135"/>
      <c r="J56" s="135"/>
    </row>
    <row r="57" spans="1:10" customFormat="1" ht="37.5" x14ac:dyDescent="0.25">
      <c r="A57" s="200">
        <f t="shared" si="1"/>
        <v>52</v>
      </c>
      <c r="B57" s="231" t="str">
        <f>Suite&amp;" Electrical Room "&amp;SWOne</f>
        <v>G104 Electrical Room XXX</v>
      </c>
      <c r="C57" s="183" t="str">
        <f>"UP"&amp;SWOne</f>
        <v>UPXXX</v>
      </c>
      <c r="D57" s="186" t="s">
        <v>1510</v>
      </c>
      <c r="E57" s="183" t="s">
        <v>1464</v>
      </c>
      <c r="F57" s="193"/>
      <c r="G57" s="193"/>
      <c r="H57" s="135"/>
      <c r="I57" s="135"/>
      <c r="J57" s="135"/>
    </row>
    <row r="58" spans="1:10" customFormat="1" x14ac:dyDescent="0.25">
      <c r="A58" s="200">
        <f t="shared" si="1"/>
        <v>53</v>
      </c>
      <c r="B58" s="711" t="str">
        <f>"Shut Down UPS System "&amp;SWOne</f>
        <v>Shut Down UPS System XXX</v>
      </c>
      <c r="C58" s="711"/>
      <c r="D58" s="711"/>
      <c r="E58" s="711"/>
      <c r="F58" s="711"/>
      <c r="G58" s="711"/>
      <c r="H58" s="135"/>
      <c r="I58" s="135"/>
      <c r="J58" s="135"/>
    </row>
    <row r="59" spans="1:10" customFormat="1" ht="37.5" x14ac:dyDescent="0.25">
      <c r="A59" s="200">
        <f t="shared" si="1"/>
        <v>54</v>
      </c>
      <c r="B59" s="231" t="str">
        <f>Suite&amp;" Electrical Room "&amp;SWOne</f>
        <v>G104 Electrical Room XXX</v>
      </c>
      <c r="C59" s="183" t="str">
        <f>"UPS "&amp;SWOne&amp;"1"</f>
        <v>UPS XXX1</v>
      </c>
      <c r="D59" s="233" t="s">
        <v>1576</v>
      </c>
      <c r="E59" s="183" t="s">
        <v>1464</v>
      </c>
      <c r="F59" s="193"/>
      <c r="G59" s="193"/>
      <c r="H59" s="135"/>
      <c r="I59" s="135"/>
      <c r="J59" s="135"/>
    </row>
    <row r="60" spans="1:10" customFormat="1" ht="37.5" x14ac:dyDescent="0.25">
      <c r="A60" s="200">
        <f t="shared" si="1"/>
        <v>55</v>
      </c>
      <c r="B60" s="231" t="str">
        <f>Suite&amp;" Electrical Room "&amp;SWOne</f>
        <v>G104 Electrical Room XXX</v>
      </c>
      <c r="C60" s="183" t="str">
        <f>"UPS "&amp;SWOne&amp;"1"</f>
        <v>UPS XXX1</v>
      </c>
      <c r="D60" s="233" t="s">
        <v>1577</v>
      </c>
      <c r="E60" s="183" t="s">
        <v>1464</v>
      </c>
      <c r="F60" s="193"/>
      <c r="G60" s="193"/>
      <c r="H60" s="135"/>
      <c r="I60" s="135"/>
      <c r="J60" s="135"/>
    </row>
    <row r="61" spans="1:10" customFormat="1" ht="37.5" x14ac:dyDescent="0.25">
      <c r="A61" s="200">
        <f t="shared" si="1"/>
        <v>56</v>
      </c>
      <c r="B61" s="231" t="str">
        <f>Suite&amp;" Electrical Room "&amp;SWOne</f>
        <v>G104 Electrical Room XXX</v>
      </c>
      <c r="C61" s="183" t="s">
        <v>1566</v>
      </c>
      <c r="D61" s="233" t="s">
        <v>1578</v>
      </c>
      <c r="E61" s="183" t="s">
        <v>1464</v>
      </c>
      <c r="F61" s="193"/>
      <c r="G61" s="193"/>
      <c r="H61" s="135"/>
      <c r="I61" s="135"/>
      <c r="J61" s="135"/>
    </row>
    <row r="62" spans="1:10" customFormat="1" ht="37.5" x14ac:dyDescent="0.25">
      <c r="A62" s="200">
        <f t="shared" si="1"/>
        <v>57</v>
      </c>
      <c r="B62" s="231" t="str">
        <f>Suite&amp;" Electrical Room "&amp;SWOne</f>
        <v>G104 Electrical Room XXX</v>
      </c>
      <c r="C62" s="183" t="str">
        <f>"UP"&amp;SWOne</f>
        <v>UPXXX</v>
      </c>
      <c r="D62" s="233" t="str" cm="1">
        <f t="array" ref="D62">"OPEN breaker DP-" &amp; SWOne &amp; "1."</f>
        <v>OPEN breaker DP-XXX1.</v>
      </c>
      <c r="E62" s="183" t="s">
        <v>1464</v>
      </c>
      <c r="F62" s="193"/>
      <c r="G62" s="193"/>
      <c r="H62" s="135"/>
      <c r="I62" s="135"/>
      <c r="J62" s="135"/>
    </row>
    <row r="63" spans="1:10" customFormat="1" ht="37.5" x14ac:dyDescent="0.25">
      <c r="A63" s="200">
        <f t="shared" si="1"/>
        <v>58</v>
      </c>
      <c r="B63" s="231" t="str">
        <f>Suite&amp;" Electrical Room "&amp;SWOne</f>
        <v>G104 Electrical Room XXX</v>
      </c>
      <c r="C63" s="183" t="str">
        <f>"UP"&amp;SWOne</f>
        <v>UPXXX</v>
      </c>
      <c r="D63" s="186" t="str" cm="1">
        <f t="array" ref="D63">"Apply LOTO to breaker DP-" &amp; SWOne &amp; "1."</f>
        <v>Apply LOTO to breaker DP-XXX1.</v>
      </c>
      <c r="E63" s="183" t="s">
        <v>1464</v>
      </c>
      <c r="F63" s="193"/>
      <c r="G63" s="193"/>
      <c r="H63" s="135"/>
      <c r="I63" s="135"/>
      <c r="J63" s="135"/>
    </row>
    <row r="64" spans="1:10" customFormat="1" ht="37.5" x14ac:dyDescent="0.25">
      <c r="A64" s="200">
        <f t="shared" si="1"/>
        <v>59</v>
      </c>
      <c r="B64" s="231" t="str">
        <f>Suite&amp;" Electrical Room "&amp;SWOne</f>
        <v>G104 Electrical Room XXX</v>
      </c>
      <c r="C64" s="183" t="str">
        <f>"UP"&amp;SWOne</f>
        <v>UPXXX</v>
      </c>
      <c r="D64" s="186" t="s">
        <v>1518</v>
      </c>
      <c r="E64" s="183" t="s">
        <v>1464</v>
      </c>
      <c r="F64" s="193" t="s">
        <v>1519</v>
      </c>
      <c r="G64" s="193"/>
      <c r="H64" s="135"/>
      <c r="I64" s="135"/>
      <c r="J64" s="135"/>
    </row>
    <row r="65" spans="1:16" customFormat="1" ht="56.25" x14ac:dyDescent="0.25">
      <c r="A65" s="200">
        <f t="shared" si="1"/>
        <v>60</v>
      </c>
      <c r="B65" s="231" t="str">
        <f>Suite&amp;" Electrical Room "&amp;SWOne</f>
        <v>G104 Electrical Room XXX</v>
      </c>
      <c r="C65" s="183" t="str">
        <f>"UPS "&amp;SWOne&amp;"1 Battery Cabinets"</f>
        <v>UPS XXX1 Battery Cabinets</v>
      </c>
      <c r="D65" s="233" t="s">
        <v>1579</v>
      </c>
      <c r="E65" s="183" t="s">
        <v>1464</v>
      </c>
      <c r="F65" s="193" t="s">
        <v>1519</v>
      </c>
      <c r="G65" s="193"/>
      <c r="H65" s="135"/>
      <c r="I65" s="135"/>
      <c r="J65" s="135"/>
    </row>
    <row r="66" spans="1:16" customFormat="1" ht="56.25" x14ac:dyDescent="0.25">
      <c r="A66" s="200">
        <f t="shared" si="1"/>
        <v>61</v>
      </c>
      <c r="B66" s="231" t="str">
        <f>Suite&amp;" Electrical Room "&amp;SWOne</f>
        <v>G104 Electrical Room XXX</v>
      </c>
      <c r="C66" s="183" t="str">
        <f>"UPS "&amp;SWOne&amp;"1 Battery Cabinets"</f>
        <v>UPS XXX1 Battery Cabinets</v>
      </c>
      <c r="D66" s="233" t="str" cm="1">
        <f t="array" ref="D66">"OPEN Battery Breaker Q7A at Cabinet " &amp; SWOne &amp; "1-1."</f>
        <v>OPEN Battery Breaker Q7A at Cabinet XXX1-1.</v>
      </c>
      <c r="E66" s="183" t="s">
        <v>1464</v>
      </c>
      <c r="F66" s="193" t="s">
        <v>1519</v>
      </c>
      <c r="G66" s="193"/>
      <c r="H66" s="163" t="s">
        <v>1580</v>
      </c>
      <c r="I66" s="135"/>
      <c r="J66" s="135"/>
    </row>
    <row r="67" spans="1:16" customFormat="1" ht="56.25" x14ac:dyDescent="0.25">
      <c r="A67" s="200">
        <f t="shared" si="1"/>
        <v>62</v>
      </c>
      <c r="B67" s="231" t="str">
        <f>Suite&amp;" Electrical Room "&amp;SWOne</f>
        <v>G104 Electrical Room XXX</v>
      </c>
      <c r="C67" s="183" t="str">
        <f>"UPS "&amp;SWOne&amp;"1 Battery Cabinets"</f>
        <v>UPS XXX1 Battery Cabinets</v>
      </c>
      <c r="D67" s="177" t="str" cm="1">
        <f t="array" ref="D67">"Apply LOTO to Battery Breaker Q7A at Cabinet " &amp; SWOne &amp; "1-1."</f>
        <v>Apply LOTO to Battery Breaker Q7A at Cabinet XXX1-1.</v>
      </c>
      <c r="E67" s="183" t="s">
        <v>1464</v>
      </c>
      <c r="F67" s="193" t="s">
        <v>1519</v>
      </c>
      <c r="G67" s="193"/>
      <c r="H67" s="163" t="s">
        <v>1580</v>
      </c>
      <c r="I67" s="135"/>
      <c r="J67" s="135"/>
    </row>
    <row r="68" spans="1:16" customFormat="1" ht="56.25" x14ac:dyDescent="0.25">
      <c r="A68" s="200">
        <f t="shared" si="1"/>
        <v>63</v>
      </c>
      <c r="B68" s="231" t="str">
        <f>Suite&amp;" Electrical Room "&amp;SWOne</f>
        <v>G104 Electrical Room XXX</v>
      </c>
      <c r="C68" s="183" t="str">
        <f>"UPS "&amp;SWOne&amp;"1 Battery Cabinets"</f>
        <v>UPS XXX1 Battery Cabinets</v>
      </c>
      <c r="D68" s="186" t="s">
        <v>1518</v>
      </c>
      <c r="E68" s="183" t="s">
        <v>1464</v>
      </c>
      <c r="F68" s="193" t="s">
        <v>1519</v>
      </c>
      <c r="G68" s="193"/>
      <c r="H68" s="163" t="s">
        <v>1580</v>
      </c>
      <c r="I68" s="135"/>
      <c r="J68" s="135"/>
    </row>
    <row r="69" spans="1:16" customFormat="1" ht="56.25" x14ac:dyDescent="0.25">
      <c r="A69" s="200">
        <f t="shared" si="1"/>
        <v>64</v>
      </c>
      <c r="B69" s="231" t="str">
        <f>Suite&amp;" Electrical Room "&amp;SWOne</f>
        <v>G104 Electrical Room XXX</v>
      </c>
      <c r="C69" s="183" t="str">
        <f>"UPS "&amp;SWOne&amp;"1 Battery Cabinets"</f>
        <v>UPS XXX1 Battery Cabinets</v>
      </c>
      <c r="D69" s="233" t="str" cm="1">
        <f t="array" ref="D69">"OPEN Battery Breaker Q7B at Cabinet " &amp; SWOne &amp; "1-2."</f>
        <v>OPEN Battery Breaker Q7B at Cabinet XXX1-2.</v>
      </c>
      <c r="E69" s="183" t="s">
        <v>1464</v>
      </c>
      <c r="F69" s="193" t="s">
        <v>1519</v>
      </c>
      <c r="G69" s="193"/>
      <c r="H69" s="163" t="s">
        <v>1580</v>
      </c>
      <c r="I69" s="135"/>
      <c r="J69" s="164"/>
      <c r="K69" s="4"/>
      <c r="L69" s="4"/>
      <c r="M69" s="4"/>
      <c r="N69" s="4"/>
      <c r="O69" s="4"/>
      <c r="P69" s="4"/>
    </row>
    <row r="70" spans="1:16" customFormat="1" ht="56.25" x14ac:dyDescent="0.25">
      <c r="A70" s="200">
        <f t="shared" si="1"/>
        <v>65</v>
      </c>
      <c r="B70" s="231" t="str">
        <f>Suite&amp;" Electrical Room "&amp;SWOne</f>
        <v>G104 Electrical Room XXX</v>
      </c>
      <c r="C70" s="183" t="str">
        <f>"UPS "&amp;SWOne&amp;"1 Battery Cabinets"</f>
        <v>UPS XXX1 Battery Cabinets</v>
      </c>
      <c r="D70" s="177" t="str" cm="1">
        <f t="array" ref="D70">"Apply LOTO to Battery Breaker Q7B at Cabinet " &amp; SWOne &amp; "1-2."</f>
        <v>Apply LOTO to Battery Breaker Q7B at Cabinet XXX1-2.</v>
      </c>
      <c r="E70" s="183" t="s">
        <v>1464</v>
      </c>
      <c r="F70" s="193" t="s">
        <v>1519</v>
      </c>
      <c r="G70" s="193"/>
      <c r="H70" s="163" t="s">
        <v>1580</v>
      </c>
      <c r="I70" s="135"/>
      <c r="J70" s="135"/>
    </row>
    <row r="71" spans="1:16" customFormat="1" ht="56.25" x14ac:dyDescent="0.25">
      <c r="A71" s="200">
        <f t="shared" si="1"/>
        <v>66</v>
      </c>
      <c r="B71" s="231" t="str">
        <f>Suite&amp;" Electrical Room "&amp;SWOne</f>
        <v>G104 Electrical Room XXX</v>
      </c>
      <c r="C71" s="183" t="str">
        <f>"UPS "&amp;SWOne&amp;"1 Battery Cabinets"</f>
        <v>UPS XXX1 Battery Cabinets</v>
      </c>
      <c r="D71" s="186" t="s">
        <v>1518</v>
      </c>
      <c r="E71" s="183" t="s">
        <v>1464</v>
      </c>
      <c r="F71" s="193" t="s">
        <v>1519</v>
      </c>
      <c r="G71" s="193"/>
      <c r="H71" s="163" t="s">
        <v>1580</v>
      </c>
      <c r="I71" s="135"/>
      <c r="J71" s="135"/>
    </row>
    <row r="72" spans="1:16" customFormat="1" ht="56.25" x14ac:dyDescent="0.25">
      <c r="A72" s="200">
        <f t="shared" si="1"/>
        <v>67</v>
      </c>
      <c r="B72" s="231" t="str">
        <f>Suite&amp;" Electrical Room "&amp;SWOne</f>
        <v>G104 Electrical Room XXX</v>
      </c>
      <c r="C72" s="183" t="str">
        <f>"UPS "&amp;SWOne&amp;"1 Battery Cabinets"</f>
        <v>UPS XXX1 Battery Cabinets</v>
      </c>
      <c r="D72" s="233" t="str" cm="1">
        <f t="array" ref="D72">"OPEN Battery Breaker Q8A at Cabinet " &amp; SWOne &amp; "1-3."</f>
        <v>OPEN Battery Breaker Q8A at Cabinet XXX1-3.</v>
      </c>
      <c r="E72" s="183" t="s">
        <v>1464</v>
      </c>
      <c r="F72" s="193" t="s">
        <v>1519</v>
      </c>
      <c r="G72" s="193"/>
      <c r="H72" s="163" t="s">
        <v>1580</v>
      </c>
      <c r="I72" s="135"/>
      <c r="J72" s="135"/>
    </row>
    <row r="73" spans="1:16" customFormat="1" ht="56.25" x14ac:dyDescent="0.25">
      <c r="A73" s="200">
        <f t="shared" si="1"/>
        <v>68</v>
      </c>
      <c r="B73" s="231" t="str">
        <f>Suite&amp;" Electrical Room "&amp;SWOne</f>
        <v>G104 Electrical Room XXX</v>
      </c>
      <c r="C73" s="183" t="str">
        <f>"UPS "&amp;SWOne&amp;"1 Battery Cabinets"</f>
        <v>UPS XXX1 Battery Cabinets</v>
      </c>
      <c r="D73" s="177" t="str" cm="1">
        <f t="array" ref="D73">"Apply LOTO to Battery Breaker Q8A at Cabinet " &amp; SWOne &amp; "1-3."</f>
        <v>Apply LOTO to Battery Breaker Q8A at Cabinet XXX1-3.</v>
      </c>
      <c r="E73" s="183" t="s">
        <v>1464</v>
      </c>
      <c r="F73" s="193" t="s">
        <v>1519</v>
      </c>
      <c r="G73" s="193"/>
      <c r="H73" s="163" t="s">
        <v>1580</v>
      </c>
      <c r="I73" s="135"/>
      <c r="J73" s="135"/>
    </row>
    <row r="74" spans="1:16" customFormat="1" ht="56.25" x14ac:dyDescent="0.25">
      <c r="A74" s="200">
        <f t="shared" si="1"/>
        <v>69</v>
      </c>
      <c r="B74" s="231" t="str">
        <f>Suite&amp;" Electrical Room "&amp;SWOne</f>
        <v>G104 Electrical Room XXX</v>
      </c>
      <c r="C74" s="183" t="str">
        <f>"UPS "&amp;SWOne&amp;"1 Battery Cabinets"</f>
        <v>UPS XXX1 Battery Cabinets</v>
      </c>
      <c r="D74" s="186" t="s">
        <v>1518</v>
      </c>
      <c r="E74" s="183" t="s">
        <v>1464</v>
      </c>
      <c r="F74" s="193" t="s">
        <v>1519</v>
      </c>
      <c r="G74" s="193"/>
      <c r="H74" s="163" t="s">
        <v>1580</v>
      </c>
      <c r="I74" s="135"/>
      <c r="J74" s="135"/>
    </row>
    <row r="75" spans="1:16" customFormat="1" ht="56.25" x14ac:dyDescent="0.25">
      <c r="A75" s="200">
        <f t="shared" si="1"/>
        <v>70</v>
      </c>
      <c r="B75" s="231" t="str">
        <f>Suite&amp;" Electrical Room "&amp;SWOne</f>
        <v>G104 Electrical Room XXX</v>
      </c>
      <c r="C75" s="183" t="str">
        <f>"UPS "&amp;SWOne&amp;"1 Battery Cabinets"</f>
        <v>UPS XXX1 Battery Cabinets</v>
      </c>
      <c r="D75" s="233" t="str" cm="1">
        <f t="array" ref="D75">"OPEN Battery Breaker Q8B at Cabinet " &amp; SWOne &amp; "1-4."</f>
        <v>OPEN Battery Breaker Q8B at Cabinet XXX1-4.</v>
      </c>
      <c r="E75" s="183" t="s">
        <v>1464</v>
      </c>
      <c r="F75" s="193" t="s">
        <v>1519</v>
      </c>
      <c r="G75" s="193"/>
      <c r="H75" s="163" t="s">
        <v>1580</v>
      </c>
      <c r="I75" s="135"/>
      <c r="J75" s="135"/>
    </row>
    <row r="76" spans="1:16" customFormat="1" ht="56.25" x14ac:dyDescent="0.25">
      <c r="A76" s="200">
        <f t="shared" si="1"/>
        <v>71</v>
      </c>
      <c r="B76" s="231" t="str">
        <f>Suite&amp;" Electrical Room "&amp;SWOne</f>
        <v>G104 Electrical Room XXX</v>
      </c>
      <c r="C76" s="183" t="str">
        <f>"UPS "&amp;SWOne&amp;"1 Battery Cabinets"</f>
        <v>UPS XXX1 Battery Cabinets</v>
      </c>
      <c r="D76" s="177" t="str" cm="1">
        <f t="array" ref="D76">"Apply LOTO to Battery Breaker Q8B at Cabinet " &amp; SWOne &amp; "1-4."</f>
        <v>Apply LOTO to Battery Breaker Q8B at Cabinet XXX1-4.</v>
      </c>
      <c r="E76" s="183" t="s">
        <v>1464</v>
      </c>
      <c r="F76" s="193" t="s">
        <v>1519</v>
      </c>
      <c r="G76" s="193"/>
      <c r="H76" s="163" t="s">
        <v>1580</v>
      </c>
      <c r="I76" s="135"/>
      <c r="J76" s="135"/>
    </row>
    <row r="77" spans="1:16" customFormat="1" ht="56.25" x14ac:dyDescent="0.25">
      <c r="A77" s="200">
        <f t="shared" si="1"/>
        <v>72</v>
      </c>
      <c r="B77" s="231" t="str">
        <f>Suite&amp;" Electrical Room "&amp;SWOne</f>
        <v>G104 Electrical Room XXX</v>
      </c>
      <c r="C77" s="183" t="str">
        <f>"UPS "&amp;SWOne&amp;"1 Battery Cabinets"</f>
        <v>UPS XXX1 Battery Cabinets</v>
      </c>
      <c r="D77" s="186" t="s">
        <v>1518</v>
      </c>
      <c r="E77" s="183" t="s">
        <v>1464</v>
      </c>
      <c r="F77" s="193" t="s">
        <v>1519</v>
      </c>
      <c r="G77" s="193"/>
      <c r="H77" s="163" t="s">
        <v>1580</v>
      </c>
      <c r="I77" s="135"/>
      <c r="J77" s="135"/>
    </row>
    <row r="78" spans="1:16" customFormat="1" ht="56.25" hidden="1" x14ac:dyDescent="0.25">
      <c r="A78" s="200">
        <f>A65+1</f>
        <v>61</v>
      </c>
      <c r="B78" s="231" t="str">
        <f>Suite&amp;" Electrical Room "&amp;SWOne</f>
        <v>G104 Electrical Room XXX</v>
      </c>
      <c r="C78" s="183" t="str">
        <f>"UPS "&amp;SWOne&amp;"1 Battery Cabinets"</f>
        <v>UPS XXX1 Battery Cabinets</v>
      </c>
      <c r="D78" s="186" t="str" cm="1">
        <f t="array" ref="D78">"OPEN Battery Breaker Q7A at Cabinet " &amp; SWOne &amp; "1-1."</f>
        <v>OPEN Battery Breaker Q7A at Cabinet XXX1-1.</v>
      </c>
      <c r="E78" s="183" t="s">
        <v>1464</v>
      </c>
      <c r="F78" s="193" t="s">
        <v>1519</v>
      </c>
      <c r="G78" s="193"/>
      <c r="H78" s="163" t="s">
        <v>1581</v>
      </c>
      <c r="I78" s="135"/>
      <c r="J78" s="135"/>
    </row>
    <row r="79" spans="1:16" customFormat="1" ht="56.25" hidden="1" x14ac:dyDescent="0.25">
      <c r="A79" s="200">
        <f t="shared" ref="A79:A95" si="2">A78+1</f>
        <v>62</v>
      </c>
      <c r="B79" s="231" t="str">
        <f>Suite&amp;" Electrical Room "&amp;SWOne</f>
        <v>G104 Electrical Room XXX</v>
      </c>
      <c r="C79" s="183" t="str">
        <f>"UPS "&amp;SWOne&amp;"1 Battery Cabinets"</f>
        <v>UPS XXX1 Battery Cabinets</v>
      </c>
      <c r="D79" s="177" t="str" cm="1">
        <f t="array" ref="D79">"Apply LOTO to Battery Breaker Q7A at Cabinet " &amp; SWOne &amp; "1-1."</f>
        <v>Apply LOTO to Battery Breaker Q7A at Cabinet XXX1-1.</v>
      </c>
      <c r="E79" s="183" t="s">
        <v>1464</v>
      </c>
      <c r="F79" s="193" t="s">
        <v>1519</v>
      </c>
      <c r="G79" s="193"/>
      <c r="H79" s="163" t="s">
        <v>1581</v>
      </c>
      <c r="I79" s="135"/>
      <c r="J79" s="135"/>
    </row>
    <row r="80" spans="1:16" customFormat="1" ht="56.25" hidden="1" x14ac:dyDescent="0.25">
      <c r="A80" s="200">
        <f t="shared" si="2"/>
        <v>63</v>
      </c>
      <c r="B80" s="231" t="str">
        <f>Suite&amp;" Electrical Room "&amp;SWOne</f>
        <v>G104 Electrical Room XXX</v>
      </c>
      <c r="C80" s="183" t="str">
        <f>"UPS "&amp;SWOne&amp;"1 Battery Cabinets"</f>
        <v>UPS XXX1 Battery Cabinets</v>
      </c>
      <c r="D80" s="186" t="s">
        <v>1518</v>
      </c>
      <c r="E80" s="183" t="s">
        <v>1464</v>
      </c>
      <c r="F80" s="193" t="s">
        <v>1519</v>
      </c>
      <c r="G80" s="193"/>
      <c r="H80" s="163" t="s">
        <v>1581</v>
      </c>
      <c r="I80" s="135"/>
      <c r="J80" s="135"/>
    </row>
    <row r="81" spans="1:10" customFormat="1" ht="56.25" hidden="1" x14ac:dyDescent="0.25">
      <c r="A81" s="200">
        <f t="shared" si="2"/>
        <v>64</v>
      </c>
      <c r="B81" s="231" t="str">
        <f>Suite&amp;" Electrical Room "&amp;SWOne</f>
        <v>G104 Electrical Room XXX</v>
      </c>
      <c r="C81" s="183" t="str">
        <f>"UPS "&amp;SWOne&amp;"1 Battery Cabinets"</f>
        <v>UPS XXX1 Battery Cabinets</v>
      </c>
      <c r="D81" s="186" t="str" cm="1">
        <f t="array" ref="D81">"OPEN Battery Breaker Q7B at Cabinet " &amp; SWOne &amp; "1-2."</f>
        <v>OPEN Battery Breaker Q7B at Cabinet XXX1-2.</v>
      </c>
      <c r="E81" s="183" t="s">
        <v>1464</v>
      </c>
      <c r="F81" s="193" t="s">
        <v>1519</v>
      </c>
      <c r="G81" s="193"/>
      <c r="H81" s="163" t="s">
        <v>1581</v>
      </c>
      <c r="I81" s="135"/>
      <c r="J81" s="135"/>
    </row>
    <row r="82" spans="1:10" customFormat="1" ht="56.25" hidden="1" x14ac:dyDescent="0.25">
      <c r="A82" s="200">
        <f t="shared" si="2"/>
        <v>65</v>
      </c>
      <c r="B82" s="231" t="str">
        <f>Suite&amp;" Electrical Room "&amp;SWOne</f>
        <v>G104 Electrical Room XXX</v>
      </c>
      <c r="C82" s="183" t="str">
        <f>"UPS "&amp;SWOne&amp;"1 Battery Cabinets"</f>
        <v>UPS XXX1 Battery Cabinets</v>
      </c>
      <c r="D82" s="177" t="str" cm="1">
        <f t="array" ref="D82">"Apply LOTO to Battery Breaker Q7B at Cabinet " &amp; SWOne &amp; "1-2."</f>
        <v>Apply LOTO to Battery Breaker Q7B at Cabinet XXX1-2.</v>
      </c>
      <c r="E82" s="183" t="s">
        <v>1464</v>
      </c>
      <c r="F82" s="193" t="s">
        <v>1519</v>
      </c>
      <c r="G82" s="193"/>
      <c r="H82" s="163" t="s">
        <v>1581</v>
      </c>
      <c r="I82" s="135"/>
      <c r="J82" s="135"/>
    </row>
    <row r="83" spans="1:10" customFormat="1" ht="56.25" hidden="1" x14ac:dyDescent="0.25">
      <c r="A83" s="200">
        <f t="shared" si="2"/>
        <v>66</v>
      </c>
      <c r="B83" s="231" t="str">
        <f>Suite&amp;" Electrical Room "&amp;SWOne</f>
        <v>G104 Electrical Room XXX</v>
      </c>
      <c r="C83" s="183" t="str">
        <f>"UPS "&amp;SWOne&amp;"1 Battery Cabinets"</f>
        <v>UPS XXX1 Battery Cabinets</v>
      </c>
      <c r="D83" s="186" t="s">
        <v>1518</v>
      </c>
      <c r="E83" s="183" t="s">
        <v>1464</v>
      </c>
      <c r="F83" s="193" t="s">
        <v>1519</v>
      </c>
      <c r="G83" s="193"/>
      <c r="H83" s="163" t="s">
        <v>1581</v>
      </c>
      <c r="I83" s="135"/>
      <c r="J83" s="135"/>
    </row>
    <row r="84" spans="1:10" customFormat="1" ht="56.25" hidden="1" x14ac:dyDescent="0.25">
      <c r="A84" s="200">
        <f t="shared" si="2"/>
        <v>67</v>
      </c>
      <c r="B84" s="231" t="str">
        <f>Suite&amp;" Electrical Room "&amp;SWOne</f>
        <v>G104 Electrical Room XXX</v>
      </c>
      <c r="C84" s="183" t="str">
        <f>"UPS "&amp;SWOne&amp;"1 Battery Cabinets"</f>
        <v>UPS XXX1 Battery Cabinets</v>
      </c>
      <c r="D84" s="186" t="str" cm="1">
        <f t="array" ref="D84">"OPEN Battery Breaker Q7C at Cabinet " &amp; SWOne &amp; "1-3."</f>
        <v>OPEN Battery Breaker Q7C at Cabinet XXX1-3.</v>
      </c>
      <c r="E84" s="183" t="s">
        <v>1464</v>
      </c>
      <c r="F84" s="193" t="s">
        <v>1519</v>
      </c>
      <c r="G84" s="193"/>
      <c r="H84" s="163" t="s">
        <v>1581</v>
      </c>
      <c r="I84" s="135"/>
      <c r="J84" s="135"/>
    </row>
    <row r="85" spans="1:10" customFormat="1" ht="56.25" hidden="1" x14ac:dyDescent="0.25">
      <c r="A85" s="200">
        <f t="shared" si="2"/>
        <v>68</v>
      </c>
      <c r="B85" s="231" t="str">
        <f>Suite&amp;" Electrical Room "&amp;SWOne</f>
        <v>G104 Electrical Room XXX</v>
      </c>
      <c r="C85" s="183" t="str">
        <f>"UPS "&amp;SWOne&amp;"1 Battery Cabinets"</f>
        <v>UPS XXX1 Battery Cabinets</v>
      </c>
      <c r="D85" s="177" t="str" cm="1">
        <f t="array" ref="D85">"Apply LOTO to Battery Breaker Q7C at Cabinet " &amp; SWOne &amp; "1-3."</f>
        <v>Apply LOTO to Battery Breaker Q7C at Cabinet XXX1-3.</v>
      </c>
      <c r="E85" s="183" t="s">
        <v>1464</v>
      </c>
      <c r="F85" s="193" t="s">
        <v>1519</v>
      </c>
      <c r="G85" s="193"/>
      <c r="H85" s="163" t="s">
        <v>1581</v>
      </c>
      <c r="I85" s="135"/>
      <c r="J85" s="135"/>
    </row>
    <row r="86" spans="1:10" customFormat="1" ht="56.25" hidden="1" x14ac:dyDescent="0.25">
      <c r="A86" s="200">
        <f t="shared" si="2"/>
        <v>69</v>
      </c>
      <c r="B86" s="231" t="str">
        <f>Suite&amp;" Electrical Room "&amp;SWOne</f>
        <v>G104 Electrical Room XXX</v>
      </c>
      <c r="C86" s="183" t="str">
        <f>"UPS "&amp;SWOne&amp;"1 Battery Cabinets"</f>
        <v>UPS XXX1 Battery Cabinets</v>
      </c>
      <c r="D86" s="186" t="s">
        <v>1518</v>
      </c>
      <c r="E86" s="183" t="s">
        <v>1464</v>
      </c>
      <c r="F86" s="193" t="s">
        <v>1519</v>
      </c>
      <c r="G86" s="193"/>
      <c r="H86" s="163" t="s">
        <v>1581</v>
      </c>
      <c r="I86" s="135"/>
      <c r="J86" s="135"/>
    </row>
    <row r="87" spans="1:10" customFormat="1" ht="56.25" hidden="1" x14ac:dyDescent="0.25">
      <c r="A87" s="200">
        <f t="shared" si="2"/>
        <v>70</v>
      </c>
      <c r="B87" s="231" t="str">
        <f>Suite&amp;" Electrical Room "&amp;SWOne</f>
        <v>G104 Electrical Room XXX</v>
      </c>
      <c r="C87" s="183" t="str">
        <f>"UPS "&amp;SWOne&amp;"1 Battery Cabinets"</f>
        <v>UPS XXX1 Battery Cabinets</v>
      </c>
      <c r="D87" s="186" t="str" cm="1">
        <f t="array" ref="D87">"OPEN Battery Breaker Q8A at Cabinet " &amp; SWOne &amp; "1-4."</f>
        <v>OPEN Battery Breaker Q8A at Cabinet XXX1-4.</v>
      </c>
      <c r="E87" s="183" t="s">
        <v>1464</v>
      </c>
      <c r="F87" s="193" t="s">
        <v>1519</v>
      </c>
      <c r="G87" s="193"/>
      <c r="H87" s="163" t="s">
        <v>1581</v>
      </c>
      <c r="I87" s="135"/>
      <c r="J87" s="135"/>
    </row>
    <row r="88" spans="1:10" customFormat="1" ht="56.25" hidden="1" x14ac:dyDescent="0.25">
      <c r="A88" s="200">
        <f t="shared" si="2"/>
        <v>71</v>
      </c>
      <c r="B88" s="231" t="str">
        <f>Suite&amp;" Electrical Room "&amp;SWOne</f>
        <v>G104 Electrical Room XXX</v>
      </c>
      <c r="C88" s="183" t="str">
        <f>"UPS "&amp;SWOne&amp;"1 Battery Cabinets"</f>
        <v>UPS XXX1 Battery Cabinets</v>
      </c>
      <c r="D88" s="177" t="str" cm="1">
        <f t="array" ref="D88">"Apply LOTO to Battery Breaker Q8A at Cabinet " &amp; SWOne &amp; "1-4."</f>
        <v>Apply LOTO to Battery Breaker Q8A at Cabinet XXX1-4.</v>
      </c>
      <c r="E88" s="183" t="s">
        <v>1464</v>
      </c>
      <c r="F88" s="193" t="s">
        <v>1519</v>
      </c>
      <c r="G88" s="193"/>
      <c r="H88" s="163" t="s">
        <v>1581</v>
      </c>
      <c r="I88" s="135"/>
      <c r="J88" s="135"/>
    </row>
    <row r="89" spans="1:10" customFormat="1" ht="56.25" hidden="1" x14ac:dyDescent="0.25">
      <c r="A89" s="200">
        <f t="shared" si="2"/>
        <v>72</v>
      </c>
      <c r="B89" s="231" t="str">
        <f>Suite&amp;" Electrical Room "&amp;SWOne</f>
        <v>G104 Electrical Room XXX</v>
      </c>
      <c r="C89" s="183" t="str">
        <f>"UPS "&amp;SWOne&amp;"1 Battery Cabinets"</f>
        <v>UPS XXX1 Battery Cabinets</v>
      </c>
      <c r="D89" s="186" t="s">
        <v>1518</v>
      </c>
      <c r="E89" s="183" t="s">
        <v>1464</v>
      </c>
      <c r="F89" s="193" t="s">
        <v>1519</v>
      </c>
      <c r="G89" s="193"/>
      <c r="H89" s="163" t="s">
        <v>1581</v>
      </c>
      <c r="I89" s="135"/>
      <c r="J89" s="135"/>
    </row>
    <row r="90" spans="1:10" customFormat="1" ht="56.25" hidden="1" x14ac:dyDescent="0.25">
      <c r="A90" s="200">
        <f t="shared" si="2"/>
        <v>73</v>
      </c>
      <c r="B90" s="231" t="str">
        <f>Suite&amp;" Electrical Room "&amp;SWOne</f>
        <v>G104 Electrical Room XXX</v>
      </c>
      <c r="C90" s="183" t="str">
        <f>"UPS "&amp;SWOne&amp;"1 Battery Cabinets"</f>
        <v>UPS XXX1 Battery Cabinets</v>
      </c>
      <c r="D90" s="186" t="str" cm="1">
        <f t="array" ref="D90">"OPEN Battery Breaker Q8B at Cabinet " &amp; SWOne &amp; "1-5."</f>
        <v>OPEN Battery Breaker Q8B at Cabinet XXX1-5.</v>
      </c>
      <c r="E90" s="183" t="s">
        <v>1464</v>
      </c>
      <c r="F90" s="193" t="s">
        <v>1519</v>
      </c>
      <c r="G90" s="193"/>
      <c r="H90" s="163" t="s">
        <v>1581</v>
      </c>
      <c r="I90" s="135"/>
      <c r="J90" s="135"/>
    </row>
    <row r="91" spans="1:10" customFormat="1" ht="56.25" hidden="1" x14ac:dyDescent="0.25">
      <c r="A91" s="200">
        <f t="shared" si="2"/>
        <v>74</v>
      </c>
      <c r="B91" s="231" t="str">
        <f>Suite&amp;" Electrical Room "&amp;SWOne</f>
        <v>G104 Electrical Room XXX</v>
      </c>
      <c r="C91" s="183" t="str">
        <f>"UPS "&amp;SWOne&amp;"1 Battery Cabinets"</f>
        <v>UPS XXX1 Battery Cabinets</v>
      </c>
      <c r="D91" s="186" t="str" cm="1">
        <f t="array" ref="D91">"Apply LOTO to Battery Breaker Q8B at Cabinet " &amp; SWOne &amp; "1-5."</f>
        <v>Apply LOTO to Battery Breaker Q8B at Cabinet XXX1-5.</v>
      </c>
      <c r="E91" s="183" t="s">
        <v>1464</v>
      </c>
      <c r="F91" s="193" t="s">
        <v>1519</v>
      </c>
      <c r="G91" s="193"/>
      <c r="H91" s="163" t="s">
        <v>1581</v>
      </c>
      <c r="I91" s="135"/>
      <c r="J91" s="135"/>
    </row>
    <row r="92" spans="1:10" customFormat="1" ht="56.25" hidden="1" x14ac:dyDescent="0.25">
      <c r="A92" s="200">
        <f t="shared" si="2"/>
        <v>75</v>
      </c>
      <c r="B92" s="231" t="str">
        <f>Suite&amp;" Electrical Room "&amp;SWOne</f>
        <v>G104 Electrical Room XXX</v>
      </c>
      <c r="C92" s="183" t="str">
        <f>"UPS "&amp;SWOne&amp;"1 Battery Cabinets"</f>
        <v>UPS XXX1 Battery Cabinets</v>
      </c>
      <c r="D92" s="186" t="s">
        <v>1518</v>
      </c>
      <c r="E92" s="183" t="s">
        <v>1464</v>
      </c>
      <c r="F92" s="193" t="s">
        <v>1519</v>
      </c>
      <c r="G92" s="193"/>
      <c r="H92" s="163" t="s">
        <v>1581</v>
      </c>
      <c r="I92" s="135"/>
      <c r="J92" s="135"/>
    </row>
    <row r="93" spans="1:10" customFormat="1" ht="56.25" hidden="1" x14ac:dyDescent="0.25">
      <c r="A93" s="200">
        <f t="shared" si="2"/>
        <v>76</v>
      </c>
      <c r="B93" s="231" t="str">
        <f>Suite&amp;" Electrical Room "&amp;SWOne</f>
        <v>G104 Electrical Room XXX</v>
      </c>
      <c r="C93" s="183" t="str">
        <f>"UPS "&amp;SWOne&amp;"1 Battery Cabinets"</f>
        <v>UPS XXX1 Battery Cabinets</v>
      </c>
      <c r="D93" s="186" t="str" cm="1">
        <f t="array" ref="D93">"OPEN Battery Breaker Q8C at Cabinet " &amp; SWOne &amp; "1-6."</f>
        <v>OPEN Battery Breaker Q8C at Cabinet XXX1-6.</v>
      </c>
      <c r="E93" s="183" t="s">
        <v>1464</v>
      </c>
      <c r="F93" s="193" t="s">
        <v>1519</v>
      </c>
      <c r="G93" s="193"/>
      <c r="H93" s="163" t="s">
        <v>1581</v>
      </c>
      <c r="I93" s="135"/>
      <c r="J93" s="135"/>
    </row>
    <row r="94" spans="1:10" customFormat="1" ht="56.25" hidden="1" x14ac:dyDescent="0.25">
      <c r="A94" s="200">
        <f t="shared" si="2"/>
        <v>77</v>
      </c>
      <c r="B94" s="231" t="str">
        <f>Suite&amp;" Electrical Room "&amp;SWOne</f>
        <v>G104 Electrical Room XXX</v>
      </c>
      <c r="C94" s="183" t="str">
        <f>"UPS "&amp;SWOne&amp;"1 Battery Cabinets"</f>
        <v>UPS XXX1 Battery Cabinets</v>
      </c>
      <c r="D94" s="177" t="str" cm="1">
        <f t="array" ref="D94">"Apply LOTO to Battery Breaker Q8C at Cabinet " &amp; SWOne &amp; "1-6."</f>
        <v>Apply LOTO to Battery Breaker Q8C at Cabinet XXX1-6.</v>
      </c>
      <c r="E94" s="183" t="s">
        <v>1464</v>
      </c>
      <c r="F94" s="193" t="s">
        <v>1519</v>
      </c>
      <c r="G94" s="193"/>
      <c r="H94" s="163" t="s">
        <v>1581</v>
      </c>
      <c r="I94" s="135"/>
      <c r="J94" s="135"/>
    </row>
    <row r="95" spans="1:10" customFormat="1" ht="56.25" hidden="1" x14ac:dyDescent="0.25">
      <c r="A95" s="200">
        <f t="shared" si="2"/>
        <v>78</v>
      </c>
      <c r="B95" s="231" t="str">
        <f>Suite&amp;" Electrical Room "&amp;SWOne</f>
        <v>G104 Electrical Room XXX</v>
      </c>
      <c r="C95" s="183" t="str">
        <f>"UPS "&amp;SWOne&amp;"1 Battery Cabinets"</f>
        <v>UPS XXX1 Battery Cabinets</v>
      </c>
      <c r="D95" s="186" t="s">
        <v>1518</v>
      </c>
      <c r="E95" s="183" t="s">
        <v>1464</v>
      </c>
      <c r="F95" s="193" t="s">
        <v>1519</v>
      </c>
      <c r="G95" s="193"/>
      <c r="H95" s="163" t="s">
        <v>1581</v>
      </c>
      <c r="I95" s="135"/>
      <c r="J95" s="135"/>
    </row>
    <row r="96" spans="1:10" customFormat="1" ht="37.5" x14ac:dyDescent="0.25">
      <c r="A96" s="200">
        <f>IF(NumberOfICDs=4, A77+1, A95+1)</f>
        <v>79</v>
      </c>
      <c r="B96" s="231" t="str">
        <f>Suite&amp;" Electrical Room "&amp;SWOne</f>
        <v>G104 Electrical Room XXX</v>
      </c>
      <c r="C96" s="183" t="str">
        <f>"SW"&amp;SWOne</f>
        <v>SWXXX</v>
      </c>
      <c r="D96" s="186" t="str" cm="1">
        <f t="array" ref="D96">"OPEN breaker UPS-" &amp; SWOne &amp; "1."</f>
        <v>OPEN breaker UPS-XXX1.</v>
      </c>
      <c r="E96" s="183" t="s">
        <v>1464</v>
      </c>
      <c r="F96" s="193" t="s">
        <v>1519</v>
      </c>
      <c r="G96" s="193"/>
      <c r="H96" s="135"/>
      <c r="I96" s="135"/>
      <c r="J96" s="135"/>
    </row>
    <row r="97" spans="1:16" customFormat="1" ht="37.5" x14ac:dyDescent="0.25">
      <c r="A97" s="200">
        <f t="shared" ref="A97:A118" si="3">A96+1</f>
        <v>80</v>
      </c>
      <c r="B97" s="231" t="str">
        <f>Suite&amp;" Electrical Room "&amp;SWOne</f>
        <v>G104 Electrical Room XXX</v>
      </c>
      <c r="C97" s="183" t="str">
        <f>"SW"&amp;SWOne</f>
        <v>SWXXX</v>
      </c>
      <c r="D97" s="186" t="str" cm="1">
        <f t="array" ref="D97">"Apply LOTO to breaker UPS-" &amp; SWOne &amp; "1."</f>
        <v>Apply LOTO to breaker UPS-XXX1.</v>
      </c>
      <c r="E97" s="183" t="s">
        <v>1464</v>
      </c>
      <c r="F97" s="193"/>
      <c r="G97" s="193"/>
      <c r="H97" s="135"/>
      <c r="I97" s="135"/>
      <c r="J97" s="135"/>
    </row>
    <row r="98" spans="1:16" customFormat="1" ht="37.5" x14ac:dyDescent="0.25">
      <c r="A98" s="200">
        <f t="shared" si="3"/>
        <v>81</v>
      </c>
      <c r="B98" s="231" t="str">
        <f>Suite&amp;" Electrical Room "&amp;SWOne</f>
        <v>G104 Electrical Room XXX</v>
      </c>
      <c r="C98" s="183" t="str">
        <f>"SW"&amp;SWOne</f>
        <v>SWXXX</v>
      </c>
      <c r="D98" s="186" t="s">
        <v>1518</v>
      </c>
      <c r="E98" s="183" t="s">
        <v>1464</v>
      </c>
      <c r="F98" s="193"/>
      <c r="G98" s="193"/>
      <c r="H98" s="135"/>
      <c r="I98" s="135"/>
      <c r="J98" s="135"/>
    </row>
    <row r="99" spans="1:16" customFormat="1" ht="37.5" x14ac:dyDescent="0.25">
      <c r="A99" s="200">
        <f t="shared" si="3"/>
        <v>82</v>
      </c>
      <c r="B99" s="231" t="str">
        <f>Suite&amp;" Electrical Room "&amp;SWOne</f>
        <v>G104 Electrical Room XXX</v>
      </c>
      <c r="C99" s="183" t="s">
        <v>1566</v>
      </c>
      <c r="D99" s="233" t="s">
        <v>1582</v>
      </c>
      <c r="E99" s="183" t="s">
        <v>1464</v>
      </c>
      <c r="F99" s="193" t="s">
        <v>1519</v>
      </c>
      <c r="G99" s="193"/>
      <c r="H99" s="135"/>
      <c r="I99" s="135"/>
      <c r="J99" s="135"/>
    </row>
    <row r="100" spans="1:16" customFormat="1" ht="37.5" x14ac:dyDescent="0.25">
      <c r="A100" s="200">
        <f t="shared" si="3"/>
        <v>83</v>
      </c>
      <c r="B100" s="231" t="str">
        <f>Suite&amp;" Electrical Room "&amp;SWOne</f>
        <v>G104 Electrical Room XXX</v>
      </c>
      <c r="C100" s="183" t="str">
        <f>"UPS "&amp;SWOne&amp;"2"</f>
        <v>UPS XXX2</v>
      </c>
      <c r="D100" s="233" t="s">
        <v>1576</v>
      </c>
      <c r="E100" s="183" t="s">
        <v>1464</v>
      </c>
      <c r="F100" s="193"/>
      <c r="G100" s="193"/>
      <c r="H100" s="135"/>
      <c r="I100" s="135"/>
      <c r="J100" s="135"/>
    </row>
    <row r="101" spans="1:16" customFormat="1" ht="37.5" x14ac:dyDescent="0.25">
      <c r="A101" s="200">
        <f t="shared" si="3"/>
        <v>84</v>
      </c>
      <c r="B101" s="231" t="str">
        <f>Suite&amp;" Electrical Room "&amp;SWOne</f>
        <v>G104 Electrical Room XXX</v>
      </c>
      <c r="C101" s="183" t="str">
        <f>"UPS "&amp;SWOne&amp;"2"</f>
        <v>UPS XXX2</v>
      </c>
      <c r="D101" s="233" t="s">
        <v>1577</v>
      </c>
      <c r="E101" s="183" t="s">
        <v>1464</v>
      </c>
      <c r="F101" s="193"/>
      <c r="G101" s="193"/>
      <c r="H101" s="135"/>
      <c r="I101" s="135"/>
      <c r="J101" s="135"/>
    </row>
    <row r="102" spans="1:16" customFormat="1" ht="37.5" x14ac:dyDescent="0.25">
      <c r="A102" s="200">
        <f t="shared" si="3"/>
        <v>85</v>
      </c>
      <c r="B102" s="231" t="str">
        <f>Suite&amp;" Electrical Room "&amp;SWOne</f>
        <v>G104 Electrical Room XXX</v>
      </c>
      <c r="C102" s="183" t="s">
        <v>1566</v>
      </c>
      <c r="D102" s="233" t="s">
        <v>1583</v>
      </c>
      <c r="E102" s="183" t="s">
        <v>1464</v>
      </c>
      <c r="F102" s="193"/>
      <c r="G102" s="193"/>
      <c r="H102" s="135"/>
      <c r="I102" s="135"/>
      <c r="J102" s="135"/>
    </row>
    <row r="103" spans="1:16" customFormat="1" ht="37.5" x14ac:dyDescent="0.25">
      <c r="A103" s="200">
        <f t="shared" si="3"/>
        <v>86</v>
      </c>
      <c r="B103" s="231" t="str">
        <f>Suite&amp;" Electrical Room "&amp;SWOne</f>
        <v>G104 Electrical Room XXX</v>
      </c>
      <c r="C103" s="183" t="str">
        <f>"UP"&amp;SWOne</f>
        <v>UPXXX</v>
      </c>
      <c r="D103" s="233" t="str" cm="1">
        <f t="array" ref="D103">"OPEN breaker DP-" &amp; SWOne &amp; "2."</f>
        <v>OPEN breaker DP-XXX2.</v>
      </c>
      <c r="E103" s="183" t="s">
        <v>1464</v>
      </c>
      <c r="F103" s="193"/>
      <c r="G103" s="193"/>
      <c r="H103" s="135"/>
      <c r="I103" s="135"/>
      <c r="J103" s="135"/>
    </row>
    <row r="104" spans="1:16" customFormat="1" ht="37.5" x14ac:dyDescent="0.25">
      <c r="A104" s="200">
        <f t="shared" si="3"/>
        <v>87</v>
      </c>
      <c r="B104" s="231" t="str">
        <f>Suite&amp;" Electrical Room "&amp;SWOne</f>
        <v>G104 Electrical Room XXX</v>
      </c>
      <c r="C104" s="183" t="str">
        <f>"UP"&amp;SWOne</f>
        <v>UPXXX</v>
      </c>
      <c r="D104" s="186" t="str" cm="1">
        <f t="array" ref="D104">"Apply LOTO to breaker DP-" &amp; SWOne &amp; "2."</f>
        <v>Apply LOTO to breaker DP-XXX2.</v>
      </c>
      <c r="E104" s="183" t="s">
        <v>1464</v>
      </c>
      <c r="F104" s="193"/>
      <c r="G104" s="193"/>
      <c r="H104" s="135"/>
      <c r="I104" s="135"/>
      <c r="J104" s="135"/>
    </row>
    <row r="105" spans="1:16" customFormat="1" ht="37.5" x14ac:dyDescent="0.25">
      <c r="A105" s="200">
        <f t="shared" si="3"/>
        <v>88</v>
      </c>
      <c r="B105" s="231" t="str">
        <f>Suite&amp;" Electrical Room "&amp;SWOne</f>
        <v>G104 Electrical Room XXX</v>
      </c>
      <c r="C105" s="183" t="str">
        <f>"UP"&amp;SWOne</f>
        <v>UPXXX</v>
      </c>
      <c r="D105" s="186" t="s">
        <v>1518</v>
      </c>
      <c r="E105" s="183" t="s">
        <v>1464</v>
      </c>
      <c r="F105" s="193"/>
      <c r="G105" s="193"/>
      <c r="H105" s="135"/>
      <c r="I105" s="135"/>
      <c r="J105" s="135"/>
    </row>
    <row r="106" spans="1:16" customFormat="1" ht="56.25" x14ac:dyDescent="0.25">
      <c r="A106" s="200">
        <f t="shared" si="3"/>
        <v>89</v>
      </c>
      <c r="B106" s="231" t="str">
        <f>Suite&amp;" Electrical Room "&amp;SWOne</f>
        <v>G104 Electrical Room XXX</v>
      </c>
      <c r="C106" s="183" t="str">
        <f>"UPS "&amp;SWOne&amp;"2 Battery Cabinets"</f>
        <v>UPS XXX2 Battery Cabinets</v>
      </c>
      <c r="D106" s="233" t="s">
        <v>1579</v>
      </c>
      <c r="E106" s="183" t="s">
        <v>1464</v>
      </c>
      <c r="F106" s="193"/>
      <c r="G106" s="193"/>
      <c r="H106" s="135"/>
      <c r="I106" s="135"/>
      <c r="J106" s="135"/>
    </row>
    <row r="107" spans="1:16" customFormat="1" ht="56.25" x14ac:dyDescent="0.25">
      <c r="A107" s="200">
        <f t="shared" si="3"/>
        <v>90</v>
      </c>
      <c r="B107" s="231" t="str">
        <f>Suite&amp;" Electrical Room "&amp;SWOne</f>
        <v>G104 Electrical Room XXX</v>
      </c>
      <c r="C107" s="183" t="str">
        <f>"UPS "&amp;SWOne&amp;"2 Battery Cabinets"</f>
        <v>UPS XXX2 Battery Cabinets</v>
      </c>
      <c r="D107" s="233" t="str" cm="1">
        <f t="array" ref="D107">"OPEN Battery Breaker Q7A at Cabinet " &amp; SWOne &amp; "2-1."</f>
        <v>OPEN Battery Breaker Q7A at Cabinet XXX2-1.</v>
      </c>
      <c r="E107" s="183" t="s">
        <v>1464</v>
      </c>
      <c r="F107" s="193" t="s">
        <v>1519</v>
      </c>
      <c r="G107" s="193"/>
      <c r="H107" s="163" t="s">
        <v>1580</v>
      </c>
      <c r="I107" s="135"/>
      <c r="J107" s="135"/>
    </row>
    <row r="108" spans="1:16" customFormat="1" ht="56.25" x14ac:dyDescent="0.25">
      <c r="A108" s="200">
        <f t="shared" si="3"/>
        <v>91</v>
      </c>
      <c r="B108" s="231" t="str">
        <f>Suite&amp;" Electrical Room "&amp;SWOne</f>
        <v>G104 Electrical Room XXX</v>
      </c>
      <c r="C108" s="183" t="str">
        <f>"UPS "&amp;SWOne&amp;"2 Battery Cabinets"</f>
        <v>UPS XXX2 Battery Cabinets</v>
      </c>
      <c r="D108" s="177" t="str" cm="1">
        <f t="array" ref="D108">"Apply LOTO to Battery Breaker Q7A at Cabinet " &amp; SWOne &amp; "2-1."</f>
        <v>Apply LOTO to Battery Breaker Q7A at Cabinet XXX2-1.</v>
      </c>
      <c r="E108" s="183" t="s">
        <v>1464</v>
      </c>
      <c r="F108" s="193" t="s">
        <v>1519</v>
      </c>
      <c r="G108" s="193"/>
      <c r="H108" s="163" t="s">
        <v>1580</v>
      </c>
      <c r="I108" s="135"/>
      <c r="J108" s="135"/>
    </row>
    <row r="109" spans="1:16" customFormat="1" ht="56.25" x14ac:dyDescent="0.25">
      <c r="A109" s="200">
        <f t="shared" si="3"/>
        <v>92</v>
      </c>
      <c r="B109" s="231" t="str">
        <f>Suite&amp;" Electrical Room "&amp;SWOne</f>
        <v>G104 Electrical Room XXX</v>
      </c>
      <c r="C109" s="183" t="str">
        <f>"UPS "&amp;SWOne&amp;"2 Battery Cabinets"</f>
        <v>UPS XXX2 Battery Cabinets</v>
      </c>
      <c r="D109" s="186" t="s">
        <v>1518</v>
      </c>
      <c r="E109" s="183" t="s">
        <v>1464</v>
      </c>
      <c r="F109" s="193" t="s">
        <v>1519</v>
      </c>
      <c r="G109" s="193"/>
      <c r="H109" s="163" t="s">
        <v>1580</v>
      </c>
      <c r="I109" s="135"/>
      <c r="J109" s="135"/>
    </row>
    <row r="110" spans="1:16" customFormat="1" ht="56.25" x14ac:dyDescent="0.25">
      <c r="A110" s="200">
        <f t="shared" si="3"/>
        <v>93</v>
      </c>
      <c r="B110" s="231" t="str">
        <f>Suite&amp;" Electrical Room "&amp;SWOne</f>
        <v>G104 Electrical Room XXX</v>
      </c>
      <c r="C110" s="183" t="str">
        <f>"UPS "&amp;SWOne&amp;"2 Battery Cabinets"</f>
        <v>UPS XXX2 Battery Cabinets</v>
      </c>
      <c r="D110" s="233" t="str" cm="1">
        <f t="array" ref="D110">"OPEN Battery Breaker Q7B at Cabinet " &amp; SWOne &amp; "2-2."</f>
        <v>OPEN Battery Breaker Q7B at Cabinet XXX2-2.</v>
      </c>
      <c r="E110" s="183" t="s">
        <v>1464</v>
      </c>
      <c r="F110" s="193" t="s">
        <v>1519</v>
      </c>
      <c r="G110" s="193"/>
      <c r="H110" s="163" t="s">
        <v>1580</v>
      </c>
      <c r="I110" s="135"/>
      <c r="J110" s="164"/>
      <c r="K110" s="4"/>
      <c r="L110" s="4"/>
      <c r="M110" s="4"/>
      <c r="N110" s="4"/>
      <c r="O110" s="4"/>
      <c r="P110" s="4"/>
    </row>
    <row r="111" spans="1:16" customFormat="1" ht="56.25" x14ac:dyDescent="0.25">
      <c r="A111" s="200">
        <f t="shared" si="3"/>
        <v>94</v>
      </c>
      <c r="B111" s="231" t="str">
        <f>Suite&amp;" Electrical Room "&amp;SWOne</f>
        <v>G104 Electrical Room XXX</v>
      </c>
      <c r="C111" s="183" t="str">
        <f>"UPS "&amp;SWOne&amp;"2 Battery Cabinets"</f>
        <v>UPS XXX2 Battery Cabinets</v>
      </c>
      <c r="D111" s="177" t="str" cm="1">
        <f t="array" ref="D111">"Apply LOTO to Battery Breaker Q7B at Cabinet " &amp; SWOne &amp; "2-2."</f>
        <v>Apply LOTO to Battery Breaker Q7B at Cabinet XXX2-2.</v>
      </c>
      <c r="E111" s="183" t="s">
        <v>1464</v>
      </c>
      <c r="F111" s="193" t="s">
        <v>1519</v>
      </c>
      <c r="G111" s="193"/>
      <c r="H111" s="163" t="s">
        <v>1580</v>
      </c>
      <c r="I111" s="135"/>
      <c r="J111" s="135"/>
    </row>
    <row r="112" spans="1:16" customFormat="1" ht="56.25" x14ac:dyDescent="0.25">
      <c r="A112" s="200">
        <f t="shared" si="3"/>
        <v>95</v>
      </c>
      <c r="B112" s="231" t="str">
        <f>Suite&amp;" Electrical Room "&amp;SWOne</f>
        <v>G104 Electrical Room XXX</v>
      </c>
      <c r="C112" s="183" t="str">
        <f>"UPS "&amp;SWOne&amp;"2 Battery Cabinets"</f>
        <v>UPS XXX2 Battery Cabinets</v>
      </c>
      <c r="D112" s="186" t="s">
        <v>1518</v>
      </c>
      <c r="E112" s="183" t="s">
        <v>1464</v>
      </c>
      <c r="F112" s="193" t="s">
        <v>1519</v>
      </c>
      <c r="G112" s="193"/>
      <c r="H112" s="163" t="s">
        <v>1580</v>
      </c>
      <c r="I112" s="135"/>
      <c r="J112" s="135"/>
    </row>
    <row r="113" spans="1:10" customFormat="1" ht="56.25" x14ac:dyDescent="0.25">
      <c r="A113" s="200">
        <f t="shared" si="3"/>
        <v>96</v>
      </c>
      <c r="B113" s="231" t="str">
        <f>Suite&amp;" Electrical Room "&amp;SWOne</f>
        <v>G104 Electrical Room XXX</v>
      </c>
      <c r="C113" s="183" t="str">
        <f>"UPS "&amp;SWOne&amp;"2 Battery Cabinets"</f>
        <v>UPS XXX2 Battery Cabinets</v>
      </c>
      <c r="D113" s="233" t="str" cm="1">
        <f t="array" ref="D113">"OPEN Battery Breaker Q8A at Cabinet " &amp; SWOne &amp; "2-3."</f>
        <v>OPEN Battery Breaker Q8A at Cabinet XXX2-3.</v>
      </c>
      <c r="E113" s="183" t="s">
        <v>1464</v>
      </c>
      <c r="F113" s="193" t="s">
        <v>1519</v>
      </c>
      <c r="G113" s="193"/>
      <c r="H113" s="163" t="s">
        <v>1580</v>
      </c>
      <c r="I113" s="135"/>
      <c r="J113" s="135"/>
    </row>
    <row r="114" spans="1:10" customFormat="1" ht="56.25" x14ac:dyDescent="0.25">
      <c r="A114" s="200">
        <f t="shared" si="3"/>
        <v>97</v>
      </c>
      <c r="B114" s="231" t="str">
        <f>Suite&amp;" Electrical Room "&amp;SWOne</f>
        <v>G104 Electrical Room XXX</v>
      </c>
      <c r="C114" s="183" t="str">
        <f>"UPS "&amp;SWOne&amp;"2 Battery Cabinets"</f>
        <v>UPS XXX2 Battery Cabinets</v>
      </c>
      <c r="D114" s="177" t="str" cm="1">
        <f t="array" ref="D114">"Apply LOTO to Battery Breaker Q8A at Cabinet " &amp; SWOne &amp; "2-3."</f>
        <v>Apply LOTO to Battery Breaker Q8A at Cabinet XXX2-3.</v>
      </c>
      <c r="E114" s="183" t="s">
        <v>1464</v>
      </c>
      <c r="F114" s="193" t="s">
        <v>1519</v>
      </c>
      <c r="G114" s="193"/>
      <c r="H114" s="163" t="s">
        <v>1580</v>
      </c>
      <c r="I114" s="135"/>
      <c r="J114" s="135"/>
    </row>
    <row r="115" spans="1:10" customFormat="1" ht="56.25" x14ac:dyDescent="0.25">
      <c r="A115" s="200">
        <f t="shared" si="3"/>
        <v>98</v>
      </c>
      <c r="B115" s="231" t="str">
        <f>Suite&amp;" Electrical Room "&amp;SWOne</f>
        <v>G104 Electrical Room XXX</v>
      </c>
      <c r="C115" s="183" t="str">
        <f>"UPS "&amp;SWOne&amp;"2 Battery Cabinets"</f>
        <v>UPS XXX2 Battery Cabinets</v>
      </c>
      <c r="D115" s="186" t="s">
        <v>1518</v>
      </c>
      <c r="E115" s="183" t="s">
        <v>1464</v>
      </c>
      <c r="F115" s="193" t="s">
        <v>1519</v>
      </c>
      <c r="G115" s="193"/>
      <c r="H115" s="163" t="s">
        <v>1580</v>
      </c>
      <c r="I115" s="135"/>
      <c r="J115" s="135"/>
    </row>
    <row r="116" spans="1:10" customFormat="1" ht="56.25" x14ac:dyDescent="0.25">
      <c r="A116" s="200">
        <f t="shared" si="3"/>
        <v>99</v>
      </c>
      <c r="B116" s="231" t="str">
        <f>Suite&amp;" Electrical Room "&amp;SWOne</f>
        <v>G104 Electrical Room XXX</v>
      </c>
      <c r="C116" s="183" t="str">
        <f>"UPS "&amp;SWOne&amp;"2 Battery Cabinets"</f>
        <v>UPS XXX2 Battery Cabinets</v>
      </c>
      <c r="D116" s="233" t="str" cm="1">
        <f t="array" ref="D116">"OPEN Battery Breaker Q8B at Cabinet " &amp; SWOne &amp; "2-4."</f>
        <v>OPEN Battery Breaker Q8B at Cabinet XXX2-4.</v>
      </c>
      <c r="E116" s="183" t="s">
        <v>1464</v>
      </c>
      <c r="F116" s="193" t="s">
        <v>1519</v>
      </c>
      <c r="G116" s="193"/>
      <c r="H116" s="163" t="s">
        <v>1580</v>
      </c>
      <c r="I116" s="135"/>
      <c r="J116" s="135"/>
    </row>
    <row r="117" spans="1:10" customFormat="1" ht="56.25" x14ac:dyDescent="0.25">
      <c r="A117" s="200">
        <f t="shared" si="3"/>
        <v>100</v>
      </c>
      <c r="B117" s="231" t="str">
        <f>Suite&amp;" Electrical Room "&amp;SWOne</f>
        <v>G104 Electrical Room XXX</v>
      </c>
      <c r="C117" s="183" t="str">
        <f>"UPS "&amp;SWOne&amp;"2 Battery Cabinets"</f>
        <v>UPS XXX2 Battery Cabinets</v>
      </c>
      <c r="D117" s="177" t="str" cm="1">
        <f t="array" ref="D117">"Apply LOTO to Battery Breaker Q8B at Cabinet " &amp; SWOne &amp; "2-4."</f>
        <v>Apply LOTO to Battery Breaker Q8B at Cabinet XXX2-4.</v>
      </c>
      <c r="E117" s="183" t="s">
        <v>1464</v>
      </c>
      <c r="F117" s="193" t="s">
        <v>1519</v>
      </c>
      <c r="G117" s="193"/>
      <c r="H117" s="163" t="s">
        <v>1580</v>
      </c>
      <c r="I117" s="135"/>
      <c r="J117" s="135"/>
    </row>
    <row r="118" spans="1:10" customFormat="1" ht="56.25" x14ac:dyDescent="0.25">
      <c r="A118" s="200">
        <f t="shared" si="3"/>
        <v>101</v>
      </c>
      <c r="B118" s="231" t="str">
        <f>Suite&amp;" Electrical Room "&amp;SWOne</f>
        <v>G104 Electrical Room XXX</v>
      </c>
      <c r="C118" s="183" t="str">
        <f>"UPS "&amp;SWOne&amp;"2 Battery Cabinets"</f>
        <v>UPS XXX2 Battery Cabinets</v>
      </c>
      <c r="D118" s="186" t="s">
        <v>1518</v>
      </c>
      <c r="E118" s="183" t="s">
        <v>1464</v>
      </c>
      <c r="F118" s="193" t="s">
        <v>1519</v>
      </c>
      <c r="G118" s="193"/>
      <c r="H118" s="163" t="s">
        <v>1580</v>
      </c>
      <c r="I118" s="135"/>
      <c r="J118" s="135"/>
    </row>
    <row r="119" spans="1:10" customFormat="1" ht="56.25" hidden="1" x14ac:dyDescent="0.25">
      <c r="A119" s="200">
        <f>A106+1</f>
        <v>90</v>
      </c>
      <c r="B119" s="231" t="str">
        <f>Suite&amp;" Electrical Room "&amp;SWOne</f>
        <v>G104 Electrical Room XXX</v>
      </c>
      <c r="C119" s="183" t="str">
        <f>"UPS "&amp;SWOne&amp;"2 Battery Cabinets"</f>
        <v>UPS XXX2 Battery Cabinets</v>
      </c>
      <c r="D119" s="186" t="str" cm="1">
        <f t="array" ref="D119">"OPEN Battery Breaker Q7A at Cabinet " &amp; SWOne &amp; "2-1."</f>
        <v>OPEN Battery Breaker Q7A at Cabinet XXX2-1.</v>
      </c>
      <c r="E119" s="183" t="s">
        <v>1464</v>
      </c>
      <c r="F119" s="193" t="s">
        <v>1519</v>
      </c>
      <c r="G119" s="193"/>
      <c r="H119" s="163" t="s">
        <v>1581</v>
      </c>
      <c r="I119" s="135"/>
      <c r="J119" s="135"/>
    </row>
    <row r="120" spans="1:10" customFormat="1" ht="56.25" hidden="1" x14ac:dyDescent="0.25">
      <c r="A120" s="200">
        <f t="shared" ref="A120:A136" si="4">A119+1</f>
        <v>91</v>
      </c>
      <c r="B120" s="231" t="str">
        <f>Suite&amp;" Electrical Room "&amp;SWOne</f>
        <v>G104 Electrical Room XXX</v>
      </c>
      <c r="C120" s="183" t="str">
        <f>"UPS "&amp;SWOne&amp;"2 Battery Cabinets"</f>
        <v>UPS XXX2 Battery Cabinets</v>
      </c>
      <c r="D120" s="177" t="str" cm="1">
        <f t="array" ref="D120">"Apply LOTO to Battery Breaker Q7A at Cabinet " &amp; SWOne &amp; "2-1."</f>
        <v>Apply LOTO to Battery Breaker Q7A at Cabinet XXX2-1.</v>
      </c>
      <c r="E120" s="183" t="s">
        <v>1464</v>
      </c>
      <c r="F120" s="193" t="s">
        <v>1519</v>
      </c>
      <c r="G120" s="193"/>
      <c r="H120" s="163" t="s">
        <v>1581</v>
      </c>
      <c r="I120" s="135"/>
      <c r="J120" s="135"/>
    </row>
    <row r="121" spans="1:10" customFormat="1" ht="56.25" hidden="1" x14ac:dyDescent="0.25">
      <c r="A121" s="200">
        <f t="shared" si="4"/>
        <v>92</v>
      </c>
      <c r="B121" s="231" t="str">
        <f>Suite&amp;" Electrical Room "&amp;SWOne</f>
        <v>G104 Electrical Room XXX</v>
      </c>
      <c r="C121" s="183" t="str">
        <f>"UPS "&amp;SWOne&amp;"2 Battery Cabinets"</f>
        <v>UPS XXX2 Battery Cabinets</v>
      </c>
      <c r="D121" s="186" t="s">
        <v>1518</v>
      </c>
      <c r="E121" s="183" t="s">
        <v>1464</v>
      </c>
      <c r="F121" s="193" t="s">
        <v>1519</v>
      </c>
      <c r="G121" s="193"/>
      <c r="H121" s="163" t="s">
        <v>1581</v>
      </c>
      <c r="I121" s="135"/>
      <c r="J121" s="135"/>
    </row>
    <row r="122" spans="1:10" customFormat="1" ht="56.25" hidden="1" x14ac:dyDescent="0.25">
      <c r="A122" s="200">
        <f t="shared" si="4"/>
        <v>93</v>
      </c>
      <c r="B122" s="231" t="str">
        <f>Suite&amp;" Electrical Room "&amp;SWOne</f>
        <v>G104 Electrical Room XXX</v>
      </c>
      <c r="C122" s="183" t="str">
        <f>"UPS "&amp;SWOne&amp;"2 Battery Cabinets"</f>
        <v>UPS XXX2 Battery Cabinets</v>
      </c>
      <c r="D122" s="186" t="str" cm="1">
        <f t="array" ref="D122">"OPEN Battery Breaker Q7B at Cabinet " &amp; SWOne &amp; "2-2."</f>
        <v>OPEN Battery Breaker Q7B at Cabinet XXX2-2.</v>
      </c>
      <c r="E122" s="183" t="s">
        <v>1464</v>
      </c>
      <c r="F122" s="193" t="s">
        <v>1519</v>
      </c>
      <c r="G122" s="193"/>
      <c r="H122" s="163" t="s">
        <v>1581</v>
      </c>
      <c r="I122" s="135"/>
      <c r="J122" s="135"/>
    </row>
    <row r="123" spans="1:10" customFormat="1" ht="56.25" hidden="1" x14ac:dyDescent="0.25">
      <c r="A123" s="200">
        <f t="shared" si="4"/>
        <v>94</v>
      </c>
      <c r="B123" s="231" t="str">
        <f>Suite&amp;" Electrical Room "&amp;SWOne</f>
        <v>G104 Electrical Room XXX</v>
      </c>
      <c r="C123" s="183" t="str">
        <f>"UPS "&amp;SWOne&amp;"2 Battery Cabinets"</f>
        <v>UPS XXX2 Battery Cabinets</v>
      </c>
      <c r="D123" s="177" t="str" cm="1">
        <f t="array" ref="D123">"Apply LOTO to Battery Breaker Q7B at Cabinet " &amp; SWOne &amp; "2-2."</f>
        <v>Apply LOTO to Battery Breaker Q7B at Cabinet XXX2-2.</v>
      </c>
      <c r="E123" s="183" t="s">
        <v>1464</v>
      </c>
      <c r="F123" s="193" t="s">
        <v>1519</v>
      </c>
      <c r="G123" s="193"/>
      <c r="H123" s="163" t="s">
        <v>1581</v>
      </c>
      <c r="I123" s="135"/>
      <c r="J123" s="135"/>
    </row>
    <row r="124" spans="1:10" customFormat="1" ht="56.25" hidden="1" x14ac:dyDescent="0.25">
      <c r="A124" s="200">
        <f t="shared" si="4"/>
        <v>95</v>
      </c>
      <c r="B124" s="231" t="str">
        <f>Suite&amp;" Electrical Room "&amp;SWOne</f>
        <v>G104 Electrical Room XXX</v>
      </c>
      <c r="C124" s="183" t="str">
        <f>"UPS "&amp;SWOne&amp;"2 Battery Cabinets"</f>
        <v>UPS XXX2 Battery Cabinets</v>
      </c>
      <c r="D124" s="186" t="s">
        <v>1518</v>
      </c>
      <c r="E124" s="183" t="s">
        <v>1464</v>
      </c>
      <c r="F124" s="193" t="s">
        <v>1519</v>
      </c>
      <c r="G124" s="193"/>
      <c r="H124" s="163" t="s">
        <v>1581</v>
      </c>
      <c r="I124" s="135"/>
      <c r="J124" s="135"/>
    </row>
    <row r="125" spans="1:10" customFormat="1" ht="56.25" hidden="1" x14ac:dyDescent="0.25">
      <c r="A125" s="200">
        <f t="shared" si="4"/>
        <v>96</v>
      </c>
      <c r="B125" s="231" t="str">
        <f>Suite&amp;" Electrical Room "&amp;SWOne</f>
        <v>G104 Electrical Room XXX</v>
      </c>
      <c r="C125" s="183" t="str">
        <f>"UPS "&amp;SWOne&amp;"2 Battery Cabinets"</f>
        <v>UPS XXX2 Battery Cabinets</v>
      </c>
      <c r="D125" s="186" t="str" cm="1">
        <f t="array" ref="D125">"OPEN Battery Breaker Q7C at Cabinet " &amp; SWOne &amp; "2-3."</f>
        <v>OPEN Battery Breaker Q7C at Cabinet XXX2-3.</v>
      </c>
      <c r="E125" s="183" t="s">
        <v>1464</v>
      </c>
      <c r="F125" s="193" t="s">
        <v>1519</v>
      </c>
      <c r="G125" s="193"/>
      <c r="H125" s="163" t="s">
        <v>1581</v>
      </c>
      <c r="I125" s="135"/>
      <c r="J125" s="135"/>
    </row>
    <row r="126" spans="1:10" customFormat="1" ht="56.25" hidden="1" x14ac:dyDescent="0.25">
      <c r="A126" s="200">
        <f t="shared" si="4"/>
        <v>97</v>
      </c>
      <c r="B126" s="231" t="str">
        <f>Suite&amp;" Electrical Room "&amp;SWOne</f>
        <v>G104 Electrical Room XXX</v>
      </c>
      <c r="C126" s="183" t="str">
        <f>"UPS "&amp;SWOne&amp;"2 Battery Cabinets"</f>
        <v>UPS XXX2 Battery Cabinets</v>
      </c>
      <c r="D126" s="177" t="str" cm="1">
        <f t="array" ref="D126">"Apply LOTO to Battery Breaker Q7C at Cabinet " &amp; SWOne &amp; "2-3."</f>
        <v>Apply LOTO to Battery Breaker Q7C at Cabinet XXX2-3.</v>
      </c>
      <c r="E126" s="183" t="s">
        <v>1464</v>
      </c>
      <c r="F126" s="193" t="s">
        <v>1519</v>
      </c>
      <c r="G126" s="193"/>
      <c r="H126" s="163" t="s">
        <v>1581</v>
      </c>
      <c r="I126" s="135"/>
      <c r="J126" s="135"/>
    </row>
    <row r="127" spans="1:10" customFormat="1" ht="56.25" hidden="1" x14ac:dyDescent="0.25">
      <c r="A127" s="200">
        <f t="shared" si="4"/>
        <v>98</v>
      </c>
      <c r="B127" s="231" t="str">
        <f>Suite&amp;" Electrical Room "&amp;SWOne</f>
        <v>G104 Electrical Room XXX</v>
      </c>
      <c r="C127" s="183" t="str">
        <f>"UPS "&amp;SWOne&amp;"2 Battery Cabinets"</f>
        <v>UPS XXX2 Battery Cabinets</v>
      </c>
      <c r="D127" s="186" t="s">
        <v>1518</v>
      </c>
      <c r="E127" s="183" t="s">
        <v>1464</v>
      </c>
      <c r="F127" s="193" t="s">
        <v>1519</v>
      </c>
      <c r="G127" s="193"/>
      <c r="H127" s="163" t="s">
        <v>1581</v>
      </c>
      <c r="I127" s="135"/>
      <c r="J127" s="135"/>
    </row>
    <row r="128" spans="1:10" customFormat="1" ht="56.25" hidden="1" x14ac:dyDescent="0.25">
      <c r="A128" s="200">
        <f t="shared" si="4"/>
        <v>99</v>
      </c>
      <c r="B128" s="231" t="str">
        <f>Suite&amp;" Electrical Room "&amp;SWOne</f>
        <v>G104 Electrical Room XXX</v>
      </c>
      <c r="C128" s="183" t="str">
        <f>"UPS "&amp;SWOne&amp;"2 Battery Cabinets"</f>
        <v>UPS XXX2 Battery Cabinets</v>
      </c>
      <c r="D128" s="186" t="str" cm="1">
        <f t="array" ref="D128">"OPEN Battery Breaker Q8A at Cabinet " &amp; SWOne &amp; "2-4."</f>
        <v>OPEN Battery Breaker Q8A at Cabinet XXX2-4.</v>
      </c>
      <c r="E128" s="183" t="s">
        <v>1464</v>
      </c>
      <c r="F128" s="193" t="s">
        <v>1519</v>
      </c>
      <c r="G128" s="193"/>
      <c r="H128" s="163" t="s">
        <v>1581</v>
      </c>
      <c r="I128" s="135"/>
      <c r="J128" s="135"/>
    </row>
    <row r="129" spans="1:10" customFormat="1" ht="56.25" hidden="1" x14ac:dyDescent="0.25">
      <c r="A129" s="200">
        <f t="shared" si="4"/>
        <v>100</v>
      </c>
      <c r="B129" s="231" t="str">
        <f>Suite&amp;" Electrical Room "&amp;SWOne</f>
        <v>G104 Electrical Room XXX</v>
      </c>
      <c r="C129" s="183" t="str">
        <f>"UPS "&amp;SWOne&amp;"2 Battery Cabinets"</f>
        <v>UPS XXX2 Battery Cabinets</v>
      </c>
      <c r="D129" s="177" t="str" cm="1">
        <f t="array" ref="D129">"Apply LOTO to Battery Breaker Q8A at Cabinet " &amp; SWOne &amp; "2-4."</f>
        <v>Apply LOTO to Battery Breaker Q8A at Cabinet XXX2-4.</v>
      </c>
      <c r="E129" s="183" t="s">
        <v>1464</v>
      </c>
      <c r="F129" s="193" t="s">
        <v>1519</v>
      </c>
      <c r="G129" s="193"/>
      <c r="H129" s="163" t="s">
        <v>1581</v>
      </c>
      <c r="I129" s="135"/>
      <c r="J129" s="135"/>
    </row>
    <row r="130" spans="1:10" customFormat="1" ht="56.25" hidden="1" x14ac:dyDescent="0.25">
      <c r="A130" s="200">
        <f t="shared" si="4"/>
        <v>101</v>
      </c>
      <c r="B130" s="231" t="str">
        <f>Suite&amp;" Electrical Room "&amp;SWOne</f>
        <v>G104 Electrical Room XXX</v>
      </c>
      <c r="C130" s="183" t="str">
        <f>"UPS "&amp;SWOne&amp;"2 Battery Cabinets"</f>
        <v>UPS XXX2 Battery Cabinets</v>
      </c>
      <c r="D130" s="186" t="s">
        <v>1518</v>
      </c>
      <c r="E130" s="183" t="s">
        <v>1464</v>
      </c>
      <c r="F130" s="193" t="s">
        <v>1519</v>
      </c>
      <c r="G130" s="193"/>
      <c r="H130" s="163" t="s">
        <v>1581</v>
      </c>
      <c r="I130" s="135"/>
      <c r="J130" s="135"/>
    </row>
    <row r="131" spans="1:10" customFormat="1" ht="56.25" hidden="1" x14ac:dyDescent="0.25">
      <c r="A131" s="200">
        <f t="shared" si="4"/>
        <v>102</v>
      </c>
      <c r="B131" s="231" t="str">
        <f>Suite&amp;" Electrical Room "&amp;SWOne</f>
        <v>G104 Electrical Room XXX</v>
      </c>
      <c r="C131" s="183" t="str">
        <f>"UPS "&amp;SWOne&amp;"2 Battery Cabinets"</f>
        <v>UPS XXX2 Battery Cabinets</v>
      </c>
      <c r="D131" s="186" t="str" cm="1">
        <f t="array" ref="D131">"OPEN Battery Breaker Q8B at Cabinet " &amp; SWOne &amp; "2-5."</f>
        <v>OPEN Battery Breaker Q8B at Cabinet XXX2-5.</v>
      </c>
      <c r="E131" s="183" t="s">
        <v>1464</v>
      </c>
      <c r="F131" s="193" t="s">
        <v>1519</v>
      </c>
      <c r="G131" s="193"/>
      <c r="H131" s="163" t="s">
        <v>1581</v>
      </c>
      <c r="I131" s="135"/>
      <c r="J131" s="135"/>
    </row>
    <row r="132" spans="1:10" customFormat="1" ht="56.25" hidden="1" x14ac:dyDescent="0.25">
      <c r="A132" s="200">
        <f t="shared" si="4"/>
        <v>103</v>
      </c>
      <c r="B132" s="231" t="str">
        <f>Suite&amp;" Electrical Room "&amp;SWOne</f>
        <v>G104 Electrical Room XXX</v>
      </c>
      <c r="C132" s="183" t="str">
        <f>"UPS "&amp;SWOne&amp;"2 Battery Cabinets"</f>
        <v>UPS XXX2 Battery Cabinets</v>
      </c>
      <c r="D132" s="186" t="str" cm="1">
        <f t="array" ref="D132">"Apply LOTO to Battery Breaker Q8B at Cabinet " &amp; SWOne &amp; "2-5."</f>
        <v>Apply LOTO to Battery Breaker Q8B at Cabinet XXX2-5.</v>
      </c>
      <c r="E132" s="183" t="s">
        <v>1464</v>
      </c>
      <c r="F132" s="193" t="s">
        <v>1519</v>
      </c>
      <c r="G132" s="193"/>
      <c r="H132" s="163" t="s">
        <v>1581</v>
      </c>
      <c r="I132" s="135"/>
      <c r="J132" s="135"/>
    </row>
    <row r="133" spans="1:10" customFormat="1" ht="56.25" hidden="1" x14ac:dyDescent="0.25">
      <c r="A133" s="200">
        <f t="shared" si="4"/>
        <v>104</v>
      </c>
      <c r="B133" s="231" t="str">
        <f>Suite&amp;" Electrical Room "&amp;SWOne</f>
        <v>G104 Electrical Room XXX</v>
      </c>
      <c r="C133" s="183" t="str">
        <f>"UPS "&amp;SWOne&amp;"2 Battery Cabinets"</f>
        <v>UPS XXX2 Battery Cabinets</v>
      </c>
      <c r="D133" s="186" t="s">
        <v>1518</v>
      </c>
      <c r="E133" s="183" t="s">
        <v>1464</v>
      </c>
      <c r="F133" s="193" t="s">
        <v>1519</v>
      </c>
      <c r="G133" s="193"/>
      <c r="H133" s="163" t="s">
        <v>1581</v>
      </c>
      <c r="I133" s="135"/>
      <c r="J133" s="135"/>
    </row>
    <row r="134" spans="1:10" customFormat="1" ht="56.25" hidden="1" x14ac:dyDescent="0.25">
      <c r="A134" s="200">
        <f t="shared" si="4"/>
        <v>105</v>
      </c>
      <c r="B134" s="231" t="str">
        <f>Suite&amp;" Electrical Room "&amp;SWOne</f>
        <v>G104 Electrical Room XXX</v>
      </c>
      <c r="C134" s="183" t="str">
        <f>"UPS "&amp;SWOne&amp;"2 Battery Cabinets"</f>
        <v>UPS XXX2 Battery Cabinets</v>
      </c>
      <c r="D134" s="186" t="str" cm="1">
        <f t="array" ref="D134">"OPEN Battery Breaker Q8C at Cabinet " &amp; SWOne &amp; "2-6."</f>
        <v>OPEN Battery Breaker Q8C at Cabinet XXX2-6.</v>
      </c>
      <c r="E134" s="183" t="s">
        <v>1464</v>
      </c>
      <c r="F134" s="193" t="s">
        <v>1519</v>
      </c>
      <c r="G134" s="193"/>
      <c r="H134" s="163" t="s">
        <v>1581</v>
      </c>
      <c r="I134" s="135"/>
      <c r="J134" s="135"/>
    </row>
    <row r="135" spans="1:10" customFormat="1" ht="56.25" hidden="1" x14ac:dyDescent="0.25">
      <c r="A135" s="200">
        <f t="shared" si="4"/>
        <v>106</v>
      </c>
      <c r="B135" s="231" t="str">
        <f>Suite&amp;" Electrical Room "&amp;SWOne</f>
        <v>G104 Electrical Room XXX</v>
      </c>
      <c r="C135" s="183" t="str">
        <f>"UPS "&amp;SWOne&amp;"2 Battery Cabinets"</f>
        <v>UPS XXX2 Battery Cabinets</v>
      </c>
      <c r="D135" s="177" t="str" cm="1">
        <f t="array" ref="D135">"Apply LOTO to Battery Breaker Q8C at Cabinet " &amp; SWOne &amp; "2-6."</f>
        <v>Apply LOTO to Battery Breaker Q8C at Cabinet XXX2-6.</v>
      </c>
      <c r="E135" s="183" t="s">
        <v>1464</v>
      </c>
      <c r="F135" s="193" t="s">
        <v>1519</v>
      </c>
      <c r="G135" s="193"/>
      <c r="H135" s="163" t="s">
        <v>1581</v>
      </c>
      <c r="I135" s="135"/>
      <c r="J135" s="135"/>
    </row>
    <row r="136" spans="1:10" customFormat="1" ht="56.25" hidden="1" x14ac:dyDescent="0.25">
      <c r="A136" s="200">
        <f t="shared" si="4"/>
        <v>107</v>
      </c>
      <c r="B136" s="231" t="str">
        <f>Suite&amp;" Electrical Room "&amp;SWOne</f>
        <v>G104 Electrical Room XXX</v>
      </c>
      <c r="C136" s="183" t="str">
        <f>"UPS "&amp;SWOne&amp;"2 Battery Cabinets"</f>
        <v>UPS XXX2 Battery Cabinets</v>
      </c>
      <c r="D136" s="186" t="s">
        <v>1518</v>
      </c>
      <c r="E136" s="183" t="s">
        <v>1464</v>
      </c>
      <c r="F136" s="193" t="s">
        <v>1519</v>
      </c>
      <c r="G136" s="193"/>
      <c r="H136" s="163" t="s">
        <v>1581</v>
      </c>
      <c r="I136" s="135"/>
      <c r="J136" s="135"/>
    </row>
    <row r="137" spans="1:10" customFormat="1" ht="37.5" x14ac:dyDescent="0.25">
      <c r="A137" s="200">
        <f>IF(NumberOfICDs=4, A118+1, A136+1)</f>
        <v>108</v>
      </c>
      <c r="B137" s="231" t="str">
        <f>Suite&amp;" Electrical Room "&amp;SWOne</f>
        <v>G104 Electrical Room XXX</v>
      </c>
      <c r="C137" s="183" t="str">
        <f>"SW"&amp;SWOne</f>
        <v>SWXXX</v>
      </c>
      <c r="D137" s="186" t="str" cm="1">
        <f t="array" ref="D137">"OPEN breaker UPS-" &amp; SWOne &amp; "2."</f>
        <v>OPEN breaker UPS-XXX2.</v>
      </c>
      <c r="E137" s="183" t="s">
        <v>1464</v>
      </c>
      <c r="F137" s="193"/>
      <c r="G137" s="193"/>
      <c r="H137" s="135"/>
      <c r="I137" s="135"/>
      <c r="J137" s="135"/>
    </row>
    <row r="138" spans="1:10" customFormat="1" ht="37.5" x14ac:dyDescent="0.25">
      <c r="A138" s="200">
        <f t="shared" ref="A138:A160" si="5">A137+1</f>
        <v>109</v>
      </c>
      <c r="B138" s="231" t="str">
        <f>Suite&amp;" Electrical Room "&amp;SWOne</f>
        <v>G104 Electrical Room XXX</v>
      </c>
      <c r="C138" s="183" t="str">
        <f>"SW"&amp;SWOne</f>
        <v>SWXXX</v>
      </c>
      <c r="D138" s="186" t="str" cm="1">
        <f t="array" ref="D138">"Apply LOTO to breaker UPS-" &amp; SWOne &amp; "2."</f>
        <v>Apply LOTO to breaker UPS-XXX2.</v>
      </c>
      <c r="E138" s="183" t="s">
        <v>1464</v>
      </c>
      <c r="F138" s="193"/>
      <c r="G138" s="193"/>
      <c r="H138" s="135"/>
      <c r="I138" s="135"/>
      <c r="J138" s="135"/>
    </row>
    <row r="139" spans="1:10" customFormat="1" ht="37.5" x14ac:dyDescent="0.25">
      <c r="A139" s="200">
        <f t="shared" si="5"/>
        <v>110</v>
      </c>
      <c r="B139" s="231" t="str">
        <f>Suite&amp;" Electrical Room "&amp;SWOne</f>
        <v>G104 Electrical Room XXX</v>
      </c>
      <c r="C139" s="183" t="str">
        <f>"SW"&amp;SWOne</f>
        <v>SWXXX</v>
      </c>
      <c r="D139" s="186" t="s">
        <v>1518</v>
      </c>
      <c r="E139" s="183" t="s">
        <v>1464</v>
      </c>
      <c r="F139" s="193"/>
      <c r="G139" s="193"/>
      <c r="H139" s="135"/>
      <c r="I139" s="135"/>
      <c r="J139" s="135"/>
    </row>
    <row r="140" spans="1:10" customFormat="1" ht="37.5" x14ac:dyDescent="0.25">
      <c r="A140" s="200">
        <f t="shared" si="5"/>
        <v>111</v>
      </c>
      <c r="B140" s="231" t="str">
        <f>Suite&amp;" Electrical Room "&amp;SWOne</f>
        <v>G104 Electrical Room XXX</v>
      </c>
      <c r="C140" s="183" t="str">
        <f>"SW"&amp;SWOne</f>
        <v>SWXXX</v>
      </c>
      <c r="D140" s="233" t="str" cm="1">
        <f t="array" ref="D140">"UPS SYSTEM " &amp; SWOne &amp; " is now completely offline. Critical Customer Load remains on Maintenance Bypass Source."</f>
        <v>UPS SYSTEM XXX is now completely offline. Critical Customer Load remains on Maintenance Bypass Source.</v>
      </c>
      <c r="E140" s="183" t="s">
        <v>1464</v>
      </c>
      <c r="F140" s="193"/>
      <c r="G140" s="193"/>
      <c r="H140" s="135"/>
      <c r="I140" s="135"/>
      <c r="J140" s="135"/>
    </row>
    <row r="141" spans="1:10" customFormat="1" ht="37.5" x14ac:dyDescent="0.25">
      <c r="A141" s="200">
        <f t="shared" si="5"/>
        <v>112</v>
      </c>
      <c r="B141" s="231" t="str">
        <f>Suite&amp;" Electrical Room "&amp;SWOne</f>
        <v>G104 Electrical Room XXX</v>
      </c>
      <c r="C141" s="183" t="str">
        <f>"SW"&amp;SWOne</f>
        <v>SWXXX</v>
      </c>
      <c r="D141" s="233" t="s">
        <v>1584</v>
      </c>
      <c r="E141" s="183" t="s">
        <v>1464</v>
      </c>
      <c r="F141" s="193"/>
      <c r="G141" s="193"/>
      <c r="H141" s="135"/>
      <c r="I141" s="135"/>
      <c r="J141" s="135"/>
    </row>
    <row r="142" spans="1:10" customFormat="1" x14ac:dyDescent="0.25">
      <c r="A142" s="200">
        <f t="shared" si="5"/>
        <v>113</v>
      </c>
      <c r="B142" s="711" t="str">
        <f>"Restart UPS System "&amp;SWOne</f>
        <v>Restart UPS System XXX</v>
      </c>
      <c r="C142" s="711"/>
      <c r="D142" s="711"/>
      <c r="E142" s="711"/>
      <c r="F142" s="711"/>
      <c r="G142" s="711"/>
      <c r="H142" s="135"/>
      <c r="I142" s="135"/>
      <c r="J142" s="135"/>
    </row>
    <row r="143" spans="1:10" customFormat="1" ht="37.5" x14ac:dyDescent="0.25">
      <c r="A143" s="200">
        <f t="shared" si="5"/>
        <v>114</v>
      </c>
      <c r="B143" s="231" t="str">
        <f>Suite&amp;" Electrical Room "&amp;SWOne</f>
        <v>G104 Electrical Room XXX</v>
      </c>
      <c r="C143" s="183" t="str">
        <f>"UPS "&amp;SWOne</f>
        <v>UPS XXX</v>
      </c>
      <c r="D143" s="233" t="s">
        <v>1585</v>
      </c>
      <c r="E143" s="183" t="s">
        <v>1464</v>
      </c>
      <c r="F143" s="193"/>
      <c r="G143" s="193"/>
      <c r="H143" s="135"/>
      <c r="I143" s="135"/>
      <c r="J143" s="135"/>
    </row>
    <row r="144" spans="1:10" customFormat="1" ht="37.5" x14ac:dyDescent="0.25">
      <c r="A144" s="200">
        <f t="shared" si="5"/>
        <v>115</v>
      </c>
      <c r="B144" s="231" t="str">
        <f>Suite&amp;" Electrical Room "&amp;SWOne</f>
        <v>G104 Electrical Room XXX</v>
      </c>
      <c r="C144" s="183" t="str">
        <f>"UPS "&amp;SWOne</f>
        <v>UPS XXX</v>
      </c>
      <c r="D144" s="252" t="str" cm="1">
        <f t="array" ref="D144">"By my signature below I certify that UPS-" &amp; SWOne &amp; " is ready to be returned to service."</f>
        <v>By my signature below I certify that UPS-XXX is ready to be returned to service.</v>
      </c>
      <c r="E144" s="183" t="s">
        <v>1529</v>
      </c>
      <c r="F144" s="193"/>
      <c r="G144" s="193"/>
      <c r="H144" s="135"/>
      <c r="I144" s="135"/>
      <c r="J144" s="135"/>
    </row>
    <row r="145" spans="1:10" customFormat="1" ht="37.5" x14ac:dyDescent="0.25">
      <c r="A145" s="200">
        <f t="shared" si="5"/>
        <v>116</v>
      </c>
      <c r="B145" s="231" t="str">
        <f>Suite&amp;" Electrical Room "&amp;SWOne</f>
        <v>G104 Electrical Room XXX</v>
      </c>
      <c r="C145" s="183" t="str">
        <f>"UPS "&amp;SWOne</f>
        <v>UPS XXX</v>
      </c>
      <c r="D145" s="184" t="s">
        <v>1586</v>
      </c>
      <c r="E145" s="183" t="s">
        <v>1529</v>
      </c>
      <c r="F145" s="193"/>
      <c r="G145" s="193"/>
      <c r="H145" s="135"/>
      <c r="I145" s="135"/>
      <c r="J145" s="135"/>
    </row>
    <row r="146" spans="1:10" customFormat="1" ht="37.5" x14ac:dyDescent="0.25">
      <c r="A146" s="200">
        <f t="shared" si="5"/>
        <v>117</v>
      </c>
      <c r="B146" s="231" t="str">
        <f>Suite&amp;" Electrical Room "&amp;SWOne</f>
        <v>G104 Electrical Room XXX</v>
      </c>
      <c r="C146" s="183" t="str">
        <f>"SW"&amp;SWOne</f>
        <v>SWXXX</v>
      </c>
      <c r="D146" s="186" t="str" cm="1">
        <f t="array" ref="D146">"Remove LOTO from breaker UPS-" &amp; SWOne &amp; "1."</f>
        <v>Remove LOTO from breaker UPS-XXX1.</v>
      </c>
      <c r="E146" s="183" t="s">
        <v>1464</v>
      </c>
      <c r="F146" s="193"/>
      <c r="G146" s="193"/>
      <c r="H146" s="135"/>
      <c r="I146" s="135"/>
      <c r="J146" s="135"/>
    </row>
    <row r="147" spans="1:10" customFormat="1" ht="37.5" x14ac:dyDescent="0.25">
      <c r="A147" s="200">
        <f t="shared" si="5"/>
        <v>118</v>
      </c>
      <c r="B147" s="231" t="str">
        <f>Suite&amp;" Electrical Room "&amp;SWOne</f>
        <v>G104 Electrical Room XXX</v>
      </c>
      <c r="C147" s="183" t="str">
        <f>"SW"&amp;SWOne</f>
        <v>SWXXX</v>
      </c>
      <c r="D147" s="186" t="s">
        <v>1518</v>
      </c>
      <c r="E147" s="183" t="s">
        <v>1464</v>
      </c>
      <c r="F147" s="193"/>
      <c r="G147" s="193"/>
      <c r="H147" s="135"/>
      <c r="I147" s="135"/>
      <c r="J147" s="135"/>
    </row>
    <row r="148" spans="1:10" customFormat="1" ht="37.5" x14ac:dyDescent="0.25">
      <c r="A148" s="200">
        <f t="shared" si="5"/>
        <v>119</v>
      </c>
      <c r="B148" s="231" t="str">
        <f>Suite&amp;" Electrical Room "&amp;SWOne</f>
        <v>G104 Electrical Room XXX</v>
      </c>
      <c r="C148" s="183" t="str">
        <f>"SW"&amp;SWOne</f>
        <v>SWXXX</v>
      </c>
      <c r="D148" s="186" t="str" cm="1">
        <f t="array" ref="D148">"CLOSE breaker UPS-" &amp; SWOne &amp; "1."</f>
        <v>CLOSE breaker UPS-XXX1.</v>
      </c>
      <c r="E148" s="183" t="s">
        <v>1464</v>
      </c>
      <c r="F148" s="193"/>
      <c r="G148" s="193"/>
      <c r="H148" s="135"/>
      <c r="I148" s="135"/>
      <c r="J148" s="135"/>
    </row>
    <row r="149" spans="1:10" customFormat="1" ht="37.5" x14ac:dyDescent="0.25">
      <c r="A149" s="200">
        <f t="shared" si="5"/>
        <v>120</v>
      </c>
      <c r="B149" s="231" t="str">
        <f>Suite&amp;" Electrical Room "&amp;SWOne</f>
        <v>G104 Electrical Room XXX</v>
      </c>
      <c r="C149" s="183" t="str">
        <f>"SW"&amp;SWOne</f>
        <v>SWXXX</v>
      </c>
      <c r="D149" s="186" t="str" cm="1">
        <f t="array" ref="D149">"Remove LOTO from breaker UPS-" &amp; SWOne &amp; "2."</f>
        <v>Remove LOTO from breaker UPS-XXX2.</v>
      </c>
      <c r="E149" s="183" t="s">
        <v>1464</v>
      </c>
      <c r="F149" s="193"/>
      <c r="G149" s="193"/>
      <c r="H149" s="135"/>
      <c r="I149" s="135"/>
      <c r="J149" s="135"/>
    </row>
    <row r="150" spans="1:10" customFormat="1" ht="37.5" x14ac:dyDescent="0.25">
      <c r="A150" s="200">
        <f t="shared" si="5"/>
        <v>121</v>
      </c>
      <c r="B150" s="231" t="str">
        <f>Suite&amp;" Electrical Room "&amp;SWOne</f>
        <v>G104 Electrical Room XXX</v>
      </c>
      <c r="C150" s="183" t="str">
        <f>"SW"&amp;SWOne</f>
        <v>SWXXX</v>
      </c>
      <c r="D150" s="186" t="s">
        <v>1518</v>
      </c>
      <c r="E150" s="183" t="s">
        <v>1464</v>
      </c>
      <c r="F150" s="193"/>
      <c r="G150" s="193"/>
      <c r="H150" s="135"/>
      <c r="I150" s="135"/>
      <c r="J150" s="135"/>
    </row>
    <row r="151" spans="1:10" customFormat="1" ht="37.5" x14ac:dyDescent="0.25">
      <c r="A151" s="200">
        <f t="shared" si="5"/>
        <v>122</v>
      </c>
      <c r="B151" s="231" t="str">
        <f>Suite&amp;" Electrical Room "&amp;SWOne</f>
        <v>G104 Electrical Room XXX</v>
      </c>
      <c r="C151" s="183" t="str">
        <f>"SW"&amp;SWOne</f>
        <v>SWXXX</v>
      </c>
      <c r="D151" s="186" t="str" cm="1">
        <f t="array" ref="D151">"CLOSE breaker UPS-" &amp; SWOne &amp; "2."</f>
        <v>CLOSE breaker UPS-XXX2.</v>
      </c>
      <c r="E151" s="183" t="s">
        <v>1464</v>
      </c>
      <c r="F151" s="193"/>
      <c r="G151" s="193"/>
      <c r="H151" s="135"/>
      <c r="I151" s="135"/>
      <c r="J151" s="135"/>
    </row>
    <row r="152" spans="1:10" customFormat="1" ht="56.25" x14ac:dyDescent="0.25">
      <c r="A152" s="200">
        <f t="shared" si="5"/>
        <v>123</v>
      </c>
      <c r="B152" s="231" t="str">
        <f>Suite&amp;" Electrical Room "&amp;SWOne</f>
        <v>G104 Electrical Room XXX</v>
      </c>
      <c r="C152" s="183" t="str">
        <f>"UPS "&amp;SWOne&amp;"1 &amp; "&amp;SWOne&amp;"2"</f>
        <v>UPS XXX1 &amp; XXX2</v>
      </c>
      <c r="D152" s="233" t="s">
        <v>1587</v>
      </c>
      <c r="E152" s="183" t="s">
        <v>1464</v>
      </c>
      <c r="F152" s="193"/>
      <c r="G152" s="193"/>
      <c r="H152" s="135"/>
      <c r="I152" s="135"/>
      <c r="J152" s="135"/>
    </row>
    <row r="153" spans="1:10" customFormat="1" ht="56.25" x14ac:dyDescent="0.25">
      <c r="A153" s="200">
        <f t="shared" si="5"/>
        <v>124</v>
      </c>
      <c r="B153" s="231" t="str">
        <f>Suite&amp;" Electrical Room "&amp;SWOne</f>
        <v>G104 Electrical Room XXX</v>
      </c>
      <c r="C153" s="183" t="str">
        <f>"UPS "&amp;SWOne&amp;"1 Battery Cabinets"</f>
        <v>UPS XXX1 Battery Cabinets</v>
      </c>
      <c r="D153" s="177" t="str" cm="1">
        <f t="array" ref="D153">"Remove LOTO from Battery Breaker Q7A at Cabinet " &amp; SWOne &amp; "1-1."</f>
        <v>Remove LOTO from Battery Breaker Q7A at Cabinet XXX1-1.</v>
      </c>
      <c r="E153" s="183" t="s">
        <v>1464</v>
      </c>
      <c r="F153" s="193"/>
      <c r="G153" s="193"/>
      <c r="H153" s="163" t="s">
        <v>1580</v>
      </c>
      <c r="I153" s="135"/>
      <c r="J153" s="135"/>
    </row>
    <row r="154" spans="1:10" customFormat="1" ht="56.25" x14ac:dyDescent="0.25">
      <c r="A154" s="200">
        <f t="shared" si="5"/>
        <v>125</v>
      </c>
      <c r="B154" s="231" t="str">
        <f>Suite&amp;" Electrical Room "&amp;SWOne</f>
        <v>G104 Electrical Room XXX</v>
      </c>
      <c r="C154" s="183" t="str">
        <f>"UPS "&amp;SWOne&amp;"1 Battery Cabinets"</f>
        <v>UPS XXX1 Battery Cabinets</v>
      </c>
      <c r="D154" s="186" t="s">
        <v>1518</v>
      </c>
      <c r="E154" s="183" t="s">
        <v>1464</v>
      </c>
      <c r="F154" s="193"/>
      <c r="G154" s="193"/>
      <c r="H154" s="163" t="s">
        <v>1580</v>
      </c>
      <c r="I154" s="135"/>
      <c r="J154" s="135"/>
    </row>
    <row r="155" spans="1:10" customFormat="1" ht="56.25" x14ac:dyDescent="0.25">
      <c r="A155" s="200">
        <f t="shared" si="5"/>
        <v>126</v>
      </c>
      <c r="B155" s="231" t="str">
        <f>Suite&amp;" Electrical Room "&amp;SWOne</f>
        <v>G104 Electrical Room XXX</v>
      </c>
      <c r="C155" s="183" t="str">
        <f>"UPS "&amp;SWOne&amp;"1 Battery Cabinets"</f>
        <v>UPS XXX1 Battery Cabinets</v>
      </c>
      <c r="D155" s="177" t="str" cm="1">
        <f t="array" ref="D155">"Remove LOTO from Battery Breaker Q7B at Cabinet " &amp; SWOne &amp; "1-2."</f>
        <v>Remove LOTO from Battery Breaker Q7B at Cabinet XXX1-2.</v>
      </c>
      <c r="E155" s="183" t="s">
        <v>1464</v>
      </c>
      <c r="F155" s="193"/>
      <c r="G155" s="193"/>
      <c r="H155" s="163" t="s">
        <v>1580</v>
      </c>
      <c r="I155" s="135"/>
      <c r="J155" s="135"/>
    </row>
    <row r="156" spans="1:10" customFormat="1" ht="56.25" x14ac:dyDescent="0.25">
      <c r="A156" s="200">
        <f t="shared" si="5"/>
        <v>127</v>
      </c>
      <c r="B156" s="231" t="str">
        <f>Suite&amp;" Electrical Room "&amp;SWOne</f>
        <v>G104 Electrical Room XXX</v>
      </c>
      <c r="C156" s="183" t="str">
        <f>"UPS "&amp;SWOne&amp;"1 Battery Cabinets"</f>
        <v>UPS XXX1 Battery Cabinets</v>
      </c>
      <c r="D156" s="186" t="s">
        <v>1518</v>
      </c>
      <c r="E156" s="183" t="s">
        <v>1464</v>
      </c>
      <c r="F156" s="193"/>
      <c r="G156" s="193"/>
      <c r="H156" s="163" t="s">
        <v>1580</v>
      </c>
      <c r="I156" s="135"/>
      <c r="J156" s="135"/>
    </row>
    <row r="157" spans="1:10" customFormat="1" ht="56.25" x14ac:dyDescent="0.25">
      <c r="A157" s="200">
        <f t="shared" si="5"/>
        <v>128</v>
      </c>
      <c r="B157" s="231" t="str">
        <f>Suite&amp;" Electrical Room "&amp;SWOne</f>
        <v>G104 Electrical Room XXX</v>
      </c>
      <c r="C157" s="183" t="str">
        <f>"UPS "&amp;SWOne&amp;"1 Battery Cabinets"</f>
        <v>UPS XXX1 Battery Cabinets</v>
      </c>
      <c r="D157" s="177" t="str" cm="1">
        <f t="array" ref="D157">"Remove LOTO from Battery Breaker Q8A at Cabinet " &amp; SWOne &amp; "1-3."</f>
        <v>Remove LOTO from Battery Breaker Q8A at Cabinet XXX1-3.</v>
      </c>
      <c r="E157" s="183" t="s">
        <v>1464</v>
      </c>
      <c r="F157" s="193"/>
      <c r="G157" s="193"/>
      <c r="H157" s="163" t="s">
        <v>1580</v>
      </c>
      <c r="I157" s="135"/>
      <c r="J157" s="135"/>
    </row>
    <row r="158" spans="1:10" customFormat="1" ht="56.25" x14ac:dyDescent="0.25">
      <c r="A158" s="200">
        <f t="shared" si="5"/>
        <v>129</v>
      </c>
      <c r="B158" s="231" t="str">
        <f>Suite&amp;" Electrical Room "&amp;SWOne</f>
        <v>G104 Electrical Room XXX</v>
      </c>
      <c r="C158" s="183" t="str">
        <f>"UPS "&amp;SWOne&amp;"1 Battery Cabinets"</f>
        <v>UPS XXX1 Battery Cabinets</v>
      </c>
      <c r="D158" s="186" t="s">
        <v>1518</v>
      </c>
      <c r="E158" s="183" t="s">
        <v>1464</v>
      </c>
      <c r="F158" s="193"/>
      <c r="G158" s="193"/>
      <c r="H158" s="163" t="s">
        <v>1580</v>
      </c>
      <c r="I158" s="135"/>
      <c r="J158" s="135"/>
    </row>
    <row r="159" spans="1:10" customFormat="1" ht="56.25" x14ac:dyDescent="0.25">
      <c r="A159" s="200">
        <f t="shared" si="5"/>
        <v>130</v>
      </c>
      <c r="B159" s="231" t="str">
        <f>Suite&amp;" Electrical Room "&amp;SWOne</f>
        <v>G104 Electrical Room XXX</v>
      </c>
      <c r="C159" s="183" t="str">
        <f>"UPS "&amp;SWOne&amp;"1 Battery Cabinets"</f>
        <v>UPS XXX1 Battery Cabinets</v>
      </c>
      <c r="D159" s="177" t="str" cm="1">
        <f t="array" ref="D159">"Remove LOTO from Battery Breaker Q8B at Cabinet " &amp; SWOne &amp; "1-4."</f>
        <v>Remove LOTO from Battery Breaker Q8B at Cabinet XXX1-4.</v>
      </c>
      <c r="E159" s="183" t="s">
        <v>1464</v>
      </c>
      <c r="F159" s="193"/>
      <c r="G159" s="193"/>
      <c r="H159" s="163" t="s">
        <v>1580</v>
      </c>
      <c r="I159" s="135"/>
      <c r="J159" s="135"/>
    </row>
    <row r="160" spans="1:10" customFormat="1" ht="56.25" x14ac:dyDescent="0.25">
      <c r="A160" s="200">
        <f t="shared" si="5"/>
        <v>131</v>
      </c>
      <c r="B160" s="231" t="str">
        <f>Suite&amp;" Electrical Room "&amp;SWOne</f>
        <v>G104 Electrical Room XXX</v>
      </c>
      <c r="C160" s="183" t="str">
        <f>"UPS "&amp;SWOne&amp;"1 Battery Cabinets"</f>
        <v>UPS XXX1 Battery Cabinets</v>
      </c>
      <c r="D160" s="186" t="s">
        <v>1518</v>
      </c>
      <c r="E160" s="183" t="s">
        <v>1464</v>
      </c>
      <c r="F160" s="193"/>
      <c r="G160" s="193"/>
      <c r="H160" s="163" t="s">
        <v>1580</v>
      </c>
      <c r="I160" s="135"/>
      <c r="J160" s="135"/>
    </row>
    <row r="161" spans="1:10" customFormat="1" ht="56.25" hidden="1" x14ac:dyDescent="0.25">
      <c r="A161" s="200">
        <f>A152+1</f>
        <v>124</v>
      </c>
      <c r="B161" s="231" t="str">
        <f>Suite&amp;" Electrical Room "&amp;SWOne</f>
        <v>G104 Electrical Room XXX</v>
      </c>
      <c r="C161" s="183" t="str">
        <f>"UPS "&amp;SWOne&amp;"1 Battery Cabinets"</f>
        <v>UPS XXX1 Battery Cabinets</v>
      </c>
      <c r="D161" s="177" t="str" cm="1">
        <f t="array" ref="D161">"Remove LOTO from Battery Breaker Q7A at Cabinet " &amp; SWOne &amp; "1-1."</f>
        <v>Remove LOTO from Battery Breaker Q7A at Cabinet XXX1-1.</v>
      </c>
      <c r="E161" s="183" t="s">
        <v>1464</v>
      </c>
      <c r="F161" s="193"/>
      <c r="G161" s="193"/>
      <c r="H161" s="163" t="s">
        <v>1581</v>
      </c>
      <c r="I161" s="135"/>
      <c r="J161" s="135"/>
    </row>
    <row r="162" spans="1:10" customFormat="1" ht="56.25" hidden="1" x14ac:dyDescent="0.25">
      <c r="A162" s="200">
        <f t="shared" ref="A162:A172" si="6">A161+1</f>
        <v>125</v>
      </c>
      <c r="B162" s="231" t="str">
        <f>Suite&amp;" Electrical Room "&amp;SWOne</f>
        <v>G104 Electrical Room XXX</v>
      </c>
      <c r="C162" s="183" t="str">
        <f>"UPS "&amp;SWOne&amp;"1 Battery Cabinets"</f>
        <v>UPS XXX1 Battery Cabinets</v>
      </c>
      <c r="D162" s="186" t="s">
        <v>1518</v>
      </c>
      <c r="E162" s="183" t="s">
        <v>1464</v>
      </c>
      <c r="F162" s="193"/>
      <c r="G162" s="193"/>
      <c r="H162" s="163" t="s">
        <v>1581</v>
      </c>
      <c r="I162" s="135"/>
      <c r="J162" s="135"/>
    </row>
    <row r="163" spans="1:10" customFormat="1" ht="56.25" hidden="1" x14ac:dyDescent="0.25">
      <c r="A163" s="200">
        <f t="shared" si="6"/>
        <v>126</v>
      </c>
      <c r="B163" s="231" t="str">
        <f>Suite&amp;" Electrical Room "&amp;SWOne</f>
        <v>G104 Electrical Room XXX</v>
      </c>
      <c r="C163" s="183" t="str">
        <f>"UPS "&amp;SWOne&amp;"1 Battery Cabinets"</f>
        <v>UPS XXX1 Battery Cabinets</v>
      </c>
      <c r="D163" s="177" t="str" cm="1">
        <f t="array" ref="D163">"Remove LOTO from Battery Breaker Q7B at Cabinet " &amp; SWOne &amp; "1-2."</f>
        <v>Remove LOTO from Battery Breaker Q7B at Cabinet XXX1-2.</v>
      </c>
      <c r="E163" s="183" t="s">
        <v>1464</v>
      </c>
      <c r="F163" s="193"/>
      <c r="G163" s="193"/>
      <c r="H163" s="163" t="s">
        <v>1581</v>
      </c>
      <c r="I163" s="135"/>
      <c r="J163" s="135"/>
    </row>
    <row r="164" spans="1:10" customFormat="1" ht="56.25" hidden="1" x14ac:dyDescent="0.25">
      <c r="A164" s="200">
        <f t="shared" si="6"/>
        <v>127</v>
      </c>
      <c r="B164" s="231" t="str">
        <f>Suite&amp;" Electrical Room "&amp;SWOne</f>
        <v>G104 Electrical Room XXX</v>
      </c>
      <c r="C164" s="183" t="str">
        <f>"UPS "&amp;SWOne&amp;"1 Battery Cabinets"</f>
        <v>UPS XXX1 Battery Cabinets</v>
      </c>
      <c r="D164" s="186" t="s">
        <v>1518</v>
      </c>
      <c r="E164" s="183" t="s">
        <v>1464</v>
      </c>
      <c r="F164" s="193"/>
      <c r="G164" s="193"/>
      <c r="H164" s="163" t="s">
        <v>1581</v>
      </c>
      <c r="I164" s="135"/>
      <c r="J164" s="135"/>
    </row>
    <row r="165" spans="1:10" customFormat="1" ht="56.25" hidden="1" x14ac:dyDescent="0.25">
      <c r="A165" s="200">
        <f t="shared" si="6"/>
        <v>128</v>
      </c>
      <c r="B165" s="231" t="str">
        <f>Suite&amp;" Electrical Room "&amp;SWOne</f>
        <v>G104 Electrical Room XXX</v>
      </c>
      <c r="C165" s="183" t="str">
        <f>"UPS "&amp;SWOne&amp;"1 Battery Cabinets"</f>
        <v>UPS XXX1 Battery Cabinets</v>
      </c>
      <c r="D165" s="177" t="str" cm="1">
        <f t="array" ref="D165">"Remove LOTO from Battery Breaker Q7C at Cabinet " &amp; SWOne &amp; "1-3."</f>
        <v>Remove LOTO from Battery Breaker Q7C at Cabinet XXX1-3.</v>
      </c>
      <c r="E165" s="183" t="s">
        <v>1464</v>
      </c>
      <c r="F165" s="193"/>
      <c r="G165" s="193"/>
      <c r="H165" s="163" t="s">
        <v>1581</v>
      </c>
      <c r="I165" s="135"/>
      <c r="J165" s="135"/>
    </row>
    <row r="166" spans="1:10" customFormat="1" ht="56.25" hidden="1" x14ac:dyDescent="0.25">
      <c r="A166" s="200">
        <f t="shared" si="6"/>
        <v>129</v>
      </c>
      <c r="B166" s="231" t="str">
        <f>Suite&amp;" Electrical Room "&amp;SWOne</f>
        <v>G104 Electrical Room XXX</v>
      </c>
      <c r="C166" s="183" t="str">
        <f>"UPS "&amp;SWOne&amp;"1 Battery Cabinets"</f>
        <v>UPS XXX1 Battery Cabinets</v>
      </c>
      <c r="D166" s="186" t="s">
        <v>1518</v>
      </c>
      <c r="E166" s="183" t="s">
        <v>1464</v>
      </c>
      <c r="F166" s="193"/>
      <c r="G166" s="193"/>
      <c r="H166" s="163" t="s">
        <v>1581</v>
      </c>
      <c r="I166" s="135"/>
      <c r="J166" s="135"/>
    </row>
    <row r="167" spans="1:10" customFormat="1" ht="56.25" hidden="1" x14ac:dyDescent="0.25">
      <c r="A167" s="200">
        <f t="shared" si="6"/>
        <v>130</v>
      </c>
      <c r="B167" s="231" t="str">
        <f>Suite&amp;" Electrical Room "&amp;SWOne</f>
        <v>G104 Electrical Room XXX</v>
      </c>
      <c r="C167" s="183" t="str">
        <f>"UPS "&amp;SWOne&amp;"1 Battery Cabinets"</f>
        <v>UPS XXX1 Battery Cabinets</v>
      </c>
      <c r="D167" s="177" t="str" cm="1">
        <f t="array" ref="D167">"Remove LOTO from Battery Breaker Q8A at Cabinet " &amp; SWOne &amp; "1-4."</f>
        <v>Remove LOTO from Battery Breaker Q8A at Cabinet XXX1-4.</v>
      </c>
      <c r="E167" s="183" t="s">
        <v>1464</v>
      </c>
      <c r="F167" s="193"/>
      <c r="G167" s="193"/>
      <c r="H167" s="163" t="s">
        <v>1581</v>
      </c>
      <c r="I167" s="135"/>
      <c r="J167" s="135"/>
    </row>
    <row r="168" spans="1:10" customFormat="1" ht="56.25" hidden="1" x14ac:dyDescent="0.25">
      <c r="A168" s="200">
        <f t="shared" si="6"/>
        <v>131</v>
      </c>
      <c r="B168" s="231" t="str">
        <f>Suite&amp;" Electrical Room "&amp;SWOne</f>
        <v>G104 Electrical Room XXX</v>
      </c>
      <c r="C168" s="183" t="str">
        <f>"UPS "&amp;SWOne&amp;"1 Battery Cabinets"</f>
        <v>UPS XXX1 Battery Cabinets</v>
      </c>
      <c r="D168" s="186" t="s">
        <v>1518</v>
      </c>
      <c r="E168" s="183" t="s">
        <v>1464</v>
      </c>
      <c r="F168" s="193"/>
      <c r="G168" s="193"/>
      <c r="H168" s="163" t="s">
        <v>1581</v>
      </c>
      <c r="I168" s="135"/>
      <c r="J168" s="135"/>
    </row>
    <row r="169" spans="1:10" customFormat="1" ht="56.25" hidden="1" x14ac:dyDescent="0.25">
      <c r="A169" s="200">
        <f t="shared" si="6"/>
        <v>132</v>
      </c>
      <c r="B169" s="231" t="str">
        <f>Suite&amp;" Electrical Room "&amp;SWOne</f>
        <v>G104 Electrical Room XXX</v>
      </c>
      <c r="C169" s="183" t="str">
        <f>"UPS "&amp;SWOne&amp;"1 Battery Cabinets"</f>
        <v>UPS XXX1 Battery Cabinets</v>
      </c>
      <c r="D169" s="177" t="str" cm="1">
        <f t="array" ref="D169">"Remove LOTO from Battery Breaker Q8B at Cabinet " &amp; SWOne &amp; "1-5."</f>
        <v>Remove LOTO from Battery Breaker Q8B at Cabinet XXX1-5.</v>
      </c>
      <c r="E169" s="183" t="s">
        <v>1464</v>
      </c>
      <c r="F169" s="193"/>
      <c r="G169" s="193"/>
      <c r="H169" s="163" t="s">
        <v>1581</v>
      </c>
      <c r="I169" s="135"/>
      <c r="J169" s="135"/>
    </row>
    <row r="170" spans="1:10" customFormat="1" ht="56.25" hidden="1" x14ac:dyDescent="0.25">
      <c r="A170" s="200">
        <f t="shared" si="6"/>
        <v>133</v>
      </c>
      <c r="B170" s="231" t="str">
        <f>Suite&amp;" Electrical Room "&amp;SWOne</f>
        <v>G104 Electrical Room XXX</v>
      </c>
      <c r="C170" s="183" t="str">
        <f>"UPS "&amp;SWOne&amp;"1 Battery Cabinets"</f>
        <v>UPS XXX1 Battery Cabinets</v>
      </c>
      <c r="D170" s="186" t="s">
        <v>1518</v>
      </c>
      <c r="E170" s="183" t="s">
        <v>1464</v>
      </c>
      <c r="F170" s="193"/>
      <c r="G170" s="193"/>
      <c r="H170" s="163" t="s">
        <v>1581</v>
      </c>
      <c r="I170" s="135"/>
      <c r="J170" s="135"/>
    </row>
    <row r="171" spans="1:10" customFormat="1" ht="56.25" hidden="1" x14ac:dyDescent="0.25">
      <c r="A171" s="200">
        <f t="shared" si="6"/>
        <v>134</v>
      </c>
      <c r="B171" s="231" t="str">
        <f>Suite&amp;" Electrical Room "&amp;SWOne</f>
        <v>G104 Electrical Room XXX</v>
      </c>
      <c r="C171" s="183" t="str">
        <f>"UPS "&amp;SWOne&amp;"1 Battery Cabinets"</f>
        <v>UPS XXX1 Battery Cabinets</v>
      </c>
      <c r="D171" s="177" t="str" cm="1">
        <f t="array" ref="D171">"Remove LOTO from Battery Breaker Q8C at Cabinet " &amp; SWOne &amp; "1-6."</f>
        <v>Remove LOTO from Battery Breaker Q8C at Cabinet XXX1-6.</v>
      </c>
      <c r="E171" s="183" t="s">
        <v>1464</v>
      </c>
      <c r="F171" s="193"/>
      <c r="G171" s="193"/>
      <c r="H171" s="163" t="s">
        <v>1581</v>
      </c>
      <c r="I171" s="135"/>
      <c r="J171" s="135"/>
    </row>
    <row r="172" spans="1:10" customFormat="1" ht="56.25" hidden="1" x14ac:dyDescent="0.25">
      <c r="A172" s="200">
        <f t="shared" si="6"/>
        <v>135</v>
      </c>
      <c r="B172" s="231" t="str">
        <f>Suite&amp;" Electrical Room "&amp;SWOne</f>
        <v>G104 Electrical Room XXX</v>
      </c>
      <c r="C172" s="183" t="str">
        <f>"UPS "&amp;SWOne&amp;"1 Battery Cabinets"</f>
        <v>UPS XXX1 Battery Cabinets</v>
      </c>
      <c r="D172" s="186" t="s">
        <v>1518</v>
      </c>
      <c r="E172" s="183" t="s">
        <v>1464</v>
      </c>
      <c r="F172" s="193"/>
      <c r="G172" s="193"/>
      <c r="H172" s="163" t="s">
        <v>1581</v>
      </c>
      <c r="I172" s="135"/>
      <c r="J172" s="135"/>
    </row>
    <row r="173" spans="1:10" customFormat="1" ht="56.25" x14ac:dyDescent="0.25">
      <c r="A173" s="200">
        <f>A160+1</f>
        <v>132</v>
      </c>
      <c r="B173" s="231" t="str">
        <f>Suite&amp;" Electrical Room "&amp;SWOne</f>
        <v>G104 Electrical Room XXX</v>
      </c>
      <c r="C173" s="183" t="str">
        <f>"UPS "&amp;SWOne&amp;"1 Battery Cabinets"</f>
        <v>UPS XXX1 Battery Cabinets</v>
      </c>
      <c r="D173" s="177" t="str" cm="1">
        <f t="array" ref="D173">"Remove LOTO from Battery Breaker Q7A at Cabinet " &amp; SWOne &amp; "2-1."</f>
        <v>Remove LOTO from Battery Breaker Q7A at Cabinet XXX2-1.</v>
      </c>
      <c r="E173" s="183" t="s">
        <v>1464</v>
      </c>
      <c r="F173" s="193"/>
      <c r="G173" s="193"/>
      <c r="H173" s="163" t="s">
        <v>1580</v>
      </c>
      <c r="I173" s="135"/>
      <c r="J173" s="135"/>
    </row>
    <row r="174" spans="1:10" customFormat="1" ht="56.25" x14ac:dyDescent="0.25">
      <c r="A174" s="200">
        <f t="shared" ref="A174:A180" si="7">A173+1</f>
        <v>133</v>
      </c>
      <c r="B174" s="231" t="str">
        <f>Suite&amp;" Electrical Room "&amp;SWOne</f>
        <v>G104 Electrical Room XXX</v>
      </c>
      <c r="C174" s="183" t="str">
        <f>"UPS "&amp;SWOne&amp;"1 Battery Cabinets"</f>
        <v>UPS XXX1 Battery Cabinets</v>
      </c>
      <c r="D174" s="186" t="s">
        <v>1518</v>
      </c>
      <c r="E174" s="183" t="s">
        <v>1464</v>
      </c>
      <c r="F174" s="193"/>
      <c r="G174" s="193"/>
      <c r="H174" s="163" t="s">
        <v>1580</v>
      </c>
      <c r="I174" s="135"/>
      <c r="J174" s="135"/>
    </row>
    <row r="175" spans="1:10" customFormat="1" ht="56.25" x14ac:dyDescent="0.25">
      <c r="A175" s="200">
        <f t="shared" si="7"/>
        <v>134</v>
      </c>
      <c r="B175" s="231" t="str">
        <f>Suite&amp;" Electrical Room "&amp;SWOne</f>
        <v>G104 Electrical Room XXX</v>
      </c>
      <c r="C175" s="183" t="str">
        <f>"UPS "&amp;SWOne&amp;"1 Battery Cabinets"</f>
        <v>UPS XXX1 Battery Cabinets</v>
      </c>
      <c r="D175" s="177" t="str" cm="1">
        <f t="array" ref="D175">"Remove LOTO from Battery Breaker Q7B at Cabinet " &amp; SWOne &amp; "2-2."</f>
        <v>Remove LOTO from Battery Breaker Q7B at Cabinet XXX2-2.</v>
      </c>
      <c r="E175" s="183" t="s">
        <v>1464</v>
      </c>
      <c r="F175" s="193"/>
      <c r="G175" s="193"/>
      <c r="H175" s="163" t="s">
        <v>1580</v>
      </c>
      <c r="I175" s="135"/>
      <c r="J175" s="135"/>
    </row>
    <row r="176" spans="1:10" customFormat="1" ht="56.25" x14ac:dyDescent="0.25">
      <c r="A176" s="200">
        <f t="shared" si="7"/>
        <v>135</v>
      </c>
      <c r="B176" s="231" t="str">
        <f>Suite&amp;" Electrical Room "&amp;SWOne</f>
        <v>G104 Electrical Room XXX</v>
      </c>
      <c r="C176" s="183" t="str">
        <f>"UPS "&amp;SWOne&amp;"1 Battery Cabinets"</f>
        <v>UPS XXX1 Battery Cabinets</v>
      </c>
      <c r="D176" s="186" t="s">
        <v>1518</v>
      </c>
      <c r="E176" s="183" t="s">
        <v>1464</v>
      </c>
      <c r="F176" s="193"/>
      <c r="G176" s="193"/>
      <c r="H176" s="163" t="s">
        <v>1580</v>
      </c>
      <c r="I176" s="135"/>
      <c r="J176" s="135"/>
    </row>
    <row r="177" spans="1:16" customFormat="1" ht="56.25" x14ac:dyDescent="0.25">
      <c r="A177" s="200">
        <f t="shared" si="7"/>
        <v>136</v>
      </c>
      <c r="B177" s="231" t="str">
        <f>Suite&amp;" Electrical Room "&amp;SWOne</f>
        <v>G104 Electrical Room XXX</v>
      </c>
      <c r="C177" s="183" t="str">
        <f>"UPS "&amp;SWOne&amp;"1 Battery Cabinets"</f>
        <v>UPS XXX1 Battery Cabinets</v>
      </c>
      <c r="D177" s="177" t="str" cm="1">
        <f t="array" ref="D177">"Remove LOTO from Battery Breaker Q8A at Cabinet " &amp; SWOne &amp; "2-3."</f>
        <v>Remove LOTO from Battery Breaker Q8A at Cabinet XXX2-3.</v>
      </c>
      <c r="E177" s="183" t="s">
        <v>1464</v>
      </c>
      <c r="F177" s="193"/>
      <c r="G177" s="193"/>
      <c r="H177" s="163" t="s">
        <v>1580</v>
      </c>
      <c r="I177" s="135"/>
      <c r="J177" s="135"/>
    </row>
    <row r="178" spans="1:16" customFormat="1" ht="56.25" x14ac:dyDescent="0.25">
      <c r="A178" s="200">
        <f t="shared" si="7"/>
        <v>137</v>
      </c>
      <c r="B178" s="231" t="str">
        <f>Suite&amp;" Electrical Room "&amp;SWOne</f>
        <v>G104 Electrical Room XXX</v>
      </c>
      <c r="C178" s="183" t="str">
        <f>"UPS "&amp;SWOne&amp;"1 Battery Cabinets"</f>
        <v>UPS XXX1 Battery Cabinets</v>
      </c>
      <c r="D178" s="186" t="s">
        <v>1518</v>
      </c>
      <c r="E178" s="183" t="s">
        <v>1464</v>
      </c>
      <c r="F178" s="193"/>
      <c r="G178" s="193"/>
      <c r="H178" s="163" t="s">
        <v>1580</v>
      </c>
      <c r="I178" s="135"/>
      <c r="J178" s="135"/>
    </row>
    <row r="179" spans="1:16" customFormat="1" ht="56.25" x14ac:dyDescent="0.25">
      <c r="A179" s="200">
        <f t="shared" si="7"/>
        <v>138</v>
      </c>
      <c r="B179" s="231" t="str">
        <f>Suite&amp;" Electrical Room "&amp;SWOne</f>
        <v>G104 Electrical Room XXX</v>
      </c>
      <c r="C179" s="183" t="str">
        <f>"UPS "&amp;SWOne&amp;"1 Battery Cabinets"</f>
        <v>UPS XXX1 Battery Cabinets</v>
      </c>
      <c r="D179" s="177" t="str" cm="1">
        <f t="array" ref="D179">"Remove LOTO from Battery Breaker Q8B at Cabinet " &amp; SWOne &amp; "2-4."</f>
        <v>Remove LOTO from Battery Breaker Q8B at Cabinet XXX2-4.</v>
      </c>
      <c r="E179" s="183" t="s">
        <v>1464</v>
      </c>
      <c r="F179" s="193"/>
      <c r="G179" s="193"/>
      <c r="H179" s="163" t="s">
        <v>1580</v>
      </c>
      <c r="I179" s="135"/>
      <c r="J179" s="135"/>
    </row>
    <row r="180" spans="1:16" customFormat="1" ht="56.25" x14ac:dyDescent="0.25">
      <c r="A180" s="200">
        <f t="shared" si="7"/>
        <v>139</v>
      </c>
      <c r="B180" s="231" t="str">
        <f>Suite&amp;" Electrical Room "&amp;SWOne</f>
        <v>G104 Electrical Room XXX</v>
      </c>
      <c r="C180" s="183" t="str">
        <f>"UPS "&amp;SWOne&amp;"1 Battery Cabinets"</f>
        <v>UPS XXX1 Battery Cabinets</v>
      </c>
      <c r="D180" s="186" t="s">
        <v>1518</v>
      </c>
      <c r="E180" s="183" t="s">
        <v>1464</v>
      </c>
      <c r="F180" s="193"/>
      <c r="G180" s="193"/>
      <c r="H180" s="163" t="s">
        <v>1580</v>
      </c>
      <c r="I180" s="135"/>
      <c r="J180" s="135"/>
    </row>
    <row r="181" spans="1:16" customFormat="1" ht="56.25" hidden="1" x14ac:dyDescent="0.25">
      <c r="A181" s="200">
        <f>A172+1</f>
        <v>136</v>
      </c>
      <c r="B181" s="231" t="str">
        <f>Suite&amp;" Electrical Room "&amp;SWOne</f>
        <v>G104 Electrical Room XXX</v>
      </c>
      <c r="C181" s="183" t="str">
        <f>"UPS "&amp;SWOne&amp;"1 Battery Cabinets"</f>
        <v>UPS XXX1 Battery Cabinets</v>
      </c>
      <c r="D181" s="177" t="str" cm="1">
        <f t="array" ref="D181">"Remove LOTO from Battery Breaker Q7A at Cabinet " &amp; SWOne &amp; "2-1."</f>
        <v>Remove LOTO from Battery Breaker Q7A at Cabinet XXX2-1.</v>
      </c>
      <c r="E181" s="183" t="s">
        <v>1464</v>
      </c>
      <c r="F181" s="193"/>
      <c r="G181" s="193"/>
      <c r="H181" s="163" t="s">
        <v>1581</v>
      </c>
      <c r="I181" s="135"/>
      <c r="J181" s="135"/>
    </row>
    <row r="182" spans="1:16" customFormat="1" ht="56.25" hidden="1" x14ac:dyDescent="0.25">
      <c r="A182" s="200">
        <f t="shared" ref="A182:A205" si="8">A181+1</f>
        <v>137</v>
      </c>
      <c r="B182" s="231" t="str">
        <f>Suite&amp;" Electrical Room "&amp;SWOne</f>
        <v>G104 Electrical Room XXX</v>
      </c>
      <c r="C182" s="183" t="str">
        <f>"UPS "&amp;SWOne&amp;"1 Battery Cabinets"</f>
        <v>UPS XXX1 Battery Cabinets</v>
      </c>
      <c r="D182" s="186" t="s">
        <v>1518</v>
      </c>
      <c r="E182" s="183" t="s">
        <v>1464</v>
      </c>
      <c r="F182" s="193"/>
      <c r="G182" s="193"/>
      <c r="H182" s="163" t="s">
        <v>1581</v>
      </c>
      <c r="I182" s="135"/>
      <c r="J182" s="135"/>
    </row>
    <row r="183" spans="1:16" customFormat="1" ht="56.25" hidden="1" x14ac:dyDescent="0.25">
      <c r="A183" s="200">
        <f t="shared" si="8"/>
        <v>138</v>
      </c>
      <c r="B183" s="231" t="str">
        <f>Suite&amp;" Electrical Room "&amp;SWOne</f>
        <v>G104 Electrical Room XXX</v>
      </c>
      <c r="C183" s="183" t="str">
        <f>"UPS "&amp;SWOne&amp;"1 Battery Cabinets"</f>
        <v>UPS XXX1 Battery Cabinets</v>
      </c>
      <c r="D183" s="177" t="str" cm="1">
        <f t="array" ref="D183">"Remove LOTO from Battery Breaker Q7B at Cabinet " &amp; SWOne &amp; "2-2."</f>
        <v>Remove LOTO from Battery Breaker Q7B at Cabinet XXX2-2.</v>
      </c>
      <c r="E183" s="183" t="s">
        <v>1464</v>
      </c>
      <c r="F183" s="193"/>
      <c r="G183" s="193"/>
      <c r="H183" s="163" t="s">
        <v>1581</v>
      </c>
      <c r="I183" s="135"/>
      <c r="J183" s="135"/>
    </row>
    <row r="184" spans="1:16" customFormat="1" ht="56.25" hidden="1" x14ac:dyDescent="0.25">
      <c r="A184" s="200">
        <f t="shared" si="8"/>
        <v>139</v>
      </c>
      <c r="B184" s="231" t="str">
        <f>Suite&amp;" Electrical Room "&amp;SWOne</f>
        <v>G104 Electrical Room XXX</v>
      </c>
      <c r="C184" s="183" t="str">
        <f>"UPS "&amp;SWOne&amp;"1 Battery Cabinets"</f>
        <v>UPS XXX1 Battery Cabinets</v>
      </c>
      <c r="D184" s="186" t="s">
        <v>1518</v>
      </c>
      <c r="E184" s="183" t="s">
        <v>1464</v>
      </c>
      <c r="F184" s="193"/>
      <c r="G184" s="193"/>
      <c r="H184" s="163" t="s">
        <v>1581</v>
      </c>
      <c r="I184" s="135"/>
      <c r="J184" s="135"/>
    </row>
    <row r="185" spans="1:16" customFormat="1" ht="56.25" hidden="1" x14ac:dyDescent="0.25">
      <c r="A185" s="200">
        <f t="shared" si="8"/>
        <v>140</v>
      </c>
      <c r="B185" s="231" t="str">
        <f>Suite&amp;" Electrical Room "&amp;SWOne</f>
        <v>G104 Electrical Room XXX</v>
      </c>
      <c r="C185" s="183" t="str">
        <f>"UPS "&amp;SWOne&amp;"1 Battery Cabinets"</f>
        <v>UPS XXX1 Battery Cabinets</v>
      </c>
      <c r="D185" s="177" t="str" cm="1">
        <f t="array" ref="D185">"Remove LOTO from Battery Breaker Q7C at Cabinet " &amp; SWOne &amp; "2-3."</f>
        <v>Remove LOTO from Battery Breaker Q7C at Cabinet XXX2-3.</v>
      </c>
      <c r="E185" s="183" t="s">
        <v>1464</v>
      </c>
      <c r="F185" s="193"/>
      <c r="G185" s="193"/>
      <c r="H185" s="163" t="s">
        <v>1581</v>
      </c>
      <c r="I185" s="135"/>
      <c r="J185" s="135"/>
    </row>
    <row r="186" spans="1:16" customFormat="1" ht="56.25" hidden="1" x14ac:dyDescent="0.25">
      <c r="A186" s="200">
        <f t="shared" si="8"/>
        <v>141</v>
      </c>
      <c r="B186" s="231" t="str">
        <f>Suite&amp;" Electrical Room "&amp;SWOne</f>
        <v>G104 Electrical Room XXX</v>
      </c>
      <c r="C186" s="183" t="str">
        <f>"UPS "&amp;SWOne&amp;"1 Battery Cabinets"</f>
        <v>UPS XXX1 Battery Cabinets</v>
      </c>
      <c r="D186" s="186" t="s">
        <v>1518</v>
      </c>
      <c r="E186" s="183" t="s">
        <v>1464</v>
      </c>
      <c r="F186" s="193"/>
      <c r="G186" s="193"/>
      <c r="H186" s="163" t="s">
        <v>1581</v>
      </c>
      <c r="I186" s="135"/>
      <c r="J186" s="135"/>
    </row>
    <row r="187" spans="1:16" customFormat="1" ht="56.25" hidden="1" x14ac:dyDescent="0.25">
      <c r="A187" s="200">
        <f t="shared" si="8"/>
        <v>142</v>
      </c>
      <c r="B187" s="231" t="str">
        <f>Suite&amp;" Electrical Room "&amp;SWOne</f>
        <v>G104 Electrical Room XXX</v>
      </c>
      <c r="C187" s="183" t="str">
        <f>"UPS "&amp;SWOne&amp;"1 Battery Cabinets"</f>
        <v>UPS XXX1 Battery Cabinets</v>
      </c>
      <c r="D187" s="177" t="str" cm="1">
        <f t="array" ref="D187">"Remove LOTO from Battery Breaker Q8A at Cabinet " &amp; SWOne &amp; "2-4."</f>
        <v>Remove LOTO from Battery Breaker Q8A at Cabinet XXX2-4.</v>
      </c>
      <c r="E187" s="183" t="s">
        <v>1464</v>
      </c>
      <c r="F187" s="193"/>
      <c r="G187" s="193"/>
      <c r="H187" s="163" t="s">
        <v>1581</v>
      </c>
      <c r="I187" s="135"/>
      <c r="J187" s="135"/>
      <c r="K187" s="4"/>
      <c r="L187" s="4"/>
      <c r="M187" s="4"/>
      <c r="N187" s="4"/>
      <c r="O187" s="4"/>
      <c r="P187" s="4"/>
    </row>
    <row r="188" spans="1:16" customFormat="1" ht="56.25" hidden="1" x14ac:dyDescent="0.25">
      <c r="A188" s="200">
        <f t="shared" si="8"/>
        <v>143</v>
      </c>
      <c r="B188" s="231" t="str">
        <f>Suite&amp;" Electrical Room "&amp;SWOne</f>
        <v>G104 Electrical Room XXX</v>
      </c>
      <c r="C188" s="183" t="str">
        <f>"UPS "&amp;SWOne&amp;"1 Battery Cabinets"</f>
        <v>UPS XXX1 Battery Cabinets</v>
      </c>
      <c r="D188" s="186" t="s">
        <v>1518</v>
      </c>
      <c r="E188" s="183" t="s">
        <v>1464</v>
      </c>
      <c r="F188" s="193"/>
      <c r="G188" s="193"/>
      <c r="H188" s="163" t="s">
        <v>1581</v>
      </c>
      <c r="I188" s="135"/>
      <c r="J188" s="135"/>
      <c r="K188" s="4"/>
      <c r="L188" s="4"/>
      <c r="M188" s="4"/>
      <c r="N188" s="4"/>
      <c r="O188" s="4"/>
      <c r="P188" s="4"/>
    </row>
    <row r="189" spans="1:16" customFormat="1" ht="56.25" hidden="1" x14ac:dyDescent="0.25">
      <c r="A189" s="200">
        <f t="shared" si="8"/>
        <v>144</v>
      </c>
      <c r="B189" s="231" t="str">
        <f>Suite&amp;" Electrical Room "&amp;SWOne</f>
        <v>G104 Electrical Room XXX</v>
      </c>
      <c r="C189" s="183" t="str">
        <f>"UPS "&amp;SWOne&amp;"1 Battery Cabinets"</f>
        <v>UPS XXX1 Battery Cabinets</v>
      </c>
      <c r="D189" s="177" t="str" cm="1">
        <f t="array" ref="D189">"Remove LOTO from Battery Breaker Q8B at Cabinet " &amp; SWOne &amp; "2-5."</f>
        <v>Remove LOTO from Battery Breaker Q8B at Cabinet XXX2-5.</v>
      </c>
      <c r="E189" s="183" t="s">
        <v>1464</v>
      </c>
      <c r="F189" s="193"/>
      <c r="G189" s="193"/>
      <c r="H189" s="163" t="s">
        <v>1581</v>
      </c>
      <c r="I189" s="135"/>
      <c r="J189" s="135"/>
    </row>
    <row r="190" spans="1:16" customFormat="1" ht="56.25" hidden="1" x14ac:dyDescent="0.25">
      <c r="A190" s="200">
        <f t="shared" si="8"/>
        <v>145</v>
      </c>
      <c r="B190" s="231" t="str">
        <f>Suite&amp;" Electrical Room "&amp;SWOne</f>
        <v>G104 Electrical Room XXX</v>
      </c>
      <c r="C190" s="183" t="str">
        <f>"UPS "&amp;SWOne&amp;"1 Battery Cabinets"</f>
        <v>UPS XXX1 Battery Cabinets</v>
      </c>
      <c r="D190" s="186" t="s">
        <v>1518</v>
      </c>
      <c r="E190" s="183" t="s">
        <v>1464</v>
      </c>
      <c r="F190" s="193"/>
      <c r="G190" s="193"/>
      <c r="H190" s="163" t="s">
        <v>1581</v>
      </c>
      <c r="I190" s="135"/>
      <c r="J190" s="135"/>
    </row>
    <row r="191" spans="1:16" customFormat="1" ht="56.25" hidden="1" x14ac:dyDescent="0.25">
      <c r="A191" s="200">
        <f t="shared" si="8"/>
        <v>146</v>
      </c>
      <c r="B191" s="231" t="str">
        <f>Suite&amp;" Electrical Room "&amp;SWOne</f>
        <v>G104 Electrical Room XXX</v>
      </c>
      <c r="C191" s="183" t="str">
        <f>"UPS "&amp;SWOne&amp;"1 Battery Cabinets"</f>
        <v>UPS XXX1 Battery Cabinets</v>
      </c>
      <c r="D191" s="177" t="str" cm="1">
        <f t="array" ref="D191">"Remove LOTO from Battery Breaker Q8C at Cabinet " &amp; SWOne &amp; "2-6."</f>
        <v>Remove LOTO from Battery Breaker Q8C at Cabinet XXX2-6.</v>
      </c>
      <c r="E191" s="183" t="s">
        <v>1464</v>
      </c>
      <c r="F191" s="193"/>
      <c r="G191" s="193"/>
      <c r="H191" s="163" t="s">
        <v>1581</v>
      </c>
      <c r="I191" s="135"/>
      <c r="J191" s="135"/>
    </row>
    <row r="192" spans="1:16" customFormat="1" ht="56.25" hidden="1" x14ac:dyDescent="0.25">
      <c r="A192" s="200">
        <f t="shared" si="8"/>
        <v>147</v>
      </c>
      <c r="B192" s="231" t="str">
        <f>Suite&amp;" Electrical Room "&amp;SWOne</f>
        <v>G104 Electrical Room XXX</v>
      </c>
      <c r="C192" s="183" t="str">
        <f>"UPS "&amp;SWOne&amp;"1 Battery Cabinets"</f>
        <v>UPS XXX1 Battery Cabinets</v>
      </c>
      <c r="D192" s="186" t="s">
        <v>1518</v>
      </c>
      <c r="E192" s="183" t="s">
        <v>1464</v>
      </c>
      <c r="F192" s="193"/>
      <c r="G192" s="193"/>
      <c r="H192" s="163" t="s">
        <v>1581</v>
      </c>
      <c r="I192" s="135"/>
      <c r="J192" s="135"/>
    </row>
    <row r="193" spans="1:10" customFormat="1" ht="37.5" x14ac:dyDescent="0.25">
      <c r="A193" s="200">
        <f>IF(NumberOfICDs=4, A180+1, A192+1)</f>
        <v>148</v>
      </c>
      <c r="B193" s="231" t="str">
        <f>Suite&amp;" Electrical Room "&amp;SWOne</f>
        <v>G104 Electrical Room XXX</v>
      </c>
      <c r="C193" s="183" t="s">
        <v>1566</v>
      </c>
      <c r="D193" s="233" t="s">
        <v>1588</v>
      </c>
      <c r="E193" s="183" t="s">
        <v>1464</v>
      </c>
      <c r="F193" s="193"/>
      <c r="G193" s="193"/>
      <c r="H193" s="135"/>
      <c r="I193" s="135"/>
      <c r="J193" s="135"/>
    </row>
    <row r="194" spans="1:10" customFormat="1" ht="37.5" x14ac:dyDescent="0.25">
      <c r="A194" s="200">
        <f t="shared" si="8"/>
        <v>149</v>
      </c>
      <c r="B194" s="231" t="str">
        <f>Suite&amp;" Electrical Room "&amp;SWOne</f>
        <v>G104 Electrical Room XXX</v>
      </c>
      <c r="C194" s="183" t="str">
        <f>"UPS "&amp;SWOne&amp;"1"</f>
        <v>UPS XXX1</v>
      </c>
      <c r="D194" s="233" t="str" cm="1">
        <f t="array" ref="D194">"TOUCH the UPS-" &amp; SWOne &amp; "1 module graphic on the UPS display."</f>
        <v>TOUCH the UPS-XXX1 module graphic on the UPS display.</v>
      </c>
      <c r="E194" s="183" t="s">
        <v>1464</v>
      </c>
      <c r="F194" s="193"/>
      <c r="G194" s="193"/>
      <c r="H194" s="135"/>
      <c r="I194" s="135"/>
      <c r="J194" s="135"/>
    </row>
    <row r="195" spans="1:10" customFormat="1" ht="37.5" x14ac:dyDescent="0.25">
      <c r="A195" s="200">
        <f t="shared" si="8"/>
        <v>150</v>
      </c>
      <c r="B195" s="231" t="str">
        <f>Suite&amp;" Electrical Room "&amp;SWOne</f>
        <v>G104 Electrical Room XXX</v>
      </c>
      <c r="C195" s="183" t="str">
        <f>"UPS "&amp;SWOne&amp;"1"</f>
        <v>UPS XXX1</v>
      </c>
      <c r="D195" s="233" t="s">
        <v>1560</v>
      </c>
      <c r="E195" s="183" t="s">
        <v>1464</v>
      </c>
      <c r="F195" s="193"/>
      <c r="G195" s="193"/>
      <c r="H195" s="135"/>
      <c r="I195" s="135"/>
      <c r="J195" s="135"/>
    </row>
    <row r="196" spans="1:10" customFormat="1" ht="37.5" x14ac:dyDescent="0.25">
      <c r="A196" s="200">
        <f t="shared" si="8"/>
        <v>151</v>
      </c>
      <c r="B196" s="231" t="str">
        <f>Suite&amp;" Electrical Room "&amp;SWOne</f>
        <v>G104 Electrical Room XXX</v>
      </c>
      <c r="C196" s="183" t="str">
        <f>"UPS "&amp;SWOne&amp;"1"</f>
        <v>UPS XXX1</v>
      </c>
      <c r="D196" s="233" t="s">
        <v>1589</v>
      </c>
      <c r="E196" s="183" t="s">
        <v>1464</v>
      </c>
      <c r="F196" s="193"/>
      <c r="G196" s="193"/>
      <c r="H196" s="135"/>
      <c r="I196" s="135"/>
      <c r="J196" s="135"/>
    </row>
    <row r="197" spans="1:10" customFormat="1" ht="37.5" x14ac:dyDescent="0.25">
      <c r="A197" s="200">
        <f t="shared" si="8"/>
        <v>152</v>
      </c>
      <c r="B197" s="231" t="str">
        <f>Suite&amp;" Electrical Room "&amp;SWOne</f>
        <v>G104 Electrical Room XXX</v>
      </c>
      <c r="C197" s="183" t="str">
        <f>"UPS "&amp;SWOne&amp;"1"</f>
        <v>UPS XXX1</v>
      </c>
      <c r="D197" s="233" t="s">
        <v>1562</v>
      </c>
      <c r="E197" s="183" t="s">
        <v>1464</v>
      </c>
      <c r="F197" s="193"/>
      <c r="G197" s="193"/>
      <c r="H197" s="135"/>
      <c r="I197" s="135"/>
      <c r="J197" s="135"/>
    </row>
    <row r="198" spans="1:10" customFormat="1" ht="37.5" x14ac:dyDescent="0.25">
      <c r="A198" s="200">
        <f t="shared" si="8"/>
        <v>153</v>
      </c>
      <c r="B198" s="231" t="str">
        <f>Suite&amp;" Electrical Room "&amp;SWOne</f>
        <v>G104 Electrical Room XXX</v>
      </c>
      <c r="C198" s="183" t="str">
        <f>"UPS "&amp;SWOne&amp;"1"</f>
        <v>UPS XXX1</v>
      </c>
      <c r="D198" s="233" t="s">
        <v>1563</v>
      </c>
      <c r="E198" s="183" t="s">
        <v>1464</v>
      </c>
      <c r="F198" s="193"/>
      <c r="G198" s="193"/>
      <c r="H198" s="135"/>
      <c r="I198" s="135"/>
      <c r="J198" s="135"/>
    </row>
    <row r="199" spans="1:10" customFormat="1" ht="37.5" x14ac:dyDescent="0.25">
      <c r="A199" s="200">
        <f t="shared" si="8"/>
        <v>154</v>
      </c>
      <c r="B199" s="231" t="str">
        <f>Suite&amp;" Electrical Room "&amp;SWOne</f>
        <v>G104 Electrical Room XXX</v>
      </c>
      <c r="C199" s="183" t="str">
        <f>"UPS "&amp;SWOne&amp;"1"</f>
        <v>UPS XXX1</v>
      </c>
      <c r="D199" s="233" t="s">
        <v>1564</v>
      </c>
      <c r="E199" s="183" t="s">
        <v>1464</v>
      </c>
      <c r="F199" s="193"/>
      <c r="G199" s="193"/>
      <c r="H199" s="135"/>
      <c r="I199" s="135"/>
      <c r="J199" s="135"/>
    </row>
    <row r="200" spans="1:10" customFormat="1" ht="168.75" x14ac:dyDescent="0.25">
      <c r="A200" s="200">
        <f t="shared" si="8"/>
        <v>155</v>
      </c>
      <c r="B200" s="231" t="str">
        <f>Suite&amp;" Electrical Room "&amp;SWOne</f>
        <v>G104 Electrical Room XXX</v>
      </c>
      <c r="C200" s="183" t="str">
        <f>"UPS "&amp;SWOne&amp;"1 Battery Cabinets"</f>
        <v>UPS XXX1 Battery Cabinets</v>
      </c>
      <c r="D200" s="233" t="s">
        <v>1590</v>
      </c>
      <c r="E200" s="183" t="s">
        <v>1464</v>
      </c>
      <c r="F200" s="193"/>
      <c r="G200" s="193"/>
      <c r="H200" s="163" t="s">
        <v>1591</v>
      </c>
      <c r="I200" s="135"/>
      <c r="J200" s="135"/>
    </row>
    <row r="201" spans="1:10" customFormat="1" ht="187.5" hidden="1" x14ac:dyDescent="0.25">
      <c r="A201" s="200">
        <f>A199+1</f>
        <v>155</v>
      </c>
      <c r="B201" s="231" t="str">
        <f>Suite&amp;" Electrical Room "&amp;SWOne</f>
        <v>G104 Electrical Room XXX</v>
      </c>
      <c r="C201" s="183" t="str">
        <f>"UPS "&amp;SWOne&amp;"1 Battery Cabinets"</f>
        <v>UPS XXX1 Battery Cabinets</v>
      </c>
      <c r="D201" s="233" t="s">
        <v>1592</v>
      </c>
      <c r="E201" s="183" t="s">
        <v>1464</v>
      </c>
      <c r="F201" s="193"/>
      <c r="G201" s="193"/>
      <c r="H201" s="163" t="s">
        <v>1593</v>
      </c>
      <c r="I201" s="135"/>
      <c r="J201" s="135"/>
    </row>
    <row r="202" spans="1:10" customFormat="1" ht="37.5" x14ac:dyDescent="0.25">
      <c r="A202" s="200">
        <f t="shared" si="8"/>
        <v>156</v>
      </c>
      <c r="B202" s="231" t="str">
        <f>Suite&amp;" Electrical Room "&amp;SWOne</f>
        <v>G104 Electrical Room XXX</v>
      </c>
      <c r="C202" s="183" t="str">
        <f>"UPS "&amp;SWOne&amp;"1"</f>
        <v>UPS XXX1</v>
      </c>
      <c r="D202" s="233" t="s">
        <v>1594</v>
      </c>
      <c r="E202" s="183" t="s">
        <v>1464</v>
      </c>
      <c r="F202" s="193"/>
      <c r="G202" s="193"/>
      <c r="H202" s="163"/>
      <c r="I202" s="135"/>
      <c r="J202" s="135"/>
    </row>
    <row r="203" spans="1:10" customFormat="1" ht="56.25" x14ac:dyDescent="0.25">
      <c r="A203" s="200">
        <f t="shared" si="8"/>
        <v>157</v>
      </c>
      <c r="B203" s="231" t="str">
        <f>Suite&amp;" Electrical Room "&amp;SWOne</f>
        <v>G104 Electrical Room XXX</v>
      </c>
      <c r="C203" s="183" t="str">
        <f>"UPS "&amp;SWOne&amp;"1 Battery Cabinets"</f>
        <v>UPS XXX1 Battery Cabinets</v>
      </c>
      <c r="D203" s="233" t="s">
        <v>1595</v>
      </c>
      <c r="E203" s="183" t="s">
        <v>1464</v>
      </c>
      <c r="F203" s="193"/>
      <c r="G203" s="193"/>
      <c r="H203" s="163"/>
      <c r="I203" s="135"/>
      <c r="J203" s="135"/>
    </row>
    <row r="204" spans="1:10" customFormat="1" ht="56.25" hidden="1" x14ac:dyDescent="0.25">
      <c r="A204" s="200">
        <f t="shared" si="8"/>
        <v>158</v>
      </c>
      <c r="B204" s="231" t="str">
        <f>Suite&amp;" Electrical Room "&amp;SWOne</f>
        <v>G104 Electrical Room XXX</v>
      </c>
      <c r="C204" s="183" t="str">
        <f>"UPS "&amp;SWOne&amp;"1 Battery Cabinets"</f>
        <v>UPS XXX1 Battery Cabinets</v>
      </c>
      <c r="D204" s="233" t="s">
        <v>1596</v>
      </c>
      <c r="E204" s="183" t="s">
        <v>1464</v>
      </c>
      <c r="F204" s="193"/>
      <c r="G204" s="193"/>
      <c r="H204" s="163" t="s">
        <v>1593</v>
      </c>
      <c r="I204" s="135"/>
      <c r="J204" s="135"/>
    </row>
    <row r="205" spans="1:10" customFormat="1" ht="56.25" hidden="1" x14ac:dyDescent="0.25">
      <c r="A205" s="200">
        <f t="shared" si="8"/>
        <v>159</v>
      </c>
      <c r="B205" s="231" t="str">
        <f>Suite&amp;" Electrical Room "&amp;SWOne</f>
        <v>G104 Electrical Room XXX</v>
      </c>
      <c r="C205" s="183" t="str">
        <f>"UPS "&amp;SWOne&amp;"1 Battery Cabinets"</f>
        <v>UPS XXX1 Battery Cabinets</v>
      </c>
      <c r="D205" s="186" t="s">
        <v>1597</v>
      </c>
      <c r="E205" s="183" t="s">
        <v>1464</v>
      </c>
      <c r="F205" s="193"/>
      <c r="G205" s="193"/>
      <c r="H205" s="163" t="s">
        <v>1593</v>
      </c>
      <c r="I205" s="135"/>
      <c r="J205" s="135"/>
    </row>
    <row r="206" spans="1:10" customFormat="1" ht="56.25" x14ac:dyDescent="0.25">
      <c r="A206" s="200" cm="1">
        <f t="array" ref="A206">IF(AND(Suite="H206", SWOne="D"), A205+1, A203+1)</f>
        <v>158</v>
      </c>
      <c r="B206" s="231" t="str">
        <f>Suite&amp;" Electrical Room "&amp;SWOne</f>
        <v>G104 Electrical Room XXX</v>
      </c>
      <c r="C206" s="183" t="str">
        <f>"UPS "&amp;SWOne&amp;"1 Battery Cabinets"</f>
        <v>UPS XXX1 Battery Cabinets</v>
      </c>
      <c r="D206" s="233" t="str" cm="1">
        <f t="array" ref="D206">"Close Battery Breaker Q8B at Cabinet " &amp; SWOne &amp; "1-4."</f>
        <v>Close Battery Breaker Q8B at Cabinet XXX1-4.</v>
      </c>
      <c r="E206" s="183" t="s">
        <v>1464</v>
      </c>
      <c r="F206" s="193"/>
      <c r="G206" s="193"/>
      <c r="H206" s="163" t="s">
        <v>1580</v>
      </c>
      <c r="I206" s="135"/>
      <c r="J206" s="135"/>
    </row>
    <row r="207" spans="1:10" customFormat="1" ht="56.25" x14ac:dyDescent="0.25">
      <c r="A207" s="200">
        <f t="shared" ref="A207:A209" si="9">A206+1</f>
        <v>159</v>
      </c>
      <c r="B207" s="231" t="str">
        <f>Suite&amp;" Electrical Room "&amp;SWOne</f>
        <v>G104 Electrical Room XXX</v>
      </c>
      <c r="C207" s="183" t="str">
        <f>"UPS "&amp;SWOne&amp;"1 Battery Cabinets"</f>
        <v>UPS XXX1 Battery Cabinets</v>
      </c>
      <c r="D207" s="233" t="str" cm="1">
        <f t="array" ref="D207">"Close Battery Breaker Q7B at Cabinet " &amp; SWOne &amp; "1-2."</f>
        <v>Close Battery Breaker Q7B at Cabinet XXX1-2.</v>
      </c>
      <c r="E207" s="183" t="s">
        <v>1464</v>
      </c>
      <c r="F207" s="193"/>
      <c r="G207" s="193"/>
      <c r="H207" s="163" t="s">
        <v>1580</v>
      </c>
      <c r="I207" s="135"/>
      <c r="J207" s="164"/>
    </row>
    <row r="208" spans="1:10" customFormat="1" ht="56.25" x14ac:dyDescent="0.25">
      <c r="A208" s="200">
        <f t="shared" si="9"/>
        <v>160</v>
      </c>
      <c r="B208" s="231" t="str">
        <f>Suite&amp;" Electrical Room "&amp;SWOne</f>
        <v>G104 Electrical Room XXX</v>
      </c>
      <c r="C208" s="183" t="str">
        <f>"UPS "&amp;SWOne&amp;"1 Battery Cabinets"</f>
        <v>UPS XXX1 Battery Cabinets</v>
      </c>
      <c r="D208" s="233" t="str" cm="1">
        <f t="array" ref="D208">"Close Battery Breaker Q7A at Cabinet " &amp; SWOne &amp; "1-1."</f>
        <v>Close Battery Breaker Q7A at Cabinet XXX1-1.</v>
      </c>
      <c r="E208" s="183" t="s">
        <v>1464</v>
      </c>
      <c r="F208" s="193"/>
      <c r="G208" s="193"/>
      <c r="H208" s="163" t="s">
        <v>1580</v>
      </c>
      <c r="I208" s="135"/>
      <c r="J208" s="164"/>
    </row>
    <row r="209" spans="1:16" customFormat="1" ht="56.25" x14ac:dyDescent="0.25">
      <c r="A209" s="200">
        <f t="shared" si="9"/>
        <v>161</v>
      </c>
      <c r="B209" s="231" t="str">
        <f>Suite&amp;" Electrical Room "&amp;SWOne</f>
        <v>G104 Electrical Room XXX</v>
      </c>
      <c r="C209" s="183" t="str">
        <f>"UPS "&amp;SWOne&amp;"1 Battery Cabinets"</f>
        <v>UPS XXX1 Battery Cabinets</v>
      </c>
      <c r="D209" s="233" t="str" cm="1">
        <f t="array" ref="D209">"Close Battery Breaker Q8A at Cabinet " &amp; SWOne &amp; "1-3."</f>
        <v>Close Battery Breaker Q8A at Cabinet XXX1-3.</v>
      </c>
      <c r="E209" s="183" t="s">
        <v>1464</v>
      </c>
      <c r="F209" s="193"/>
      <c r="G209" s="193"/>
      <c r="H209" s="163" t="s">
        <v>1580</v>
      </c>
      <c r="I209" s="135"/>
      <c r="J209" s="135"/>
    </row>
    <row r="210" spans="1:16" customFormat="1" ht="56.25" hidden="1" x14ac:dyDescent="0.25">
      <c r="A210" s="200" cm="1">
        <f t="array" ref="A210">IF(AND(Suite="H206", SWOne="D"), A205+1, A203+1)</f>
        <v>158</v>
      </c>
      <c r="B210" s="231" t="str">
        <f>Suite&amp;" Electrical Room "&amp;SWOne</f>
        <v>G104 Electrical Room XXX</v>
      </c>
      <c r="C210" s="183" t="str">
        <f>"UPS "&amp;SWOne&amp;"1 Battery Cabinets"</f>
        <v>UPS XXX1 Battery Cabinets</v>
      </c>
      <c r="D210" s="186" t="str" cm="1">
        <f t="array" ref="D210">"Close Battery Breaker Q7C at Cabinet " &amp; SWOne &amp; "1-3."</f>
        <v>Close Battery Breaker Q7C at Cabinet XXX1-3.</v>
      </c>
      <c r="E210" s="183" t="s">
        <v>1464</v>
      </c>
      <c r="F210" s="193"/>
      <c r="G210" s="193"/>
      <c r="H210" s="163" t="s">
        <v>1581</v>
      </c>
      <c r="I210" s="135"/>
      <c r="J210" s="135"/>
    </row>
    <row r="211" spans="1:16" customFormat="1" ht="56.25" hidden="1" x14ac:dyDescent="0.25">
      <c r="A211" s="200">
        <f t="shared" ref="A211:A215" si="10">A210+1</f>
        <v>159</v>
      </c>
      <c r="B211" s="231" t="str">
        <f>Suite&amp;" Electrical Room "&amp;SWOne</f>
        <v>G104 Electrical Room XXX</v>
      </c>
      <c r="C211" s="183" t="str">
        <f>"UPS "&amp;SWOne&amp;"1 Battery Cabinets"</f>
        <v>UPS XXX1 Battery Cabinets</v>
      </c>
      <c r="D211" s="186" t="str" cm="1">
        <f t="array" ref="D211">"Close Battery Breaker Q8A at Cabinet " &amp; SWOne &amp; "1-4."</f>
        <v>Close Battery Breaker Q8A at Cabinet XXX1-4.</v>
      </c>
      <c r="E211" s="183" t="s">
        <v>1464</v>
      </c>
      <c r="F211" s="193"/>
      <c r="G211" s="193"/>
      <c r="H211" s="163" t="s">
        <v>1581</v>
      </c>
      <c r="I211" s="135"/>
      <c r="J211" s="135"/>
    </row>
    <row r="212" spans="1:16" customFormat="1" ht="56.25" hidden="1" x14ac:dyDescent="0.25">
      <c r="A212" s="200">
        <f t="shared" si="10"/>
        <v>160</v>
      </c>
      <c r="B212" s="231" t="str">
        <f>Suite&amp;" Electrical Room "&amp;SWOne</f>
        <v>G104 Electrical Room XXX</v>
      </c>
      <c r="C212" s="183" t="str">
        <f>"UPS "&amp;SWOne&amp;"1 Battery Cabinets"</f>
        <v>UPS XXX1 Battery Cabinets</v>
      </c>
      <c r="D212" s="186" t="str" cm="1">
        <f t="array" ref="D212">"Close Battery Breaker Q8B at Cabinet " &amp; SWOne &amp; "1-5."</f>
        <v>Close Battery Breaker Q8B at Cabinet XXX1-5.</v>
      </c>
      <c r="E212" s="183" t="s">
        <v>1464</v>
      </c>
      <c r="F212" s="193"/>
      <c r="G212" s="193"/>
      <c r="H212" s="163" t="s">
        <v>1581</v>
      </c>
      <c r="I212" s="135"/>
      <c r="J212" s="135"/>
      <c r="K212" s="4"/>
      <c r="L212" s="4"/>
      <c r="M212" s="4"/>
      <c r="N212" s="4"/>
      <c r="O212" s="4"/>
      <c r="P212" s="4"/>
    </row>
    <row r="213" spans="1:16" customFormat="1" ht="56.25" hidden="1" x14ac:dyDescent="0.25">
      <c r="A213" s="200">
        <f t="shared" si="10"/>
        <v>161</v>
      </c>
      <c r="B213" s="231" t="str">
        <f>Suite&amp;" Electrical Room "&amp;SWOne</f>
        <v>G104 Electrical Room XXX</v>
      </c>
      <c r="C213" s="183" t="str">
        <f>"UPS "&amp;SWOne&amp;"1 Battery Cabinets"</f>
        <v>UPS XXX1 Battery Cabinets</v>
      </c>
      <c r="D213" s="186" t="str" cm="1">
        <f t="array" ref="D213">"Close Battery Breaker Q8C at Cabinet " &amp; SWOne &amp; "1-6."</f>
        <v>Close Battery Breaker Q8C at Cabinet XXX1-6.</v>
      </c>
      <c r="E213" s="183" t="s">
        <v>1464</v>
      </c>
      <c r="F213" s="193"/>
      <c r="G213" s="193"/>
      <c r="H213" s="163" t="s">
        <v>1581</v>
      </c>
      <c r="I213" s="135"/>
      <c r="J213" s="135"/>
      <c r="K213" s="4"/>
      <c r="L213" s="4"/>
      <c r="M213" s="4"/>
      <c r="N213" s="4"/>
      <c r="O213" s="4"/>
      <c r="P213" s="4"/>
    </row>
    <row r="214" spans="1:16" customFormat="1" ht="56.25" hidden="1" x14ac:dyDescent="0.25">
      <c r="A214" s="200">
        <f t="shared" si="10"/>
        <v>162</v>
      </c>
      <c r="B214" s="231" t="str">
        <f>Suite&amp;" Electrical Room "&amp;SWOne</f>
        <v>G104 Electrical Room XXX</v>
      </c>
      <c r="C214" s="183" t="str">
        <f>"UPS "&amp;SWOne&amp;"1 Battery Cabinets"</f>
        <v>UPS XXX1 Battery Cabinets</v>
      </c>
      <c r="D214" s="186" t="str" cm="1">
        <f t="array" ref="D214">"Close Battery Breaker Q7A at Cabinet " &amp; SWOne &amp; "1-1."</f>
        <v>Close Battery Breaker Q7A at Cabinet XXX1-1.</v>
      </c>
      <c r="E214" s="183" t="s">
        <v>1464</v>
      </c>
      <c r="F214" s="193"/>
      <c r="G214" s="193"/>
      <c r="H214" s="163" t="s">
        <v>1581</v>
      </c>
      <c r="I214" s="135"/>
      <c r="J214" s="135"/>
    </row>
    <row r="215" spans="1:16" customFormat="1" ht="56.25" hidden="1" x14ac:dyDescent="0.25">
      <c r="A215" s="200">
        <f t="shared" si="10"/>
        <v>163</v>
      </c>
      <c r="B215" s="231" t="str">
        <f>Suite&amp;" Electrical Room "&amp;SWOne</f>
        <v>G104 Electrical Room XXX</v>
      </c>
      <c r="C215" s="183" t="str">
        <f>"UPS "&amp;SWOne&amp;"1 Battery Cabinets"</f>
        <v>UPS XXX1 Battery Cabinets</v>
      </c>
      <c r="D215" s="186" t="str" cm="1">
        <f t="array" ref="D215">"Close Battery Breaker Q7B at Cabinet " &amp; SWOne &amp; "1-2."</f>
        <v>Close Battery Breaker Q7B at Cabinet XXX1-2.</v>
      </c>
      <c r="E215" s="183" t="s">
        <v>1464</v>
      </c>
      <c r="F215" s="193"/>
      <c r="G215" s="193"/>
      <c r="H215" s="163" t="s">
        <v>1581</v>
      </c>
      <c r="I215" s="135"/>
      <c r="J215" s="135"/>
    </row>
    <row r="216" spans="1:16" customFormat="1" ht="37.5" x14ac:dyDescent="0.25">
      <c r="A216" s="200">
        <f>IF(NumberOfICDs=4, A209+1, A215+1)</f>
        <v>164</v>
      </c>
      <c r="B216" s="231" t="str">
        <f>Suite&amp;" Electrical Room "&amp;SWOne</f>
        <v>G104 Electrical Room XXX</v>
      </c>
      <c r="C216" s="183" t="str">
        <f>"UP"&amp;SWOne</f>
        <v>UPXXX</v>
      </c>
      <c r="D216" s="177" t="str" cm="1">
        <f t="array" ref="D216">"Remove LOTO from breaker DP-" &amp; SWOne &amp; "1."</f>
        <v>Remove LOTO from breaker DP-XXX1.</v>
      </c>
      <c r="E216" s="183" t="s">
        <v>1464</v>
      </c>
      <c r="F216" s="193"/>
      <c r="G216" s="193"/>
      <c r="H216" s="135"/>
      <c r="I216" s="135"/>
      <c r="J216" s="135"/>
    </row>
    <row r="217" spans="1:16" customFormat="1" ht="37.5" x14ac:dyDescent="0.25">
      <c r="A217" s="200">
        <f t="shared" ref="A217:A232" si="11">A216+1</f>
        <v>165</v>
      </c>
      <c r="B217" s="231" t="str">
        <f>Suite&amp;" Electrical Room "&amp;SWOne</f>
        <v>G104 Electrical Room XXX</v>
      </c>
      <c r="C217" s="183" t="str">
        <f>"UP"&amp;SWOne</f>
        <v>UPXXX</v>
      </c>
      <c r="D217" s="186" t="s">
        <v>1518</v>
      </c>
      <c r="E217" s="183" t="s">
        <v>1464</v>
      </c>
      <c r="F217" s="193"/>
      <c r="G217" s="193"/>
      <c r="H217" s="135"/>
      <c r="I217" s="135"/>
      <c r="J217" s="135"/>
    </row>
    <row r="218" spans="1:16" customFormat="1" ht="37.5" x14ac:dyDescent="0.25">
      <c r="A218" s="200">
        <f t="shared" si="11"/>
        <v>166</v>
      </c>
      <c r="B218" s="231" t="str">
        <f>Suite&amp;" Electrical Room "&amp;SWOne</f>
        <v>G104 Electrical Room XXX</v>
      </c>
      <c r="C218" s="183" t="str">
        <f>"UP"&amp;SWOne</f>
        <v>UPXXX</v>
      </c>
      <c r="D218" s="233" t="str" cm="1">
        <f t="array" ref="D218">"Close breaker DP-" &amp; SWOne &amp; "1."</f>
        <v>Close breaker DP-XXX1.</v>
      </c>
      <c r="E218" s="183" t="s">
        <v>1464</v>
      </c>
      <c r="F218" s="193"/>
      <c r="G218" s="193"/>
      <c r="H218" s="135"/>
      <c r="I218" s="135"/>
      <c r="J218" s="135"/>
    </row>
    <row r="219" spans="1:16" customFormat="1" ht="37.5" x14ac:dyDescent="0.25">
      <c r="A219" s="200">
        <f t="shared" si="11"/>
        <v>167</v>
      </c>
      <c r="B219" s="231" t="str">
        <f>Suite&amp;" Electrical Room "&amp;SWOne</f>
        <v>G104 Electrical Room XXX</v>
      </c>
      <c r="C219" s="183" t="str">
        <f>"UPS "&amp;SWOne&amp;"1"</f>
        <v>UPS XXX1</v>
      </c>
      <c r="D219" s="233" t="s">
        <v>1598</v>
      </c>
      <c r="E219" s="183" t="s">
        <v>1464</v>
      </c>
      <c r="F219" s="193"/>
      <c r="G219" s="193"/>
      <c r="H219" s="135"/>
      <c r="I219" s="135"/>
      <c r="J219" s="135"/>
    </row>
    <row r="220" spans="1:16" customFormat="1" ht="37.5" x14ac:dyDescent="0.25">
      <c r="A220" s="200">
        <f t="shared" si="11"/>
        <v>168</v>
      </c>
      <c r="B220" s="231" t="str">
        <f>Suite&amp;" Electrical Room "&amp;SWOne</f>
        <v>G104 Electrical Room XXX</v>
      </c>
      <c r="C220" s="183" t="s">
        <v>1566</v>
      </c>
      <c r="D220" s="233" t="s">
        <v>1599</v>
      </c>
      <c r="E220" s="183" t="s">
        <v>1464</v>
      </c>
      <c r="F220" s="193"/>
      <c r="G220" s="193"/>
      <c r="H220" s="135"/>
      <c r="I220" s="135"/>
      <c r="J220" s="135"/>
    </row>
    <row r="221" spans="1:16" customFormat="1" ht="37.5" x14ac:dyDescent="0.25">
      <c r="A221" s="200">
        <f t="shared" si="11"/>
        <v>169</v>
      </c>
      <c r="B221" s="231" t="str">
        <f>Suite&amp;" Electrical Room "&amp;SWOne</f>
        <v>G104 Electrical Room XXX</v>
      </c>
      <c r="C221" s="183" t="str">
        <f>"UPS "&amp;SWOne&amp;"2"</f>
        <v>UPS XXX2</v>
      </c>
      <c r="D221" s="233" t="str" cm="1">
        <f t="array" ref="D221">"TOUCH the UPS-" &amp; SWOne &amp; "2 module graphic on the UPS display."</f>
        <v>TOUCH the UPS-XXX2 module graphic on the UPS display.</v>
      </c>
      <c r="E221" s="183" t="s">
        <v>1464</v>
      </c>
      <c r="F221" s="193"/>
      <c r="G221" s="193"/>
      <c r="H221" s="135"/>
      <c r="I221" s="135"/>
      <c r="J221" s="135"/>
    </row>
    <row r="222" spans="1:16" customFormat="1" ht="37.5" x14ac:dyDescent="0.25">
      <c r="A222" s="200">
        <f t="shared" si="11"/>
        <v>170</v>
      </c>
      <c r="B222" s="231" t="str">
        <f>Suite&amp;" Electrical Room "&amp;SWOne</f>
        <v>G104 Electrical Room XXX</v>
      </c>
      <c r="C222" s="183" t="str">
        <f>"UPS "&amp;SWOne&amp;"2"</f>
        <v>UPS XXX2</v>
      </c>
      <c r="D222" s="233" t="s">
        <v>1560</v>
      </c>
      <c r="E222" s="183" t="s">
        <v>1464</v>
      </c>
      <c r="F222" s="193"/>
      <c r="G222" s="193"/>
      <c r="H222" s="135"/>
      <c r="I222" s="135"/>
      <c r="J222" s="135"/>
    </row>
    <row r="223" spans="1:16" customFormat="1" ht="37.5" x14ac:dyDescent="0.25">
      <c r="A223" s="200">
        <f t="shared" si="11"/>
        <v>171</v>
      </c>
      <c r="B223" s="231" t="str">
        <f>Suite&amp;" Electrical Room "&amp;SWOne</f>
        <v>G104 Electrical Room XXX</v>
      </c>
      <c r="C223" s="183" t="str">
        <f>"UPS "&amp;SWOne&amp;"2"</f>
        <v>UPS XXX2</v>
      </c>
      <c r="D223" s="233" t="s">
        <v>1589</v>
      </c>
      <c r="E223" s="183" t="s">
        <v>1464</v>
      </c>
      <c r="F223" s="193"/>
      <c r="G223" s="193"/>
      <c r="H223" s="135"/>
      <c r="I223" s="135"/>
      <c r="J223" s="135"/>
    </row>
    <row r="224" spans="1:16" customFormat="1" ht="37.5" x14ac:dyDescent="0.25">
      <c r="A224" s="200">
        <f t="shared" si="11"/>
        <v>172</v>
      </c>
      <c r="B224" s="231" t="str">
        <f>Suite&amp;" Electrical Room "&amp;SWOne</f>
        <v>G104 Electrical Room XXX</v>
      </c>
      <c r="C224" s="183" t="str">
        <f>"UPS "&amp;SWOne&amp;"2"</f>
        <v>UPS XXX2</v>
      </c>
      <c r="D224" s="233" t="s">
        <v>1562</v>
      </c>
      <c r="E224" s="183" t="s">
        <v>1464</v>
      </c>
      <c r="F224" s="193"/>
      <c r="G224" s="193"/>
      <c r="H224" s="135"/>
      <c r="I224" s="135"/>
      <c r="J224" s="135"/>
    </row>
    <row r="225" spans="1:10" customFormat="1" ht="37.5" x14ac:dyDescent="0.25">
      <c r="A225" s="200">
        <f t="shared" si="11"/>
        <v>173</v>
      </c>
      <c r="B225" s="231" t="str">
        <f>Suite&amp;" Electrical Room "&amp;SWOne</f>
        <v>G104 Electrical Room XXX</v>
      </c>
      <c r="C225" s="183" t="str">
        <f>"UPS "&amp;SWOne&amp;"2"</f>
        <v>UPS XXX2</v>
      </c>
      <c r="D225" s="233" t="s">
        <v>1563</v>
      </c>
      <c r="E225" s="183" t="s">
        <v>1464</v>
      </c>
      <c r="F225" s="193"/>
      <c r="G225" s="193"/>
      <c r="H225" s="135"/>
      <c r="I225" s="135"/>
      <c r="J225" s="135"/>
    </row>
    <row r="226" spans="1:10" customFormat="1" ht="37.5" x14ac:dyDescent="0.25">
      <c r="A226" s="200">
        <f t="shared" si="11"/>
        <v>174</v>
      </c>
      <c r="B226" s="231" t="str">
        <f>Suite&amp;" Electrical Room "&amp;SWOne</f>
        <v>G104 Electrical Room XXX</v>
      </c>
      <c r="C226" s="183" t="str">
        <f>"UPS "&amp;SWOne&amp;"2"</f>
        <v>UPS XXX2</v>
      </c>
      <c r="D226" s="233" t="s">
        <v>1564</v>
      </c>
      <c r="E226" s="183" t="s">
        <v>1464</v>
      </c>
      <c r="F226" s="193"/>
      <c r="G226" s="193"/>
      <c r="H226" s="135"/>
      <c r="I226" s="135"/>
      <c r="J226" s="135"/>
    </row>
    <row r="227" spans="1:10" customFormat="1" ht="168.75" x14ac:dyDescent="0.25">
      <c r="A227" s="200">
        <f t="shared" si="11"/>
        <v>175</v>
      </c>
      <c r="B227" s="231" t="str">
        <f>Suite&amp;" Electrical Room "&amp;SWOne</f>
        <v>G104 Electrical Room XXX</v>
      </c>
      <c r="C227" s="183" t="str">
        <f>"UPS "&amp;SWOne&amp;"2 Battery Cabinets"</f>
        <v>UPS XXX2 Battery Cabinets</v>
      </c>
      <c r="D227" s="233" t="s">
        <v>1590</v>
      </c>
      <c r="E227" s="183" t="s">
        <v>1464</v>
      </c>
      <c r="F227" s="193"/>
      <c r="G227" s="193"/>
      <c r="H227" s="163" t="s">
        <v>1591</v>
      </c>
      <c r="I227" s="135"/>
      <c r="J227" s="135"/>
    </row>
    <row r="228" spans="1:10" customFormat="1" ht="187.5" hidden="1" x14ac:dyDescent="0.25">
      <c r="A228" s="200">
        <f>A226+1</f>
        <v>175</v>
      </c>
      <c r="B228" s="231" t="str">
        <f>Suite&amp;" Electrical Room "&amp;SWOne</f>
        <v>G104 Electrical Room XXX</v>
      </c>
      <c r="C228" s="183" t="str">
        <f>"UPS "&amp;SWOne&amp;"2 Battery Cabinets"</f>
        <v>UPS XXX2 Battery Cabinets</v>
      </c>
      <c r="D228" s="233" t="s">
        <v>1592</v>
      </c>
      <c r="E228" s="183" t="s">
        <v>1464</v>
      </c>
      <c r="F228" s="193"/>
      <c r="G228" s="193"/>
      <c r="H228" s="163" t="s">
        <v>1593</v>
      </c>
      <c r="I228" s="135"/>
      <c r="J228" s="135"/>
    </row>
    <row r="229" spans="1:10" customFormat="1" ht="37.5" x14ac:dyDescent="0.25">
      <c r="A229" s="200">
        <f t="shared" si="11"/>
        <v>176</v>
      </c>
      <c r="B229" s="231" t="str">
        <f>Suite&amp;" Electrical Room "&amp;SWOne</f>
        <v>G104 Electrical Room XXX</v>
      </c>
      <c r="C229" s="183" t="str">
        <f>"UPS "&amp;SWOne&amp;"2"</f>
        <v>UPS XXX2</v>
      </c>
      <c r="D229" s="233" t="s">
        <v>1594</v>
      </c>
      <c r="E229" s="183" t="s">
        <v>1464</v>
      </c>
      <c r="F229" s="193"/>
      <c r="G229" s="193"/>
      <c r="H229" s="163"/>
      <c r="I229" s="135"/>
      <c r="J229" s="135"/>
    </row>
    <row r="230" spans="1:10" customFormat="1" ht="56.25" x14ac:dyDescent="0.25">
      <c r="A230" s="200">
        <f t="shared" si="11"/>
        <v>177</v>
      </c>
      <c r="B230" s="231" t="str">
        <f>Suite&amp;" Electrical Room "&amp;SWOne</f>
        <v>G104 Electrical Room XXX</v>
      </c>
      <c r="C230" s="183" t="str">
        <f>"UPS "&amp;SWOne&amp;"2 Battery Cabinets"</f>
        <v>UPS XXX2 Battery Cabinets</v>
      </c>
      <c r="D230" s="233" t="s">
        <v>1579</v>
      </c>
      <c r="E230" s="183" t="s">
        <v>1464</v>
      </c>
      <c r="F230" s="193"/>
      <c r="G230" s="193"/>
      <c r="H230" s="163"/>
      <c r="I230" s="135"/>
      <c r="J230" s="135"/>
    </row>
    <row r="231" spans="1:10" customFormat="1" ht="56.25" hidden="1" x14ac:dyDescent="0.25">
      <c r="A231" s="200">
        <f t="shared" si="11"/>
        <v>178</v>
      </c>
      <c r="B231" s="231" t="str">
        <f>Suite&amp;" Electrical Room "&amp;SWOne</f>
        <v>G104 Electrical Room XXX</v>
      </c>
      <c r="C231" s="183" t="str">
        <f>"UPS "&amp;SWOne&amp;"2 Battery Cabinets"</f>
        <v>UPS XXX2 Battery Cabinets</v>
      </c>
      <c r="D231" s="233" t="s">
        <v>1596</v>
      </c>
      <c r="E231" s="183" t="s">
        <v>1464</v>
      </c>
      <c r="F231" s="193"/>
      <c r="G231" s="193"/>
      <c r="H231" s="163" t="s">
        <v>1593</v>
      </c>
      <c r="I231" s="135"/>
      <c r="J231" s="135"/>
    </row>
    <row r="232" spans="1:10" customFormat="1" ht="56.25" hidden="1" x14ac:dyDescent="0.25">
      <c r="A232" s="200">
        <f t="shared" si="11"/>
        <v>179</v>
      </c>
      <c r="B232" s="231" t="str">
        <f>Suite&amp;" Electrical Room "&amp;SWOne</f>
        <v>G104 Electrical Room XXX</v>
      </c>
      <c r="C232" s="183" t="str">
        <f>"UPS "&amp;SWOne&amp;"2 Battery Cabinets"</f>
        <v>UPS XXX2 Battery Cabinets</v>
      </c>
      <c r="D232" s="186" t="s">
        <v>1600</v>
      </c>
      <c r="E232" s="183" t="s">
        <v>1464</v>
      </c>
      <c r="F232" s="193"/>
      <c r="G232" s="193"/>
      <c r="H232" s="163" t="s">
        <v>1593</v>
      </c>
      <c r="I232" s="135"/>
      <c r="J232" s="135"/>
    </row>
    <row r="233" spans="1:10" customFormat="1" ht="56.25" x14ac:dyDescent="0.25">
      <c r="A233" s="200" cm="1">
        <f t="array" ref="A233">IF(AND(Suite="H206", SWOne="D"), A232+1, A230+1)</f>
        <v>178</v>
      </c>
      <c r="B233" s="231" t="str">
        <f>Suite&amp;" Electrical Room "&amp;SWOne</f>
        <v>G104 Electrical Room XXX</v>
      </c>
      <c r="C233" s="183" t="str">
        <f>"UPS "&amp;SWOne&amp;"2 Battery Cabinets"</f>
        <v>UPS XXX2 Battery Cabinets</v>
      </c>
      <c r="D233" s="233" t="str" cm="1">
        <f t="array" ref="D233">"Close Battery Breaker Q7A at Cabinet " &amp; SWOne &amp; "2-1."</f>
        <v>Close Battery Breaker Q7A at Cabinet XXX2-1.</v>
      </c>
      <c r="E233" s="183" t="s">
        <v>1464</v>
      </c>
      <c r="F233" s="193"/>
      <c r="G233" s="193"/>
      <c r="H233" s="163" t="s">
        <v>1580</v>
      </c>
      <c r="I233" s="135"/>
      <c r="J233" s="135"/>
    </row>
    <row r="234" spans="1:10" customFormat="1" ht="56.25" x14ac:dyDescent="0.25">
      <c r="A234" s="200">
        <f t="shared" ref="A234:A236" si="12">A233+1</f>
        <v>179</v>
      </c>
      <c r="B234" s="231" t="str">
        <f>Suite&amp;" Electrical Room "&amp;SWOne</f>
        <v>G104 Electrical Room XXX</v>
      </c>
      <c r="C234" s="183" t="str">
        <f>"UPS "&amp;SWOne&amp;"2 Battery Cabinets"</f>
        <v>UPS XXX2 Battery Cabinets</v>
      </c>
      <c r="D234" s="233" t="str" cm="1">
        <f t="array" ref="D234">"Close Battery Breaker Q8A at Cabinet " &amp; SWOne &amp; "2-3."</f>
        <v>Close Battery Breaker Q8A at Cabinet XXX2-3.</v>
      </c>
      <c r="E234" s="183" t="s">
        <v>1464</v>
      </c>
      <c r="F234" s="193"/>
      <c r="G234" s="193"/>
      <c r="H234" s="163" t="s">
        <v>1580</v>
      </c>
      <c r="I234" s="135"/>
      <c r="J234" s="164"/>
    </row>
    <row r="235" spans="1:10" customFormat="1" ht="56.25" x14ac:dyDescent="0.25">
      <c r="A235" s="200">
        <f t="shared" si="12"/>
        <v>180</v>
      </c>
      <c r="B235" s="231" t="str">
        <f>Suite&amp;" Electrical Room "&amp;SWOne</f>
        <v>G104 Electrical Room XXX</v>
      </c>
      <c r="C235" s="183" t="str">
        <f>"UPS "&amp;SWOne&amp;"2 Battery Cabinets"</f>
        <v>UPS XXX2 Battery Cabinets</v>
      </c>
      <c r="D235" s="233" t="str" cm="1">
        <f t="array" ref="D235">"Close Battery Breaker Q8B at Cabinet " &amp; SWOne &amp; "2-4."</f>
        <v>Close Battery Breaker Q8B at Cabinet XXX2-4.</v>
      </c>
      <c r="E235" s="183" t="s">
        <v>1464</v>
      </c>
      <c r="F235" s="193"/>
      <c r="G235" s="193"/>
      <c r="H235" s="163" t="s">
        <v>1580</v>
      </c>
      <c r="I235" s="135"/>
      <c r="J235" s="164"/>
    </row>
    <row r="236" spans="1:10" customFormat="1" ht="56.25" x14ac:dyDescent="0.25">
      <c r="A236" s="200">
        <f t="shared" si="12"/>
        <v>181</v>
      </c>
      <c r="B236" s="231" t="str">
        <f>Suite&amp;" Electrical Room "&amp;SWOne</f>
        <v>G104 Electrical Room XXX</v>
      </c>
      <c r="C236" s="183" t="str">
        <f>"UPS "&amp;SWOne&amp;"2 Battery Cabinets"</f>
        <v>UPS XXX2 Battery Cabinets</v>
      </c>
      <c r="D236" s="233" t="str" cm="1">
        <f t="array" ref="D236">"Close Battery Breaker Q7B at Cabinet " &amp; SWOne &amp; "2-2."</f>
        <v>Close Battery Breaker Q7B at Cabinet XXX2-2.</v>
      </c>
      <c r="E236" s="183" t="s">
        <v>1464</v>
      </c>
      <c r="F236" s="193"/>
      <c r="G236" s="193"/>
      <c r="H236" s="163" t="s">
        <v>1580</v>
      </c>
      <c r="I236" s="135"/>
      <c r="J236" s="135"/>
    </row>
    <row r="237" spans="1:10" customFormat="1" ht="56.25" hidden="1" x14ac:dyDescent="0.25">
      <c r="A237" s="200">
        <f>A230+1</f>
        <v>178</v>
      </c>
      <c r="B237" s="231" t="str">
        <f>Suite&amp;" Electrical Room "&amp;SWOne</f>
        <v>G104 Electrical Room XXX</v>
      </c>
      <c r="C237" s="183" t="str">
        <f>"UPS "&amp;SWOne&amp;"2 Battery Cabinets"</f>
        <v>UPS XXX2 Battery Cabinets</v>
      </c>
      <c r="D237" s="186" t="str" cm="1">
        <f t="array" ref="D237">"Close Battery Breaker Q7C at Cabinet " &amp; SWOne &amp; "2-3."</f>
        <v>Close Battery Breaker Q7C at Cabinet XXX2-3.</v>
      </c>
      <c r="E237" s="183" t="s">
        <v>1464</v>
      </c>
      <c r="F237" s="193"/>
      <c r="G237" s="193"/>
      <c r="H237" s="163" t="s">
        <v>1581</v>
      </c>
      <c r="I237" s="135"/>
      <c r="J237" s="135"/>
    </row>
    <row r="238" spans="1:10" customFormat="1" ht="56.25" hidden="1" x14ac:dyDescent="0.25">
      <c r="A238" s="200">
        <f t="shared" ref="A238:A242" si="13">A237+1</f>
        <v>179</v>
      </c>
      <c r="B238" s="231" t="str">
        <f>Suite&amp;" Electrical Room "&amp;SWOne</f>
        <v>G104 Electrical Room XXX</v>
      </c>
      <c r="C238" s="183" t="str">
        <f>"UPS "&amp;SWOne&amp;"2 Battery Cabinets"</f>
        <v>UPS XXX2 Battery Cabinets</v>
      </c>
      <c r="D238" s="186" t="str" cm="1">
        <f t="array" ref="D238">"Close Battery Breaker Q8A at Cabinet " &amp; SWOne &amp; "2-4."</f>
        <v>Close Battery Breaker Q8A at Cabinet XXX2-4.</v>
      </c>
      <c r="E238" s="183" t="s">
        <v>1464</v>
      </c>
      <c r="F238" s="193"/>
      <c r="G238" s="193"/>
      <c r="H238" s="163" t="s">
        <v>1581</v>
      </c>
      <c r="I238" s="135"/>
      <c r="J238" s="135"/>
    </row>
    <row r="239" spans="1:10" customFormat="1" ht="56.25" hidden="1" x14ac:dyDescent="0.25">
      <c r="A239" s="200">
        <f t="shared" si="13"/>
        <v>180</v>
      </c>
      <c r="B239" s="231" t="str">
        <f>Suite&amp;" Electrical Room "&amp;SWOne</f>
        <v>G104 Electrical Room XXX</v>
      </c>
      <c r="C239" s="183" t="str">
        <f>"UPS "&amp;SWOne&amp;"2 Battery Cabinets"</f>
        <v>UPS XXX2 Battery Cabinets</v>
      </c>
      <c r="D239" s="186" t="str" cm="1">
        <f t="array" ref="D239">"Close Battery Breaker Q8B at Cabinet " &amp; SWOne &amp; "2-5."</f>
        <v>Close Battery Breaker Q8B at Cabinet XXX2-5.</v>
      </c>
      <c r="E239" s="183" t="s">
        <v>1464</v>
      </c>
      <c r="F239" s="193"/>
      <c r="G239" s="193"/>
      <c r="H239" s="163" t="s">
        <v>1581</v>
      </c>
      <c r="I239" s="135"/>
      <c r="J239" s="135"/>
    </row>
    <row r="240" spans="1:10" customFormat="1" ht="56.25" hidden="1" x14ac:dyDescent="0.25">
      <c r="A240" s="200">
        <f t="shared" si="13"/>
        <v>181</v>
      </c>
      <c r="B240" s="231" t="str">
        <f>Suite&amp;" Electrical Room "&amp;SWOne</f>
        <v>G104 Electrical Room XXX</v>
      </c>
      <c r="C240" s="183" t="str">
        <f>"UPS "&amp;SWOne&amp;"2 Battery Cabinets"</f>
        <v>UPS XXX2 Battery Cabinets</v>
      </c>
      <c r="D240" s="186" t="str" cm="1">
        <f t="array" ref="D240">"Close Battery Breaker Q8C at Cabinet " &amp; SWOne &amp; "2-6."</f>
        <v>Close Battery Breaker Q8C at Cabinet XXX2-6.</v>
      </c>
      <c r="E240" s="183" t="s">
        <v>1464</v>
      </c>
      <c r="F240" s="193"/>
      <c r="G240" s="193"/>
      <c r="H240" s="163" t="s">
        <v>1581</v>
      </c>
      <c r="I240" s="135"/>
      <c r="J240" s="135"/>
    </row>
    <row r="241" spans="1:10" customFormat="1" ht="56.25" hidden="1" x14ac:dyDescent="0.25">
      <c r="A241" s="200">
        <f t="shared" si="13"/>
        <v>182</v>
      </c>
      <c r="B241" s="231" t="str">
        <f>Suite&amp;" Electrical Room "&amp;SWOne</f>
        <v>G104 Electrical Room XXX</v>
      </c>
      <c r="C241" s="183" t="str">
        <f>"UPS "&amp;SWOne&amp;"2 Battery Cabinets"</f>
        <v>UPS XXX2 Battery Cabinets</v>
      </c>
      <c r="D241" s="186" t="str" cm="1">
        <f t="array" ref="D241">"Close Battery Breaker Q7A at Cabinet " &amp; SWOne &amp; "2-1."</f>
        <v>Close Battery Breaker Q7A at Cabinet XXX2-1.</v>
      </c>
      <c r="E241" s="183" t="s">
        <v>1464</v>
      </c>
      <c r="F241" s="193"/>
      <c r="G241" s="193"/>
      <c r="H241" s="163" t="s">
        <v>1581</v>
      </c>
      <c r="I241" s="135"/>
      <c r="J241" s="135"/>
    </row>
    <row r="242" spans="1:10" customFormat="1" ht="56.25" hidden="1" x14ac:dyDescent="0.25">
      <c r="A242" s="200">
        <f t="shared" si="13"/>
        <v>183</v>
      </c>
      <c r="B242" s="231" t="str">
        <f>Suite&amp;" Electrical Room "&amp;SWOne</f>
        <v>G104 Electrical Room XXX</v>
      </c>
      <c r="C242" s="183" t="str">
        <f>"UPS "&amp;SWOne&amp;"2 Battery Cabinets"</f>
        <v>UPS XXX2 Battery Cabinets</v>
      </c>
      <c r="D242" s="186" t="str" cm="1">
        <f t="array" ref="D242">"Close Battery Breaker Q7B at Cabinet " &amp; SWOne &amp; "2-2."</f>
        <v>Close Battery Breaker Q7B at Cabinet XXX2-2.</v>
      </c>
      <c r="E242" s="183" t="s">
        <v>1464</v>
      </c>
      <c r="F242" s="193"/>
      <c r="G242" s="193"/>
      <c r="H242" s="163" t="s">
        <v>1581</v>
      </c>
      <c r="I242" s="135"/>
      <c r="J242" s="135"/>
    </row>
    <row r="243" spans="1:10" customFormat="1" ht="37.5" x14ac:dyDescent="0.25">
      <c r="A243" s="200">
        <f>IF(NumberOfICDs=4, A236+1, A242+1)</f>
        <v>184</v>
      </c>
      <c r="B243" s="231" t="str">
        <f>Suite&amp;" Electrical Room "&amp;SWOne</f>
        <v>G104 Electrical Room XXX</v>
      </c>
      <c r="C243" s="183" t="str">
        <f>"UP"&amp;SWOne</f>
        <v>UPXXX</v>
      </c>
      <c r="D243" s="177" t="str" cm="1">
        <f t="array" ref="D243">"Remove LOTO from breaker DP-" &amp; SWOne &amp; "2."</f>
        <v>Remove LOTO from breaker DP-XXX2.</v>
      </c>
      <c r="E243" s="183" t="s">
        <v>1464</v>
      </c>
      <c r="F243" s="193"/>
      <c r="G243" s="193"/>
      <c r="H243" s="163"/>
      <c r="I243" s="135"/>
      <c r="J243" s="135"/>
    </row>
    <row r="244" spans="1:10" customFormat="1" ht="37.5" x14ac:dyDescent="0.25">
      <c r="A244" s="200">
        <f t="shared" ref="A244:A250" si="14">A243+1</f>
        <v>185</v>
      </c>
      <c r="B244" s="231" t="str">
        <f>Suite&amp;" Electrical Room "&amp;SWOne</f>
        <v>G104 Electrical Room XXX</v>
      </c>
      <c r="C244" s="183" t="str">
        <f>"UP"&amp;SWOne</f>
        <v>UPXXX</v>
      </c>
      <c r="D244" s="186" t="s">
        <v>1518</v>
      </c>
      <c r="E244" s="183" t="s">
        <v>1464</v>
      </c>
      <c r="F244" s="193"/>
      <c r="G244" s="193"/>
      <c r="H244" s="135"/>
      <c r="I244" s="135"/>
      <c r="J244" s="135"/>
    </row>
    <row r="245" spans="1:10" customFormat="1" ht="37.5" x14ac:dyDescent="0.25">
      <c r="A245" s="200">
        <f t="shared" si="14"/>
        <v>186</v>
      </c>
      <c r="B245" s="231" t="str">
        <f>Suite&amp;" Electrical Room "&amp;SWOne</f>
        <v>G104 Electrical Room XXX</v>
      </c>
      <c r="C245" s="183" t="str">
        <f>"UP"&amp;SWOne</f>
        <v>UPXXX</v>
      </c>
      <c r="D245" s="233" t="str" cm="1">
        <f t="array" ref="D245">"Close breaker DP-" &amp; SWOne &amp; "2."</f>
        <v>Close breaker DP-XXX2.</v>
      </c>
      <c r="E245" s="183" t="s">
        <v>1464</v>
      </c>
      <c r="F245" s="193"/>
      <c r="G245" s="193"/>
      <c r="H245" s="135"/>
      <c r="I245" s="135"/>
      <c r="J245" s="135"/>
    </row>
    <row r="246" spans="1:10" customFormat="1" ht="37.5" x14ac:dyDescent="0.25">
      <c r="A246" s="200">
        <f t="shared" si="14"/>
        <v>187</v>
      </c>
      <c r="B246" s="231" t="str">
        <f>Suite&amp;" Electrical Room "&amp;SWOne</f>
        <v>G104 Electrical Room XXX</v>
      </c>
      <c r="C246" s="183" t="str">
        <f>"UPS "&amp;SWOne&amp;"2"</f>
        <v>UPS XXX2</v>
      </c>
      <c r="D246" s="233" t="s">
        <v>1598</v>
      </c>
      <c r="E246" s="183" t="s">
        <v>1464</v>
      </c>
      <c r="F246" s="193"/>
      <c r="G246" s="193"/>
      <c r="H246" s="163"/>
      <c r="I246" s="135"/>
      <c r="J246" s="135"/>
    </row>
    <row r="247" spans="1:10" customFormat="1" ht="37.5" x14ac:dyDescent="0.25">
      <c r="A247" s="200">
        <f t="shared" si="14"/>
        <v>188</v>
      </c>
      <c r="B247" s="231" t="str">
        <f>Suite&amp;" Electrical Room "&amp;SWOne</f>
        <v>G104 Electrical Room XXX</v>
      </c>
      <c r="C247" s="183" t="s">
        <v>1566</v>
      </c>
      <c r="D247" s="233" t="s">
        <v>1601</v>
      </c>
      <c r="E247" s="183" t="s">
        <v>1464</v>
      </c>
      <c r="F247" s="193"/>
      <c r="G247" s="193"/>
      <c r="H247" s="163"/>
      <c r="I247" s="135"/>
      <c r="J247" s="135"/>
    </row>
    <row r="248" spans="1:10" customFormat="1" ht="37.5" x14ac:dyDescent="0.25">
      <c r="A248" s="200">
        <f t="shared" si="14"/>
        <v>189</v>
      </c>
      <c r="B248" s="231" t="str">
        <f>Suite&amp;" Electrical Room "&amp;SWOne</f>
        <v>G104 Electrical Room XXX</v>
      </c>
      <c r="C248" s="183" t="str">
        <f>"UPS "&amp;SWOne</f>
        <v>UPS XXX</v>
      </c>
      <c r="D248" s="233" t="str" cm="1">
        <f t="array" ref="D248">"UPS SYSTEM "&amp;SWOne&amp;" is now online and ready to accept load. Critical Customer Load remains on Maintenance Bypass Source."</f>
        <v>UPS SYSTEM XXX is now online and ready to accept load. Critical Customer Load remains on Maintenance Bypass Source.</v>
      </c>
      <c r="E248" s="183" t="s">
        <v>1464</v>
      </c>
      <c r="F248" s="193"/>
      <c r="G248" s="193"/>
      <c r="H248" s="163"/>
      <c r="I248" s="135"/>
      <c r="J248" s="135"/>
    </row>
    <row r="249" spans="1:10" customFormat="1" x14ac:dyDescent="0.25">
      <c r="A249" s="200">
        <f t="shared" si="14"/>
        <v>190</v>
      </c>
      <c r="B249" s="711" t="s">
        <v>1602</v>
      </c>
      <c r="C249" s="711"/>
      <c r="D249" s="711"/>
      <c r="E249" s="711"/>
      <c r="F249" s="711"/>
      <c r="G249" s="711"/>
      <c r="H249" s="163"/>
      <c r="I249" s="135"/>
      <c r="J249" s="135"/>
    </row>
    <row r="250" spans="1:10" customFormat="1" ht="37.5" x14ac:dyDescent="0.25">
      <c r="A250" s="200">
        <f t="shared" si="14"/>
        <v>191</v>
      </c>
      <c r="B250" s="231" t="str">
        <f>Suite&amp;" Electrical Room A"</f>
        <v>G104 Electrical Room A</v>
      </c>
      <c r="C250" s="183" t="str">
        <f>"UP"&amp;SWOne</f>
        <v>UPXXX</v>
      </c>
      <c r="D250" s="233" t="str" cm="1">
        <f t="array" ref="D250">"NOTATE the kW reading at UP" &amp; SWOne &amp; " Critical Bus Panel Meter: _________"</f>
        <v>NOTATE the kW reading at UPXXX Critical Bus Panel Meter: _________</v>
      </c>
      <c r="E250" s="183" t="s">
        <v>1464</v>
      </c>
      <c r="F250" s="193"/>
      <c r="G250" s="193"/>
      <c r="H250" s="163"/>
      <c r="I250" s="135"/>
      <c r="J250" s="135"/>
    </row>
    <row r="251" spans="1:10" customFormat="1" ht="37.5" x14ac:dyDescent="0.25">
      <c r="A251" s="200">
        <f>A250+1</f>
        <v>192</v>
      </c>
      <c r="B251" s="231" t="str">
        <f>Suite&amp;" Electrical Room "&amp;SWOne</f>
        <v>G104 Electrical Room XXX</v>
      </c>
      <c r="C251" s="183" t="str">
        <f>"UPS "&amp;SWOne&amp;"1"</f>
        <v>UPS XXX1</v>
      </c>
      <c r="D251" s="233" t="s">
        <v>1603</v>
      </c>
      <c r="E251" s="183" t="s">
        <v>1464</v>
      </c>
      <c r="F251" s="193"/>
      <c r="G251" s="193"/>
      <c r="H251" s="163"/>
      <c r="I251" s="135"/>
      <c r="J251" s="135"/>
    </row>
    <row r="252" spans="1:10" customFormat="1" ht="37.5" x14ac:dyDescent="0.25">
      <c r="A252" s="200">
        <f t="shared" ref="A252:A291" si="15">A251+1</f>
        <v>193</v>
      </c>
      <c r="B252" s="231" t="str">
        <f>Suite&amp;" Electrical Room "&amp;SWOne</f>
        <v>G104 Electrical Room XXX</v>
      </c>
      <c r="C252" s="183" t="str">
        <f>"UPS "&amp;SWOne&amp;"1"</f>
        <v>UPS XXX1</v>
      </c>
      <c r="D252" s="233" t="s">
        <v>1604</v>
      </c>
      <c r="E252" s="183" t="s">
        <v>1464</v>
      </c>
      <c r="F252" s="193"/>
      <c r="G252" s="193"/>
      <c r="H252" s="163"/>
      <c r="I252" s="135"/>
      <c r="J252" s="135"/>
    </row>
    <row r="253" spans="1:10" customFormat="1" ht="37.5" x14ac:dyDescent="0.25">
      <c r="A253" s="200">
        <f t="shared" si="15"/>
        <v>194</v>
      </c>
      <c r="B253" s="231" t="str">
        <f>Suite&amp;" Electrical Room "&amp;SWOne</f>
        <v>G104 Electrical Room XXX</v>
      </c>
      <c r="C253" s="183" t="str">
        <f>"UPS "&amp;SWOne&amp;"1"</f>
        <v>UPS XXX1</v>
      </c>
      <c r="D253" s="233" t="s">
        <v>1605</v>
      </c>
      <c r="E253" s="183" t="s">
        <v>1464</v>
      </c>
      <c r="F253" s="193"/>
      <c r="G253" s="193"/>
      <c r="H253" s="163"/>
      <c r="I253" s="135"/>
      <c r="J253" s="135"/>
    </row>
    <row r="254" spans="1:10" customFormat="1" ht="37.5" x14ac:dyDescent="0.25">
      <c r="A254" s="200">
        <f t="shared" si="15"/>
        <v>195</v>
      </c>
      <c r="B254" s="231" t="str">
        <f>Suite&amp;" Electrical Room "&amp;SWOne</f>
        <v>G104 Electrical Room XXX</v>
      </c>
      <c r="C254" s="183" t="s">
        <v>1566</v>
      </c>
      <c r="D254" s="233" t="s">
        <v>1606</v>
      </c>
      <c r="E254" s="183" t="s">
        <v>1464</v>
      </c>
      <c r="F254" s="193"/>
      <c r="G254" s="193"/>
      <c r="H254" s="163"/>
      <c r="I254" s="135"/>
      <c r="J254" s="135"/>
    </row>
    <row r="255" spans="1:10" customFormat="1" ht="56.25" x14ac:dyDescent="0.25">
      <c r="A255" s="200">
        <f t="shared" si="15"/>
        <v>196</v>
      </c>
      <c r="B255" s="231" t="str">
        <f>Suite&amp;" Electrical Room "&amp;SWOne</f>
        <v>G104 Electrical Room XXX</v>
      </c>
      <c r="C255" s="183" t="str">
        <f>"UPS "&amp;SWOne</f>
        <v>UPS XXX</v>
      </c>
      <c r="D255" s="233" t="str" cm="1">
        <f t="array" ref="D255">"UPS SYSTEM "&amp;SWOne&amp;" is now online and applying utility voltage to the line side of the MCBUP"&amp;SWOne&amp;" breaker via static bypass. Critical Customer Load remains on Maintenance Bypass Source."</f>
        <v>UPS SYSTEM XXX is now online and applying utility voltage to the line side of the MCBUPXXX breaker via static bypass. Critical Customer Load remains on Maintenance Bypass Source.</v>
      </c>
      <c r="E255" s="183" t="s">
        <v>1464</v>
      </c>
      <c r="F255" s="193"/>
      <c r="G255" s="193"/>
      <c r="H255" s="163"/>
      <c r="I255" s="135"/>
      <c r="J255" s="135"/>
    </row>
    <row r="256" spans="1:10" customFormat="1" ht="37.5" x14ac:dyDescent="0.25">
      <c r="A256" s="200">
        <f t="shared" si="15"/>
        <v>197</v>
      </c>
      <c r="B256" s="231" t="str">
        <f>Suite&amp;" Electrical Room "&amp;SWOne</f>
        <v>G104 Electrical Room XXX</v>
      </c>
      <c r="C256" s="183" t="str">
        <f>"UP"&amp;SWOne</f>
        <v>UPXXX</v>
      </c>
      <c r="D256" s="233" t="s">
        <v>1568</v>
      </c>
      <c r="E256" s="183" t="s">
        <v>1464</v>
      </c>
      <c r="F256" s="193"/>
      <c r="G256" s="193"/>
      <c r="H256" s="163"/>
      <c r="I256" s="135"/>
      <c r="J256" s="135"/>
    </row>
    <row r="257" spans="1:10" customFormat="1" ht="37.5" x14ac:dyDescent="0.25">
      <c r="A257" s="200">
        <f t="shared" si="15"/>
        <v>198</v>
      </c>
      <c r="B257" s="231" t="str">
        <f>Suite&amp;" Electrical Room "&amp;SWOne</f>
        <v>G104 Electrical Room XXX</v>
      </c>
      <c r="C257" s="183" t="str">
        <f>"UP"&amp;SWOne</f>
        <v>UPXXX</v>
      </c>
      <c r="D257" s="186" t="s">
        <v>1569</v>
      </c>
      <c r="E257" s="183" t="s">
        <v>1464</v>
      </c>
      <c r="F257" s="193"/>
      <c r="G257" s="193"/>
      <c r="H257" s="163"/>
      <c r="I257" s="135"/>
      <c r="J257" s="135"/>
    </row>
    <row r="258" spans="1:10" customFormat="1" ht="37.5" x14ac:dyDescent="0.25">
      <c r="A258" s="200">
        <f t="shared" si="15"/>
        <v>199</v>
      </c>
      <c r="B258" s="231" t="str">
        <f>Suite&amp;" Electrical Room "&amp;SWOne</f>
        <v>G104 Electrical Room XXX</v>
      </c>
      <c r="C258" s="183" t="str">
        <f>"UP"&amp;SWOne</f>
        <v>UPXXX</v>
      </c>
      <c r="D258" s="186" t="s">
        <v>1570</v>
      </c>
      <c r="E258" s="183" t="s">
        <v>1464</v>
      </c>
      <c r="F258" s="193"/>
      <c r="G258" s="193"/>
      <c r="H258" s="163"/>
      <c r="I258" s="135"/>
      <c r="J258" s="135"/>
    </row>
    <row r="259" spans="1:10" customFormat="1" ht="37.5" x14ac:dyDescent="0.25">
      <c r="A259" s="200">
        <f t="shared" si="15"/>
        <v>200</v>
      </c>
      <c r="B259" s="231" t="str">
        <f>Suite&amp;" Electrical Room "&amp;SWOne</f>
        <v>G104 Electrical Room XXX</v>
      </c>
      <c r="C259" s="183" t="str">
        <f>"UP"&amp;SWOne</f>
        <v>UPXXX</v>
      </c>
      <c r="D259" s="233" t="str" cm="1">
        <f t="array" ref="D259">"INSERT the interlock key into the MCBUP" &amp; SWOne &amp; " breaker lock cylinder."</f>
        <v>INSERT the interlock key into the MCBUPXXX breaker lock cylinder.</v>
      </c>
      <c r="E259" s="183" t="s">
        <v>1464</v>
      </c>
      <c r="F259" s="193"/>
      <c r="G259" s="193"/>
      <c r="H259" s="163"/>
      <c r="I259" s="135"/>
      <c r="J259" s="135"/>
    </row>
    <row r="260" spans="1:10" customFormat="1" ht="37.5" x14ac:dyDescent="0.25">
      <c r="A260" s="200">
        <f t="shared" si="15"/>
        <v>201</v>
      </c>
      <c r="B260" s="231" t="str">
        <f>Suite&amp;" Electrical Room "&amp;SWOne</f>
        <v>G104 Electrical Room XXX</v>
      </c>
      <c r="C260" s="183" t="str">
        <f>"UP"&amp;SWOne</f>
        <v>UPXXX</v>
      </c>
      <c r="D260" s="186" t="str" cm="1">
        <f t="array" ref="D260">"ROTATE the interlock key 90 degrees to UNLOCK the MCBUP" &amp; SWOne &amp; " breaker."</f>
        <v>ROTATE the interlock key 90 degrees to UNLOCK the MCBUPXXX breaker.</v>
      </c>
      <c r="E260" s="183" t="s">
        <v>1464</v>
      </c>
      <c r="F260" s="193"/>
      <c r="G260" s="193"/>
      <c r="H260" s="135"/>
      <c r="I260" s="135"/>
      <c r="J260" s="135"/>
    </row>
    <row r="261" spans="1:10" customFormat="1" ht="37.5" x14ac:dyDescent="0.25">
      <c r="A261" s="200">
        <f t="shared" si="15"/>
        <v>202</v>
      </c>
      <c r="B261" s="231" t="str">
        <f>Suite&amp;" Electrical Room "&amp;SWOne</f>
        <v>G104 Electrical Room XXX</v>
      </c>
      <c r="C261" s="183" t="str">
        <f>"UP"&amp;SWOne</f>
        <v>UPXXX</v>
      </c>
      <c r="D261" s="233" t="str" cm="1">
        <f t="array" ref="D261">"Close breaker MCBUP"&amp;SWOne&amp;"."</f>
        <v>Close breaker MCBUPXXX.</v>
      </c>
      <c r="E261" s="183" t="s">
        <v>1464</v>
      </c>
      <c r="F261" s="193"/>
      <c r="G261" s="193"/>
      <c r="H261" s="135"/>
      <c r="I261" s="135"/>
      <c r="J261" s="135"/>
    </row>
    <row r="262" spans="1:10" customFormat="1" ht="37.5" x14ac:dyDescent="0.25">
      <c r="A262" s="200">
        <f t="shared" si="15"/>
        <v>203</v>
      </c>
      <c r="B262" s="231" t="str">
        <f>Suite&amp;" Electrical Room "&amp;SWOne</f>
        <v>G104 Electrical Room XXX</v>
      </c>
      <c r="C262" s="183" t="str">
        <f>"UP"&amp;SWOne</f>
        <v>UPXXX</v>
      </c>
      <c r="D262" s="186" t="str" cm="1">
        <f t="array" ref="D262">"VERIFY MCBUP" &amp; SWOne &amp; " breaker flag indicates CLOSED."</f>
        <v>VERIFY MCBUPXXX breaker flag indicates CLOSED.</v>
      </c>
      <c r="E262" s="183" t="s">
        <v>1464</v>
      </c>
      <c r="F262" s="193"/>
      <c r="G262" s="193"/>
      <c r="H262" s="135"/>
      <c r="I262" s="135"/>
      <c r="J262" s="135"/>
    </row>
    <row r="263" spans="1:10" customFormat="1" ht="37.5" x14ac:dyDescent="0.25">
      <c r="A263" s="200">
        <f t="shared" si="15"/>
        <v>204</v>
      </c>
      <c r="B263" s="231" t="str">
        <f>Suite&amp;" Electrical Room "&amp;SWOne</f>
        <v>G104 Electrical Room XXX</v>
      </c>
      <c r="C263" s="183" t="str">
        <f>"UP"&amp;SWOne</f>
        <v>UPXXX</v>
      </c>
      <c r="D263" s="233" t="str" cm="1">
        <f t="array" ref="D263">"VERIFY breaker MCBUP"&amp;SWOne&amp;" is carrying a portion of critical customer load using breaker mounted metering."</f>
        <v>VERIFY breaker MCBUPXXX is carrying a portion of critical customer load using breaker mounted metering.</v>
      </c>
      <c r="E263" s="183" t="s">
        <v>1464</v>
      </c>
      <c r="F263" s="193"/>
      <c r="G263" s="193"/>
      <c r="H263" s="135"/>
      <c r="I263" s="135"/>
      <c r="J263" s="135"/>
    </row>
    <row r="264" spans="1:10" customFormat="1" ht="37.5" x14ac:dyDescent="0.25">
      <c r="A264" s="200">
        <f t="shared" si="15"/>
        <v>205</v>
      </c>
      <c r="B264" s="231" t="str">
        <f>Suite&amp;" Electrical Room "&amp;SWOne</f>
        <v>G104 Electrical Room XXX</v>
      </c>
      <c r="C264" s="183" t="str">
        <f>"UP"&amp;SWOne</f>
        <v>UPXXX</v>
      </c>
      <c r="D264" s="233" t="str" cm="1">
        <f t="array" ref="D264">"VERIFY breaker MBUP"&amp;SWOne&amp;" is carrying a portion of critical customer load using breaker mounted metering."</f>
        <v>VERIFY breaker MBUPXXX is carrying a portion of critical customer load using breaker mounted metering.</v>
      </c>
      <c r="E264" s="183" t="s">
        <v>1464</v>
      </c>
      <c r="F264" s="193"/>
      <c r="G264" s="193"/>
      <c r="H264" s="135"/>
      <c r="I264" s="135"/>
      <c r="J264" s="135"/>
    </row>
    <row r="265" spans="1:10" ht="37.5" x14ac:dyDescent="0.25">
      <c r="A265" s="200">
        <f t="shared" si="15"/>
        <v>206</v>
      </c>
      <c r="B265" s="231" t="str">
        <f>Suite&amp;" Electrical Room "&amp;SWOne</f>
        <v>G104 Electrical Room XXX</v>
      </c>
      <c r="C265" s="183" t="str">
        <f>"UP"&amp;SWOne</f>
        <v>UPXXX</v>
      </c>
      <c r="D265" s="233" t="str" cm="1">
        <f t="array" ref="D265">"NOTATE the kW reading at UP" &amp; SWOne &amp; " Critical Bus Panel Meter: _________"</f>
        <v>NOTATE the kW reading at UPXXX Critical Bus Panel Meter: _________</v>
      </c>
      <c r="E265" s="183" t="s">
        <v>1464</v>
      </c>
      <c r="F265" s="193"/>
      <c r="G265" s="193"/>
      <c r="H265" s="135"/>
      <c r="I265" s="135"/>
      <c r="J265" s="135"/>
    </row>
    <row r="266" spans="1:10" ht="37.5" x14ac:dyDescent="0.25">
      <c r="A266" s="200">
        <f t="shared" si="15"/>
        <v>207</v>
      </c>
      <c r="B266" s="231" t="str">
        <f>Suite&amp;" Electrical Room "&amp;SWOne</f>
        <v>G104 Electrical Room XXX</v>
      </c>
      <c r="C266" s="183" t="str">
        <f>"UP"&amp;SWOne</f>
        <v>UPXXX</v>
      </c>
      <c r="D266" s="233" t="str">
        <f>"VERIFY the readings in step " &amp; A250 &amp; " and " &amp; A265 &amp; " are within 3% of each other. (new kW divided by original kW must be ≤1.03 and ≥0.97)."</f>
        <v>VERIFY the readings in step 191 and 206 are within 3% of each other. (new kW divided by original kW must be ≤1.03 and ≥0.97).</v>
      </c>
      <c r="E266" s="183" t="s">
        <v>1464</v>
      </c>
      <c r="F266" s="193"/>
      <c r="G266" s="193"/>
      <c r="H266" s="135"/>
      <c r="I266" s="135"/>
      <c r="J266" s="135"/>
    </row>
    <row r="267" spans="1:10" ht="37.5" x14ac:dyDescent="0.25">
      <c r="A267" s="200">
        <f t="shared" si="15"/>
        <v>208</v>
      </c>
      <c r="B267" s="231" t="str">
        <f>Suite&amp;" Electrical Room "&amp;SWOne</f>
        <v>G104 Electrical Room XXX</v>
      </c>
      <c r="C267" s="183" t="s">
        <v>1566</v>
      </c>
      <c r="D267" s="233" t="s">
        <v>1607</v>
      </c>
      <c r="E267" s="183" t="s">
        <v>1464</v>
      </c>
      <c r="F267" s="193"/>
      <c r="G267" s="193"/>
      <c r="H267" s="135"/>
      <c r="I267" s="135"/>
      <c r="J267" s="135"/>
    </row>
    <row r="268" spans="1:10" ht="37.5" x14ac:dyDescent="0.25">
      <c r="A268" s="200">
        <f t="shared" si="15"/>
        <v>209</v>
      </c>
      <c r="B268" s="231" t="str">
        <f>Suite&amp;" Electrical Room "&amp;SWOne</f>
        <v>G104 Electrical Room XXX</v>
      </c>
      <c r="C268" s="183" t="str">
        <f>"UP"&amp;SWOne</f>
        <v>UPXXX</v>
      </c>
      <c r="D268" s="233" t="str" cm="1">
        <f t="array" ref="D268">"OPEN breaker MBUP"&amp;SWOne&amp;"."</f>
        <v>OPEN breaker MBUPXXX.</v>
      </c>
      <c r="E268" s="183" t="s">
        <v>1464</v>
      </c>
      <c r="F268" s="193"/>
      <c r="G268" s="193"/>
      <c r="H268" s="135"/>
      <c r="I268" s="135"/>
      <c r="J268" s="135"/>
    </row>
    <row r="269" spans="1:10" ht="37.5" x14ac:dyDescent="0.25">
      <c r="A269" s="200">
        <f t="shared" si="15"/>
        <v>210</v>
      </c>
      <c r="B269" s="231" t="str">
        <f>Suite&amp;" Electrical Room "&amp;SWOne</f>
        <v>G104 Electrical Room XXX</v>
      </c>
      <c r="C269" s="183" t="str">
        <f>"UP"&amp;SWOne</f>
        <v>UPXXX</v>
      </c>
      <c r="D269" s="233" t="s">
        <v>1501</v>
      </c>
      <c r="E269" s="183" t="s">
        <v>1464</v>
      </c>
      <c r="F269" s="193"/>
      <c r="G269" s="193"/>
      <c r="H269" s="135"/>
      <c r="I269" s="135"/>
      <c r="J269" s="135"/>
    </row>
    <row r="270" spans="1:10" ht="37.5" x14ac:dyDescent="0.25">
      <c r="A270" s="200">
        <f t="shared" si="15"/>
        <v>211</v>
      </c>
      <c r="B270" s="231" t="str">
        <f>Suite&amp;" Electrical Room "&amp;SWOne</f>
        <v>G104 Electrical Room XXX</v>
      </c>
      <c r="C270" s="183" t="str">
        <f>"UP"&amp;SWOne</f>
        <v>UPXXX</v>
      </c>
      <c r="D270" s="186" t="str" cm="1">
        <f t="array" ref="D270">"VERIFY MBUP" &amp; SWOne &amp; " breaker flag indicates OPEN."</f>
        <v>VERIFY MBUPXXX breaker flag indicates OPEN.</v>
      </c>
      <c r="E270" s="183" t="s">
        <v>1464</v>
      </c>
      <c r="F270" s="193"/>
      <c r="G270" s="193"/>
      <c r="H270" s="135"/>
      <c r="I270" s="135"/>
      <c r="J270" s="135"/>
    </row>
    <row r="271" spans="1:10" ht="37.5" x14ac:dyDescent="0.25">
      <c r="A271" s="200">
        <f t="shared" si="15"/>
        <v>212</v>
      </c>
      <c r="B271" s="231" t="str">
        <f>Suite&amp;" Electrical Room "&amp;SWOne</f>
        <v>G104 Electrical Room XXX</v>
      </c>
      <c r="C271" s="183" t="str">
        <f>"UP"&amp;SWOne</f>
        <v>UPXXX</v>
      </c>
      <c r="D271" s="233" t="str" cm="1">
        <f t="array" ref="D271">"NOTATE the kW reading at UP" &amp; SWOne &amp; " Critical Bus Panel Meter: _________"</f>
        <v>NOTATE the kW reading at UPXXX Critical Bus Panel Meter: _________</v>
      </c>
      <c r="E271" s="183" t="s">
        <v>1464</v>
      </c>
      <c r="F271" s="193"/>
      <c r="G271" s="193"/>
      <c r="H271" s="135"/>
      <c r="I271" s="135"/>
      <c r="J271" s="135"/>
    </row>
    <row r="272" spans="1:10" ht="37.5" x14ac:dyDescent="0.25">
      <c r="A272" s="200">
        <f t="shared" si="15"/>
        <v>213</v>
      </c>
      <c r="B272" s="231" t="str">
        <f>Suite&amp;" Electrical Room "&amp;SWOne</f>
        <v>G104 Electrical Room XXX</v>
      </c>
      <c r="C272" s="183" t="str">
        <f>"UP"&amp;SWOne</f>
        <v>UPXXX</v>
      </c>
      <c r="D272" s="233" t="str">
        <f>"VERIFY the readings in step " &amp; A265 &amp; " and " &amp; A271 &amp; " are within 3% of each other. (new kW divided by original kW must be ≤1.03 and ≥0.97)."</f>
        <v>VERIFY the readings in step 206 and 212 are within 3% of each other. (new kW divided by original kW must be ≤1.03 and ≥0.97).</v>
      </c>
      <c r="E272" s="183" t="s">
        <v>1464</v>
      </c>
      <c r="F272" s="193"/>
      <c r="G272" s="193"/>
      <c r="H272" s="135"/>
      <c r="I272" s="135"/>
      <c r="J272" s="135"/>
    </row>
    <row r="273" spans="1:10" ht="37.5" x14ac:dyDescent="0.25">
      <c r="A273" s="200">
        <f t="shared" si="15"/>
        <v>214</v>
      </c>
      <c r="B273" s="231" t="str">
        <f>Suite&amp;" Electrical Room "&amp;SWOne</f>
        <v>G104 Electrical Room XXX</v>
      </c>
      <c r="C273" s="183" t="s">
        <v>1566</v>
      </c>
      <c r="D273" s="233" t="s">
        <v>1608</v>
      </c>
      <c r="E273" s="183" t="s">
        <v>1464</v>
      </c>
      <c r="F273" s="193"/>
      <c r="G273" s="193"/>
      <c r="H273" s="135"/>
      <c r="I273" s="135"/>
      <c r="J273" s="135"/>
    </row>
    <row r="274" spans="1:10" ht="37.5" x14ac:dyDescent="0.25">
      <c r="A274" s="200">
        <f t="shared" si="15"/>
        <v>215</v>
      </c>
      <c r="B274" s="231" t="str">
        <f>Suite&amp;" Electrical Room "&amp;SWOne</f>
        <v>G104 Electrical Room XXX</v>
      </c>
      <c r="C274" s="183" t="str">
        <f>"UP"&amp;SWOne</f>
        <v>UPXXX</v>
      </c>
      <c r="D274" s="186" t="str" cm="1">
        <f t="array" ref="D274">"ROTATE the interlock key 90 degrees to LOCK the MBUP"&amp;SWOne&amp;" breaker."</f>
        <v>ROTATE the interlock key 90 degrees to LOCK the MBUPXXX breaker.</v>
      </c>
      <c r="E274" s="183" t="s">
        <v>1464</v>
      </c>
      <c r="F274" s="193"/>
      <c r="G274" s="193"/>
      <c r="H274" s="135"/>
      <c r="I274" s="135"/>
      <c r="J274" s="135"/>
    </row>
    <row r="275" spans="1:10" ht="37.5" x14ac:dyDescent="0.25">
      <c r="A275" s="200">
        <f t="shared" si="15"/>
        <v>216</v>
      </c>
      <c r="B275" s="231" t="str">
        <f>Suite&amp;" Electrical Room "&amp;SWOne</f>
        <v>G104 Electrical Room XXX</v>
      </c>
      <c r="C275" s="183" t="str">
        <f>"UP"&amp;SWOne</f>
        <v>UPXXX</v>
      </c>
      <c r="D275" s="186" t="str" cm="1">
        <f t="array" ref="D275">"REMOVE the interlock key from the MBUP"&amp;SWOne&amp;" breaker lock cylinder."</f>
        <v>REMOVE the interlock key from the MBUPXXX breaker lock cylinder.</v>
      </c>
      <c r="E275" s="183" t="s">
        <v>1464</v>
      </c>
      <c r="F275" s="193"/>
      <c r="G275" s="193"/>
      <c r="H275" s="135"/>
      <c r="I275" s="135"/>
      <c r="J275" s="135"/>
    </row>
    <row r="276" spans="1:10" ht="37.5" x14ac:dyDescent="0.25">
      <c r="A276" s="200">
        <f t="shared" si="15"/>
        <v>217</v>
      </c>
      <c r="B276" s="231" t="str">
        <f>Suite&amp;" Electrical Room "&amp;SWOne</f>
        <v>G104 Electrical Room XXX</v>
      </c>
      <c r="C276" s="183" t="str">
        <f>"UP"&amp;SWOne</f>
        <v>UPXXX</v>
      </c>
      <c r="D276" s="233" t="s">
        <v>1573</v>
      </c>
      <c r="E276" s="183" t="s">
        <v>1464</v>
      </c>
      <c r="F276" s="193"/>
      <c r="G276" s="193"/>
      <c r="H276" s="135"/>
      <c r="I276" s="135"/>
      <c r="J276" s="135"/>
    </row>
    <row r="277" spans="1:10" ht="37.5" x14ac:dyDescent="0.25">
      <c r="A277" s="200">
        <f t="shared" si="15"/>
        <v>218</v>
      </c>
      <c r="B277" s="231" t="str">
        <f>Suite&amp;" Electrical Room "&amp;SWOne</f>
        <v>G104 Electrical Room XXX</v>
      </c>
      <c r="C277" s="183" t="str">
        <f>"UP"&amp;SWOne</f>
        <v>UPXXX</v>
      </c>
      <c r="D277" s="186" t="s">
        <v>1574</v>
      </c>
      <c r="E277" s="183" t="s">
        <v>1464</v>
      </c>
      <c r="F277" s="193"/>
      <c r="G277" s="193"/>
      <c r="H277" s="135"/>
      <c r="I277" s="135"/>
      <c r="J277" s="135"/>
    </row>
    <row r="278" spans="1:10" ht="37.5" x14ac:dyDescent="0.25">
      <c r="A278" s="200">
        <f t="shared" si="15"/>
        <v>219</v>
      </c>
      <c r="B278" s="231" t="str">
        <f>Suite&amp;" Electrical Room "&amp;SWOne</f>
        <v>G104 Electrical Room XXX</v>
      </c>
      <c r="C278" s="183" t="str">
        <f>"UP"&amp;SWOne</f>
        <v>UPXXX</v>
      </c>
      <c r="D278" s="186" t="s">
        <v>1575</v>
      </c>
      <c r="E278" s="183" t="s">
        <v>1464</v>
      </c>
      <c r="F278" s="193"/>
      <c r="G278" s="193"/>
      <c r="H278" s="135"/>
      <c r="I278" s="135"/>
      <c r="J278" s="135"/>
    </row>
    <row r="279" spans="1:10" ht="37.5" x14ac:dyDescent="0.25">
      <c r="A279" s="200">
        <f t="shared" si="15"/>
        <v>220</v>
      </c>
      <c r="B279" s="231" t="str">
        <f>Suite&amp;" Electrical Room "&amp;SWOne</f>
        <v>G104 Electrical Room XXX</v>
      </c>
      <c r="C279" s="183" t="str">
        <f>"UP"&amp;SWOne</f>
        <v>UPXXX</v>
      </c>
      <c r="D279" s="186" t="s">
        <v>1510</v>
      </c>
      <c r="E279" s="183" t="s">
        <v>1464</v>
      </c>
      <c r="F279" s="193"/>
      <c r="G279" s="193"/>
      <c r="H279" s="135"/>
      <c r="I279" s="135"/>
      <c r="J279" s="135"/>
    </row>
    <row r="280" spans="1:10" x14ac:dyDescent="0.25">
      <c r="A280" s="200">
        <f t="shared" si="15"/>
        <v>221</v>
      </c>
      <c r="B280" s="711" t="str">
        <f>"Transfer UPS System "&amp;SWOne&amp;" to Inverter Service"</f>
        <v>Transfer UPS System XXX to Inverter Service</v>
      </c>
      <c r="C280" s="711"/>
      <c r="D280" s="711"/>
      <c r="E280" s="711"/>
      <c r="F280" s="711"/>
      <c r="G280" s="711"/>
      <c r="H280" s="135"/>
      <c r="I280" s="135"/>
      <c r="J280" s="135"/>
    </row>
    <row r="281" spans="1:10" ht="37.5" x14ac:dyDescent="0.25">
      <c r="A281" s="200">
        <f t="shared" si="15"/>
        <v>222</v>
      </c>
      <c r="B281" s="231" t="str">
        <f>Suite&amp;" Electrical Room "&amp;SWOne</f>
        <v>G104 Electrical Room XXX</v>
      </c>
      <c r="C281" s="183" t="str">
        <f>"UPS "&amp;SWOne&amp;"1"</f>
        <v>UPS XXX1</v>
      </c>
      <c r="D281" s="233" t="str" cm="1">
        <f t="array" ref="D281">"TOUCH the UPS-" &amp; SWOne &amp; "1 module graphic on the UPS display."</f>
        <v>TOUCH the UPS-XXX1 module graphic on the UPS display.</v>
      </c>
      <c r="E281" s="183" t="s">
        <v>1464</v>
      </c>
      <c r="F281" s="193"/>
      <c r="G281" s="193"/>
      <c r="H281" s="135"/>
      <c r="I281" s="135"/>
      <c r="J281" s="135"/>
    </row>
    <row r="282" spans="1:10" ht="37.5" x14ac:dyDescent="0.25">
      <c r="A282" s="200">
        <f t="shared" si="15"/>
        <v>223</v>
      </c>
      <c r="B282" s="231" t="str">
        <f>Suite&amp;" Electrical Room "&amp;SWOne</f>
        <v>G104 Electrical Room XXX</v>
      </c>
      <c r="C282" s="183" t="str">
        <f>"UPS "&amp;SWOne&amp;"1"</f>
        <v>UPS XXX1</v>
      </c>
      <c r="D282" s="233" t="s">
        <v>1560</v>
      </c>
      <c r="E282" s="183" t="s">
        <v>1464</v>
      </c>
      <c r="F282" s="193"/>
      <c r="G282" s="193"/>
      <c r="H282" s="135"/>
      <c r="I282" s="135"/>
      <c r="J282" s="135"/>
    </row>
    <row r="283" spans="1:10" ht="37.5" x14ac:dyDescent="0.25">
      <c r="A283" s="200">
        <f t="shared" si="15"/>
        <v>224</v>
      </c>
      <c r="B283" s="231" t="str">
        <f>Suite&amp;" Electrical Room "&amp;SWOne</f>
        <v>G104 Electrical Room XXX</v>
      </c>
      <c r="C283" s="183" t="str">
        <f>"UPS "&amp;SWOne&amp;"1"</f>
        <v>UPS XXX1</v>
      </c>
      <c r="D283" s="233" t="s">
        <v>1609</v>
      </c>
      <c r="E283" s="183" t="s">
        <v>1464</v>
      </c>
      <c r="F283" s="193"/>
      <c r="G283" s="193"/>
      <c r="H283" s="135"/>
      <c r="I283" s="135"/>
      <c r="J283" s="135"/>
    </row>
    <row r="284" spans="1:10" ht="37.5" x14ac:dyDescent="0.25">
      <c r="A284" s="200">
        <f t="shared" si="15"/>
        <v>225</v>
      </c>
      <c r="B284" s="231" t="str">
        <f>Suite&amp;" Electrical Room "&amp;SWOne</f>
        <v>G104 Electrical Room XXX</v>
      </c>
      <c r="C284" s="183" t="str">
        <f>"UPS "&amp;SWOne&amp;"1"</f>
        <v>UPS XXX1</v>
      </c>
      <c r="D284" s="233" t="s">
        <v>1610</v>
      </c>
      <c r="E284" s="183" t="s">
        <v>1464</v>
      </c>
      <c r="F284" s="193"/>
      <c r="G284" s="193"/>
      <c r="H284" s="135"/>
      <c r="I284" s="135"/>
      <c r="J284" s="135"/>
    </row>
    <row r="285" spans="1:10" ht="37.5" x14ac:dyDescent="0.25">
      <c r="A285" s="200">
        <f t="shared" si="15"/>
        <v>226</v>
      </c>
      <c r="B285" s="231" t="str">
        <f>Suite&amp;" Electrical Room "&amp;SWOne</f>
        <v>G104 Electrical Room XXX</v>
      </c>
      <c r="C285" s="183" t="str">
        <f>"UPS "&amp;SWOne</f>
        <v>UPS XXX</v>
      </c>
      <c r="D285" s="233" t="s">
        <v>1557</v>
      </c>
      <c r="E285" s="183" t="s">
        <v>1464</v>
      </c>
      <c r="F285" s="193"/>
      <c r="G285" s="193"/>
      <c r="H285" s="135"/>
      <c r="I285" s="135"/>
      <c r="J285" s="135"/>
    </row>
    <row r="286" spans="1:10" ht="37.5" x14ac:dyDescent="0.25">
      <c r="A286" s="200">
        <f t="shared" si="15"/>
        <v>227</v>
      </c>
      <c r="B286" s="231" t="str">
        <f>Suite&amp;" Electrical Room "&amp;SWOne</f>
        <v>G104 Electrical Room XXX</v>
      </c>
      <c r="C286" s="183" t="str">
        <f>"UPS "&amp;SWOne&amp;"1"</f>
        <v>UPS XXX1</v>
      </c>
      <c r="D286" s="233" t="s">
        <v>1611</v>
      </c>
      <c r="E286" s="183" t="s">
        <v>1464</v>
      </c>
      <c r="F286" s="193"/>
      <c r="G286" s="193"/>
      <c r="H286" s="135"/>
      <c r="I286" s="135"/>
      <c r="J286" s="135"/>
    </row>
    <row r="287" spans="1:10" ht="37.5" x14ac:dyDescent="0.25">
      <c r="A287" s="200">
        <f t="shared" si="15"/>
        <v>228</v>
      </c>
      <c r="B287" s="231" t="str">
        <f>Suite&amp;" Electrical Room "&amp;SWOne</f>
        <v>G104 Electrical Room XXX</v>
      </c>
      <c r="C287" s="183" t="str">
        <f>"UPS "&amp;SWOne&amp;"2"</f>
        <v>UPS XXX2</v>
      </c>
      <c r="D287" s="233" t="s">
        <v>1611</v>
      </c>
      <c r="E287" s="183" t="s">
        <v>1464</v>
      </c>
      <c r="F287" s="193"/>
      <c r="G287" s="193"/>
      <c r="H287" s="135"/>
      <c r="I287" s="135"/>
      <c r="J287" s="135"/>
    </row>
    <row r="288" spans="1:10" ht="37.5" x14ac:dyDescent="0.25">
      <c r="A288" s="200">
        <f t="shared" si="15"/>
        <v>229</v>
      </c>
      <c r="B288" s="231" t="str">
        <f>Suite&amp;" Electrical Room "&amp;SWOne</f>
        <v>G104 Electrical Room XXX</v>
      </c>
      <c r="C288" s="183" t="s">
        <v>1566</v>
      </c>
      <c r="D288" s="233" t="s">
        <v>1612</v>
      </c>
      <c r="E288" s="183" t="s">
        <v>1464</v>
      </c>
      <c r="F288" s="193"/>
      <c r="G288" s="193"/>
      <c r="H288" s="135"/>
      <c r="I288" s="135"/>
      <c r="J288" s="135"/>
    </row>
    <row r="289" spans="1:10" ht="37.5" x14ac:dyDescent="0.25">
      <c r="A289" s="200">
        <f t="shared" si="15"/>
        <v>230</v>
      </c>
      <c r="B289" s="231" t="str">
        <f>Suite&amp;" Electrical Room "&amp;SWOne</f>
        <v>G104 Electrical Room XXX</v>
      </c>
      <c r="C289" s="183" t="str">
        <f>"UP"&amp;SWOne</f>
        <v>UPXXX</v>
      </c>
      <c r="D289" s="233" t="str" cm="1">
        <f t="array" ref="D289">"NOTATE the kW reading at UP" &amp; SWOne &amp; " Critical Bus Panel Meter: _________"</f>
        <v>NOTATE the kW reading at UPXXX Critical Bus Panel Meter: _________</v>
      </c>
      <c r="E289" s="183" t="s">
        <v>1464</v>
      </c>
      <c r="F289" s="193"/>
      <c r="G289" s="193"/>
      <c r="H289" s="135"/>
      <c r="I289" s="135"/>
      <c r="J289" s="135"/>
    </row>
    <row r="290" spans="1:10" ht="37.5" x14ac:dyDescent="0.25">
      <c r="A290" s="200">
        <f t="shared" si="15"/>
        <v>231</v>
      </c>
      <c r="B290" s="231" t="str">
        <f>Suite&amp;" Electrical Room "&amp;SWOne</f>
        <v>G104 Electrical Room XXX</v>
      </c>
      <c r="C290" s="183" t="str">
        <f>"UP"&amp;SWOne</f>
        <v>UPXXX</v>
      </c>
      <c r="D290" s="233" t="str">
        <f>"VERIFY the readings in step " &amp; A271 &amp; " and " &amp; A289 &amp; " are within 3% of each other. (new kW divided by original kW must be ≤1.03 and ≥0.97)."</f>
        <v>VERIFY the readings in step 212 and 230 are within 3% of each other. (new kW divided by original kW must be ≤1.03 and ≥0.97).</v>
      </c>
      <c r="E290" s="183" t="s">
        <v>1464</v>
      </c>
      <c r="F290" s="193"/>
      <c r="G290" s="193"/>
      <c r="H290" s="165"/>
      <c r="I290" s="165"/>
      <c r="J290" s="165"/>
    </row>
    <row r="291" spans="1:10" ht="37.5" x14ac:dyDescent="0.25">
      <c r="A291" s="200">
        <f t="shared" si="15"/>
        <v>232</v>
      </c>
      <c r="B291" s="183" t="s">
        <v>1462</v>
      </c>
      <c r="C291" s="183" t="s">
        <v>84</v>
      </c>
      <c r="D291" s="252" t="str">
        <f>"Contact the engineer stationed on base to verify no abnormal conditions exist on the suite " &amp; Suite &amp; " electrical systems."</f>
        <v>Contact the engineer stationed on base to verify no abnormal conditions exist on the suite G104 electrical systems.</v>
      </c>
      <c r="E291" s="183" t="s">
        <v>1464</v>
      </c>
      <c r="F291" s="193"/>
      <c r="G291" s="193"/>
      <c r="H291" s="165"/>
      <c r="I291" s="165"/>
      <c r="J291" s="165"/>
    </row>
    <row r="292" spans="1:10" x14ac:dyDescent="0.3">
      <c r="A292" s="253"/>
    </row>
    <row r="304" spans="1:10" x14ac:dyDescent="0.3">
      <c r="A304" s="255"/>
    </row>
    <row r="305" spans="1:1" x14ac:dyDescent="0.3">
      <c r="A305" s="255"/>
    </row>
    <row r="306" spans="1:1" x14ac:dyDescent="0.3">
      <c r="A306" s="255"/>
    </row>
    <row r="307" spans="1:1" x14ac:dyDescent="0.3">
      <c r="A307" s="255"/>
    </row>
    <row r="308" spans="1:1" x14ac:dyDescent="0.3">
      <c r="A308" s="255"/>
    </row>
    <row r="309" spans="1:1" x14ac:dyDescent="0.3">
      <c r="A309" s="255"/>
    </row>
    <row r="310" spans="1:1" x14ac:dyDescent="0.3">
      <c r="A310" s="255"/>
    </row>
    <row r="311" spans="1:1" x14ac:dyDescent="0.3">
      <c r="A311" s="255"/>
    </row>
  </sheetData>
  <sheetProtection formatCells="0" formatColumns="0" formatRows="0" insertRows="0" deleteRows="0" sort="0" autoFilter="0"/>
  <mergeCells count="12">
    <mergeCell ref="A2:B2"/>
    <mergeCell ref="C2:G2"/>
    <mergeCell ref="B280:G280"/>
    <mergeCell ref="A4:C4"/>
    <mergeCell ref="B6:G6"/>
    <mergeCell ref="B8:G8"/>
    <mergeCell ref="B16:G16"/>
    <mergeCell ref="B18:G18"/>
    <mergeCell ref="B31:G31"/>
    <mergeCell ref="B58:G58"/>
    <mergeCell ref="B142:G142"/>
    <mergeCell ref="B249:G249"/>
  </mergeCells>
  <phoneticPr fontId="42" type="noConversion"/>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B0B65-4C7A-48E8-A56D-B694898C45D5}">
  <sheetPr codeName="APC_B">
    <pageSetUpPr fitToPage="1"/>
  </sheetPr>
  <dimension ref="A1:P311"/>
  <sheetViews>
    <sheetView view="pageBreakPreview" topLeftCell="A289" zoomScale="90" zoomScaleNormal="100" zoomScaleSheetLayoutView="90" workbookViewId="0">
      <selection activeCell="A12" sqref="A12:A15"/>
    </sheetView>
  </sheetViews>
  <sheetFormatPr defaultColWidth="8.7109375" defaultRowHeight="18.75" x14ac:dyDescent="0.3"/>
  <cols>
    <col min="1" max="1" width="6.85546875" style="254" customWidth="1"/>
    <col min="2" max="2" width="19.5703125" style="254" customWidth="1"/>
    <col min="3" max="3" width="15.42578125" style="254" customWidth="1"/>
    <col min="4" max="4" width="87.42578125" style="254" customWidth="1"/>
    <col min="5" max="5" width="22.140625" style="254" bestFit="1" customWidth="1"/>
    <col min="6" max="6" width="13.85546875" style="254" bestFit="1" customWidth="1"/>
    <col min="7" max="7" width="10.42578125" style="254" customWidth="1"/>
    <col min="8" max="8" width="7" style="25" customWidth="1"/>
    <col min="9" max="9" width="8" style="25" customWidth="1"/>
    <col min="10" max="10" width="72.28515625" style="25" customWidth="1"/>
    <col min="11" max="16384" width="8.7109375" style="25"/>
  </cols>
  <sheetData>
    <row r="1" spans="1:11" customFormat="1" x14ac:dyDescent="0.25">
      <c r="A1" s="172" t="s">
        <v>1454</v>
      </c>
      <c r="B1" s="172"/>
      <c r="C1" s="173"/>
      <c r="D1" s="173"/>
      <c r="E1" s="173"/>
      <c r="F1" s="173"/>
      <c r="G1" s="173"/>
    </row>
    <row r="2" spans="1:11" customFormat="1" ht="18.75" customHeight="1" x14ac:dyDescent="0.25">
      <c r="A2" s="705" t="s">
        <v>42</v>
      </c>
      <c r="B2" s="705"/>
      <c r="C2" s="708" t="str">
        <f>zTaskName</f>
        <v>Routine Generator run with no load transfer</v>
      </c>
      <c r="D2" s="709"/>
      <c r="E2" s="709"/>
      <c r="F2" s="709"/>
      <c r="G2" s="710"/>
    </row>
    <row r="3" spans="1:11" customFormat="1" ht="9.9499999999999993" customHeight="1" x14ac:dyDescent="0.25">
      <c r="A3" s="459"/>
      <c r="B3" s="460"/>
      <c r="C3" s="461"/>
      <c r="D3" s="461"/>
      <c r="E3" s="461"/>
      <c r="F3" s="461"/>
      <c r="G3" s="462"/>
    </row>
    <row r="4" spans="1:11" customFormat="1" ht="9.9499999999999993" customHeight="1" x14ac:dyDescent="0.25">
      <c r="A4" s="706"/>
      <c r="B4" s="707"/>
      <c r="C4" s="707"/>
      <c r="D4" s="382"/>
      <c r="E4" s="382"/>
      <c r="F4" s="382"/>
      <c r="G4" s="383"/>
      <c r="H4" s="3"/>
      <c r="I4" s="3"/>
    </row>
    <row r="5" spans="1:11" customFormat="1" ht="37.5" x14ac:dyDescent="0.25">
      <c r="A5" s="421" t="s">
        <v>1455</v>
      </c>
      <c r="B5" s="516" t="s">
        <v>8</v>
      </c>
      <c r="C5" s="516" t="s">
        <v>1456</v>
      </c>
      <c r="D5" s="421" t="s">
        <v>1457</v>
      </c>
      <c r="E5" s="516" t="s">
        <v>1458</v>
      </c>
      <c r="F5" s="516" t="s">
        <v>1459</v>
      </c>
      <c r="G5" s="421" t="s">
        <v>1460</v>
      </c>
    </row>
    <row r="6" spans="1:11" customFormat="1" x14ac:dyDescent="0.25">
      <c r="A6" s="200">
        <f>'APC-A'!A291+1</f>
        <v>233</v>
      </c>
      <c r="B6" s="712" t="s">
        <v>1461</v>
      </c>
      <c r="C6" s="712"/>
      <c r="D6" s="712"/>
      <c r="E6" s="712"/>
      <c r="F6" s="712"/>
      <c r="G6" s="712"/>
      <c r="H6" s="135"/>
      <c r="I6" s="135"/>
      <c r="J6" s="135"/>
    </row>
    <row r="7" spans="1:11" customFormat="1" ht="37.5" x14ac:dyDescent="0.25">
      <c r="A7" s="200">
        <f>A6+1</f>
        <v>234</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c r="H7" s="135"/>
      <c r="I7" s="135"/>
      <c r="J7" s="135"/>
    </row>
    <row r="8" spans="1:11" customFormat="1" x14ac:dyDescent="0.25">
      <c r="A8" s="200">
        <f>A7+1</f>
        <v>235</v>
      </c>
      <c r="B8" s="713" t="s">
        <v>1465</v>
      </c>
      <c r="C8" s="713"/>
      <c r="D8" s="713"/>
      <c r="E8" s="713"/>
      <c r="F8" s="713"/>
      <c r="G8" s="713"/>
      <c r="H8" s="135"/>
      <c r="I8" s="135"/>
      <c r="J8" s="135"/>
    </row>
    <row r="9" spans="1:11" customFormat="1" ht="37.5" x14ac:dyDescent="0.25">
      <c r="A9" s="200">
        <f>A8+1</f>
        <v>236</v>
      </c>
      <c r="B9" s="231" t="str">
        <f>Suite&amp;" Electrical Rooms"</f>
        <v>G104 Electrical Rooms</v>
      </c>
      <c r="C9" s="183" t="str">
        <f>Suite&amp;" UPS Systems"</f>
        <v>G104 UPS Systems</v>
      </c>
      <c r="D9" s="252" t="str">
        <f>"VERIFY all "&amp;Suite&amp;" UPS systems are on-line with no critical alarms present."</f>
        <v>VERIFY all G104 UPS systems are on-line with no critical alarms present.</v>
      </c>
      <c r="E9" s="183" t="s">
        <v>1464</v>
      </c>
      <c r="F9" s="193"/>
      <c r="G9" s="193"/>
      <c r="H9" s="135"/>
      <c r="I9" s="135"/>
      <c r="J9" s="135"/>
    </row>
    <row r="10" spans="1:11" customFormat="1" ht="37.5" x14ac:dyDescent="0.25">
      <c r="A10" s="200">
        <f>A9+1</f>
        <v>237</v>
      </c>
      <c r="B10" s="231" t="str">
        <f>Suite&amp;" Electrical Room "&amp;SWTwo</f>
        <v>G104 Electrical Room XXX</v>
      </c>
      <c r="C10" s="183" t="str">
        <f>"UPS "&amp;SWTwo&amp;"1"</f>
        <v>UPS XXX1</v>
      </c>
      <c r="D10" s="252" t="str" cm="1">
        <f t="array" ref="D10">"NOTATE the output kW reading at UPS-" &amp; SWTwo &amp; "1:  ___________"</f>
        <v>NOTATE the output kW reading at UPS-XXX1:  ___________</v>
      </c>
      <c r="E10" s="183" t="s">
        <v>1464</v>
      </c>
      <c r="F10" s="193"/>
      <c r="G10" s="193"/>
      <c r="H10" s="135"/>
      <c r="I10" s="135"/>
      <c r="J10" s="135"/>
    </row>
    <row r="11" spans="1:11" customFormat="1" ht="37.5" x14ac:dyDescent="0.25">
      <c r="A11" s="200">
        <f t="shared" ref="A11:A16" si="0">A10+1</f>
        <v>238</v>
      </c>
      <c r="B11" s="231" t="str">
        <f>Suite&amp;" Electrical Room "&amp;SWTwo</f>
        <v>G104 Electrical Room XXX</v>
      </c>
      <c r="C11" s="183" t="str">
        <f>"UPS "&amp;SWTwo&amp;"2"</f>
        <v>UPS XXX2</v>
      </c>
      <c r="D11" s="252" t="str" cm="1">
        <f t="array" ref="D11">"NOTATE the output kW reading at UPS-" &amp; SWTwo &amp; "2:  ___________"</f>
        <v>NOTATE the output kW reading at UPS-XXX2:  ___________</v>
      </c>
      <c r="E11" s="183" t="s">
        <v>1464</v>
      </c>
      <c r="F11" s="193"/>
      <c r="G11" s="193"/>
      <c r="H11" s="135"/>
      <c r="I11" s="135"/>
      <c r="J11" s="135"/>
    </row>
    <row r="12" spans="1:11" customFormat="1" ht="37.5" x14ac:dyDescent="0.25">
      <c r="A12" s="200">
        <f t="shared" si="0"/>
        <v>239</v>
      </c>
      <c r="B12" s="231" t="str">
        <f>Suite&amp;" Electrical Room "&amp;SWTwo</f>
        <v>G104 Electrical Room XXX</v>
      </c>
      <c r="C12" s="183" t="str">
        <f>"UP"&amp;SWTwo</f>
        <v>UPXXX</v>
      </c>
      <c r="D12" s="252" t="str" cm="1">
        <f t="array" ref="D12">"NOTATE the kW reading at UP" &amp; SWTwo &amp; " Critical Bus Panel Meter: _________"</f>
        <v>NOTATE the kW reading at UPXXX Critical Bus Panel Meter: _________</v>
      </c>
      <c r="E12" s="183" t="s">
        <v>1464</v>
      </c>
      <c r="F12" s="193"/>
      <c r="G12" s="193"/>
      <c r="H12" s="135"/>
      <c r="I12" s="135"/>
      <c r="J12" s="135"/>
    </row>
    <row r="13" spans="1:11" customFormat="1" ht="56.25" x14ac:dyDescent="0.25">
      <c r="A13" s="200">
        <f t="shared" si="0"/>
        <v>240</v>
      </c>
      <c r="B13" s="500" t="str" cm="1">
        <f t="array" ref="B13">Suite &amp; " Electrical Rooms"</f>
        <v>G104 Electrical Rooms</v>
      </c>
      <c r="C13" s="499" t="str" cm="1">
        <f t="array" ref="C13">Suite &amp; " UPS System"</f>
        <v>G104 UPS System</v>
      </c>
      <c r="D13" s="190" t="s">
        <v>4621</v>
      </c>
      <c r="E13" s="499" t="s">
        <v>1464</v>
      </c>
      <c r="F13" s="500"/>
      <c r="G13" s="519"/>
      <c r="K13" s="4"/>
    </row>
    <row r="14" spans="1:11" customFormat="1" ht="37.5" x14ac:dyDescent="0.25">
      <c r="A14" s="200">
        <f t="shared" si="0"/>
        <v>241</v>
      </c>
      <c r="B14" s="500" t="str" cm="1">
        <f t="array" ref="B14">Suite &amp; " Electrical Rooms"</f>
        <v>G104 Electrical Rooms</v>
      </c>
      <c r="C14" s="499" t="str" cm="1">
        <f t="array" ref="C14">Suite &amp; " UPS System"</f>
        <v>G104 UPS System</v>
      </c>
      <c r="D14" s="191" t="str" cm="1">
        <f t="array" ref="D14">"Verify output kW readings on all UPS modules do not exceed " &amp; ROUNDDOWN(IF(POD="DR", (NumberOfSW-1)/NumberOfSW, 0.5)*(UPSkW), 0) &amp; " kW."</f>
        <v>Verify output kW readings on all UPS modules do not exceed 281 kW.</v>
      </c>
      <c r="E14" s="499" t="s">
        <v>1464</v>
      </c>
      <c r="F14" s="500"/>
      <c r="G14" s="519"/>
    </row>
    <row r="15" spans="1:11" customFormat="1" ht="37.5" x14ac:dyDescent="0.25">
      <c r="A15" s="200">
        <f t="shared" si="0"/>
        <v>242</v>
      </c>
      <c r="B15" s="231" t="str">
        <f>Suite&amp;" Electrical Rooms"</f>
        <v>G104 Electrical Rooms</v>
      </c>
      <c r="C15" s="183" t="str">
        <f>Suite&amp;" UPS Systems"</f>
        <v>G104 UPS Systems</v>
      </c>
      <c r="D15" s="184" t="s">
        <v>1559</v>
      </c>
      <c r="E15" s="183" t="s">
        <v>1464</v>
      </c>
      <c r="F15" s="193"/>
      <c r="G15" s="193"/>
      <c r="H15" s="135"/>
      <c r="I15" s="135"/>
      <c r="J15" s="135"/>
    </row>
    <row r="16" spans="1:11" customFormat="1" x14ac:dyDescent="0.25">
      <c r="A16" s="200">
        <f t="shared" si="0"/>
        <v>243</v>
      </c>
      <c r="B16" s="713" t="str">
        <f>"Prepare UP"&amp;SWTwo&amp;" for Transfer to Maintenance Bypass"</f>
        <v>Prepare UPXXX for Transfer to Maintenance Bypass</v>
      </c>
      <c r="C16" s="713"/>
      <c r="D16" s="713"/>
      <c r="E16" s="713"/>
      <c r="F16" s="713"/>
      <c r="G16" s="713"/>
      <c r="H16" s="135"/>
      <c r="I16" s="135"/>
      <c r="J16" s="135"/>
    </row>
    <row r="17" spans="1:10" customFormat="1" ht="37.5" x14ac:dyDescent="0.25">
      <c r="A17" s="200">
        <f>A16+1</f>
        <v>244</v>
      </c>
      <c r="B17" s="231" t="str">
        <f>Suite&amp;" Electrical Room "&amp;SWTwo</f>
        <v>G104 Electrical Room XXX</v>
      </c>
      <c r="C17" s="183" t="str">
        <f>"UP"&amp;SWTwo</f>
        <v>UPXXX</v>
      </c>
      <c r="D17" s="233" t="str" cm="1">
        <f t="array" ref="D17">"Pump the MBUP" &amp; SWTwo &amp; " breaker charging handle repeatedly to compress the charging spring and charge the breaker."</f>
        <v>Pump the MBUPXXX breaker charging handle repeatedly to compress the charging spring and charge the breaker.</v>
      </c>
      <c r="E17" s="183" t="s">
        <v>1464</v>
      </c>
      <c r="F17" s="193"/>
      <c r="G17" s="193"/>
      <c r="H17" s="135"/>
      <c r="I17" s="135"/>
      <c r="J17" s="135"/>
    </row>
    <row r="18" spans="1:10" customFormat="1" x14ac:dyDescent="0.25">
      <c r="A18" s="200">
        <f>A17+1</f>
        <v>245</v>
      </c>
      <c r="B18" s="711" t="str">
        <f>"Transfer UPS System "&amp;SWTwo&amp;" to Static Bypass"</f>
        <v>Transfer UPS System XXX to Static Bypass</v>
      </c>
      <c r="C18" s="711"/>
      <c r="D18" s="711"/>
      <c r="E18" s="711"/>
      <c r="F18" s="711"/>
      <c r="G18" s="711"/>
      <c r="H18" s="135"/>
      <c r="I18" s="135"/>
      <c r="J18" s="135"/>
    </row>
    <row r="19" spans="1:10" customFormat="1" ht="37.5" x14ac:dyDescent="0.25">
      <c r="A19" s="200">
        <f>A18+1</f>
        <v>246</v>
      </c>
      <c r="B19" s="231" t="str">
        <f>Suite&amp;" Electrical Room "&amp;SWTwo</f>
        <v>G104 Electrical Room XXX</v>
      </c>
      <c r="C19" s="183" t="str">
        <f>"UPS "&amp;SWTwo&amp;"1"</f>
        <v>UPS XXX1</v>
      </c>
      <c r="D19" s="233" t="str" cm="1">
        <f t="array" ref="D19">"TOUCH the UPS-" &amp; SWTwo &amp; "1 module graphic on the UPS display."</f>
        <v>TOUCH the UPS-XXX1 module graphic on the UPS display.</v>
      </c>
      <c r="E19" s="183" t="s">
        <v>1464</v>
      </c>
      <c r="F19" s="193"/>
      <c r="G19" s="193"/>
      <c r="H19" s="135"/>
      <c r="I19" s="135"/>
      <c r="J19" s="135"/>
    </row>
    <row r="20" spans="1:10" customFormat="1" ht="37.5" x14ac:dyDescent="0.25">
      <c r="A20" s="200">
        <f t="shared" ref="A20:A77" si="1">A19+1</f>
        <v>247</v>
      </c>
      <c r="B20" s="231" t="str">
        <f>Suite&amp;" Electrical Room "&amp;SWTwo</f>
        <v>G104 Electrical Room XXX</v>
      </c>
      <c r="C20" s="183" t="str">
        <f>"UPS "&amp;SWTwo&amp;"1"</f>
        <v>UPS XXX1</v>
      </c>
      <c r="D20" s="233" t="s">
        <v>1560</v>
      </c>
      <c r="E20" s="183" t="s">
        <v>1464</v>
      </c>
      <c r="F20" s="193"/>
      <c r="G20" s="193"/>
      <c r="H20" s="135"/>
      <c r="I20" s="135"/>
      <c r="J20" s="135"/>
    </row>
    <row r="21" spans="1:10" customFormat="1" ht="37.5" x14ac:dyDescent="0.25">
      <c r="A21" s="200">
        <f t="shared" si="1"/>
        <v>248</v>
      </c>
      <c r="B21" s="231" t="str">
        <f>Suite&amp;" Electrical Room "&amp;SWTwo</f>
        <v>G104 Electrical Room XXX</v>
      </c>
      <c r="C21" s="183" t="str">
        <f>"UPS "&amp;SWTwo&amp;"1"</f>
        <v>UPS XXX1</v>
      </c>
      <c r="D21" s="233" t="s">
        <v>1561</v>
      </c>
      <c r="E21" s="183" t="s">
        <v>1464</v>
      </c>
      <c r="F21" s="193"/>
      <c r="G21" s="193"/>
      <c r="H21" s="135"/>
      <c r="I21" s="135"/>
      <c r="J21" s="135"/>
    </row>
    <row r="22" spans="1:10" customFormat="1" ht="37.5" x14ac:dyDescent="0.25">
      <c r="A22" s="200">
        <f t="shared" si="1"/>
        <v>249</v>
      </c>
      <c r="B22" s="231" t="str">
        <f>Suite&amp;" Electrical Room "&amp;SWTwo</f>
        <v>G104 Electrical Room XXX</v>
      </c>
      <c r="C22" s="183" t="str">
        <f>"UPS "&amp;SWTwo&amp;"1"</f>
        <v>UPS XXX1</v>
      </c>
      <c r="D22" s="233" t="s">
        <v>1562</v>
      </c>
      <c r="E22" s="183" t="s">
        <v>1464</v>
      </c>
      <c r="F22" s="193"/>
      <c r="G22" s="193"/>
      <c r="H22" s="135"/>
      <c r="I22" s="135"/>
      <c r="J22" s="135"/>
    </row>
    <row r="23" spans="1:10" customFormat="1" ht="37.5" x14ac:dyDescent="0.25">
      <c r="A23" s="200">
        <f t="shared" si="1"/>
        <v>250</v>
      </c>
      <c r="B23" s="231" t="str">
        <f>Suite&amp;" Electrical Room "&amp;SWTwo</f>
        <v>G104 Electrical Room XXX</v>
      </c>
      <c r="C23" s="183" t="str">
        <f>"UPS "&amp;SWTwo&amp;"1"</f>
        <v>UPS XXX1</v>
      </c>
      <c r="D23" s="233" t="s">
        <v>1563</v>
      </c>
      <c r="E23" s="183" t="s">
        <v>1464</v>
      </c>
      <c r="F23" s="193"/>
      <c r="G23" s="193"/>
      <c r="H23" s="135"/>
      <c r="I23" s="135"/>
      <c r="J23" s="135"/>
    </row>
    <row r="24" spans="1:10" customFormat="1" ht="37.5" x14ac:dyDescent="0.25">
      <c r="A24" s="200">
        <f t="shared" si="1"/>
        <v>251</v>
      </c>
      <c r="B24" s="231" t="str">
        <f>Suite&amp;" Electrical Room "&amp;SWTwo</f>
        <v>G104 Electrical Room XXX</v>
      </c>
      <c r="C24" s="183" t="str">
        <f>"UPS "&amp;SWTwo&amp;"1"</f>
        <v>UPS XXX1</v>
      </c>
      <c r="D24" s="233" t="s">
        <v>1564</v>
      </c>
      <c r="E24" s="183" t="s">
        <v>1464</v>
      </c>
      <c r="F24" s="193"/>
      <c r="G24" s="193"/>
      <c r="H24" s="135"/>
      <c r="I24" s="135"/>
      <c r="J24" s="135"/>
    </row>
    <row r="25" spans="1:10" customFormat="1" ht="37.5" x14ac:dyDescent="0.25">
      <c r="A25" s="200">
        <f t="shared" si="1"/>
        <v>252</v>
      </c>
      <c r="B25" s="231" t="str">
        <f>Suite&amp;" Electrical Room "&amp;SWTwo</f>
        <v>G104 Electrical Room XXX</v>
      </c>
      <c r="C25" s="183" t="str">
        <f>"UPS "&amp;SWTwo&amp;"1"</f>
        <v>UPS XXX1</v>
      </c>
      <c r="D25" s="233" t="s">
        <v>1565</v>
      </c>
      <c r="E25" s="183" t="s">
        <v>1464</v>
      </c>
      <c r="F25" s="193"/>
      <c r="G25" s="193"/>
      <c r="H25" s="135"/>
      <c r="I25" s="135"/>
      <c r="J25" s="135"/>
    </row>
    <row r="26" spans="1:10" customFormat="1" ht="37.5" x14ac:dyDescent="0.25">
      <c r="A26" s="200">
        <f t="shared" si="1"/>
        <v>253</v>
      </c>
      <c r="B26" s="231" t="str">
        <f>Suite&amp;" Electrical Room "&amp;SWTwo</f>
        <v>G104 Electrical Room XXX</v>
      </c>
      <c r="C26" s="183" t="str">
        <f>"UPS "&amp;SWTwo&amp;"1 &amp; "&amp;SWTwo&amp;"2"</f>
        <v>UPS XXX1 &amp; XXX2</v>
      </c>
      <c r="D26" s="233" t="str" cm="1">
        <f t="array" ref="D26">"UPS-" &amp; SWTwo &amp; "1 and UPS-" &amp; SWTwo &amp; "2 will transfer to Static Bypass."</f>
        <v>UPS-XXX1 and UPS-XXX2 will transfer to Static Bypass.</v>
      </c>
      <c r="E26" s="183" t="s">
        <v>1464</v>
      </c>
      <c r="F26" s="193"/>
      <c r="G26" s="193"/>
      <c r="H26" s="135"/>
      <c r="I26" s="135"/>
      <c r="J26" s="135"/>
    </row>
    <row r="27" spans="1:10" customFormat="1" ht="37.5" x14ac:dyDescent="0.25">
      <c r="A27" s="200">
        <f t="shared" si="1"/>
        <v>254</v>
      </c>
      <c r="B27" s="231" t="str">
        <f>Suite&amp;" Electrical Room "&amp;SWTwo</f>
        <v>G104 Electrical Room XXX</v>
      </c>
      <c r="C27" s="183" t="str">
        <f>"UPS "&amp;SWTwo</f>
        <v>UPS XXX</v>
      </c>
      <c r="D27" s="233" t="s">
        <v>1501</v>
      </c>
      <c r="E27" s="183" t="s">
        <v>1464</v>
      </c>
      <c r="F27" s="193"/>
      <c r="G27" s="193"/>
      <c r="H27" s="135"/>
      <c r="I27" s="135"/>
      <c r="J27" s="135"/>
    </row>
    <row r="28" spans="1:10" customFormat="1" ht="37.5" x14ac:dyDescent="0.25">
      <c r="A28" s="200">
        <f t="shared" si="1"/>
        <v>255</v>
      </c>
      <c r="B28" s="231" t="str">
        <f>Suite&amp;" Electrical Room "&amp;SWTwo</f>
        <v>G104 Electrical Room XXX</v>
      </c>
      <c r="C28" s="183" t="s">
        <v>1566</v>
      </c>
      <c r="D28" s="186" t="s">
        <v>1567</v>
      </c>
      <c r="E28" s="183" t="s">
        <v>1464</v>
      </c>
      <c r="F28" s="193"/>
      <c r="G28" s="193"/>
      <c r="H28" s="135"/>
      <c r="I28" s="135"/>
      <c r="J28" s="135"/>
    </row>
    <row r="29" spans="1:10" customFormat="1" ht="37.5" x14ac:dyDescent="0.25">
      <c r="A29" s="200">
        <f t="shared" si="1"/>
        <v>256</v>
      </c>
      <c r="B29" s="231" t="str">
        <f>Suite&amp;" Electrical Room "&amp;SWTwo</f>
        <v>G104 Electrical Room XXX</v>
      </c>
      <c r="C29" s="183" t="str">
        <f>"UP"&amp;SWTwo</f>
        <v>UPXXX</v>
      </c>
      <c r="D29" s="233" t="str" cm="1">
        <f t="array" ref="D29">"NOTATE the kW reading at UP" &amp; SWTwo &amp; " Critical Bus Panel Meter: _________"</f>
        <v>NOTATE the kW reading at UPXXX Critical Bus Panel Meter: _________</v>
      </c>
      <c r="E29" s="183" t="s">
        <v>1464</v>
      </c>
      <c r="F29" s="193"/>
      <c r="G29" s="193"/>
      <c r="H29" s="135"/>
      <c r="I29" s="135"/>
      <c r="J29" s="135"/>
    </row>
    <row r="30" spans="1:10" customFormat="1" ht="37.5" x14ac:dyDescent="0.25">
      <c r="A30" s="200">
        <f t="shared" si="1"/>
        <v>257</v>
      </c>
      <c r="B30" s="231" t="str">
        <f>Suite&amp;" Electrical Room "&amp;SWTwo</f>
        <v>G104 Electrical Room XXX</v>
      </c>
      <c r="C30" s="183" t="str">
        <f>"UP"&amp;SWTwo</f>
        <v>UPXXX</v>
      </c>
      <c r="D30" s="233" t="str">
        <f>"VERIFY the readings in step " &amp; A12 &amp; " and " &amp; A29 &amp; " are within 3% of each other. (new kW divided by original kW must be ≤1.03 and ≥0.97)."</f>
        <v>VERIFY the readings in step 239 and 256 are within 3% of each other. (new kW divided by original kW must be ≤1.03 and ≥0.97).</v>
      </c>
      <c r="E30" s="183" t="s">
        <v>1464</v>
      </c>
      <c r="F30" s="193"/>
      <c r="G30" s="193"/>
      <c r="H30" s="135"/>
      <c r="I30" s="135"/>
      <c r="J30" s="135"/>
    </row>
    <row r="31" spans="1:10" customFormat="1" x14ac:dyDescent="0.25">
      <c r="A31" s="200">
        <f t="shared" si="1"/>
        <v>258</v>
      </c>
      <c r="B31" s="711" t="s">
        <v>1502</v>
      </c>
      <c r="C31" s="711"/>
      <c r="D31" s="711"/>
      <c r="E31" s="711"/>
      <c r="F31" s="711"/>
      <c r="G31" s="711"/>
      <c r="H31" s="135"/>
      <c r="I31" s="135"/>
      <c r="J31" s="135"/>
    </row>
    <row r="32" spans="1:10" customFormat="1" ht="37.5" x14ac:dyDescent="0.25">
      <c r="A32" s="200">
        <f t="shared" si="1"/>
        <v>259</v>
      </c>
      <c r="B32" s="231" t="str">
        <f>Suite&amp;" Electrical Room "&amp;SWTwo</f>
        <v>G104 Electrical Room XXX</v>
      </c>
      <c r="C32" s="183" t="str">
        <f>"UP"&amp;SWTwo</f>
        <v>UPXXX</v>
      </c>
      <c r="D32" s="233" t="s">
        <v>1568</v>
      </c>
      <c r="E32" s="183" t="s">
        <v>1464</v>
      </c>
      <c r="F32" s="193"/>
      <c r="G32" s="193"/>
      <c r="H32" s="135"/>
      <c r="I32" s="135"/>
      <c r="J32" s="135"/>
    </row>
    <row r="33" spans="1:10" customFormat="1" ht="37.5" x14ac:dyDescent="0.25">
      <c r="A33" s="200">
        <f t="shared" si="1"/>
        <v>260</v>
      </c>
      <c r="B33" s="231" t="str">
        <f>Suite&amp;" Electrical Room "&amp;SWTwo</f>
        <v>G104 Electrical Room XXX</v>
      </c>
      <c r="C33" s="183" t="str">
        <f>"UP"&amp;SWTwo</f>
        <v>UPXXX</v>
      </c>
      <c r="D33" s="186" t="s">
        <v>1569</v>
      </c>
      <c r="E33" s="183" t="s">
        <v>1464</v>
      </c>
      <c r="F33" s="193"/>
      <c r="G33" s="193"/>
      <c r="H33" s="135"/>
      <c r="I33" s="135"/>
      <c r="J33" s="135"/>
    </row>
    <row r="34" spans="1:10" customFormat="1" ht="37.5" x14ac:dyDescent="0.25">
      <c r="A34" s="200">
        <f t="shared" si="1"/>
        <v>261</v>
      </c>
      <c r="B34" s="231" t="str">
        <f>Suite&amp;" Electrical Room "&amp;SWTwo</f>
        <v>G104 Electrical Room XXX</v>
      </c>
      <c r="C34" s="183" t="str">
        <f>"UP"&amp;SWTwo</f>
        <v>UPXXX</v>
      </c>
      <c r="D34" s="186" t="s">
        <v>1570</v>
      </c>
      <c r="E34" s="183" t="s">
        <v>1464</v>
      </c>
      <c r="F34" s="193"/>
      <c r="G34" s="193"/>
      <c r="H34" s="135"/>
      <c r="I34" s="135"/>
      <c r="J34" s="135"/>
    </row>
    <row r="35" spans="1:10" customFormat="1" ht="37.5" x14ac:dyDescent="0.25">
      <c r="A35" s="200">
        <f t="shared" si="1"/>
        <v>262</v>
      </c>
      <c r="B35" s="231" t="str">
        <f>Suite&amp;" Electrical Room "&amp;SWTwo</f>
        <v>G104 Electrical Room XXX</v>
      </c>
      <c r="C35" s="183" t="str">
        <f>"UP"&amp;SWTwo</f>
        <v>UPXXX</v>
      </c>
      <c r="D35" s="233" t="str" cm="1">
        <f t="array" ref="D35">"INSERT the interlock key into the MBUP" &amp; SWTwo &amp; " breaker lock cylinder."</f>
        <v>INSERT the interlock key into the MBUPXXX breaker lock cylinder.</v>
      </c>
      <c r="E35" s="183" t="s">
        <v>1464</v>
      </c>
      <c r="F35" s="193"/>
      <c r="G35" s="193"/>
      <c r="H35" s="135"/>
      <c r="I35" s="135"/>
      <c r="J35" s="135"/>
    </row>
    <row r="36" spans="1:10" customFormat="1" ht="37.5" x14ac:dyDescent="0.25">
      <c r="A36" s="200">
        <f t="shared" si="1"/>
        <v>263</v>
      </c>
      <c r="B36" s="231" t="str">
        <f>Suite&amp;" Electrical Room "&amp;SWTwo</f>
        <v>G104 Electrical Room XXX</v>
      </c>
      <c r="C36" s="183" t="str">
        <f>"UP"&amp;SWTwo</f>
        <v>UPXXX</v>
      </c>
      <c r="D36" s="186" t="str" cm="1">
        <f t="array" ref="D36">"ROTATE the interlock key 90 degrees to UNLOCK the MBUP" &amp; SWTwo &amp; " breaker."</f>
        <v>ROTATE the interlock key 90 degrees to UNLOCK the MBUPXXX breaker.</v>
      </c>
      <c r="E36" s="183" t="s">
        <v>1464</v>
      </c>
      <c r="F36" s="193"/>
      <c r="G36" s="193"/>
      <c r="H36" s="135"/>
      <c r="I36" s="135"/>
      <c r="J36" s="135"/>
    </row>
    <row r="37" spans="1:10" customFormat="1" ht="37.5" x14ac:dyDescent="0.25">
      <c r="A37" s="200">
        <f t="shared" si="1"/>
        <v>264</v>
      </c>
      <c r="B37" s="231" t="str">
        <f>Suite&amp;" Electrical Room "&amp;SWTwo</f>
        <v>G104 Electrical Room XXX</v>
      </c>
      <c r="C37" s="183" t="str">
        <f>"UP"&amp;SWTwo</f>
        <v>UPXXX</v>
      </c>
      <c r="D37" s="233" t="str" cm="1">
        <f t="array" ref="D37">"Close breaker MBUP" &amp; SWTwo &amp; "."</f>
        <v>Close breaker MBUPXXX.</v>
      </c>
      <c r="E37" s="183" t="s">
        <v>1464</v>
      </c>
      <c r="F37" s="193"/>
      <c r="G37" s="193"/>
      <c r="H37" s="135"/>
      <c r="I37" s="135"/>
      <c r="J37" s="135"/>
    </row>
    <row r="38" spans="1:10" customFormat="1" ht="37.5" x14ac:dyDescent="0.25">
      <c r="A38" s="200">
        <f t="shared" si="1"/>
        <v>265</v>
      </c>
      <c r="B38" s="231" t="str">
        <f>Suite&amp;" Electrical Room "&amp;SWTwo</f>
        <v>G104 Electrical Room XXX</v>
      </c>
      <c r="C38" s="183" t="str">
        <f>"UP"&amp;SWTwo</f>
        <v>UPXXX</v>
      </c>
      <c r="D38" s="186" t="str" cm="1">
        <f t="array" ref="D38">"VERIFY MBUP" &amp; SWTwo &amp; " breaker flag indicates CLOSED."</f>
        <v>VERIFY MBUPXXX breaker flag indicates CLOSED.</v>
      </c>
      <c r="E38" s="183" t="s">
        <v>1464</v>
      </c>
      <c r="F38" s="193"/>
      <c r="G38" s="193"/>
      <c r="H38" s="135"/>
      <c r="I38" s="135"/>
      <c r="J38" s="135"/>
    </row>
    <row r="39" spans="1:10" customFormat="1" ht="37.5" x14ac:dyDescent="0.25">
      <c r="A39" s="200">
        <f t="shared" si="1"/>
        <v>266</v>
      </c>
      <c r="B39" s="231" t="str">
        <f>Suite&amp;" Electrical Room "&amp;SWTwo</f>
        <v>G104 Electrical Room XXX</v>
      </c>
      <c r="C39" s="183" t="str">
        <f>"UP"&amp;SWTwo</f>
        <v>UPXXX</v>
      </c>
      <c r="D39" s="233" t="str" cm="1">
        <f t="array" ref="D39">"VERIFY breaker MBUP" &amp; SWTwo &amp; " is carrying a portion of critical customer load using breaker mounted metering."</f>
        <v>VERIFY breaker MBUPXXX is carrying a portion of critical customer load using breaker mounted metering.</v>
      </c>
      <c r="E39" s="183" t="s">
        <v>1464</v>
      </c>
      <c r="F39" s="193"/>
      <c r="G39" s="193"/>
      <c r="H39" s="135"/>
      <c r="I39" s="135"/>
      <c r="J39" s="135"/>
    </row>
    <row r="40" spans="1:10" customFormat="1" ht="37.5" x14ac:dyDescent="0.25">
      <c r="A40" s="200">
        <f t="shared" si="1"/>
        <v>267</v>
      </c>
      <c r="B40" s="231" t="str">
        <f>Suite&amp;" Electrical Room "&amp;SWTwo</f>
        <v>G104 Electrical Room XXX</v>
      </c>
      <c r="C40" s="183" t="str">
        <f>"UP"&amp;SWTwo</f>
        <v>UPXXX</v>
      </c>
      <c r="D40" s="233" t="str" cm="1">
        <f t="array" ref="D40">"VERIFY breaker MCBUP" &amp; SWTwo &amp; " is carrying a portion of critical customer load using breaker mounted metering."</f>
        <v>VERIFY breaker MCBUPXXX is carrying a portion of critical customer load using breaker mounted metering.</v>
      </c>
      <c r="E40" s="183" t="s">
        <v>1464</v>
      </c>
      <c r="F40" s="193"/>
      <c r="G40" s="193"/>
      <c r="H40" s="135"/>
      <c r="I40" s="135"/>
      <c r="J40" s="135"/>
    </row>
    <row r="41" spans="1:10" customFormat="1" ht="37.5" x14ac:dyDescent="0.25">
      <c r="A41" s="200">
        <f t="shared" si="1"/>
        <v>268</v>
      </c>
      <c r="B41" s="231" t="str">
        <f>Suite&amp;" Electrical Room "&amp;SWTwo</f>
        <v>G104 Electrical Room XXX</v>
      </c>
      <c r="C41" s="183" t="str">
        <f>"UP"&amp;SWTwo</f>
        <v>UPXXX</v>
      </c>
      <c r="D41" s="233" t="str" cm="1">
        <f t="array" ref="D41">"NOTATE the kW reading at UP" &amp; SWTwo &amp; " Critical Bus Panel Meter: _________"</f>
        <v>NOTATE the kW reading at UPXXX Critical Bus Panel Meter: _________</v>
      </c>
      <c r="E41" s="183" t="s">
        <v>1464</v>
      </c>
      <c r="F41" s="193"/>
      <c r="G41" s="193"/>
      <c r="H41" s="135"/>
      <c r="I41" s="135"/>
      <c r="J41" s="135"/>
    </row>
    <row r="42" spans="1:10" customFormat="1" ht="37.5" x14ac:dyDescent="0.25">
      <c r="A42" s="200">
        <f t="shared" si="1"/>
        <v>269</v>
      </c>
      <c r="B42" s="231" t="str">
        <f>Suite&amp;" Electrical Room "&amp;SWTwo</f>
        <v>G104 Electrical Room XXX</v>
      </c>
      <c r="C42" s="183" t="str">
        <f>"UP"&amp;SWTwo</f>
        <v>UPXXX</v>
      </c>
      <c r="D42" s="233" t="str">
        <f>"VERIFY the readings in step " &amp; A29 &amp; " and " &amp; A41 &amp; " are within 3% of each other. (new kW divided by original kW must be ≤1.03 and ≥0.97)."</f>
        <v>VERIFY the readings in step 256 and 268 are within 3% of each other. (new kW divided by original kW must be ≤1.03 and ≥0.97).</v>
      </c>
      <c r="E42" s="183" t="s">
        <v>1464</v>
      </c>
      <c r="F42" s="193"/>
      <c r="G42" s="193"/>
      <c r="H42" s="135"/>
      <c r="I42" s="135"/>
      <c r="J42" s="135"/>
    </row>
    <row r="43" spans="1:10" customFormat="1" ht="37.5" x14ac:dyDescent="0.25">
      <c r="A43" s="200">
        <f t="shared" si="1"/>
        <v>270</v>
      </c>
      <c r="B43" s="231" t="str">
        <f>Suite&amp;" Electrical Room "&amp;SWTwo</f>
        <v>G104 Electrical Room XXX</v>
      </c>
      <c r="C43" s="183" t="s">
        <v>1566</v>
      </c>
      <c r="D43" s="186" t="s">
        <v>1571</v>
      </c>
      <c r="E43" s="183" t="s">
        <v>1464</v>
      </c>
      <c r="F43" s="193"/>
      <c r="G43" s="193"/>
      <c r="H43" s="135"/>
      <c r="I43" s="135"/>
      <c r="J43" s="135"/>
    </row>
    <row r="44" spans="1:10" customFormat="1" ht="37.5" x14ac:dyDescent="0.25">
      <c r="A44" s="200">
        <f t="shared" si="1"/>
        <v>271</v>
      </c>
      <c r="B44" s="231" t="str">
        <f>Suite&amp;" Electrical Room "&amp;SWTwo</f>
        <v>G104 Electrical Room XXX</v>
      </c>
      <c r="C44" s="183" t="str">
        <f>"UP"&amp;SWTwo</f>
        <v>UPXXX</v>
      </c>
      <c r="D44" s="233" t="str" cm="1">
        <f t="array" ref="D44">"Pump the MCBUP" &amp; SWTwo &amp; " breaker charging handle repeatedly to compress the charging spring and charge the breaker."</f>
        <v>Pump the MCBUPXXX breaker charging handle repeatedly to compress the charging spring and charge the breaker.</v>
      </c>
      <c r="E44" s="183" t="s">
        <v>1464</v>
      </c>
      <c r="F44" s="193"/>
      <c r="G44" s="193"/>
      <c r="H44" s="135"/>
      <c r="I44" s="135"/>
      <c r="J44" s="135"/>
    </row>
    <row r="45" spans="1:10" customFormat="1" ht="56.25" x14ac:dyDescent="0.25">
      <c r="A45" s="200">
        <f t="shared" si="1"/>
        <v>272</v>
      </c>
      <c r="B45" s="231" t="str">
        <f>Suite&amp;" Electrical Room "&amp;SWTwo</f>
        <v>G104 Electrical Room XXX</v>
      </c>
      <c r="C45" s="183" t="str">
        <f>"UP"&amp;SWTwo</f>
        <v>UPXXX</v>
      </c>
      <c r="D45" s="233" t="str" cm="1">
        <f t="array" ref="D45">"Note: If breaker MCBUP" &amp; SWTwo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c r="H45" s="135"/>
      <c r="I45" s="135"/>
      <c r="J45" s="135"/>
    </row>
    <row r="46" spans="1:10" customFormat="1" ht="37.5" x14ac:dyDescent="0.25">
      <c r="A46" s="200">
        <f t="shared" si="1"/>
        <v>273</v>
      </c>
      <c r="B46" s="231" t="str">
        <f>Suite&amp;" Electrical Room "&amp;SWTwo</f>
        <v>G104 Electrical Room XXX</v>
      </c>
      <c r="C46" s="183" t="str">
        <f>"UP"&amp;SWTwo</f>
        <v>UPXXX</v>
      </c>
      <c r="D46" s="233" t="str" cm="1">
        <f t="array" ref="D46">"OPEN breaker MCBUP" &amp; SWTwo &amp; "."</f>
        <v>OPEN breaker MCBUPXXX.</v>
      </c>
      <c r="E46" s="183" t="s">
        <v>1464</v>
      </c>
      <c r="F46" s="193"/>
      <c r="G46" s="193"/>
      <c r="H46" s="135"/>
      <c r="I46" s="135"/>
      <c r="J46" s="135"/>
    </row>
    <row r="47" spans="1:10" customFormat="1" ht="37.5" x14ac:dyDescent="0.25">
      <c r="A47" s="200">
        <f t="shared" si="1"/>
        <v>274</v>
      </c>
      <c r="B47" s="231" t="str">
        <f>Suite&amp;" Electrical Room "&amp;SWTwo</f>
        <v>G104 Electrical Room XXX</v>
      </c>
      <c r="C47" s="183" t="str">
        <f>"UP"&amp;SWTwo</f>
        <v>UPXXX</v>
      </c>
      <c r="D47" s="233" t="s">
        <v>1506</v>
      </c>
      <c r="E47" s="183" t="s">
        <v>1464</v>
      </c>
      <c r="F47" s="193"/>
      <c r="G47" s="193"/>
      <c r="H47" s="135"/>
      <c r="I47" s="135"/>
      <c r="J47" s="135"/>
    </row>
    <row r="48" spans="1:10" customFormat="1" ht="37.5" x14ac:dyDescent="0.25">
      <c r="A48" s="200">
        <f t="shared" si="1"/>
        <v>275</v>
      </c>
      <c r="B48" s="231" t="str">
        <f>Suite&amp;" Electrical Room "&amp;SWTwo</f>
        <v>G104 Electrical Room XXX</v>
      </c>
      <c r="C48" s="183" t="str">
        <f>"UP"&amp;SWTwo</f>
        <v>UPXXX</v>
      </c>
      <c r="D48" s="186" t="str" cm="1">
        <f t="array" ref="D48">"VERIFY MCBUP" &amp; SWTwo &amp; " breaker flag indicates OPEN."</f>
        <v>VERIFY MCBUPXXX breaker flag indicates OPEN.</v>
      </c>
      <c r="E48" s="183" t="s">
        <v>1464</v>
      </c>
      <c r="F48" s="193"/>
      <c r="G48" s="193"/>
      <c r="H48" s="135"/>
      <c r="I48" s="135"/>
      <c r="J48" s="135"/>
    </row>
    <row r="49" spans="1:10" customFormat="1" ht="37.5" x14ac:dyDescent="0.25">
      <c r="A49" s="200">
        <f t="shared" si="1"/>
        <v>276</v>
      </c>
      <c r="B49" s="231" t="str">
        <f>Suite&amp;" Electrical Room "&amp;SWTwo</f>
        <v>G104 Electrical Room XXX</v>
      </c>
      <c r="C49" s="183" t="str">
        <f>"UP"&amp;SWTwo</f>
        <v>UPXXX</v>
      </c>
      <c r="D49" s="233" t="str" cm="1">
        <f t="array" ref="D49">"NOTATE the kW reading at UP" &amp; SWTwo &amp; " Critical Bus Panel Meter: _________"</f>
        <v>NOTATE the kW reading at UPXXX Critical Bus Panel Meter: _________</v>
      </c>
      <c r="E49" s="183" t="s">
        <v>1464</v>
      </c>
      <c r="F49" s="193"/>
      <c r="G49" s="193"/>
      <c r="H49" s="135"/>
      <c r="I49" s="135"/>
      <c r="J49" s="135"/>
    </row>
    <row r="50" spans="1:10" customFormat="1" ht="37.5" x14ac:dyDescent="0.25">
      <c r="A50" s="200">
        <f t="shared" si="1"/>
        <v>277</v>
      </c>
      <c r="B50" s="231" t="str">
        <f>Suite&amp;" Electrical Room "&amp;SWTwo</f>
        <v>G104 Electrical Room XXX</v>
      </c>
      <c r="C50" s="183" t="str">
        <f>"UP"&amp;SWTwo</f>
        <v>UPXXX</v>
      </c>
      <c r="D50" s="233" t="str">
        <f>"VERIFY the readings in step " &amp; A41 &amp; " and " &amp; A49 &amp; " are within 3% of each other. (new kW divided by original kW must be ≤1.03 and ≥0.97)."</f>
        <v>VERIFY the readings in step 268 and 276 are within 3% of each other. (new kW divided by original kW must be ≤1.03 and ≥0.97).</v>
      </c>
      <c r="E50" s="183" t="s">
        <v>1464</v>
      </c>
      <c r="F50" s="193"/>
      <c r="G50" s="193"/>
      <c r="H50" s="135"/>
      <c r="I50" s="135"/>
      <c r="J50" s="135"/>
    </row>
    <row r="51" spans="1:10" customFormat="1" ht="37.5" x14ac:dyDescent="0.25">
      <c r="A51" s="200">
        <f t="shared" si="1"/>
        <v>278</v>
      </c>
      <c r="B51" s="231" t="str">
        <f>Suite&amp;" Electrical Room "&amp;SWTwo</f>
        <v>G104 Electrical Room XXX</v>
      </c>
      <c r="C51" s="183" t="s">
        <v>1566</v>
      </c>
      <c r="D51" s="233" t="s">
        <v>1572</v>
      </c>
      <c r="E51" s="183" t="s">
        <v>1464</v>
      </c>
      <c r="F51" s="193"/>
      <c r="G51" s="193"/>
      <c r="H51" s="135"/>
      <c r="I51" s="135"/>
      <c r="J51" s="135"/>
    </row>
    <row r="52" spans="1:10" customFormat="1" ht="37.5" x14ac:dyDescent="0.25">
      <c r="A52" s="200">
        <f t="shared" si="1"/>
        <v>279</v>
      </c>
      <c r="B52" s="231" t="str">
        <f>Suite&amp;" Electrical Room "&amp;SWTwo</f>
        <v>G104 Electrical Room XXX</v>
      </c>
      <c r="C52" s="183" t="str">
        <f>"UP"&amp;SWTwo</f>
        <v>UPXXX</v>
      </c>
      <c r="D52" s="186" t="str" cm="1">
        <f t="array" ref="D52">"ROTATE the interlock key 90 degrees to LOCK the MCBUP"&amp;SWTwo&amp;" breaker."</f>
        <v>ROTATE the interlock key 90 degrees to LOCK the MCBUPXXX breaker.</v>
      </c>
      <c r="E52" s="183" t="s">
        <v>1464</v>
      </c>
      <c r="F52" s="193"/>
      <c r="G52" s="193"/>
      <c r="H52" s="135"/>
      <c r="I52" s="135"/>
      <c r="J52" s="135"/>
    </row>
    <row r="53" spans="1:10" customFormat="1" ht="37.5" x14ac:dyDescent="0.25">
      <c r="A53" s="200">
        <f t="shared" si="1"/>
        <v>280</v>
      </c>
      <c r="B53" s="231" t="str">
        <f>Suite&amp;" Electrical Room "&amp;SWTwo</f>
        <v>G104 Electrical Room XXX</v>
      </c>
      <c r="C53" s="183" t="str">
        <f>"UP"&amp;SWTwo</f>
        <v>UPXXX</v>
      </c>
      <c r="D53" s="186" t="str" cm="1">
        <f t="array" ref="D53">"REMOVE the interlock key from the MCBUP"&amp;SWTwo&amp;" breaker lock cylinder."</f>
        <v>REMOVE the interlock key from the MCBUPXXX breaker lock cylinder.</v>
      </c>
      <c r="E53" s="183" t="s">
        <v>1464</v>
      </c>
      <c r="F53" s="193"/>
      <c r="G53" s="193"/>
      <c r="H53" s="135"/>
      <c r="I53" s="135"/>
      <c r="J53" s="135"/>
    </row>
    <row r="54" spans="1:10" customFormat="1" ht="37.5" x14ac:dyDescent="0.25">
      <c r="A54" s="200">
        <f t="shared" si="1"/>
        <v>281</v>
      </c>
      <c r="B54" s="231" t="str">
        <f>Suite&amp;" Electrical Room "&amp;SWTwo</f>
        <v>G104 Electrical Room XXX</v>
      </c>
      <c r="C54" s="183" t="str">
        <f>"UP"&amp;SWTwo</f>
        <v>UPXXX</v>
      </c>
      <c r="D54" s="233" t="s">
        <v>1573</v>
      </c>
      <c r="E54" s="183" t="s">
        <v>1464</v>
      </c>
      <c r="F54" s="193"/>
      <c r="G54" s="193"/>
      <c r="H54" s="135"/>
      <c r="I54" s="135"/>
      <c r="J54" s="135"/>
    </row>
    <row r="55" spans="1:10" customFormat="1" ht="37.5" x14ac:dyDescent="0.25">
      <c r="A55" s="200">
        <f t="shared" si="1"/>
        <v>282</v>
      </c>
      <c r="B55" s="231" t="str">
        <f>Suite&amp;" Electrical Room "&amp;SWTwo</f>
        <v>G104 Electrical Room XXX</v>
      </c>
      <c r="C55" s="183" t="str">
        <f>"UP"&amp;SWTwo</f>
        <v>UPXXX</v>
      </c>
      <c r="D55" s="186" t="s">
        <v>1574</v>
      </c>
      <c r="E55" s="183" t="s">
        <v>1464</v>
      </c>
      <c r="F55" s="193"/>
      <c r="G55" s="193"/>
      <c r="H55" s="135"/>
      <c r="I55" s="135"/>
      <c r="J55" s="135"/>
    </row>
    <row r="56" spans="1:10" customFormat="1" ht="37.5" x14ac:dyDescent="0.25">
      <c r="A56" s="200">
        <f t="shared" si="1"/>
        <v>283</v>
      </c>
      <c r="B56" s="231" t="str">
        <f>Suite&amp;" Electrical Room "&amp;SWTwo</f>
        <v>G104 Electrical Room XXX</v>
      </c>
      <c r="C56" s="183" t="str">
        <f>"UP"&amp;SWTwo</f>
        <v>UPXXX</v>
      </c>
      <c r="D56" s="186" t="s">
        <v>1575</v>
      </c>
      <c r="E56" s="183" t="s">
        <v>1464</v>
      </c>
      <c r="F56" s="193"/>
      <c r="G56" s="193"/>
      <c r="H56" s="135"/>
      <c r="I56" s="135"/>
      <c r="J56" s="135"/>
    </row>
    <row r="57" spans="1:10" customFormat="1" ht="37.5" x14ac:dyDescent="0.25">
      <c r="A57" s="200">
        <f t="shared" si="1"/>
        <v>284</v>
      </c>
      <c r="B57" s="231" t="str">
        <f>Suite&amp;" Electrical Room "&amp;SWTwo</f>
        <v>G104 Electrical Room XXX</v>
      </c>
      <c r="C57" s="183" t="str">
        <f>"UP"&amp;SWTwo</f>
        <v>UPXXX</v>
      </c>
      <c r="D57" s="186" t="s">
        <v>1510</v>
      </c>
      <c r="E57" s="183" t="s">
        <v>1464</v>
      </c>
      <c r="F57" s="193"/>
      <c r="G57" s="193"/>
      <c r="H57" s="135"/>
      <c r="I57" s="135"/>
      <c r="J57" s="135"/>
    </row>
    <row r="58" spans="1:10" customFormat="1" x14ac:dyDescent="0.25">
      <c r="A58" s="200">
        <f t="shared" si="1"/>
        <v>285</v>
      </c>
      <c r="B58" s="711" t="str">
        <f>"Shut Down UPS System "&amp;SWTwo</f>
        <v>Shut Down UPS System XXX</v>
      </c>
      <c r="C58" s="711"/>
      <c r="D58" s="711"/>
      <c r="E58" s="711"/>
      <c r="F58" s="711"/>
      <c r="G58" s="711"/>
      <c r="H58" s="135"/>
      <c r="I58" s="135"/>
      <c r="J58" s="135"/>
    </row>
    <row r="59" spans="1:10" customFormat="1" ht="37.5" x14ac:dyDescent="0.25">
      <c r="A59" s="200">
        <f t="shared" si="1"/>
        <v>286</v>
      </c>
      <c r="B59" s="231" t="str">
        <f>Suite&amp;" Electrical Room "&amp;SWTwo</f>
        <v>G104 Electrical Room XXX</v>
      </c>
      <c r="C59" s="183" t="str">
        <f>"UPS "&amp;SWTwo&amp;"1"</f>
        <v>UPS XXX1</v>
      </c>
      <c r="D59" s="233" t="s">
        <v>1576</v>
      </c>
      <c r="E59" s="183" t="s">
        <v>1464</v>
      </c>
      <c r="F59" s="193"/>
      <c r="G59" s="193"/>
      <c r="H59" s="135"/>
      <c r="I59" s="135"/>
      <c r="J59" s="135"/>
    </row>
    <row r="60" spans="1:10" customFormat="1" ht="37.5" x14ac:dyDescent="0.25">
      <c r="A60" s="200">
        <f t="shared" si="1"/>
        <v>287</v>
      </c>
      <c r="B60" s="231" t="str">
        <f>Suite&amp;" Electrical Room "&amp;SWTwo</f>
        <v>G104 Electrical Room XXX</v>
      </c>
      <c r="C60" s="183" t="str">
        <f>"UPS "&amp;SWTwo&amp;"1"</f>
        <v>UPS XXX1</v>
      </c>
      <c r="D60" s="233" t="s">
        <v>1577</v>
      </c>
      <c r="E60" s="183" t="s">
        <v>1464</v>
      </c>
      <c r="F60" s="193"/>
      <c r="G60" s="193"/>
      <c r="H60" s="135"/>
      <c r="I60" s="135"/>
      <c r="J60" s="135"/>
    </row>
    <row r="61" spans="1:10" customFormat="1" ht="37.5" x14ac:dyDescent="0.25">
      <c r="A61" s="200">
        <f t="shared" si="1"/>
        <v>288</v>
      </c>
      <c r="B61" s="231" t="str">
        <f>Suite&amp;" Electrical Room "&amp;SWTwo</f>
        <v>G104 Electrical Room XXX</v>
      </c>
      <c r="C61" s="183" t="s">
        <v>1566</v>
      </c>
      <c r="D61" s="233" t="s">
        <v>1578</v>
      </c>
      <c r="E61" s="183" t="s">
        <v>1464</v>
      </c>
      <c r="F61" s="193"/>
      <c r="G61" s="193"/>
      <c r="H61" s="135"/>
      <c r="I61" s="135"/>
      <c r="J61" s="135"/>
    </row>
    <row r="62" spans="1:10" customFormat="1" ht="37.5" x14ac:dyDescent="0.25">
      <c r="A62" s="200">
        <f t="shared" si="1"/>
        <v>289</v>
      </c>
      <c r="B62" s="231" t="str">
        <f>Suite&amp;" Electrical Room "&amp;SWTwo</f>
        <v>G104 Electrical Room XXX</v>
      </c>
      <c r="C62" s="183" t="str">
        <f>"UP"&amp;SWTwo</f>
        <v>UPXXX</v>
      </c>
      <c r="D62" s="233" t="str" cm="1">
        <f t="array" ref="D62">"OPEN breaker DP-" &amp; SWTwo &amp; "1."</f>
        <v>OPEN breaker DP-XXX1.</v>
      </c>
      <c r="E62" s="183" t="s">
        <v>1464</v>
      </c>
      <c r="F62" s="193"/>
      <c r="G62" s="193"/>
      <c r="H62" s="135"/>
      <c r="I62" s="135"/>
      <c r="J62" s="135"/>
    </row>
    <row r="63" spans="1:10" customFormat="1" ht="37.5" x14ac:dyDescent="0.25">
      <c r="A63" s="200">
        <f t="shared" si="1"/>
        <v>290</v>
      </c>
      <c r="B63" s="231" t="str">
        <f>Suite&amp;" Electrical Room "&amp;SWTwo</f>
        <v>G104 Electrical Room XXX</v>
      </c>
      <c r="C63" s="183" t="str">
        <f>"UP"&amp;SWTwo</f>
        <v>UPXXX</v>
      </c>
      <c r="D63" s="186" t="str" cm="1">
        <f t="array" ref="D63">"Apply LOTO to breaker DP-" &amp; SWTwo &amp; "1."</f>
        <v>Apply LOTO to breaker DP-XXX1.</v>
      </c>
      <c r="E63" s="183" t="s">
        <v>1464</v>
      </c>
      <c r="F63" s="193"/>
      <c r="G63" s="193"/>
      <c r="H63" s="135"/>
      <c r="I63" s="135"/>
      <c r="J63" s="135"/>
    </row>
    <row r="64" spans="1:10" customFormat="1" ht="37.5" x14ac:dyDescent="0.25">
      <c r="A64" s="200">
        <f t="shared" si="1"/>
        <v>291</v>
      </c>
      <c r="B64" s="231" t="str">
        <f>Suite&amp;" Electrical Room "&amp;SWTwo</f>
        <v>G104 Electrical Room XXX</v>
      </c>
      <c r="C64" s="183" t="str">
        <f>"UP"&amp;SWTwo</f>
        <v>UPXXX</v>
      </c>
      <c r="D64" s="186" t="s">
        <v>1518</v>
      </c>
      <c r="E64" s="183" t="s">
        <v>1464</v>
      </c>
      <c r="F64" s="193" t="s">
        <v>1519</v>
      </c>
      <c r="G64" s="193"/>
      <c r="H64" s="135"/>
      <c r="I64" s="135"/>
      <c r="J64" s="135"/>
    </row>
    <row r="65" spans="1:16" customFormat="1" ht="56.25" x14ac:dyDescent="0.25">
      <c r="A65" s="200">
        <f t="shared" si="1"/>
        <v>292</v>
      </c>
      <c r="B65" s="231" t="str">
        <f>Suite&amp;" Electrical Room "&amp;SWTwo</f>
        <v>G104 Electrical Room XXX</v>
      </c>
      <c r="C65" s="183" t="str">
        <f>"UPS "&amp;SWTwo&amp;"1 Battery Cabinets"</f>
        <v>UPS XXX1 Battery Cabinets</v>
      </c>
      <c r="D65" s="233" t="s">
        <v>1579</v>
      </c>
      <c r="E65" s="183" t="s">
        <v>1464</v>
      </c>
      <c r="F65" s="193" t="s">
        <v>1519</v>
      </c>
      <c r="G65" s="193"/>
      <c r="H65" s="135"/>
      <c r="I65" s="135"/>
      <c r="J65" s="135"/>
    </row>
    <row r="66" spans="1:16" customFormat="1" ht="56.25" x14ac:dyDescent="0.25">
      <c r="A66" s="200">
        <f t="shared" si="1"/>
        <v>293</v>
      </c>
      <c r="B66" s="231" t="str">
        <f>Suite&amp;" Electrical Room "&amp;SWTwo</f>
        <v>G104 Electrical Room XXX</v>
      </c>
      <c r="C66" s="183" t="str">
        <f>"UPS "&amp;SWTwo&amp;"1 Battery Cabinets"</f>
        <v>UPS XXX1 Battery Cabinets</v>
      </c>
      <c r="D66" s="233" t="str" cm="1">
        <f t="array" ref="D66">"OPEN Battery Breaker Q7A at Cabinet " &amp; SWTwo &amp; "1-1."</f>
        <v>OPEN Battery Breaker Q7A at Cabinet XXX1-1.</v>
      </c>
      <c r="E66" s="183" t="s">
        <v>1464</v>
      </c>
      <c r="F66" s="193" t="s">
        <v>1519</v>
      </c>
      <c r="G66" s="193"/>
      <c r="H66" s="163" t="s">
        <v>1580</v>
      </c>
      <c r="I66" s="135"/>
      <c r="J66" s="135"/>
    </row>
    <row r="67" spans="1:16" customFormat="1" ht="56.25" x14ac:dyDescent="0.25">
      <c r="A67" s="200">
        <f t="shared" si="1"/>
        <v>294</v>
      </c>
      <c r="B67" s="231" t="str">
        <f>Suite&amp;" Electrical Room "&amp;SWTwo</f>
        <v>G104 Electrical Room XXX</v>
      </c>
      <c r="C67" s="183" t="str">
        <f>"UPS "&amp;SWTwo&amp;"1 Battery Cabinets"</f>
        <v>UPS XXX1 Battery Cabinets</v>
      </c>
      <c r="D67" s="177" t="str" cm="1">
        <f t="array" ref="D67">"Apply LOTO to Battery Breaker Q7A at Cabinet " &amp; SWTwo &amp; "1-1."</f>
        <v>Apply LOTO to Battery Breaker Q7A at Cabinet XXX1-1.</v>
      </c>
      <c r="E67" s="183" t="s">
        <v>1464</v>
      </c>
      <c r="F67" s="193" t="s">
        <v>1519</v>
      </c>
      <c r="G67" s="193"/>
      <c r="H67" s="163" t="s">
        <v>1580</v>
      </c>
      <c r="I67" s="135"/>
      <c r="J67" s="135"/>
    </row>
    <row r="68" spans="1:16" customFormat="1" ht="56.25" x14ac:dyDescent="0.25">
      <c r="A68" s="200">
        <f t="shared" si="1"/>
        <v>295</v>
      </c>
      <c r="B68" s="231" t="str">
        <f>Suite&amp;" Electrical Room "&amp;SWTwo</f>
        <v>G104 Electrical Room XXX</v>
      </c>
      <c r="C68" s="183" t="str">
        <f>"UPS "&amp;SWTwo&amp;"1 Battery Cabinets"</f>
        <v>UPS XXX1 Battery Cabinets</v>
      </c>
      <c r="D68" s="186" t="s">
        <v>1518</v>
      </c>
      <c r="E68" s="183" t="s">
        <v>1464</v>
      </c>
      <c r="F68" s="193" t="s">
        <v>1519</v>
      </c>
      <c r="G68" s="193"/>
      <c r="H68" s="163" t="s">
        <v>1580</v>
      </c>
      <c r="I68" s="135"/>
      <c r="J68" s="135"/>
    </row>
    <row r="69" spans="1:16" customFormat="1" ht="56.25" x14ac:dyDescent="0.25">
      <c r="A69" s="200">
        <f t="shared" si="1"/>
        <v>296</v>
      </c>
      <c r="B69" s="231" t="str">
        <f>Suite&amp;" Electrical Room "&amp;SWTwo</f>
        <v>G104 Electrical Room XXX</v>
      </c>
      <c r="C69" s="183" t="str">
        <f>"UPS "&amp;SWTwo&amp;"1 Battery Cabinets"</f>
        <v>UPS XXX1 Battery Cabinets</v>
      </c>
      <c r="D69" s="233" t="str" cm="1">
        <f t="array" ref="D69">"OPEN Battery Breaker Q7B at Cabinet " &amp; SWTwo &amp; "1-2."</f>
        <v>OPEN Battery Breaker Q7B at Cabinet XXX1-2.</v>
      </c>
      <c r="E69" s="183" t="s">
        <v>1464</v>
      </c>
      <c r="F69" s="193" t="s">
        <v>1519</v>
      </c>
      <c r="G69" s="193"/>
      <c r="H69" s="163" t="s">
        <v>1580</v>
      </c>
      <c r="I69" s="135"/>
      <c r="J69" s="164"/>
      <c r="K69" s="4"/>
      <c r="L69" s="4"/>
      <c r="M69" s="4"/>
      <c r="N69" s="4"/>
      <c r="O69" s="4"/>
      <c r="P69" s="4"/>
    </row>
    <row r="70" spans="1:16" customFormat="1" ht="56.25" x14ac:dyDescent="0.25">
      <c r="A70" s="200">
        <f t="shared" si="1"/>
        <v>297</v>
      </c>
      <c r="B70" s="231" t="str">
        <f>Suite&amp;" Electrical Room "&amp;SWTwo</f>
        <v>G104 Electrical Room XXX</v>
      </c>
      <c r="C70" s="183" t="str">
        <f>"UPS "&amp;SWTwo&amp;"1 Battery Cabinets"</f>
        <v>UPS XXX1 Battery Cabinets</v>
      </c>
      <c r="D70" s="177" t="str" cm="1">
        <f t="array" ref="D70">"Apply LOTO to Battery Breaker Q7B at Cabinet " &amp; SWTwo &amp; "1-2."</f>
        <v>Apply LOTO to Battery Breaker Q7B at Cabinet XXX1-2.</v>
      </c>
      <c r="E70" s="183" t="s">
        <v>1464</v>
      </c>
      <c r="F70" s="193" t="s">
        <v>1519</v>
      </c>
      <c r="G70" s="193"/>
      <c r="H70" s="163" t="s">
        <v>1580</v>
      </c>
      <c r="I70" s="135"/>
      <c r="J70" s="135"/>
    </row>
    <row r="71" spans="1:16" customFormat="1" ht="56.25" x14ac:dyDescent="0.25">
      <c r="A71" s="200">
        <f t="shared" si="1"/>
        <v>298</v>
      </c>
      <c r="B71" s="231" t="str">
        <f>Suite&amp;" Electrical Room "&amp;SWTwo</f>
        <v>G104 Electrical Room XXX</v>
      </c>
      <c r="C71" s="183" t="str">
        <f>"UPS "&amp;SWTwo&amp;"1 Battery Cabinets"</f>
        <v>UPS XXX1 Battery Cabinets</v>
      </c>
      <c r="D71" s="186" t="s">
        <v>1518</v>
      </c>
      <c r="E71" s="183" t="s">
        <v>1464</v>
      </c>
      <c r="F71" s="193" t="s">
        <v>1519</v>
      </c>
      <c r="G71" s="193"/>
      <c r="H71" s="163" t="s">
        <v>1580</v>
      </c>
      <c r="I71" s="135"/>
      <c r="J71" s="135"/>
    </row>
    <row r="72" spans="1:16" customFormat="1" ht="56.25" x14ac:dyDescent="0.25">
      <c r="A72" s="200">
        <f t="shared" si="1"/>
        <v>299</v>
      </c>
      <c r="B72" s="231" t="str">
        <f>Suite&amp;" Electrical Room "&amp;SWTwo</f>
        <v>G104 Electrical Room XXX</v>
      </c>
      <c r="C72" s="183" t="str">
        <f>"UPS "&amp;SWTwo&amp;"1 Battery Cabinets"</f>
        <v>UPS XXX1 Battery Cabinets</v>
      </c>
      <c r="D72" s="233" t="str" cm="1">
        <f t="array" ref="D72">"OPEN Battery Breaker Q8A at Cabinet " &amp; SWTwo &amp; "1-3."</f>
        <v>OPEN Battery Breaker Q8A at Cabinet XXX1-3.</v>
      </c>
      <c r="E72" s="183" t="s">
        <v>1464</v>
      </c>
      <c r="F72" s="193" t="s">
        <v>1519</v>
      </c>
      <c r="G72" s="193"/>
      <c r="H72" s="163" t="s">
        <v>1580</v>
      </c>
      <c r="I72" s="135"/>
      <c r="J72" s="135"/>
    </row>
    <row r="73" spans="1:16" customFormat="1" ht="56.25" x14ac:dyDescent="0.25">
      <c r="A73" s="200">
        <f t="shared" si="1"/>
        <v>300</v>
      </c>
      <c r="B73" s="231" t="str">
        <f>Suite&amp;" Electrical Room "&amp;SWTwo</f>
        <v>G104 Electrical Room XXX</v>
      </c>
      <c r="C73" s="183" t="str">
        <f>"UPS "&amp;SWTwo&amp;"1 Battery Cabinets"</f>
        <v>UPS XXX1 Battery Cabinets</v>
      </c>
      <c r="D73" s="177" t="str" cm="1">
        <f t="array" ref="D73">"Apply LOTO to Battery Breaker Q8A at Cabinet " &amp; SWTwo &amp; "1-3."</f>
        <v>Apply LOTO to Battery Breaker Q8A at Cabinet XXX1-3.</v>
      </c>
      <c r="E73" s="183" t="s">
        <v>1464</v>
      </c>
      <c r="F73" s="193" t="s">
        <v>1519</v>
      </c>
      <c r="G73" s="193"/>
      <c r="H73" s="163" t="s">
        <v>1580</v>
      </c>
      <c r="I73" s="135"/>
      <c r="J73" s="135"/>
    </row>
    <row r="74" spans="1:16" customFormat="1" ht="56.25" x14ac:dyDescent="0.25">
      <c r="A74" s="200">
        <f t="shared" si="1"/>
        <v>301</v>
      </c>
      <c r="B74" s="231" t="str">
        <f>Suite&amp;" Electrical Room "&amp;SWTwo</f>
        <v>G104 Electrical Room XXX</v>
      </c>
      <c r="C74" s="183" t="str">
        <f>"UPS "&amp;SWTwo&amp;"1 Battery Cabinets"</f>
        <v>UPS XXX1 Battery Cabinets</v>
      </c>
      <c r="D74" s="186" t="s">
        <v>1518</v>
      </c>
      <c r="E74" s="183" t="s">
        <v>1464</v>
      </c>
      <c r="F74" s="193" t="s">
        <v>1519</v>
      </c>
      <c r="G74" s="193"/>
      <c r="H74" s="163" t="s">
        <v>1580</v>
      </c>
      <c r="I74" s="135"/>
      <c r="J74" s="135"/>
    </row>
    <row r="75" spans="1:16" customFormat="1" ht="56.25" x14ac:dyDescent="0.25">
      <c r="A75" s="200">
        <f t="shared" si="1"/>
        <v>302</v>
      </c>
      <c r="B75" s="231" t="str">
        <f>Suite&amp;" Electrical Room "&amp;SWTwo</f>
        <v>G104 Electrical Room XXX</v>
      </c>
      <c r="C75" s="183" t="str">
        <f>"UPS "&amp;SWTwo&amp;"1 Battery Cabinets"</f>
        <v>UPS XXX1 Battery Cabinets</v>
      </c>
      <c r="D75" s="233" t="str" cm="1">
        <f t="array" ref="D75">"OPEN Battery Breaker Q8B at Cabinet " &amp; SWTwo &amp; "1-4."</f>
        <v>OPEN Battery Breaker Q8B at Cabinet XXX1-4.</v>
      </c>
      <c r="E75" s="183" t="s">
        <v>1464</v>
      </c>
      <c r="F75" s="193" t="s">
        <v>1519</v>
      </c>
      <c r="G75" s="193"/>
      <c r="H75" s="163" t="s">
        <v>1580</v>
      </c>
      <c r="I75" s="135"/>
      <c r="J75" s="135"/>
    </row>
    <row r="76" spans="1:16" customFormat="1" ht="56.25" x14ac:dyDescent="0.25">
      <c r="A76" s="200">
        <f t="shared" si="1"/>
        <v>303</v>
      </c>
      <c r="B76" s="231" t="str">
        <f>Suite&amp;" Electrical Room "&amp;SWTwo</f>
        <v>G104 Electrical Room XXX</v>
      </c>
      <c r="C76" s="183" t="str">
        <f>"UPS "&amp;SWTwo&amp;"1 Battery Cabinets"</f>
        <v>UPS XXX1 Battery Cabinets</v>
      </c>
      <c r="D76" s="177" t="str" cm="1">
        <f t="array" ref="D76">"Apply LOTO to Battery Breaker Q8B at Cabinet " &amp; SWTwo &amp; "1-4."</f>
        <v>Apply LOTO to Battery Breaker Q8B at Cabinet XXX1-4.</v>
      </c>
      <c r="E76" s="183" t="s">
        <v>1464</v>
      </c>
      <c r="F76" s="193" t="s">
        <v>1519</v>
      </c>
      <c r="G76" s="193"/>
      <c r="H76" s="163" t="s">
        <v>1580</v>
      </c>
      <c r="I76" s="135"/>
      <c r="J76" s="135"/>
    </row>
    <row r="77" spans="1:16" customFormat="1" ht="56.25" x14ac:dyDescent="0.25">
      <c r="A77" s="200">
        <f t="shared" si="1"/>
        <v>304</v>
      </c>
      <c r="B77" s="231" t="str">
        <f>Suite&amp;" Electrical Room "&amp;SWTwo</f>
        <v>G104 Electrical Room XXX</v>
      </c>
      <c r="C77" s="183" t="str">
        <f>"UPS "&amp;SWTwo&amp;"1 Battery Cabinets"</f>
        <v>UPS XXX1 Battery Cabinets</v>
      </c>
      <c r="D77" s="186" t="s">
        <v>1518</v>
      </c>
      <c r="E77" s="183" t="s">
        <v>1464</v>
      </c>
      <c r="F77" s="193" t="s">
        <v>1519</v>
      </c>
      <c r="G77" s="193"/>
      <c r="H77" s="163" t="s">
        <v>1580</v>
      </c>
      <c r="I77" s="135"/>
      <c r="J77" s="135"/>
    </row>
    <row r="78" spans="1:16" customFormat="1" ht="56.25" hidden="1" x14ac:dyDescent="0.25">
      <c r="A78" s="200">
        <f>A65+1</f>
        <v>293</v>
      </c>
      <c r="B78" s="231" t="str">
        <f>Suite&amp;" Electrical Room "&amp;SWTwo</f>
        <v>G104 Electrical Room XXX</v>
      </c>
      <c r="C78" s="183" t="str">
        <f>"UPS "&amp;SWTwo&amp;"1 Battery Cabinets"</f>
        <v>UPS XXX1 Battery Cabinets</v>
      </c>
      <c r="D78" s="186" t="str" cm="1">
        <f t="array" ref="D78">"OPEN Battery Breaker Q7A at Cabinet " &amp; SWTwo &amp; "1-1."</f>
        <v>OPEN Battery Breaker Q7A at Cabinet XXX1-1.</v>
      </c>
      <c r="E78" s="183" t="s">
        <v>1464</v>
      </c>
      <c r="F78" s="193" t="s">
        <v>1519</v>
      </c>
      <c r="G78" s="193"/>
      <c r="H78" s="163" t="s">
        <v>1581</v>
      </c>
      <c r="I78" s="135"/>
      <c r="J78" s="135"/>
    </row>
    <row r="79" spans="1:16" customFormat="1" ht="56.25" hidden="1" x14ac:dyDescent="0.25">
      <c r="A79" s="200">
        <f t="shared" ref="A79:A95" si="2">A78+1</f>
        <v>294</v>
      </c>
      <c r="B79" s="231" t="str">
        <f>Suite&amp;" Electrical Room "&amp;SWTwo</f>
        <v>G104 Electrical Room XXX</v>
      </c>
      <c r="C79" s="183" t="str">
        <f>"UPS "&amp;SWTwo&amp;"1 Battery Cabinets"</f>
        <v>UPS XXX1 Battery Cabinets</v>
      </c>
      <c r="D79" s="177" t="str" cm="1">
        <f t="array" ref="D79">"Apply LOTO to Battery Breaker Q7A at Cabinet " &amp; SWTwo &amp; "1-1."</f>
        <v>Apply LOTO to Battery Breaker Q7A at Cabinet XXX1-1.</v>
      </c>
      <c r="E79" s="183" t="s">
        <v>1464</v>
      </c>
      <c r="F79" s="193" t="s">
        <v>1519</v>
      </c>
      <c r="G79" s="193"/>
      <c r="H79" s="163" t="s">
        <v>1581</v>
      </c>
      <c r="I79" s="135"/>
      <c r="J79" s="135"/>
    </row>
    <row r="80" spans="1:16" customFormat="1" ht="56.25" hidden="1" x14ac:dyDescent="0.25">
      <c r="A80" s="200">
        <f t="shared" si="2"/>
        <v>295</v>
      </c>
      <c r="B80" s="231" t="str">
        <f>Suite&amp;" Electrical Room "&amp;SWTwo</f>
        <v>G104 Electrical Room XXX</v>
      </c>
      <c r="C80" s="183" t="str">
        <f>"UPS "&amp;SWTwo&amp;"1 Battery Cabinets"</f>
        <v>UPS XXX1 Battery Cabinets</v>
      </c>
      <c r="D80" s="186" t="s">
        <v>1518</v>
      </c>
      <c r="E80" s="183" t="s">
        <v>1464</v>
      </c>
      <c r="F80" s="193" t="s">
        <v>1519</v>
      </c>
      <c r="G80" s="193"/>
      <c r="H80" s="163" t="s">
        <v>1581</v>
      </c>
      <c r="I80" s="135"/>
      <c r="J80" s="135"/>
    </row>
    <row r="81" spans="1:10" customFormat="1" ht="56.25" hidden="1" x14ac:dyDescent="0.25">
      <c r="A81" s="200">
        <f t="shared" si="2"/>
        <v>296</v>
      </c>
      <c r="B81" s="231" t="str">
        <f>Suite&amp;" Electrical Room "&amp;SWTwo</f>
        <v>G104 Electrical Room XXX</v>
      </c>
      <c r="C81" s="183" t="str">
        <f>"UPS "&amp;SWTwo&amp;"1 Battery Cabinets"</f>
        <v>UPS XXX1 Battery Cabinets</v>
      </c>
      <c r="D81" s="186" t="str" cm="1">
        <f t="array" ref="D81">"OPEN Battery Breaker Q7B at Cabinet " &amp; SWTwo &amp; "1-2."</f>
        <v>OPEN Battery Breaker Q7B at Cabinet XXX1-2.</v>
      </c>
      <c r="E81" s="183" t="s">
        <v>1464</v>
      </c>
      <c r="F81" s="193" t="s">
        <v>1519</v>
      </c>
      <c r="G81" s="193"/>
      <c r="H81" s="163" t="s">
        <v>1581</v>
      </c>
      <c r="I81" s="135"/>
      <c r="J81" s="135"/>
    </row>
    <row r="82" spans="1:10" customFormat="1" ht="56.25" hidden="1" x14ac:dyDescent="0.25">
      <c r="A82" s="200">
        <f t="shared" si="2"/>
        <v>297</v>
      </c>
      <c r="B82" s="231" t="str">
        <f>Suite&amp;" Electrical Room "&amp;SWTwo</f>
        <v>G104 Electrical Room XXX</v>
      </c>
      <c r="C82" s="183" t="str">
        <f>"UPS "&amp;SWTwo&amp;"1 Battery Cabinets"</f>
        <v>UPS XXX1 Battery Cabinets</v>
      </c>
      <c r="D82" s="177" t="str" cm="1">
        <f t="array" ref="D82">"Apply LOTO to Battery Breaker Q7B at Cabinet " &amp; SWTwo &amp; "1-2."</f>
        <v>Apply LOTO to Battery Breaker Q7B at Cabinet XXX1-2.</v>
      </c>
      <c r="E82" s="183" t="s">
        <v>1464</v>
      </c>
      <c r="F82" s="193" t="s">
        <v>1519</v>
      </c>
      <c r="G82" s="193"/>
      <c r="H82" s="163" t="s">
        <v>1581</v>
      </c>
      <c r="I82" s="135"/>
      <c r="J82" s="135"/>
    </row>
    <row r="83" spans="1:10" customFormat="1" ht="56.25" hidden="1" x14ac:dyDescent="0.25">
      <c r="A83" s="200">
        <f t="shared" si="2"/>
        <v>298</v>
      </c>
      <c r="B83" s="231" t="str">
        <f>Suite&amp;" Electrical Room "&amp;SWTwo</f>
        <v>G104 Electrical Room XXX</v>
      </c>
      <c r="C83" s="183" t="str">
        <f>"UPS "&amp;SWTwo&amp;"1 Battery Cabinets"</f>
        <v>UPS XXX1 Battery Cabinets</v>
      </c>
      <c r="D83" s="186" t="s">
        <v>1518</v>
      </c>
      <c r="E83" s="183" t="s">
        <v>1464</v>
      </c>
      <c r="F83" s="193" t="s">
        <v>1519</v>
      </c>
      <c r="G83" s="193"/>
      <c r="H83" s="163" t="s">
        <v>1581</v>
      </c>
      <c r="I83" s="135"/>
      <c r="J83" s="135"/>
    </row>
    <row r="84" spans="1:10" customFormat="1" ht="56.25" hidden="1" x14ac:dyDescent="0.25">
      <c r="A84" s="200">
        <f t="shared" si="2"/>
        <v>299</v>
      </c>
      <c r="B84" s="231" t="str">
        <f>Suite&amp;" Electrical Room "&amp;SWTwo</f>
        <v>G104 Electrical Room XXX</v>
      </c>
      <c r="C84" s="183" t="str">
        <f>"UPS "&amp;SWTwo&amp;"1 Battery Cabinets"</f>
        <v>UPS XXX1 Battery Cabinets</v>
      </c>
      <c r="D84" s="186" t="str" cm="1">
        <f t="array" ref="D84">"OPEN Battery Breaker Q7C at Cabinet " &amp; SWTwo &amp; "1-3."</f>
        <v>OPEN Battery Breaker Q7C at Cabinet XXX1-3.</v>
      </c>
      <c r="E84" s="183" t="s">
        <v>1464</v>
      </c>
      <c r="F84" s="193" t="s">
        <v>1519</v>
      </c>
      <c r="G84" s="193"/>
      <c r="H84" s="163" t="s">
        <v>1581</v>
      </c>
      <c r="I84" s="135"/>
      <c r="J84" s="135"/>
    </row>
    <row r="85" spans="1:10" customFormat="1" ht="56.25" hidden="1" x14ac:dyDescent="0.25">
      <c r="A85" s="200">
        <f t="shared" si="2"/>
        <v>300</v>
      </c>
      <c r="B85" s="231" t="str">
        <f>Suite&amp;" Electrical Room "&amp;SWTwo</f>
        <v>G104 Electrical Room XXX</v>
      </c>
      <c r="C85" s="183" t="str">
        <f>"UPS "&amp;SWTwo&amp;"1 Battery Cabinets"</f>
        <v>UPS XXX1 Battery Cabinets</v>
      </c>
      <c r="D85" s="177" t="str" cm="1">
        <f t="array" ref="D85">"Apply LOTO to Battery Breaker Q7C at Cabinet " &amp; SWTwo &amp; "1-3."</f>
        <v>Apply LOTO to Battery Breaker Q7C at Cabinet XXX1-3.</v>
      </c>
      <c r="E85" s="183" t="s">
        <v>1464</v>
      </c>
      <c r="F85" s="193" t="s">
        <v>1519</v>
      </c>
      <c r="G85" s="193"/>
      <c r="H85" s="163" t="s">
        <v>1581</v>
      </c>
      <c r="I85" s="135"/>
      <c r="J85" s="135"/>
    </row>
    <row r="86" spans="1:10" customFormat="1" ht="56.25" hidden="1" x14ac:dyDescent="0.25">
      <c r="A86" s="200">
        <f t="shared" si="2"/>
        <v>301</v>
      </c>
      <c r="B86" s="231" t="str">
        <f>Suite&amp;" Electrical Room "&amp;SWTwo</f>
        <v>G104 Electrical Room XXX</v>
      </c>
      <c r="C86" s="183" t="str">
        <f>"UPS "&amp;SWTwo&amp;"1 Battery Cabinets"</f>
        <v>UPS XXX1 Battery Cabinets</v>
      </c>
      <c r="D86" s="186" t="s">
        <v>1518</v>
      </c>
      <c r="E86" s="183" t="s">
        <v>1464</v>
      </c>
      <c r="F86" s="193" t="s">
        <v>1519</v>
      </c>
      <c r="G86" s="193"/>
      <c r="H86" s="163" t="s">
        <v>1581</v>
      </c>
      <c r="I86" s="135"/>
      <c r="J86" s="135"/>
    </row>
    <row r="87" spans="1:10" customFormat="1" ht="56.25" hidden="1" x14ac:dyDescent="0.25">
      <c r="A87" s="200">
        <f t="shared" si="2"/>
        <v>302</v>
      </c>
      <c r="B87" s="231" t="str">
        <f>Suite&amp;" Electrical Room "&amp;SWTwo</f>
        <v>G104 Electrical Room XXX</v>
      </c>
      <c r="C87" s="183" t="str">
        <f>"UPS "&amp;SWTwo&amp;"1 Battery Cabinets"</f>
        <v>UPS XXX1 Battery Cabinets</v>
      </c>
      <c r="D87" s="186" t="str" cm="1">
        <f t="array" ref="D87">"OPEN Battery Breaker Q8A at Cabinet " &amp; SWTwo &amp; "1-4."</f>
        <v>OPEN Battery Breaker Q8A at Cabinet XXX1-4.</v>
      </c>
      <c r="E87" s="183" t="s">
        <v>1464</v>
      </c>
      <c r="F87" s="193" t="s">
        <v>1519</v>
      </c>
      <c r="G87" s="193"/>
      <c r="H87" s="163" t="s">
        <v>1581</v>
      </c>
      <c r="I87" s="135"/>
      <c r="J87" s="135"/>
    </row>
    <row r="88" spans="1:10" customFormat="1" ht="56.25" hidden="1" x14ac:dyDescent="0.25">
      <c r="A88" s="200">
        <f t="shared" si="2"/>
        <v>303</v>
      </c>
      <c r="B88" s="231" t="str">
        <f>Suite&amp;" Electrical Room "&amp;SWTwo</f>
        <v>G104 Electrical Room XXX</v>
      </c>
      <c r="C88" s="183" t="str">
        <f>"UPS "&amp;SWTwo&amp;"1 Battery Cabinets"</f>
        <v>UPS XXX1 Battery Cabinets</v>
      </c>
      <c r="D88" s="177" t="str" cm="1">
        <f t="array" ref="D88">"Apply LOTO to Battery Breaker Q8A at Cabinet " &amp; SWTwo &amp; "1-4."</f>
        <v>Apply LOTO to Battery Breaker Q8A at Cabinet XXX1-4.</v>
      </c>
      <c r="E88" s="183" t="s">
        <v>1464</v>
      </c>
      <c r="F88" s="193" t="s">
        <v>1519</v>
      </c>
      <c r="G88" s="193"/>
      <c r="H88" s="163" t="s">
        <v>1581</v>
      </c>
      <c r="I88" s="135"/>
      <c r="J88" s="135"/>
    </row>
    <row r="89" spans="1:10" customFormat="1" ht="56.25" hidden="1" x14ac:dyDescent="0.25">
      <c r="A89" s="200">
        <f t="shared" si="2"/>
        <v>304</v>
      </c>
      <c r="B89" s="231" t="str">
        <f>Suite&amp;" Electrical Room "&amp;SWTwo</f>
        <v>G104 Electrical Room XXX</v>
      </c>
      <c r="C89" s="183" t="str">
        <f>"UPS "&amp;SWTwo&amp;"1 Battery Cabinets"</f>
        <v>UPS XXX1 Battery Cabinets</v>
      </c>
      <c r="D89" s="186" t="s">
        <v>1518</v>
      </c>
      <c r="E89" s="183" t="s">
        <v>1464</v>
      </c>
      <c r="F89" s="193" t="s">
        <v>1519</v>
      </c>
      <c r="G89" s="193"/>
      <c r="H89" s="163" t="s">
        <v>1581</v>
      </c>
      <c r="I89" s="135"/>
      <c r="J89" s="135"/>
    </row>
    <row r="90" spans="1:10" customFormat="1" ht="56.25" hidden="1" x14ac:dyDescent="0.25">
      <c r="A90" s="200">
        <f t="shared" si="2"/>
        <v>305</v>
      </c>
      <c r="B90" s="231" t="str">
        <f>Suite&amp;" Electrical Room "&amp;SWTwo</f>
        <v>G104 Electrical Room XXX</v>
      </c>
      <c r="C90" s="183" t="str">
        <f>"UPS "&amp;SWTwo&amp;"1 Battery Cabinets"</f>
        <v>UPS XXX1 Battery Cabinets</v>
      </c>
      <c r="D90" s="186" t="str" cm="1">
        <f t="array" ref="D90">"OPEN Battery Breaker Q8B at Cabinet " &amp; SWTwo &amp; "1-5."</f>
        <v>OPEN Battery Breaker Q8B at Cabinet XXX1-5.</v>
      </c>
      <c r="E90" s="183" t="s">
        <v>1464</v>
      </c>
      <c r="F90" s="193" t="s">
        <v>1519</v>
      </c>
      <c r="G90" s="193"/>
      <c r="H90" s="163" t="s">
        <v>1581</v>
      </c>
      <c r="I90" s="135"/>
      <c r="J90" s="135"/>
    </row>
    <row r="91" spans="1:10" customFormat="1" ht="56.25" hidden="1" x14ac:dyDescent="0.25">
      <c r="A91" s="200">
        <f t="shared" si="2"/>
        <v>306</v>
      </c>
      <c r="B91" s="231" t="str">
        <f>Suite&amp;" Electrical Room "&amp;SWTwo</f>
        <v>G104 Electrical Room XXX</v>
      </c>
      <c r="C91" s="183" t="str">
        <f>"UPS "&amp;SWTwo&amp;"1 Battery Cabinets"</f>
        <v>UPS XXX1 Battery Cabinets</v>
      </c>
      <c r="D91" s="186" t="str" cm="1">
        <f t="array" ref="D91">"Apply LOTO to Battery Breaker Q8B at Cabinet " &amp; SWTwo &amp; "1-5."</f>
        <v>Apply LOTO to Battery Breaker Q8B at Cabinet XXX1-5.</v>
      </c>
      <c r="E91" s="183" t="s">
        <v>1464</v>
      </c>
      <c r="F91" s="193" t="s">
        <v>1519</v>
      </c>
      <c r="G91" s="193"/>
      <c r="H91" s="163" t="s">
        <v>1581</v>
      </c>
      <c r="I91" s="135"/>
      <c r="J91" s="135"/>
    </row>
    <row r="92" spans="1:10" customFormat="1" ht="56.25" hidden="1" x14ac:dyDescent="0.25">
      <c r="A92" s="200">
        <f t="shared" si="2"/>
        <v>307</v>
      </c>
      <c r="B92" s="231" t="str">
        <f>Suite&amp;" Electrical Room "&amp;SWTwo</f>
        <v>G104 Electrical Room XXX</v>
      </c>
      <c r="C92" s="183" t="str">
        <f>"UPS "&amp;SWTwo&amp;"1 Battery Cabinets"</f>
        <v>UPS XXX1 Battery Cabinets</v>
      </c>
      <c r="D92" s="186" t="s">
        <v>1518</v>
      </c>
      <c r="E92" s="183" t="s">
        <v>1464</v>
      </c>
      <c r="F92" s="193" t="s">
        <v>1519</v>
      </c>
      <c r="G92" s="193"/>
      <c r="H92" s="163" t="s">
        <v>1581</v>
      </c>
      <c r="I92" s="135"/>
      <c r="J92" s="135"/>
    </row>
    <row r="93" spans="1:10" customFormat="1" ht="56.25" hidden="1" x14ac:dyDescent="0.25">
      <c r="A93" s="200">
        <f t="shared" si="2"/>
        <v>308</v>
      </c>
      <c r="B93" s="231" t="str">
        <f>Suite&amp;" Electrical Room "&amp;SWTwo</f>
        <v>G104 Electrical Room XXX</v>
      </c>
      <c r="C93" s="183" t="str">
        <f>"UPS "&amp;SWTwo&amp;"1 Battery Cabinets"</f>
        <v>UPS XXX1 Battery Cabinets</v>
      </c>
      <c r="D93" s="186" t="str" cm="1">
        <f t="array" ref="D93">"OPEN Battery Breaker Q8C at Cabinet " &amp; SWTwo &amp; "1-6."</f>
        <v>OPEN Battery Breaker Q8C at Cabinet XXX1-6.</v>
      </c>
      <c r="E93" s="183" t="s">
        <v>1464</v>
      </c>
      <c r="F93" s="193" t="s">
        <v>1519</v>
      </c>
      <c r="G93" s="193"/>
      <c r="H93" s="163" t="s">
        <v>1581</v>
      </c>
      <c r="I93" s="135"/>
      <c r="J93" s="135"/>
    </row>
    <row r="94" spans="1:10" customFormat="1" ht="56.25" hidden="1" x14ac:dyDescent="0.25">
      <c r="A94" s="200">
        <f t="shared" si="2"/>
        <v>309</v>
      </c>
      <c r="B94" s="231" t="str">
        <f>Suite&amp;" Electrical Room "&amp;SWTwo</f>
        <v>G104 Electrical Room XXX</v>
      </c>
      <c r="C94" s="183" t="str">
        <f>"UPS "&amp;SWTwo&amp;"1 Battery Cabinets"</f>
        <v>UPS XXX1 Battery Cabinets</v>
      </c>
      <c r="D94" s="177" t="str" cm="1">
        <f t="array" ref="D94">"Apply LOTO to Battery Breaker Q8C at Cabinet " &amp; SWTwo &amp; "1-6."</f>
        <v>Apply LOTO to Battery Breaker Q8C at Cabinet XXX1-6.</v>
      </c>
      <c r="E94" s="183" t="s">
        <v>1464</v>
      </c>
      <c r="F94" s="193" t="s">
        <v>1519</v>
      </c>
      <c r="G94" s="193"/>
      <c r="H94" s="163" t="s">
        <v>1581</v>
      </c>
      <c r="I94" s="135"/>
      <c r="J94" s="135"/>
    </row>
    <row r="95" spans="1:10" customFormat="1" ht="56.25" hidden="1" x14ac:dyDescent="0.25">
      <c r="A95" s="200">
        <f t="shared" si="2"/>
        <v>310</v>
      </c>
      <c r="B95" s="231" t="str">
        <f>Suite&amp;" Electrical Room "&amp;SWTwo</f>
        <v>G104 Electrical Room XXX</v>
      </c>
      <c r="C95" s="183" t="str">
        <f>"UPS "&amp;SWTwo&amp;"1 Battery Cabinets"</f>
        <v>UPS XXX1 Battery Cabinets</v>
      </c>
      <c r="D95" s="186" t="s">
        <v>1518</v>
      </c>
      <c r="E95" s="183" t="s">
        <v>1464</v>
      </c>
      <c r="F95" s="193" t="s">
        <v>1519</v>
      </c>
      <c r="G95" s="193"/>
      <c r="H95" s="163" t="s">
        <v>1581</v>
      </c>
      <c r="I95" s="135"/>
      <c r="J95" s="135"/>
    </row>
    <row r="96" spans="1:10" customFormat="1" ht="37.5" x14ac:dyDescent="0.25">
      <c r="A96" s="200">
        <f>IF(NumberOfICDs=4, A77+1, A95+1)</f>
        <v>311</v>
      </c>
      <c r="B96" s="231" t="str">
        <f>Suite&amp;" Electrical Room "&amp;SWTwo</f>
        <v>G104 Electrical Room XXX</v>
      </c>
      <c r="C96" s="183" t="str">
        <f>"SW"&amp;SWTwo</f>
        <v>SWXXX</v>
      </c>
      <c r="D96" s="186" t="str" cm="1">
        <f t="array" ref="D96">"OPEN breaker UPS-" &amp; SWTwo &amp; "1."</f>
        <v>OPEN breaker UPS-XXX1.</v>
      </c>
      <c r="E96" s="183" t="s">
        <v>1464</v>
      </c>
      <c r="F96" s="193" t="s">
        <v>1519</v>
      </c>
      <c r="G96" s="193"/>
      <c r="H96" s="135"/>
      <c r="I96" s="135"/>
      <c r="J96" s="135"/>
    </row>
    <row r="97" spans="1:16" customFormat="1" ht="37.5" x14ac:dyDescent="0.25">
      <c r="A97" s="200">
        <f t="shared" ref="A97:A118" si="3">A96+1</f>
        <v>312</v>
      </c>
      <c r="B97" s="231" t="str">
        <f>Suite&amp;" Electrical Room "&amp;SWTwo</f>
        <v>G104 Electrical Room XXX</v>
      </c>
      <c r="C97" s="183" t="str">
        <f>"SW"&amp;SWTwo</f>
        <v>SWXXX</v>
      </c>
      <c r="D97" s="186" t="str" cm="1">
        <f t="array" ref="D97">"Apply LOTO to breaker UPS-" &amp; SWTwo &amp; "1."</f>
        <v>Apply LOTO to breaker UPS-XXX1.</v>
      </c>
      <c r="E97" s="183" t="s">
        <v>1464</v>
      </c>
      <c r="F97" s="193"/>
      <c r="G97" s="193"/>
      <c r="H97" s="135"/>
      <c r="I97" s="135"/>
      <c r="J97" s="135"/>
    </row>
    <row r="98" spans="1:16" customFormat="1" ht="37.5" x14ac:dyDescent="0.25">
      <c r="A98" s="200">
        <f t="shared" si="3"/>
        <v>313</v>
      </c>
      <c r="B98" s="231" t="str">
        <f>Suite&amp;" Electrical Room "&amp;SWTwo</f>
        <v>G104 Electrical Room XXX</v>
      </c>
      <c r="C98" s="183" t="str">
        <f>"SW"&amp;SWTwo</f>
        <v>SWXXX</v>
      </c>
      <c r="D98" s="186" t="s">
        <v>1518</v>
      </c>
      <c r="E98" s="183" t="s">
        <v>1464</v>
      </c>
      <c r="F98" s="193"/>
      <c r="G98" s="193"/>
      <c r="H98" s="135"/>
      <c r="I98" s="135"/>
      <c r="J98" s="135"/>
    </row>
    <row r="99" spans="1:16" customFormat="1" ht="37.5" x14ac:dyDescent="0.25">
      <c r="A99" s="200">
        <f t="shared" si="3"/>
        <v>314</v>
      </c>
      <c r="B99" s="231" t="str">
        <f>Suite&amp;" Electrical Room "&amp;SWTwo</f>
        <v>G104 Electrical Room XXX</v>
      </c>
      <c r="C99" s="183" t="s">
        <v>1566</v>
      </c>
      <c r="D99" s="233" t="s">
        <v>1582</v>
      </c>
      <c r="E99" s="183" t="s">
        <v>1464</v>
      </c>
      <c r="F99" s="193" t="s">
        <v>1519</v>
      </c>
      <c r="G99" s="193"/>
      <c r="H99" s="135"/>
      <c r="I99" s="135"/>
      <c r="J99" s="135"/>
    </row>
    <row r="100" spans="1:16" customFormat="1" ht="37.5" x14ac:dyDescent="0.25">
      <c r="A100" s="200">
        <f t="shared" si="3"/>
        <v>315</v>
      </c>
      <c r="B100" s="231" t="str">
        <f>Suite&amp;" Electrical Room "&amp;SWTwo</f>
        <v>G104 Electrical Room XXX</v>
      </c>
      <c r="C100" s="183" t="str">
        <f>"UPS "&amp;SWTwo&amp;"2"</f>
        <v>UPS XXX2</v>
      </c>
      <c r="D100" s="233" t="s">
        <v>1576</v>
      </c>
      <c r="E100" s="183" t="s">
        <v>1464</v>
      </c>
      <c r="F100" s="193"/>
      <c r="G100" s="193"/>
      <c r="H100" s="135"/>
      <c r="I100" s="135"/>
      <c r="J100" s="135"/>
    </row>
    <row r="101" spans="1:16" customFormat="1" ht="37.5" x14ac:dyDescent="0.25">
      <c r="A101" s="200">
        <f t="shared" si="3"/>
        <v>316</v>
      </c>
      <c r="B101" s="231" t="str">
        <f>Suite&amp;" Electrical Room "&amp;SWTwo</f>
        <v>G104 Electrical Room XXX</v>
      </c>
      <c r="C101" s="183" t="str">
        <f>"UPS "&amp;SWTwo&amp;"2"</f>
        <v>UPS XXX2</v>
      </c>
      <c r="D101" s="233" t="s">
        <v>1577</v>
      </c>
      <c r="E101" s="183" t="s">
        <v>1464</v>
      </c>
      <c r="F101" s="193"/>
      <c r="G101" s="193"/>
      <c r="H101" s="135"/>
      <c r="I101" s="135"/>
      <c r="J101" s="135"/>
    </row>
    <row r="102" spans="1:16" customFormat="1" ht="37.5" x14ac:dyDescent="0.25">
      <c r="A102" s="200">
        <f t="shared" si="3"/>
        <v>317</v>
      </c>
      <c r="B102" s="231" t="str">
        <f>Suite&amp;" Electrical Room "&amp;SWTwo</f>
        <v>G104 Electrical Room XXX</v>
      </c>
      <c r="C102" s="183" t="s">
        <v>1566</v>
      </c>
      <c r="D102" s="233" t="s">
        <v>1583</v>
      </c>
      <c r="E102" s="183" t="s">
        <v>1464</v>
      </c>
      <c r="F102" s="193"/>
      <c r="G102" s="193"/>
      <c r="H102" s="135"/>
      <c r="I102" s="135"/>
      <c r="J102" s="135"/>
    </row>
    <row r="103" spans="1:16" customFormat="1" ht="37.5" x14ac:dyDescent="0.25">
      <c r="A103" s="200">
        <f t="shared" si="3"/>
        <v>318</v>
      </c>
      <c r="B103" s="231" t="str">
        <f>Suite&amp;" Electrical Room "&amp;SWTwo</f>
        <v>G104 Electrical Room XXX</v>
      </c>
      <c r="C103" s="183" t="str">
        <f>"UP"&amp;SWTwo</f>
        <v>UPXXX</v>
      </c>
      <c r="D103" s="233" t="str" cm="1">
        <f t="array" ref="D103">"OPEN breaker DP-" &amp; SWTwo &amp; "2."</f>
        <v>OPEN breaker DP-XXX2.</v>
      </c>
      <c r="E103" s="183" t="s">
        <v>1464</v>
      </c>
      <c r="F103" s="193"/>
      <c r="G103" s="193"/>
      <c r="H103" s="135"/>
      <c r="I103" s="135"/>
      <c r="J103" s="135"/>
    </row>
    <row r="104" spans="1:16" customFormat="1" ht="37.5" x14ac:dyDescent="0.25">
      <c r="A104" s="200">
        <f t="shared" si="3"/>
        <v>319</v>
      </c>
      <c r="B104" s="231" t="str">
        <f>Suite&amp;" Electrical Room "&amp;SWTwo</f>
        <v>G104 Electrical Room XXX</v>
      </c>
      <c r="C104" s="183" t="str">
        <f>"UP"&amp;SWTwo</f>
        <v>UPXXX</v>
      </c>
      <c r="D104" s="186" t="str" cm="1">
        <f t="array" ref="D104">"Apply LOTO to breaker DP-" &amp; SWTwo &amp; "2."</f>
        <v>Apply LOTO to breaker DP-XXX2.</v>
      </c>
      <c r="E104" s="183" t="s">
        <v>1464</v>
      </c>
      <c r="F104" s="193"/>
      <c r="G104" s="193"/>
      <c r="H104" s="135"/>
      <c r="I104" s="135"/>
      <c r="J104" s="135"/>
    </row>
    <row r="105" spans="1:16" customFormat="1" ht="37.5" x14ac:dyDescent="0.25">
      <c r="A105" s="200">
        <f t="shared" si="3"/>
        <v>320</v>
      </c>
      <c r="B105" s="231" t="str">
        <f>Suite&amp;" Electrical Room "&amp;SWTwo</f>
        <v>G104 Electrical Room XXX</v>
      </c>
      <c r="C105" s="183" t="str">
        <f>"UP"&amp;SWTwo</f>
        <v>UPXXX</v>
      </c>
      <c r="D105" s="186" t="s">
        <v>1518</v>
      </c>
      <c r="E105" s="183" t="s">
        <v>1464</v>
      </c>
      <c r="F105" s="193"/>
      <c r="G105" s="193"/>
      <c r="H105" s="135"/>
      <c r="I105" s="135"/>
      <c r="J105" s="135"/>
    </row>
    <row r="106" spans="1:16" customFormat="1" ht="56.25" x14ac:dyDescent="0.25">
      <c r="A106" s="200">
        <f t="shared" si="3"/>
        <v>321</v>
      </c>
      <c r="B106" s="231" t="str">
        <f>Suite&amp;" Electrical Room "&amp;SWTwo</f>
        <v>G104 Electrical Room XXX</v>
      </c>
      <c r="C106" s="183" t="str">
        <f>"UPS "&amp;SWTwo&amp;"2 Battery Cabinets"</f>
        <v>UPS XXX2 Battery Cabinets</v>
      </c>
      <c r="D106" s="233" t="s">
        <v>1579</v>
      </c>
      <c r="E106" s="183" t="s">
        <v>1464</v>
      </c>
      <c r="F106" s="193"/>
      <c r="G106" s="193"/>
      <c r="H106" s="135"/>
      <c r="I106" s="135"/>
      <c r="J106" s="135"/>
    </row>
    <row r="107" spans="1:16" customFormat="1" ht="56.25" x14ac:dyDescent="0.25">
      <c r="A107" s="200">
        <f t="shared" si="3"/>
        <v>322</v>
      </c>
      <c r="B107" s="231" t="str">
        <f>Suite&amp;" Electrical Room "&amp;SWTwo</f>
        <v>G104 Electrical Room XXX</v>
      </c>
      <c r="C107" s="183" t="str">
        <f>"UPS "&amp;SWTwo&amp;"2 Battery Cabinets"</f>
        <v>UPS XXX2 Battery Cabinets</v>
      </c>
      <c r="D107" s="233" t="str" cm="1">
        <f t="array" ref="D107">"OPEN Battery Breaker Q7A at Cabinet " &amp; SWTwo &amp; "2-1."</f>
        <v>OPEN Battery Breaker Q7A at Cabinet XXX2-1.</v>
      </c>
      <c r="E107" s="183" t="s">
        <v>1464</v>
      </c>
      <c r="F107" s="193" t="s">
        <v>1519</v>
      </c>
      <c r="G107" s="193"/>
      <c r="H107" s="163" t="s">
        <v>1580</v>
      </c>
      <c r="I107" s="135"/>
      <c r="J107" s="135"/>
    </row>
    <row r="108" spans="1:16" customFormat="1" ht="56.25" x14ac:dyDescent="0.25">
      <c r="A108" s="200">
        <f t="shared" si="3"/>
        <v>323</v>
      </c>
      <c r="B108" s="231" t="str">
        <f>Suite&amp;" Electrical Room "&amp;SWTwo</f>
        <v>G104 Electrical Room XXX</v>
      </c>
      <c r="C108" s="183" t="str">
        <f>"UPS "&amp;SWTwo&amp;"2 Battery Cabinets"</f>
        <v>UPS XXX2 Battery Cabinets</v>
      </c>
      <c r="D108" s="177" t="str" cm="1">
        <f t="array" ref="D108">"Apply LOTO to Battery Breaker Q7A at Cabinet " &amp; SWTwo &amp; "2-1."</f>
        <v>Apply LOTO to Battery Breaker Q7A at Cabinet XXX2-1.</v>
      </c>
      <c r="E108" s="183" t="s">
        <v>1464</v>
      </c>
      <c r="F108" s="193" t="s">
        <v>1519</v>
      </c>
      <c r="G108" s="193"/>
      <c r="H108" s="163" t="s">
        <v>1580</v>
      </c>
      <c r="I108" s="135"/>
      <c r="J108" s="135"/>
    </row>
    <row r="109" spans="1:16" customFormat="1" ht="56.25" x14ac:dyDescent="0.25">
      <c r="A109" s="200">
        <f t="shared" si="3"/>
        <v>324</v>
      </c>
      <c r="B109" s="231" t="str">
        <f>Suite&amp;" Electrical Room "&amp;SWTwo</f>
        <v>G104 Electrical Room XXX</v>
      </c>
      <c r="C109" s="183" t="str">
        <f>"UPS "&amp;SWTwo&amp;"2 Battery Cabinets"</f>
        <v>UPS XXX2 Battery Cabinets</v>
      </c>
      <c r="D109" s="186" t="s">
        <v>1518</v>
      </c>
      <c r="E109" s="183" t="s">
        <v>1464</v>
      </c>
      <c r="F109" s="193" t="s">
        <v>1519</v>
      </c>
      <c r="G109" s="193"/>
      <c r="H109" s="163" t="s">
        <v>1580</v>
      </c>
      <c r="I109" s="135"/>
      <c r="J109" s="135"/>
    </row>
    <row r="110" spans="1:16" customFormat="1" ht="56.25" x14ac:dyDescent="0.25">
      <c r="A110" s="200">
        <f t="shared" si="3"/>
        <v>325</v>
      </c>
      <c r="B110" s="231" t="str">
        <f>Suite&amp;" Electrical Room "&amp;SWTwo</f>
        <v>G104 Electrical Room XXX</v>
      </c>
      <c r="C110" s="183" t="str">
        <f>"UPS "&amp;SWTwo&amp;"2 Battery Cabinets"</f>
        <v>UPS XXX2 Battery Cabinets</v>
      </c>
      <c r="D110" s="233" t="str" cm="1">
        <f t="array" ref="D110">"OPEN Battery Breaker Q7B at Cabinet " &amp; SWTwo &amp; "2-2."</f>
        <v>OPEN Battery Breaker Q7B at Cabinet XXX2-2.</v>
      </c>
      <c r="E110" s="183" t="s">
        <v>1464</v>
      </c>
      <c r="F110" s="193" t="s">
        <v>1519</v>
      </c>
      <c r="G110" s="193"/>
      <c r="H110" s="163" t="s">
        <v>1580</v>
      </c>
      <c r="I110" s="135"/>
      <c r="J110" s="164"/>
      <c r="K110" s="4"/>
      <c r="L110" s="4"/>
      <c r="M110" s="4"/>
      <c r="N110" s="4"/>
      <c r="O110" s="4"/>
      <c r="P110" s="4"/>
    </row>
    <row r="111" spans="1:16" customFormat="1" ht="56.25" x14ac:dyDescent="0.25">
      <c r="A111" s="200">
        <f t="shared" si="3"/>
        <v>326</v>
      </c>
      <c r="B111" s="231" t="str">
        <f>Suite&amp;" Electrical Room "&amp;SWTwo</f>
        <v>G104 Electrical Room XXX</v>
      </c>
      <c r="C111" s="183" t="str">
        <f>"UPS "&amp;SWTwo&amp;"2 Battery Cabinets"</f>
        <v>UPS XXX2 Battery Cabinets</v>
      </c>
      <c r="D111" s="177" t="str" cm="1">
        <f t="array" ref="D111">"Apply LOTO to Battery Breaker Q7B at Cabinet " &amp; SWTwo &amp; "2-2."</f>
        <v>Apply LOTO to Battery Breaker Q7B at Cabinet XXX2-2.</v>
      </c>
      <c r="E111" s="183" t="s">
        <v>1464</v>
      </c>
      <c r="F111" s="193" t="s">
        <v>1519</v>
      </c>
      <c r="G111" s="193"/>
      <c r="H111" s="163" t="s">
        <v>1580</v>
      </c>
      <c r="I111" s="135"/>
      <c r="J111" s="135"/>
    </row>
    <row r="112" spans="1:16" customFormat="1" ht="56.25" x14ac:dyDescent="0.25">
      <c r="A112" s="200">
        <f t="shared" si="3"/>
        <v>327</v>
      </c>
      <c r="B112" s="231" t="str">
        <f>Suite&amp;" Electrical Room "&amp;SWTwo</f>
        <v>G104 Electrical Room XXX</v>
      </c>
      <c r="C112" s="183" t="str">
        <f>"UPS "&amp;SWTwo&amp;"2 Battery Cabinets"</f>
        <v>UPS XXX2 Battery Cabinets</v>
      </c>
      <c r="D112" s="186" t="s">
        <v>1518</v>
      </c>
      <c r="E112" s="183" t="s">
        <v>1464</v>
      </c>
      <c r="F112" s="193" t="s">
        <v>1519</v>
      </c>
      <c r="G112" s="193"/>
      <c r="H112" s="163" t="s">
        <v>1580</v>
      </c>
      <c r="I112" s="135"/>
      <c r="J112" s="135"/>
    </row>
    <row r="113" spans="1:10" customFormat="1" ht="56.25" x14ac:dyDescent="0.25">
      <c r="A113" s="200">
        <f t="shared" si="3"/>
        <v>328</v>
      </c>
      <c r="B113" s="231" t="str">
        <f>Suite&amp;" Electrical Room "&amp;SWTwo</f>
        <v>G104 Electrical Room XXX</v>
      </c>
      <c r="C113" s="183" t="str">
        <f>"UPS "&amp;SWTwo&amp;"2 Battery Cabinets"</f>
        <v>UPS XXX2 Battery Cabinets</v>
      </c>
      <c r="D113" s="233" t="str" cm="1">
        <f t="array" ref="D113">"OPEN Battery Breaker Q8A at Cabinet " &amp; SWTwo &amp; "2-3."</f>
        <v>OPEN Battery Breaker Q8A at Cabinet XXX2-3.</v>
      </c>
      <c r="E113" s="183" t="s">
        <v>1464</v>
      </c>
      <c r="F113" s="193" t="s">
        <v>1519</v>
      </c>
      <c r="G113" s="193"/>
      <c r="H113" s="163" t="s">
        <v>1580</v>
      </c>
      <c r="I113" s="135"/>
      <c r="J113" s="135"/>
    </row>
    <row r="114" spans="1:10" customFormat="1" ht="56.25" x14ac:dyDescent="0.25">
      <c r="A114" s="200">
        <f t="shared" si="3"/>
        <v>329</v>
      </c>
      <c r="B114" s="231" t="str">
        <f>Suite&amp;" Electrical Room "&amp;SWTwo</f>
        <v>G104 Electrical Room XXX</v>
      </c>
      <c r="C114" s="183" t="str">
        <f>"UPS "&amp;SWTwo&amp;"2 Battery Cabinets"</f>
        <v>UPS XXX2 Battery Cabinets</v>
      </c>
      <c r="D114" s="177" t="str" cm="1">
        <f t="array" ref="D114">"Apply LOTO to Battery Breaker Q8A at Cabinet " &amp; SWTwo &amp; "2-3."</f>
        <v>Apply LOTO to Battery Breaker Q8A at Cabinet XXX2-3.</v>
      </c>
      <c r="E114" s="183" t="s">
        <v>1464</v>
      </c>
      <c r="F114" s="193" t="s">
        <v>1519</v>
      </c>
      <c r="G114" s="193"/>
      <c r="H114" s="163" t="s">
        <v>1580</v>
      </c>
      <c r="I114" s="135"/>
      <c r="J114" s="135"/>
    </row>
    <row r="115" spans="1:10" customFormat="1" ht="56.25" x14ac:dyDescent="0.25">
      <c r="A115" s="200">
        <f t="shared" si="3"/>
        <v>330</v>
      </c>
      <c r="B115" s="231" t="str">
        <f>Suite&amp;" Electrical Room "&amp;SWTwo</f>
        <v>G104 Electrical Room XXX</v>
      </c>
      <c r="C115" s="183" t="str">
        <f>"UPS "&amp;SWTwo&amp;"2 Battery Cabinets"</f>
        <v>UPS XXX2 Battery Cabinets</v>
      </c>
      <c r="D115" s="186" t="s">
        <v>1518</v>
      </c>
      <c r="E115" s="183" t="s">
        <v>1464</v>
      </c>
      <c r="F115" s="193" t="s">
        <v>1519</v>
      </c>
      <c r="G115" s="193"/>
      <c r="H115" s="163" t="s">
        <v>1580</v>
      </c>
      <c r="I115" s="135"/>
      <c r="J115" s="135"/>
    </row>
    <row r="116" spans="1:10" customFormat="1" ht="56.25" x14ac:dyDescent="0.25">
      <c r="A116" s="200">
        <f t="shared" si="3"/>
        <v>331</v>
      </c>
      <c r="B116" s="231" t="str">
        <f>Suite&amp;" Electrical Room "&amp;SWTwo</f>
        <v>G104 Electrical Room XXX</v>
      </c>
      <c r="C116" s="183" t="str">
        <f>"UPS "&amp;SWTwo&amp;"2 Battery Cabinets"</f>
        <v>UPS XXX2 Battery Cabinets</v>
      </c>
      <c r="D116" s="233" t="str" cm="1">
        <f t="array" ref="D116">"OPEN Battery Breaker Q8B at Cabinet " &amp; SWTwo &amp; "2-4."</f>
        <v>OPEN Battery Breaker Q8B at Cabinet XXX2-4.</v>
      </c>
      <c r="E116" s="183" t="s">
        <v>1464</v>
      </c>
      <c r="F116" s="193" t="s">
        <v>1519</v>
      </c>
      <c r="G116" s="193"/>
      <c r="H116" s="163" t="s">
        <v>1580</v>
      </c>
      <c r="I116" s="135"/>
      <c r="J116" s="135"/>
    </row>
    <row r="117" spans="1:10" customFormat="1" ht="56.25" x14ac:dyDescent="0.25">
      <c r="A117" s="200">
        <f t="shared" si="3"/>
        <v>332</v>
      </c>
      <c r="B117" s="231" t="str">
        <f>Suite&amp;" Electrical Room "&amp;SWTwo</f>
        <v>G104 Electrical Room XXX</v>
      </c>
      <c r="C117" s="183" t="str">
        <f>"UPS "&amp;SWTwo&amp;"2 Battery Cabinets"</f>
        <v>UPS XXX2 Battery Cabinets</v>
      </c>
      <c r="D117" s="177" t="str" cm="1">
        <f t="array" ref="D117">"Apply LOTO to Battery Breaker Q8B at Cabinet " &amp; SWTwo &amp; "2-4."</f>
        <v>Apply LOTO to Battery Breaker Q8B at Cabinet XXX2-4.</v>
      </c>
      <c r="E117" s="183" t="s">
        <v>1464</v>
      </c>
      <c r="F117" s="193" t="s">
        <v>1519</v>
      </c>
      <c r="G117" s="193"/>
      <c r="H117" s="163" t="s">
        <v>1580</v>
      </c>
      <c r="I117" s="135"/>
      <c r="J117" s="135"/>
    </row>
    <row r="118" spans="1:10" customFormat="1" ht="56.25" x14ac:dyDescent="0.25">
      <c r="A118" s="200">
        <f t="shared" si="3"/>
        <v>333</v>
      </c>
      <c r="B118" s="231" t="str">
        <f>Suite&amp;" Electrical Room "&amp;SWTwo</f>
        <v>G104 Electrical Room XXX</v>
      </c>
      <c r="C118" s="183" t="str">
        <f>"UPS "&amp;SWTwo&amp;"2 Battery Cabinets"</f>
        <v>UPS XXX2 Battery Cabinets</v>
      </c>
      <c r="D118" s="186" t="s">
        <v>1518</v>
      </c>
      <c r="E118" s="183" t="s">
        <v>1464</v>
      </c>
      <c r="F118" s="193" t="s">
        <v>1519</v>
      </c>
      <c r="G118" s="193"/>
      <c r="H118" s="163" t="s">
        <v>1580</v>
      </c>
      <c r="I118" s="135"/>
      <c r="J118" s="135"/>
    </row>
    <row r="119" spans="1:10" customFormat="1" ht="56.25" hidden="1" x14ac:dyDescent="0.25">
      <c r="A119" s="200">
        <f>A106+1</f>
        <v>322</v>
      </c>
      <c r="B119" s="231" t="str">
        <f>Suite&amp;" Electrical Room "&amp;SWTwo</f>
        <v>G104 Electrical Room XXX</v>
      </c>
      <c r="C119" s="183" t="str">
        <f>"UPS "&amp;SWTwo&amp;"2 Battery Cabinets"</f>
        <v>UPS XXX2 Battery Cabinets</v>
      </c>
      <c r="D119" s="186" t="str" cm="1">
        <f t="array" ref="D119">"OPEN Battery Breaker Q7A at Cabinet " &amp; SWTwo &amp; "2-1."</f>
        <v>OPEN Battery Breaker Q7A at Cabinet XXX2-1.</v>
      </c>
      <c r="E119" s="183" t="s">
        <v>1464</v>
      </c>
      <c r="F119" s="193" t="s">
        <v>1519</v>
      </c>
      <c r="G119" s="193"/>
      <c r="H119" s="163" t="s">
        <v>1581</v>
      </c>
      <c r="I119" s="135"/>
      <c r="J119" s="135"/>
    </row>
    <row r="120" spans="1:10" customFormat="1" ht="56.25" hidden="1" x14ac:dyDescent="0.25">
      <c r="A120" s="200">
        <f t="shared" ref="A120:A136" si="4">A119+1</f>
        <v>323</v>
      </c>
      <c r="B120" s="231" t="str">
        <f>Suite&amp;" Electrical Room "&amp;SWTwo</f>
        <v>G104 Electrical Room XXX</v>
      </c>
      <c r="C120" s="183" t="str">
        <f>"UPS "&amp;SWTwo&amp;"2 Battery Cabinets"</f>
        <v>UPS XXX2 Battery Cabinets</v>
      </c>
      <c r="D120" s="177" t="str" cm="1">
        <f t="array" ref="D120">"Apply LOTO to Battery Breaker Q7A at Cabinet " &amp; SWTwo &amp; "2-1."</f>
        <v>Apply LOTO to Battery Breaker Q7A at Cabinet XXX2-1.</v>
      </c>
      <c r="E120" s="183" t="s">
        <v>1464</v>
      </c>
      <c r="F120" s="193" t="s">
        <v>1519</v>
      </c>
      <c r="G120" s="193"/>
      <c r="H120" s="163" t="s">
        <v>1581</v>
      </c>
      <c r="I120" s="135"/>
      <c r="J120" s="135"/>
    </row>
    <row r="121" spans="1:10" customFormat="1" ht="56.25" hidden="1" x14ac:dyDescent="0.25">
      <c r="A121" s="200">
        <f t="shared" si="4"/>
        <v>324</v>
      </c>
      <c r="B121" s="231" t="str">
        <f>Suite&amp;" Electrical Room "&amp;SWTwo</f>
        <v>G104 Electrical Room XXX</v>
      </c>
      <c r="C121" s="183" t="str">
        <f>"UPS "&amp;SWTwo&amp;"2 Battery Cabinets"</f>
        <v>UPS XXX2 Battery Cabinets</v>
      </c>
      <c r="D121" s="186" t="s">
        <v>1518</v>
      </c>
      <c r="E121" s="183" t="s">
        <v>1464</v>
      </c>
      <c r="F121" s="193" t="s">
        <v>1519</v>
      </c>
      <c r="G121" s="193"/>
      <c r="H121" s="163" t="s">
        <v>1581</v>
      </c>
      <c r="I121" s="135"/>
      <c r="J121" s="135"/>
    </row>
    <row r="122" spans="1:10" customFormat="1" ht="56.25" hidden="1" x14ac:dyDescent="0.25">
      <c r="A122" s="200">
        <f t="shared" si="4"/>
        <v>325</v>
      </c>
      <c r="B122" s="231" t="str">
        <f>Suite&amp;" Electrical Room "&amp;SWTwo</f>
        <v>G104 Electrical Room XXX</v>
      </c>
      <c r="C122" s="183" t="str">
        <f>"UPS "&amp;SWTwo&amp;"2 Battery Cabinets"</f>
        <v>UPS XXX2 Battery Cabinets</v>
      </c>
      <c r="D122" s="186" t="str" cm="1">
        <f t="array" ref="D122">"OPEN Battery Breaker Q7B at Cabinet " &amp; SWTwo &amp; "2-2."</f>
        <v>OPEN Battery Breaker Q7B at Cabinet XXX2-2.</v>
      </c>
      <c r="E122" s="183" t="s">
        <v>1464</v>
      </c>
      <c r="F122" s="193" t="s">
        <v>1519</v>
      </c>
      <c r="G122" s="193"/>
      <c r="H122" s="163" t="s">
        <v>1581</v>
      </c>
      <c r="I122" s="135"/>
      <c r="J122" s="135"/>
    </row>
    <row r="123" spans="1:10" customFormat="1" ht="56.25" hidden="1" x14ac:dyDescent="0.25">
      <c r="A123" s="200">
        <f t="shared" si="4"/>
        <v>326</v>
      </c>
      <c r="B123" s="231" t="str">
        <f>Suite&amp;" Electrical Room "&amp;SWTwo</f>
        <v>G104 Electrical Room XXX</v>
      </c>
      <c r="C123" s="183" t="str">
        <f>"UPS "&amp;SWTwo&amp;"2 Battery Cabinets"</f>
        <v>UPS XXX2 Battery Cabinets</v>
      </c>
      <c r="D123" s="177" t="str" cm="1">
        <f t="array" ref="D123">"Apply LOTO to Battery Breaker Q7B at Cabinet " &amp; SWTwo &amp; "2-2."</f>
        <v>Apply LOTO to Battery Breaker Q7B at Cabinet XXX2-2.</v>
      </c>
      <c r="E123" s="183" t="s">
        <v>1464</v>
      </c>
      <c r="F123" s="193" t="s">
        <v>1519</v>
      </c>
      <c r="G123" s="193"/>
      <c r="H123" s="163" t="s">
        <v>1581</v>
      </c>
      <c r="I123" s="135"/>
      <c r="J123" s="135"/>
    </row>
    <row r="124" spans="1:10" customFormat="1" ht="56.25" hidden="1" x14ac:dyDescent="0.25">
      <c r="A124" s="200">
        <f t="shared" si="4"/>
        <v>327</v>
      </c>
      <c r="B124" s="231" t="str">
        <f>Suite&amp;" Electrical Room "&amp;SWTwo</f>
        <v>G104 Electrical Room XXX</v>
      </c>
      <c r="C124" s="183" t="str">
        <f>"UPS "&amp;SWTwo&amp;"2 Battery Cabinets"</f>
        <v>UPS XXX2 Battery Cabinets</v>
      </c>
      <c r="D124" s="186" t="s">
        <v>1518</v>
      </c>
      <c r="E124" s="183" t="s">
        <v>1464</v>
      </c>
      <c r="F124" s="193" t="s">
        <v>1519</v>
      </c>
      <c r="G124" s="193"/>
      <c r="H124" s="163" t="s">
        <v>1581</v>
      </c>
      <c r="I124" s="135"/>
      <c r="J124" s="135"/>
    </row>
    <row r="125" spans="1:10" customFormat="1" ht="56.25" hidden="1" x14ac:dyDescent="0.25">
      <c r="A125" s="200">
        <f t="shared" si="4"/>
        <v>328</v>
      </c>
      <c r="B125" s="231" t="str">
        <f>Suite&amp;" Electrical Room "&amp;SWTwo</f>
        <v>G104 Electrical Room XXX</v>
      </c>
      <c r="C125" s="183" t="str">
        <f>"UPS "&amp;SWTwo&amp;"2 Battery Cabinets"</f>
        <v>UPS XXX2 Battery Cabinets</v>
      </c>
      <c r="D125" s="186" t="str" cm="1">
        <f t="array" ref="D125">"OPEN Battery Breaker Q7C at Cabinet " &amp; SWTwo &amp; "2-3."</f>
        <v>OPEN Battery Breaker Q7C at Cabinet XXX2-3.</v>
      </c>
      <c r="E125" s="183" t="s">
        <v>1464</v>
      </c>
      <c r="F125" s="193" t="s">
        <v>1519</v>
      </c>
      <c r="G125" s="193"/>
      <c r="H125" s="163" t="s">
        <v>1581</v>
      </c>
      <c r="I125" s="135"/>
      <c r="J125" s="135"/>
    </row>
    <row r="126" spans="1:10" customFormat="1" ht="56.25" hidden="1" x14ac:dyDescent="0.25">
      <c r="A126" s="200">
        <f t="shared" si="4"/>
        <v>329</v>
      </c>
      <c r="B126" s="231" t="str">
        <f>Suite&amp;" Electrical Room "&amp;SWTwo</f>
        <v>G104 Electrical Room XXX</v>
      </c>
      <c r="C126" s="183" t="str">
        <f>"UPS "&amp;SWTwo&amp;"2 Battery Cabinets"</f>
        <v>UPS XXX2 Battery Cabinets</v>
      </c>
      <c r="D126" s="177" t="str" cm="1">
        <f t="array" ref="D126">"Apply LOTO to Battery Breaker Q7C at Cabinet " &amp; SWTwo &amp; "2-3."</f>
        <v>Apply LOTO to Battery Breaker Q7C at Cabinet XXX2-3.</v>
      </c>
      <c r="E126" s="183" t="s">
        <v>1464</v>
      </c>
      <c r="F126" s="193" t="s">
        <v>1519</v>
      </c>
      <c r="G126" s="193"/>
      <c r="H126" s="163" t="s">
        <v>1581</v>
      </c>
      <c r="I126" s="135"/>
      <c r="J126" s="135"/>
    </row>
    <row r="127" spans="1:10" customFormat="1" ht="56.25" hidden="1" x14ac:dyDescent="0.25">
      <c r="A127" s="200">
        <f t="shared" si="4"/>
        <v>330</v>
      </c>
      <c r="B127" s="231" t="str">
        <f>Suite&amp;" Electrical Room "&amp;SWTwo</f>
        <v>G104 Electrical Room XXX</v>
      </c>
      <c r="C127" s="183" t="str">
        <f>"UPS "&amp;SWTwo&amp;"2 Battery Cabinets"</f>
        <v>UPS XXX2 Battery Cabinets</v>
      </c>
      <c r="D127" s="186" t="s">
        <v>1518</v>
      </c>
      <c r="E127" s="183" t="s">
        <v>1464</v>
      </c>
      <c r="F127" s="193" t="s">
        <v>1519</v>
      </c>
      <c r="G127" s="193"/>
      <c r="H127" s="163" t="s">
        <v>1581</v>
      </c>
      <c r="I127" s="135"/>
      <c r="J127" s="135"/>
    </row>
    <row r="128" spans="1:10" customFormat="1" ht="56.25" hidden="1" x14ac:dyDescent="0.25">
      <c r="A128" s="200">
        <f t="shared" si="4"/>
        <v>331</v>
      </c>
      <c r="B128" s="231" t="str">
        <f>Suite&amp;" Electrical Room "&amp;SWTwo</f>
        <v>G104 Electrical Room XXX</v>
      </c>
      <c r="C128" s="183" t="str">
        <f>"UPS "&amp;SWTwo&amp;"2 Battery Cabinets"</f>
        <v>UPS XXX2 Battery Cabinets</v>
      </c>
      <c r="D128" s="186" t="str" cm="1">
        <f t="array" ref="D128">"OPEN Battery Breaker Q8A at Cabinet " &amp; SWTwo &amp; "2-4."</f>
        <v>OPEN Battery Breaker Q8A at Cabinet XXX2-4.</v>
      </c>
      <c r="E128" s="183" t="s">
        <v>1464</v>
      </c>
      <c r="F128" s="193" t="s">
        <v>1519</v>
      </c>
      <c r="G128" s="193"/>
      <c r="H128" s="163" t="s">
        <v>1581</v>
      </c>
      <c r="I128" s="135"/>
      <c r="J128" s="135"/>
    </row>
    <row r="129" spans="1:10" customFormat="1" ht="56.25" hidden="1" x14ac:dyDescent="0.25">
      <c r="A129" s="200">
        <f t="shared" si="4"/>
        <v>332</v>
      </c>
      <c r="B129" s="231" t="str">
        <f>Suite&amp;" Electrical Room "&amp;SWTwo</f>
        <v>G104 Electrical Room XXX</v>
      </c>
      <c r="C129" s="183" t="str">
        <f>"UPS "&amp;SWTwo&amp;"2 Battery Cabinets"</f>
        <v>UPS XXX2 Battery Cabinets</v>
      </c>
      <c r="D129" s="177" t="str" cm="1">
        <f t="array" ref="D129">"Apply LOTO to Battery Breaker Q8A at Cabinet " &amp; SWTwo &amp; "2-4."</f>
        <v>Apply LOTO to Battery Breaker Q8A at Cabinet XXX2-4.</v>
      </c>
      <c r="E129" s="183" t="s">
        <v>1464</v>
      </c>
      <c r="F129" s="193" t="s">
        <v>1519</v>
      </c>
      <c r="G129" s="193"/>
      <c r="H129" s="163" t="s">
        <v>1581</v>
      </c>
      <c r="I129" s="135"/>
      <c r="J129" s="135"/>
    </row>
    <row r="130" spans="1:10" customFormat="1" ht="56.25" hidden="1" x14ac:dyDescent="0.25">
      <c r="A130" s="200">
        <f t="shared" si="4"/>
        <v>333</v>
      </c>
      <c r="B130" s="231" t="str">
        <f>Suite&amp;" Electrical Room "&amp;SWTwo</f>
        <v>G104 Electrical Room XXX</v>
      </c>
      <c r="C130" s="183" t="str">
        <f>"UPS "&amp;SWTwo&amp;"2 Battery Cabinets"</f>
        <v>UPS XXX2 Battery Cabinets</v>
      </c>
      <c r="D130" s="186" t="s">
        <v>1518</v>
      </c>
      <c r="E130" s="183" t="s">
        <v>1464</v>
      </c>
      <c r="F130" s="193" t="s">
        <v>1519</v>
      </c>
      <c r="G130" s="193"/>
      <c r="H130" s="163" t="s">
        <v>1581</v>
      </c>
      <c r="I130" s="135"/>
      <c r="J130" s="135"/>
    </row>
    <row r="131" spans="1:10" customFormat="1" ht="56.25" hidden="1" x14ac:dyDescent="0.25">
      <c r="A131" s="200">
        <f t="shared" si="4"/>
        <v>334</v>
      </c>
      <c r="B131" s="231" t="str">
        <f>Suite&amp;" Electrical Room "&amp;SWTwo</f>
        <v>G104 Electrical Room XXX</v>
      </c>
      <c r="C131" s="183" t="str">
        <f>"UPS "&amp;SWTwo&amp;"2 Battery Cabinets"</f>
        <v>UPS XXX2 Battery Cabinets</v>
      </c>
      <c r="D131" s="186" t="str" cm="1">
        <f t="array" ref="D131">"OPEN Battery Breaker Q8B at Cabinet " &amp; SWTwo &amp; "2-5."</f>
        <v>OPEN Battery Breaker Q8B at Cabinet XXX2-5.</v>
      </c>
      <c r="E131" s="183" t="s">
        <v>1464</v>
      </c>
      <c r="F131" s="193" t="s">
        <v>1519</v>
      </c>
      <c r="G131" s="193"/>
      <c r="H131" s="163" t="s">
        <v>1581</v>
      </c>
      <c r="I131" s="135"/>
      <c r="J131" s="135"/>
    </row>
    <row r="132" spans="1:10" customFormat="1" ht="56.25" hidden="1" x14ac:dyDescent="0.25">
      <c r="A132" s="200">
        <f t="shared" si="4"/>
        <v>335</v>
      </c>
      <c r="B132" s="231" t="str">
        <f>Suite&amp;" Electrical Room "&amp;SWTwo</f>
        <v>G104 Electrical Room XXX</v>
      </c>
      <c r="C132" s="183" t="str">
        <f>"UPS "&amp;SWTwo&amp;"2 Battery Cabinets"</f>
        <v>UPS XXX2 Battery Cabinets</v>
      </c>
      <c r="D132" s="186" t="str" cm="1">
        <f t="array" ref="D132">"Apply LOTO to Battery Breaker Q8B at Cabinet " &amp; SWTwo &amp; "2-5."</f>
        <v>Apply LOTO to Battery Breaker Q8B at Cabinet XXX2-5.</v>
      </c>
      <c r="E132" s="183" t="s">
        <v>1464</v>
      </c>
      <c r="F132" s="193" t="s">
        <v>1519</v>
      </c>
      <c r="G132" s="193"/>
      <c r="H132" s="163" t="s">
        <v>1581</v>
      </c>
      <c r="I132" s="135"/>
      <c r="J132" s="135"/>
    </row>
    <row r="133" spans="1:10" customFormat="1" ht="56.25" hidden="1" x14ac:dyDescent="0.25">
      <c r="A133" s="200">
        <f t="shared" si="4"/>
        <v>336</v>
      </c>
      <c r="B133" s="231" t="str">
        <f>Suite&amp;" Electrical Room "&amp;SWTwo</f>
        <v>G104 Electrical Room XXX</v>
      </c>
      <c r="C133" s="183" t="str">
        <f>"UPS "&amp;SWTwo&amp;"2 Battery Cabinets"</f>
        <v>UPS XXX2 Battery Cabinets</v>
      </c>
      <c r="D133" s="186" t="s">
        <v>1518</v>
      </c>
      <c r="E133" s="183" t="s">
        <v>1464</v>
      </c>
      <c r="F133" s="193" t="s">
        <v>1519</v>
      </c>
      <c r="G133" s="193"/>
      <c r="H133" s="163" t="s">
        <v>1581</v>
      </c>
      <c r="I133" s="135"/>
      <c r="J133" s="135"/>
    </row>
    <row r="134" spans="1:10" customFormat="1" ht="56.25" hidden="1" x14ac:dyDescent="0.25">
      <c r="A134" s="200">
        <f t="shared" si="4"/>
        <v>337</v>
      </c>
      <c r="B134" s="231" t="str">
        <f>Suite&amp;" Electrical Room "&amp;SWTwo</f>
        <v>G104 Electrical Room XXX</v>
      </c>
      <c r="C134" s="183" t="str">
        <f>"UPS "&amp;SWTwo&amp;"2 Battery Cabinets"</f>
        <v>UPS XXX2 Battery Cabinets</v>
      </c>
      <c r="D134" s="186" t="str" cm="1">
        <f t="array" ref="D134">"OPEN Battery Breaker Q8C at Cabinet " &amp; SWTwo &amp; "2-6."</f>
        <v>OPEN Battery Breaker Q8C at Cabinet XXX2-6.</v>
      </c>
      <c r="E134" s="183" t="s">
        <v>1464</v>
      </c>
      <c r="F134" s="193" t="s">
        <v>1519</v>
      </c>
      <c r="G134" s="193"/>
      <c r="H134" s="163" t="s">
        <v>1581</v>
      </c>
      <c r="I134" s="135"/>
      <c r="J134" s="135"/>
    </row>
    <row r="135" spans="1:10" customFormat="1" ht="56.25" hidden="1" x14ac:dyDescent="0.25">
      <c r="A135" s="200">
        <f t="shared" si="4"/>
        <v>338</v>
      </c>
      <c r="B135" s="231" t="str">
        <f>Suite&amp;" Electrical Room "&amp;SWTwo</f>
        <v>G104 Electrical Room XXX</v>
      </c>
      <c r="C135" s="183" t="str">
        <f>"UPS "&amp;SWTwo&amp;"2 Battery Cabinets"</f>
        <v>UPS XXX2 Battery Cabinets</v>
      </c>
      <c r="D135" s="177" t="str" cm="1">
        <f t="array" ref="D135">"Apply LOTO to Battery Breaker Q8C at Cabinet " &amp; SWTwo &amp; "2-6."</f>
        <v>Apply LOTO to Battery Breaker Q8C at Cabinet XXX2-6.</v>
      </c>
      <c r="E135" s="183" t="s">
        <v>1464</v>
      </c>
      <c r="F135" s="193" t="s">
        <v>1519</v>
      </c>
      <c r="G135" s="193"/>
      <c r="H135" s="163" t="s">
        <v>1581</v>
      </c>
      <c r="I135" s="135"/>
      <c r="J135" s="135"/>
    </row>
    <row r="136" spans="1:10" customFormat="1" ht="56.25" hidden="1" x14ac:dyDescent="0.25">
      <c r="A136" s="200">
        <f t="shared" si="4"/>
        <v>339</v>
      </c>
      <c r="B136" s="231" t="str">
        <f>Suite&amp;" Electrical Room "&amp;SWTwo</f>
        <v>G104 Electrical Room XXX</v>
      </c>
      <c r="C136" s="183" t="str">
        <f>"UPS "&amp;SWTwo&amp;"2 Battery Cabinets"</f>
        <v>UPS XXX2 Battery Cabinets</v>
      </c>
      <c r="D136" s="186" t="s">
        <v>1518</v>
      </c>
      <c r="E136" s="183" t="s">
        <v>1464</v>
      </c>
      <c r="F136" s="193" t="s">
        <v>1519</v>
      </c>
      <c r="G136" s="193"/>
      <c r="H136" s="163" t="s">
        <v>1581</v>
      </c>
      <c r="I136" s="135"/>
      <c r="J136" s="135"/>
    </row>
    <row r="137" spans="1:10" customFormat="1" ht="37.5" x14ac:dyDescent="0.25">
      <c r="A137" s="200">
        <f>IF(NumberOfICDs=4, A118+1, A136+1)</f>
        <v>340</v>
      </c>
      <c r="B137" s="231" t="str">
        <f>Suite&amp;" Electrical Room "&amp;SWTwo</f>
        <v>G104 Electrical Room XXX</v>
      </c>
      <c r="C137" s="183" t="str">
        <f>"SW"&amp;SWTwo</f>
        <v>SWXXX</v>
      </c>
      <c r="D137" s="186" t="str" cm="1">
        <f t="array" ref="D137">"OPEN breaker UPS-" &amp; SWTwo &amp; "2."</f>
        <v>OPEN breaker UPS-XXX2.</v>
      </c>
      <c r="E137" s="183" t="s">
        <v>1464</v>
      </c>
      <c r="F137" s="193"/>
      <c r="G137" s="193"/>
      <c r="H137" s="135"/>
      <c r="I137" s="135"/>
      <c r="J137" s="135"/>
    </row>
    <row r="138" spans="1:10" customFormat="1" ht="37.5" x14ac:dyDescent="0.25">
      <c r="A138" s="200">
        <f t="shared" ref="A138:A160" si="5">A137+1</f>
        <v>341</v>
      </c>
      <c r="B138" s="231" t="str">
        <f>Suite&amp;" Electrical Room "&amp;SWTwo</f>
        <v>G104 Electrical Room XXX</v>
      </c>
      <c r="C138" s="183" t="str">
        <f>"SW"&amp;SWTwo</f>
        <v>SWXXX</v>
      </c>
      <c r="D138" s="186" t="str" cm="1">
        <f t="array" ref="D138">"Apply LOTO to breaker UPS-" &amp; SWTwo &amp; "2."</f>
        <v>Apply LOTO to breaker UPS-XXX2.</v>
      </c>
      <c r="E138" s="183" t="s">
        <v>1464</v>
      </c>
      <c r="F138" s="193"/>
      <c r="G138" s="193"/>
      <c r="H138" s="135"/>
      <c r="I138" s="135"/>
      <c r="J138" s="135"/>
    </row>
    <row r="139" spans="1:10" customFormat="1" ht="37.5" x14ac:dyDescent="0.25">
      <c r="A139" s="200">
        <f t="shared" si="5"/>
        <v>342</v>
      </c>
      <c r="B139" s="231" t="str">
        <f>Suite&amp;" Electrical Room "&amp;SWTwo</f>
        <v>G104 Electrical Room XXX</v>
      </c>
      <c r="C139" s="183" t="str">
        <f>"SW"&amp;SWTwo</f>
        <v>SWXXX</v>
      </c>
      <c r="D139" s="186" t="s">
        <v>1518</v>
      </c>
      <c r="E139" s="183" t="s">
        <v>1464</v>
      </c>
      <c r="F139" s="193"/>
      <c r="G139" s="193"/>
      <c r="H139" s="135"/>
      <c r="I139" s="135"/>
      <c r="J139" s="135"/>
    </row>
    <row r="140" spans="1:10" customFormat="1" ht="37.5" x14ac:dyDescent="0.25">
      <c r="A140" s="200">
        <f t="shared" si="5"/>
        <v>343</v>
      </c>
      <c r="B140" s="231" t="str">
        <f>Suite&amp;" Electrical Room "&amp;SWTwo</f>
        <v>G104 Electrical Room XXX</v>
      </c>
      <c r="C140" s="183" t="str">
        <f>"SW"&amp;SWTwo</f>
        <v>SWXXX</v>
      </c>
      <c r="D140" s="233" t="str" cm="1">
        <f t="array" ref="D140">"UPS SYSTEM " &amp; SWTwo &amp; " is now completely offline. Critical Customer Load remains on Maintenance Bypass Source."</f>
        <v>UPS SYSTEM XXX is now completely offline. Critical Customer Load remains on Maintenance Bypass Source.</v>
      </c>
      <c r="E140" s="183" t="s">
        <v>1464</v>
      </c>
      <c r="F140" s="193"/>
      <c r="G140" s="193"/>
      <c r="H140" s="135"/>
      <c r="I140" s="135"/>
      <c r="J140" s="135"/>
    </row>
    <row r="141" spans="1:10" customFormat="1" ht="37.5" x14ac:dyDescent="0.25">
      <c r="A141" s="200">
        <f t="shared" si="5"/>
        <v>344</v>
      </c>
      <c r="B141" s="231" t="str">
        <f>Suite&amp;" Electrical Room "&amp;SWTwo</f>
        <v>G104 Electrical Room XXX</v>
      </c>
      <c r="C141" s="183" t="str">
        <f>"SW"&amp;SWTwo</f>
        <v>SWXXX</v>
      </c>
      <c r="D141" s="233" t="s">
        <v>1584</v>
      </c>
      <c r="E141" s="183" t="s">
        <v>1464</v>
      </c>
      <c r="F141" s="193"/>
      <c r="G141" s="193"/>
      <c r="H141" s="135"/>
      <c r="I141" s="135"/>
      <c r="J141" s="135"/>
    </row>
    <row r="142" spans="1:10" customFormat="1" x14ac:dyDescent="0.25">
      <c r="A142" s="200">
        <f t="shared" si="5"/>
        <v>345</v>
      </c>
      <c r="B142" s="711" t="str">
        <f>"Restart UPS System "&amp;SWTwo</f>
        <v>Restart UPS System XXX</v>
      </c>
      <c r="C142" s="711"/>
      <c r="D142" s="711"/>
      <c r="E142" s="711"/>
      <c r="F142" s="711"/>
      <c r="G142" s="711"/>
      <c r="H142" s="135"/>
      <c r="I142" s="135"/>
      <c r="J142" s="135"/>
    </row>
    <row r="143" spans="1:10" customFormat="1" ht="37.5" x14ac:dyDescent="0.25">
      <c r="A143" s="200">
        <f t="shared" si="5"/>
        <v>346</v>
      </c>
      <c r="B143" s="231" t="str">
        <f>Suite&amp;" Electrical Room "&amp;SWTwo</f>
        <v>G104 Electrical Room XXX</v>
      </c>
      <c r="C143" s="183" t="str">
        <f>"UPS "&amp;SWTwo</f>
        <v>UPS XXX</v>
      </c>
      <c r="D143" s="233" t="s">
        <v>1585</v>
      </c>
      <c r="E143" s="183" t="s">
        <v>1464</v>
      </c>
      <c r="F143" s="193"/>
      <c r="G143" s="193"/>
      <c r="H143" s="135"/>
      <c r="I143" s="135"/>
      <c r="J143" s="135"/>
    </row>
    <row r="144" spans="1:10" customFormat="1" ht="37.5" x14ac:dyDescent="0.25">
      <c r="A144" s="200">
        <f t="shared" si="5"/>
        <v>347</v>
      </c>
      <c r="B144" s="231" t="str">
        <f>Suite&amp;" Electrical Room "&amp;SWTwo</f>
        <v>G104 Electrical Room XXX</v>
      </c>
      <c r="C144" s="183" t="str">
        <f>"UPS "&amp;SWTwo</f>
        <v>UPS XXX</v>
      </c>
      <c r="D144" s="252" t="str" cm="1">
        <f t="array" ref="D144">"By my signature below I certify that UPS-" &amp; SWTwo &amp; " is ready to be returned to service."</f>
        <v>By my signature below I certify that UPS-XXX is ready to be returned to service.</v>
      </c>
      <c r="E144" s="183" t="s">
        <v>1529</v>
      </c>
      <c r="F144" s="193"/>
      <c r="G144" s="193"/>
      <c r="H144" s="135"/>
      <c r="I144" s="135"/>
      <c r="J144" s="135"/>
    </row>
    <row r="145" spans="1:10" customFormat="1" ht="37.5" x14ac:dyDescent="0.25">
      <c r="A145" s="200">
        <f t="shared" si="5"/>
        <v>348</v>
      </c>
      <c r="B145" s="231" t="str">
        <f>Suite&amp;" Electrical Room "&amp;SWTwo</f>
        <v>G104 Electrical Room XXX</v>
      </c>
      <c r="C145" s="183" t="str">
        <f>"UPS "&amp;SWTwo</f>
        <v>UPS XXX</v>
      </c>
      <c r="D145" s="184" t="s">
        <v>1586</v>
      </c>
      <c r="E145" s="183" t="s">
        <v>1529</v>
      </c>
      <c r="F145" s="193"/>
      <c r="G145" s="193"/>
      <c r="H145" s="135"/>
      <c r="I145" s="135"/>
      <c r="J145" s="135"/>
    </row>
    <row r="146" spans="1:10" customFormat="1" ht="37.5" x14ac:dyDescent="0.25">
      <c r="A146" s="200">
        <f t="shared" si="5"/>
        <v>349</v>
      </c>
      <c r="B146" s="231" t="str">
        <f>Suite&amp;" Electrical Room "&amp;SWTwo</f>
        <v>G104 Electrical Room XXX</v>
      </c>
      <c r="C146" s="183" t="str">
        <f>"SW"&amp;SWTwo</f>
        <v>SWXXX</v>
      </c>
      <c r="D146" s="186" t="str" cm="1">
        <f t="array" ref="D146">"Remove LOTO from breaker UPS-" &amp; SWTwo &amp; "1."</f>
        <v>Remove LOTO from breaker UPS-XXX1.</v>
      </c>
      <c r="E146" s="183" t="s">
        <v>1464</v>
      </c>
      <c r="F146" s="193"/>
      <c r="G146" s="193"/>
      <c r="H146" s="135"/>
      <c r="I146" s="135"/>
      <c r="J146" s="135"/>
    </row>
    <row r="147" spans="1:10" customFormat="1" ht="37.5" x14ac:dyDescent="0.25">
      <c r="A147" s="200">
        <f t="shared" si="5"/>
        <v>350</v>
      </c>
      <c r="B147" s="231" t="str">
        <f>Suite&amp;" Electrical Room "&amp;SWTwo</f>
        <v>G104 Electrical Room XXX</v>
      </c>
      <c r="C147" s="183" t="str">
        <f>"SW"&amp;SWTwo</f>
        <v>SWXXX</v>
      </c>
      <c r="D147" s="186" t="s">
        <v>1518</v>
      </c>
      <c r="E147" s="183" t="s">
        <v>1464</v>
      </c>
      <c r="F147" s="193"/>
      <c r="G147" s="193"/>
      <c r="H147" s="135"/>
      <c r="I147" s="135"/>
      <c r="J147" s="135"/>
    </row>
    <row r="148" spans="1:10" customFormat="1" ht="37.5" x14ac:dyDescent="0.25">
      <c r="A148" s="200">
        <f t="shared" si="5"/>
        <v>351</v>
      </c>
      <c r="B148" s="231" t="str">
        <f>Suite&amp;" Electrical Room "&amp;SWTwo</f>
        <v>G104 Electrical Room XXX</v>
      </c>
      <c r="C148" s="183" t="str">
        <f>"SW"&amp;SWTwo</f>
        <v>SWXXX</v>
      </c>
      <c r="D148" s="186" t="str" cm="1">
        <f t="array" ref="D148">"CLOSE breaker UPS-" &amp; SWTwo &amp; "1."</f>
        <v>CLOSE breaker UPS-XXX1.</v>
      </c>
      <c r="E148" s="183" t="s">
        <v>1464</v>
      </c>
      <c r="F148" s="193"/>
      <c r="G148" s="193"/>
      <c r="H148" s="135"/>
      <c r="I148" s="135"/>
      <c r="J148" s="135"/>
    </row>
    <row r="149" spans="1:10" customFormat="1" ht="37.5" x14ac:dyDescent="0.25">
      <c r="A149" s="200">
        <f t="shared" si="5"/>
        <v>352</v>
      </c>
      <c r="B149" s="231" t="str">
        <f>Suite&amp;" Electrical Room "&amp;SWTwo</f>
        <v>G104 Electrical Room XXX</v>
      </c>
      <c r="C149" s="183" t="str">
        <f>"SW"&amp;SWTwo</f>
        <v>SWXXX</v>
      </c>
      <c r="D149" s="186" t="str" cm="1">
        <f t="array" ref="D149">"Remove LOTO from breaker UPS-" &amp; SWTwo &amp; "2."</f>
        <v>Remove LOTO from breaker UPS-XXX2.</v>
      </c>
      <c r="E149" s="183" t="s">
        <v>1464</v>
      </c>
      <c r="F149" s="193"/>
      <c r="G149" s="193"/>
      <c r="H149" s="135"/>
      <c r="I149" s="135"/>
      <c r="J149" s="135"/>
    </row>
    <row r="150" spans="1:10" customFormat="1" ht="37.5" x14ac:dyDescent="0.25">
      <c r="A150" s="200">
        <f t="shared" si="5"/>
        <v>353</v>
      </c>
      <c r="B150" s="231" t="str">
        <f>Suite&amp;" Electrical Room "&amp;SWTwo</f>
        <v>G104 Electrical Room XXX</v>
      </c>
      <c r="C150" s="183" t="str">
        <f>"SW"&amp;SWTwo</f>
        <v>SWXXX</v>
      </c>
      <c r="D150" s="186" t="s">
        <v>1518</v>
      </c>
      <c r="E150" s="183" t="s">
        <v>1464</v>
      </c>
      <c r="F150" s="193"/>
      <c r="G150" s="193"/>
      <c r="H150" s="135"/>
      <c r="I150" s="135"/>
      <c r="J150" s="135"/>
    </row>
    <row r="151" spans="1:10" customFormat="1" ht="37.5" x14ac:dyDescent="0.25">
      <c r="A151" s="200">
        <f t="shared" si="5"/>
        <v>354</v>
      </c>
      <c r="B151" s="231" t="str">
        <f>Suite&amp;" Electrical Room "&amp;SWTwo</f>
        <v>G104 Electrical Room XXX</v>
      </c>
      <c r="C151" s="183" t="str">
        <f>"SW"&amp;SWTwo</f>
        <v>SWXXX</v>
      </c>
      <c r="D151" s="186" t="str" cm="1">
        <f t="array" ref="D151">"CLOSE breaker UPS-" &amp; SWTwo &amp; "2."</f>
        <v>CLOSE breaker UPS-XXX2.</v>
      </c>
      <c r="E151" s="183" t="s">
        <v>1464</v>
      </c>
      <c r="F151" s="193"/>
      <c r="G151" s="193"/>
      <c r="H151" s="135"/>
      <c r="I151" s="135"/>
      <c r="J151" s="135"/>
    </row>
    <row r="152" spans="1:10" customFormat="1" ht="56.25" x14ac:dyDescent="0.25">
      <c r="A152" s="200">
        <f t="shared" si="5"/>
        <v>355</v>
      </c>
      <c r="B152" s="231" t="str">
        <f>Suite&amp;" Electrical Room "&amp;SWTwo</f>
        <v>G104 Electrical Room XXX</v>
      </c>
      <c r="C152" s="183" t="str">
        <f>"UPS "&amp;SWTwo&amp;"1 &amp; "&amp;SWTwo&amp;"2"</f>
        <v>UPS XXX1 &amp; XXX2</v>
      </c>
      <c r="D152" s="233" t="s">
        <v>1587</v>
      </c>
      <c r="E152" s="183" t="s">
        <v>1464</v>
      </c>
      <c r="F152" s="193"/>
      <c r="G152" s="193"/>
      <c r="H152" s="135"/>
      <c r="I152" s="135"/>
      <c r="J152" s="135"/>
    </row>
    <row r="153" spans="1:10" customFormat="1" ht="56.25" x14ac:dyDescent="0.25">
      <c r="A153" s="200">
        <f t="shared" si="5"/>
        <v>356</v>
      </c>
      <c r="B153" s="231" t="str">
        <f>Suite&amp;" Electrical Room "&amp;SWTwo</f>
        <v>G104 Electrical Room XXX</v>
      </c>
      <c r="C153" s="183" t="str">
        <f>"UPS "&amp;SWTwo&amp;"1 Battery Cabinets"</f>
        <v>UPS XXX1 Battery Cabinets</v>
      </c>
      <c r="D153" s="177" t="str" cm="1">
        <f t="array" ref="D153">"Remove LOTO from Battery Breaker Q7A at Cabinet " &amp; SWTwo &amp; "1-1."</f>
        <v>Remove LOTO from Battery Breaker Q7A at Cabinet XXX1-1.</v>
      </c>
      <c r="E153" s="183" t="s">
        <v>1464</v>
      </c>
      <c r="F153" s="193"/>
      <c r="G153" s="193"/>
      <c r="H153" s="163" t="s">
        <v>1580</v>
      </c>
      <c r="I153" s="135"/>
      <c r="J153" s="135"/>
    </row>
    <row r="154" spans="1:10" customFormat="1" ht="56.25" x14ac:dyDescent="0.25">
      <c r="A154" s="200">
        <f t="shared" si="5"/>
        <v>357</v>
      </c>
      <c r="B154" s="231" t="str">
        <f>Suite&amp;" Electrical Room "&amp;SWTwo</f>
        <v>G104 Electrical Room XXX</v>
      </c>
      <c r="C154" s="183" t="str">
        <f>"UPS "&amp;SWTwo&amp;"1 Battery Cabinets"</f>
        <v>UPS XXX1 Battery Cabinets</v>
      </c>
      <c r="D154" s="186" t="s">
        <v>1518</v>
      </c>
      <c r="E154" s="183" t="s">
        <v>1464</v>
      </c>
      <c r="F154" s="193"/>
      <c r="G154" s="193"/>
      <c r="H154" s="163" t="s">
        <v>1580</v>
      </c>
      <c r="I154" s="135"/>
      <c r="J154" s="135"/>
    </row>
    <row r="155" spans="1:10" customFormat="1" ht="56.25" x14ac:dyDescent="0.25">
      <c r="A155" s="200">
        <f t="shared" si="5"/>
        <v>358</v>
      </c>
      <c r="B155" s="231" t="str">
        <f>Suite&amp;" Electrical Room "&amp;SWTwo</f>
        <v>G104 Electrical Room XXX</v>
      </c>
      <c r="C155" s="183" t="str">
        <f>"UPS "&amp;SWTwo&amp;"1 Battery Cabinets"</f>
        <v>UPS XXX1 Battery Cabinets</v>
      </c>
      <c r="D155" s="177" t="str" cm="1">
        <f t="array" ref="D155">"Remove LOTO from Battery Breaker Q7B at Cabinet " &amp; SWTwo &amp; "1-2."</f>
        <v>Remove LOTO from Battery Breaker Q7B at Cabinet XXX1-2.</v>
      </c>
      <c r="E155" s="183" t="s">
        <v>1464</v>
      </c>
      <c r="F155" s="193"/>
      <c r="G155" s="193"/>
      <c r="H155" s="163" t="s">
        <v>1580</v>
      </c>
      <c r="I155" s="135"/>
      <c r="J155" s="135"/>
    </row>
    <row r="156" spans="1:10" customFormat="1" ht="56.25" x14ac:dyDescent="0.25">
      <c r="A156" s="200">
        <f t="shared" si="5"/>
        <v>359</v>
      </c>
      <c r="B156" s="231" t="str">
        <f>Suite&amp;" Electrical Room "&amp;SWTwo</f>
        <v>G104 Electrical Room XXX</v>
      </c>
      <c r="C156" s="183" t="str">
        <f>"UPS "&amp;SWTwo&amp;"1 Battery Cabinets"</f>
        <v>UPS XXX1 Battery Cabinets</v>
      </c>
      <c r="D156" s="186" t="s">
        <v>1518</v>
      </c>
      <c r="E156" s="183" t="s">
        <v>1464</v>
      </c>
      <c r="F156" s="193"/>
      <c r="G156" s="193"/>
      <c r="H156" s="163" t="s">
        <v>1580</v>
      </c>
      <c r="I156" s="135"/>
      <c r="J156" s="135"/>
    </row>
    <row r="157" spans="1:10" customFormat="1" ht="56.25" x14ac:dyDescent="0.25">
      <c r="A157" s="200">
        <f t="shared" si="5"/>
        <v>360</v>
      </c>
      <c r="B157" s="231" t="str">
        <f>Suite&amp;" Electrical Room "&amp;SWTwo</f>
        <v>G104 Electrical Room XXX</v>
      </c>
      <c r="C157" s="183" t="str">
        <f>"UPS "&amp;SWTwo&amp;"1 Battery Cabinets"</f>
        <v>UPS XXX1 Battery Cabinets</v>
      </c>
      <c r="D157" s="177" t="str" cm="1">
        <f t="array" ref="D157">"Remove LOTO from Battery Breaker Q8A at Cabinet " &amp; SWTwo &amp; "1-3."</f>
        <v>Remove LOTO from Battery Breaker Q8A at Cabinet XXX1-3.</v>
      </c>
      <c r="E157" s="183" t="s">
        <v>1464</v>
      </c>
      <c r="F157" s="193"/>
      <c r="G157" s="193"/>
      <c r="H157" s="163" t="s">
        <v>1580</v>
      </c>
      <c r="I157" s="135"/>
      <c r="J157" s="135"/>
    </row>
    <row r="158" spans="1:10" customFormat="1" ht="56.25" x14ac:dyDescent="0.25">
      <c r="A158" s="200">
        <f t="shared" si="5"/>
        <v>361</v>
      </c>
      <c r="B158" s="231" t="str">
        <f>Suite&amp;" Electrical Room "&amp;SWTwo</f>
        <v>G104 Electrical Room XXX</v>
      </c>
      <c r="C158" s="183" t="str">
        <f>"UPS "&amp;SWTwo&amp;"1 Battery Cabinets"</f>
        <v>UPS XXX1 Battery Cabinets</v>
      </c>
      <c r="D158" s="186" t="s">
        <v>1518</v>
      </c>
      <c r="E158" s="183" t="s">
        <v>1464</v>
      </c>
      <c r="F158" s="193"/>
      <c r="G158" s="193"/>
      <c r="H158" s="163" t="s">
        <v>1580</v>
      </c>
      <c r="I158" s="135"/>
      <c r="J158" s="135"/>
    </row>
    <row r="159" spans="1:10" customFormat="1" ht="56.25" x14ac:dyDescent="0.25">
      <c r="A159" s="200">
        <f t="shared" si="5"/>
        <v>362</v>
      </c>
      <c r="B159" s="231" t="str">
        <f>Suite&amp;" Electrical Room "&amp;SWTwo</f>
        <v>G104 Electrical Room XXX</v>
      </c>
      <c r="C159" s="183" t="str">
        <f>"UPS "&amp;SWTwo&amp;"1 Battery Cabinets"</f>
        <v>UPS XXX1 Battery Cabinets</v>
      </c>
      <c r="D159" s="177" t="str" cm="1">
        <f t="array" ref="D159">"Remove LOTO from Battery Breaker Q8B at Cabinet " &amp; SWTwo &amp; "1-4."</f>
        <v>Remove LOTO from Battery Breaker Q8B at Cabinet XXX1-4.</v>
      </c>
      <c r="E159" s="183" t="s">
        <v>1464</v>
      </c>
      <c r="F159" s="193"/>
      <c r="G159" s="193"/>
      <c r="H159" s="163" t="s">
        <v>1580</v>
      </c>
      <c r="I159" s="135"/>
      <c r="J159" s="135"/>
    </row>
    <row r="160" spans="1:10" customFormat="1" ht="56.25" x14ac:dyDescent="0.25">
      <c r="A160" s="200">
        <f t="shared" si="5"/>
        <v>363</v>
      </c>
      <c r="B160" s="231" t="str">
        <f>Suite&amp;" Electrical Room "&amp;SWTwo</f>
        <v>G104 Electrical Room XXX</v>
      </c>
      <c r="C160" s="183" t="str">
        <f>"UPS "&amp;SWTwo&amp;"1 Battery Cabinets"</f>
        <v>UPS XXX1 Battery Cabinets</v>
      </c>
      <c r="D160" s="186" t="s">
        <v>1518</v>
      </c>
      <c r="E160" s="183" t="s">
        <v>1464</v>
      </c>
      <c r="F160" s="193"/>
      <c r="G160" s="193"/>
      <c r="H160" s="163" t="s">
        <v>1580</v>
      </c>
      <c r="I160" s="135"/>
      <c r="J160" s="135"/>
    </row>
    <row r="161" spans="1:10" customFormat="1" ht="56.25" hidden="1" x14ac:dyDescent="0.25">
      <c r="A161" s="200">
        <f>A152+1</f>
        <v>356</v>
      </c>
      <c r="B161" s="231" t="str">
        <f>Suite&amp;" Electrical Room "&amp;SWTwo</f>
        <v>G104 Electrical Room XXX</v>
      </c>
      <c r="C161" s="183" t="str">
        <f>"UPS "&amp;SWTwo&amp;"1 Battery Cabinets"</f>
        <v>UPS XXX1 Battery Cabinets</v>
      </c>
      <c r="D161" s="177" t="str" cm="1">
        <f t="array" ref="D161">"Remove LOTO from Battery Breaker Q7A at Cabinet " &amp; SWTwo &amp; "1-1."</f>
        <v>Remove LOTO from Battery Breaker Q7A at Cabinet XXX1-1.</v>
      </c>
      <c r="E161" s="183" t="s">
        <v>1464</v>
      </c>
      <c r="F161" s="193"/>
      <c r="G161" s="193"/>
      <c r="H161" s="163" t="s">
        <v>1581</v>
      </c>
      <c r="I161" s="135"/>
      <c r="J161" s="135"/>
    </row>
    <row r="162" spans="1:10" customFormat="1" ht="56.25" hidden="1" x14ac:dyDescent="0.25">
      <c r="A162" s="200">
        <f t="shared" ref="A162:A172" si="6">A161+1</f>
        <v>357</v>
      </c>
      <c r="B162" s="231" t="str">
        <f>Suite&amp;" Electrical Room "&amp;SWTwo</f>
        <v>G104 Electrical Room XXX</v>
      </c>
      <c r="C162" s="183" t="str">
        <f>"UPS "&amp;SWTwo&amp;"1 Battery Cabinets"</f>
        <v>UPS XXX1 Battery Cabinets</v>
      </c>
      <c r="D162" s="186" t="s">
        <v>1518</v>
      </c>
      <c r="E162" s="183" t="s">
        <v>1464</v>
      </c>
      <c r="F162" s="193"/>
      <c r="G162" s="193"/>
      <c r="H162" s="163" t="s">
        <v>1581</v>
      </c>
      <c r="I162" s="135"/>
      <c r="J162" s="135"/>
    </row>
    <row r="163" spans="1:10" customFormat="1" ht="56.25" hidden="1" x14ac:dyDescent="0.25">
      <c r="A163" s="200">
        <f t="shared" si="6"/>
        <v>358</v>
      </c>
      <c r="B163" s="231" t="str">
        <f>Suite&amp;" Electrical Room "&amp;SWTwo</f>
        <v>G104 Electrical Room XXX</v>
      </c>
      <c r="C163" s="183" t="str">
        <f>"UPS "&amp;SWTwo&amp;"1 Battery Cabinets"</f>
        <v>UPS XXX1 Battery Cabinets</v>
      </c>
      <c r="D163" s="177" t="str" cm="1">
        <f t="array" ref="D163">"Remove LOTO from Battery Breaker Q7B at Cabinet " &amp; SWTwo &amp; "1-2."</f>
        <v>Remove LOTO from Battery Breaker Q7B at Cabinet XXX1-2.</v>
      </c>
      <c r="E163" s="183" t="s">
        <v>1464</v>
      </c>
      <c r="F163" s="193"/>
      <c r="G163" s="193"/>
      <c r="H163" s="163" t="s">
        <v>1581</v>
      </c>
      <c r="I163" s="135"/>
      <c r="J163" s="135"/>
    </row>
    <row r="164" spans="1:10" customFormat="1" ht="56.25" hidden="1" x14ac:dyDescent="0.25">
      <c r="A164" s="200">
        <f t="shared" si="6"/>
        <v>359</v>
      </c>
      <c r="B164" s="231" t="str">
        <f>Suite&amp;" Electrical Room "&amp;SWTwo</f>
        <v>G104 Electrical Room XXX</v>
      </c>
      <c r="C164" s="183" t="str">
        <f>"UPS "&amp;SWTwo&amp;"1 Battery Cabinets"</f>
        <v>UPS XXX1 Battery Cabinets</v>
      </c>
      <c r="D164" s="186" t="s">
        <v>1518</v>
      </c>
      <c r="E164" s="183" t="s">
        <v>1464</v>
      </c>
      <c r="F164" s="193"/>
      <c r="G164" s="193"/>
      <c r="H164" s="163" t="s">
        <v>1581</v>
      </c>
      <c r="I164" s="135"/>
      <c r="J164" s="135"/>
    </row>
    <row r="165" spans="1:10" customFormat="1" ht="56.25" hidden="1" x14ac:dyDescent="0.25">
      <c r="A165" s="200">
        <f t="shared" si="6"/>
        <v>360</v>
      </c>
      <c r="B165" s="231" t="str">
        <f>Suite&amp;" Electrical Room "&amp;SWTwo</f>
        <v>G104 Electrical Room XXX</v>
      </c>
      <c r="C165" s="183" t="str">
        <f>"UPS "&amp;SWTwo&amp;"1 Battery Cabinets"</f>
        <v>UPS XXX1 Battery Cabinets</v>
      </c>
      <c r="D165" s="177" t="str" cm="1">
        <f t="array" ref="D165">"Remove LOTO from Battery Breaker Q7C at Cabinet " &amp; SWTwo &amp; "1-3."</f>
        <v>Remove LOTO from Battery Breaker Q7C at Cabinet XXX1-3.</v>
      </c>
      <c r="E165" s="183" t="s">
        <v>1464</v>
      </c>
      <c r="F165" s="193"/>
      <c r="G165" s="193"/>
      <c r="H165" s="163" t="s">
        <v>1581</v>
      </c>
      <c r="I165" s="135"/>
      <c r="J165" s="135"/>
    </row>
    <row r="166" spans="1:10" customFormat="1" ht="56.25" hidden="1" x14ac:dyDescent="0.25">
      <c r="A166" s="200">
        <f t="shared" si="6"/>
        <v>361</v>
      </c>
      <c r="B166" s="231" t="str">
        <f>Suite&amp;" Electrical Room "&amp;SWTwo</f>
        <v>G104 Electrical Room XXX</v>
      </c>
      <c r="C166" s="183" t="str">
        <f>"UPS "&amp;SWTwo&amp;"1 Battery Cabinets"</f>
        <v>UPS XXX1 Battery Cabinets</v>
      </c>
      <c r="D166" s="186" t="s">
        <v>1518</v>
      </c>
      <c r="E166" s="183" t="s">
        <v>1464</v>
      </c>
      <c r="F166" s="193"/>
      <c r="G166" s="193"/>
      <c r="H166" s="163" t="s">
        <v>1581</v>
      </c>
      <c r="I166" s="135"/>
      <c r="J166" s="135"/>
    </row>
    <row r="167" spans="1:10" customFormat="1" ht="56.25" hidden="1" x14ac:dyDescent="0.25">
      <c r="A167" s="200">
        <f t="shared" si="6"/>
        <v>362</v>
      </c>
      <c r="B167" s="231" t="str">
        <f>Suite&amp;" Electrical Room "&amp;SWTwo</f>
        <v>G104 Electrical Room XXX</v>
      </c>
      <c r="C167" s="183" t="str">
        <f>"UPS "&amp;SWTwo&amp;"1 Battery Cabinets"</f>
        <v>UPS XXX1 Battery Cabinets</v>
      </c>
      <c r="D167" s="177" t="str" cm="1">
        <f t="array" ref="D167">"Remove LOTO from Battery Breaker Q8A at Cabinet " &amp; SWTwo &amp; "1-4."</f>
        <v>Remove LOTO from Battery Breaker Q8A at Cabinet XXX1-4.</v>
      </c>
      <c r="E167" s="183" t="s">
        <v>1464</v>
      </c>
      <c r="F167" s="193"/>
      <c r="G167" s="193"/>
      <c r="H167" s="163" t="s">
        <v>1581</v>
      </c>
      <c r="I167" s="135"/>
      <c r="J167" s="135"/>
    </row>
    <row r="168" spans="1:10" customFormat="1" ht="56.25" hidden="1" x14ac:dyDescent="0.25">
      <c r="A168" s="200">
        <f t="shared" si="6"/>
        <v>363</v>
      </c>
      <c r="B168" s="231" t="str">
        <f>Suite&amp;" Electrical Room "&amp;SWTwo</f>
        <v>G104 Electrical Room XXX</v>
      </c>
      <c r="C168" s="183" t="str">
        <f>"UPS "&amp;SWTwo&amp;"1 Battery Cabinets"</f>
        <v>UPS XXX1 Battery Cabinets</v>
      </c>
      <c r="D168" s="186" t="s">
        <v>1518</v>
      </c>
      <c r="E168" s="183" t="s">
        <v>1464</v>
      </c>
      <c r="F168" s="193"/>
      <c r="G168" s="193"/>
      <c r="H168" s="163" t="s">
        <v>1581</v>
      </c>
      <c r="I168" s="135"/>
      <c r="J168" s="135"/>
    </row>
    <row r="169" spans="1:10" customFormat="1" ht="56.25" hidden="1" x14ac:dyDescent="0.25">
      <c r="A169" s="200">
        <f t="shared" si="6"/>
        <v>364</v>
      </c>
      <c r="B169" s="231" t="str">
        <f>Suite&amp;" Electrical Room "&amp;SWTwo</f>
        <v>G104 Electrical Room XXX</v>
      </c>
      <c r="C169" s="183" t="str">
        <f>"UPS "&amp;SWTwo&amp;"1 Battery Cabinets"</f>
        <v>UPS XXX1 Battery Cabinets</v>
      </c>
      <c r="D169" s="177" t="str" cm="1">
        <f t="array" ref="D169">"Remove LOTO from Battery Breaker Q8B at Cabinet " &amp; SWTwo &amp; "1-5."</f>
        <v>Remove LOTO from Battery Breaker Q8B at Cabinet XXX1-5.</v>
      </c>
      <c r="E169" s="183" t="s">
        <v>1464</v>
      </c>
      <c r="F169" s="193"/>
      <c r="G169" s="193"/>
      <c r="H169" s="163" t="s">
        <v>1581</v>
      </c>
      <c r="I169" s="135"/>
      <c r="J169" s="135"/>
    </row>
    <row r="170" spans="1:10" customFormat="1" ht="56.25" hidden="1" x14ac:dyDescent="0.25">
      <c r="A170" s="200">
        <f t="shared" si="6"/>
        <v>365</v>
      </c>
      <c r="B170" s="231" t="str">
        <f>Suite&amp;" Electrical Room "&amp;SWTwo</f>
        <v>G104 Electrical Room XXX</v>
      </c>
      <c r="C170" s="183" t="str">
        <f>"UPS "&amp;SWTwo&amp;"1 Battery Cabinets"</f>
        <v>UPS XXX1 Battery Cabinets</v>
      </c>
      <c r="D170" s="186" t="s">
        <v>1518</v>
      </c>
      <c r="E170" s="183" t="s">
        <v>1464</v>
      </c>
      <c r="F170" s="193"/>
      <c r="G170" s="193"/>
      <c r="H170" s="163" t="s">
        <v>1581</v>
      </c>
      <c r="I170" s="135"/>
      <c r="J170" s="135"/>
    </row>
    <row r="171" spans="1:10" customFormat="1" ht="56.25" hidden="1" x14ac:dyDescent="0.25">
      <c r="A171" s="200">
        <f t="shared" si="6"/>
        <v>366</v>
      </c>
      <c r="B171" s="231" t="str">
        <f>Suite&amp;" Electrical Room "&amp;SWTwo</f>
        <v>G104 Electrical Room XXX</v>
      </c>
      <c r="C171" s="183" t="str">
        <f>"UPS "&amp;SWTwo&amp;"1 Battery Cabinets"</f>
        <v>UPS XXX1 Battery Cabinets</v>
      </c>
      <c r="D171" s="177" t="str" cm="1">
        <f t="array" ref="D171">"Remove LOTO from Battery Breaker Q8C at Cabinet " &amp; SWTwo &amp; "1-6."</f>
        <v>Remove LOTO from Battery Breaker Q8C at Cabinet XXX1-6.</v>
      </c>
      <c r="E171" s="183" t="s">
        <v>1464</v>
      </c>
      <c r="F171" s="193"/>
      <c r="G171" s="193"/>
      <c r="H171" s="163" t="s">
        <v>1581</v>
      </c>
      <c r="I171" s="135"/>
      <c r="J171" s="135"/>
    </row>
    <row r="172" spans="1:10" customFormat="1" ht="56.25" hidden="1" x14ac:dyDescent="0.25">
      <c r="A172" s="200">
        <f t="shared" si="6"/>
        <v>367</v>
      </c>
      <c r="B172" s="231" t="str">
        <f>Suite&amp;" Electrical Room "&amp;SWTwo</f>
        <v>G104 Electrical Room XXX</v>
      </c>
      <c r="C172" s="183" t="str">
        <f>"UPS "&amp;SWTwo&amp;"1 Battery Cabinets"</f>
        <v>UPS XXX1 Battery Cabinets</v>
      </c>
      <c r="D172" s="186" t="s">
        <v>1518</v>
      </c>
      <c r="E172" s="183" t="s">
        <v>1464</v>
      </c>
      <c r="F172" s="193"/>
      <c r="G172" s="193"/>
      <c r="H172" s="163" t="s">
        <v>1581</v>
      </c>
      <c r="I172" s="135"/>
      <c r="J172" s="135"/>
    </row>
    <row r="173" spans="1:10" customFormat="1" ht="56.25" x14ac:dyDescent="0.25">
      <c r="A173" s="200">
        <f>A160+1</f>
        <v>364</v>
      </c>
      <c r="B173" s="231" t="str">
        <f>Suite&amp;" Electrical Room "&amp;SWTwo</f>
        <v>G104 Electrical Room XXX</v>
      </c>
      <c r="C173" s="183" t="str">
        <f>"UPS "&amp;SWTwo&amp;"1 Battery Cabinets"</f>
        <v>UPS XXX1 Battery Cabinets</v>
      </c>
      <c r="D173" s="177" t="str" cm="1">
        <f t="array" ref="D173">"Remove LOTO from Battery Breaker Q7A at Cabinet " &amp; SWTwo &amp; "2-1."</f>
        <v>Remove LOTO from Battery Breaker Q7A at Cabinet XXX2-1.</v>
      </c>
      <c r="E173" s="183" t="s">
        <v>1464</v>
      </c>
      <c r="F173" s="193"/>
      <c r="G173" s="193"/>
      <c r="H173" s="163" t="s">
        <v>1580</v>
      </c>
      <c r="I173" s="135"/>
      <c r="J173" s="135"/>
    </row>
    <row r="174" spans="1:10" customFormat="1" ht="56.25" x14ac:dyDescent="0.25">
      <c r="A174" s="200">
        <f t="shared" ref="A174:A180" si="7">A173+1</f>
        <v>365</v>
      </c>
      <c r="B174" s="231" t="str">
        <f>Suite&amp;" Electrical Room "&amp;SWTwo</f>
        <v>G104 Electrical Room XXX</v>
      </c>
      <c r="C174" s="183" t="str">
        <f>"UPS "&amp;SWTwo&amp;"1 Battery Cabinets"</f>
        <v>UPS XXX1 Battery Cabinets</v>
      </c>
      <c r="D174" s="186" t="s">
        <v>1518</v>
      </c>
      <c r="E174" s="183" t="s">
        <v>1464</v>
      </c>
      <c r="F174" s="193"/>
      <c r="G174" s="193"/>
      <c r="H174" s="163" t="s">
        <v>1580</v>
      </c>
      <c r="I174" s="135"/>
      <c r="J174" s="135"/>
    </row>
    <row r="175" spans="1:10" customFormat="1" ht="56.25" x14ac:dyDescent="0.25">
      <c r="A175" s="200">
        <f t="shared" si="7"/>
        <v>366</v>
      </c>
      <c r="B175" s="231" t="str">
        <f>Suite&amp;" Electrical Room "&amp;SWTwo</f>
        <v>G104 Electrical Room XXX</v>
      </c>
      <c r="C175" s="183" t="str">
        <f>"UPS "&amp;SWTwo&amp;"1 Battery Cabinets"</f>
        <v>UPS XXX1 Battery Cabinets</v>
      </c>
      <c r="D175" s="177" t="str" cm="1">
        <f t="array" ref="D175">"Remove LOTO from Battery Breaker Q7B at Cabinet " &amp; SWTwo &amp; "2-2."</f>
        <v>Remove LOTO from Battery Breaker Q7B at Cabinet XXX2-2.</v>
      </c>
      <c r="E175" s="183" t="s">
        <v>1464</v>
      </c>
      <c r="F175" s="193"/>
      <c r="G175" s="193"/>
      <c r="H175" s="163" t="s">
        <v>1580</v>
      </c>
      <c r="I175" s="135"/>
      <c r="J175" s="135"/>
    </row>
    <row r="176" spans="1:10" customFormat="1" ht="56.25" x14ac:dyDescent="0.25">
      <c r="A176" s="200">
        <f t="shared" si="7"/>
        <v>367</v>
      </c>
      <c r="B176" s="231" t="str">
        <f>Suite&amp;" Electrical Room "&amp;SWTwo</f>
        <v>G104 Electrical Room XXX</v>
      </c>
      <c r="C176" s="183" t="str">
        <f>"UPS "&amp;SWTwo&amp;"1 Battery Cabinets"</f>
        <v>UPS XXX1 Battery Cabinets</v>
      </c>
      <c r="D176" s="186" t="s">
        <v>1518</v>
      </c>
      <c r="E176" s="183" t="s">
        <v>1464</v>
      </c>
      <c r="F176" s="193"/>
      <c r="G176" s="193"/>
      <c r="H176" s="163" t="s">
        <v>1580</v>
      </c>
      <c r="I176" s="135"/>
      <c r="J176" s="135"/>
    </row>
    <row r="177" spans="1:16" customFormat="1" ht="56.25" x14ac:dyDescent="0.25">
      <c r="A177" s="200">
        <f t="shared" si="7"/>
        <v>368</v>
      </c>
      <c r="B177" s="231" t="str">
        <f>Suite&amp;" Electrical Room "&amp;SWTwo</f>
        <v>G104 Electrical Room XXX</v>
      </c>
      <c r="C177" s="183" t="str">
        <f>"UPS "&amp;SWTwo&amp;"1 Battery Cabinets"</f>
        <v>UPS XXX1 Battery Cabinets</v>
      </c>
      <c r="D177" s="177" t="str" cm="1">
        <f t="array" ref="D177">"Remove LOTO from Battery Breaker Q8A at Cabinet " &amp; SWTwo &amp; "2-3."</f>
        <v>Remove LOTO from Battery Breaker Q8A at Cabinet XXX2-3.</v>
      </c>
      <c r="E177" s="183" t="s">
        <v>1464</v>
      </c>
      <c r="F177" s="193"/>
      <c r="G177" s="193"/>
      <c r="H177" s="163" t="s">
        <v>1580</v>
      </c>
      <c r="I177" s="135"/>
      <c r="J177" s="135"/>
    </row>
    <row r="178" spans="1:16" customFormat="1" ht="56.25" x14ac:dyDescent="0.25">
      <c r="A178" s="200">
        <f t="shared" si="7"/>
        <v>369</v>
      </c>
      <c r="B178" s="231" t="str">
        <f>Suite&amp;" Electrical Room "&amp;SWTwo</f>
        <v>G104 Electrical Room XXX</v>
      </c>
      <c r="C178" s="183" t="str">
        <f>"UPS "&amp;SWTwo&amp;"1 Battery Cabinets"</f>
        <v>UPS XXX1 Battery Cabinets</v>
      </c>
      <c r="D178" s="186" t="s">
        <v>1518</v>
      </c>
      <c r="E178" s="183" t="s">
        <v>1464</v>
      </c>
      <c r="F178" s="193"/>
      <c r="G178" s="193"/>
      <c r="H178" s="163" t="s">
        <v>1580</v>
      </c>
      <c r="I178" s="135"/>
      <c r="J178" s="135"/>
    </row>
    <row r="179" spans="1:16" customFormat="1" ht="56.25" x14ac:dyDescent="0.25">
      <c r="A179" s="200">
        <f t="shared" si="7"/>
        <v>370</v>
      </c>
      <c r="B179" s="231" t="str">
        <f>Suite&amp;" Electrical Room "&amp;SWTwo</f>
        <v>G104 Electrical Room XXX</v>
      </c>
      <c r="C179" s="183" t="str">
        <f>"UPS "&amp;SWTwo&amp;"1 Battery Cabinets"</f>
        <v>UPS XXX1 Battery Cabinets</v>
      </c>
      <c r="D179" s="177" t="str" cm="1">
        <f t="array" ref="D179">"Remove LOTO from Battery Breaker Q8B at Cabinet " &amp; SWTwo &amp; "2-4."</f>
        <v>Remove LOTO from Battery Breaker Q8B at Cabinet XXX2-4.</v>
      </c>
      <c r="E179" s="183" t="s">
        <v>1464</v>
      </c>
      <c r="F179" s="193"/>
      <c r="G179" s="193"/>
      <c r="H179" s="163" t="s">
        <v>1580</v>
      </c>
      <c r="I179" s="135"/>
      <c r="J179" s="135"/>
    </row>
    <row r="180" spans="1:16" customFormat="1" ht="56.25" x14ac:dyDescent="0.25">
      <c r="A180" s="200">
        <f t="shared" si="7"/>
        <v>371</v>
      </c>
      <c r="B180" s="231" t="str">
        <f>Suite&amp;" Electrical Room "&amp;SWTwo</f>
        <v>G104 Electrical Room XXX</v>
      </c>
      <c r="C180" s="183" t="str">
        <f>"UPS "&amp;SWTwo&amp;"1 Battery Cabinets"</f>
        <v>UPS XXX1 Battery Cabinets</v>
      </c>
      <c r="D180" s="186" t="s">
        <v>1518</v>
      </c>
      <c r="E180" s="183" t="s">
        <v>1464</v>
      </c>
      <c r="F180" s="193"/>
      <c r="G180" s="193"/>
      <c r="H180" s="163" t="s">
        <v>1580</v>
      </c>
      <c r="I180" s="135"/>
      <c r="J180" s="135"/>
    </row>
    <row r="181" spans="1:16" customFormat="1" ht="56.25" hidden="1" x14ac:dyDescent="0.25">
      <c r="A181" s="200">
        <f>A172+1</f>
        <v>368</v>
      </c>
      <c r="B181" s="231" t="str">
        <f>Suite&amp;" Electrical Room "&amp;SWTwo</f>
        <v>G104 Electrical Room XXX</v>
      </c>
      <c r="C181" s="183" t="str">
        <f>"UPS "&amp;SWTwo&amp;"1 Battery Cabinets"</f>
        <v>UPS XXX1 Battery Cabinets</v>
      </c>
      <c r="D181" s="177" t="str" cm="1">
        <f t="array" ref="D181">"Remove LOTO from Battery Breaker Q7A at Cabinet " &amp; SWTwo &amp; "2-1."</f>
        <v>Remove LOTO from Battery Breaker Q7A at Cabinet XXX2-1.</v>
      </c>
      <c r="E181" s="183" t="s">
        <v>1464</v>
      </c>
      <c r="F181" s="193"/>
      <c r="G181" s="193"/>
      <c r="H181" s="163" t="s">
        <v>1581</v>
      </c>
      <c r="I181" s="135"/>
      <c r="J181" s="135"/>
    </row>
    <row r="182" spans="1:16" customFormat="1" ht="56.25" hidden="1" x14ac:dyDescent="0.25">
      <c r="A182" s="200">
        <f t="shared" ref="A182:A205" si="8">A181+1</f>
        <v>369</v>
      </c>
      <c r="B182" s="231" t="str">
        <f>Suite&amp;" Electrical Room "&amp;SWTwo</f>
        <v>G104 Electrical Room XXX</v>
      </c>
      <c r="C182" s="183" t="str">
        <f>"UPS "&amp;SWTwo&amp;"1 Battery Cabinets"</f>
        <v>UPS XXX1 Battery Cabinets</v>
      </c>
      <c r="D182" s="186" t="s">
        <v>1518</v>
      </c>
      <c r="E182" s="183" t="s">
        <v>1464</v>
      </c>
      <c r="F182" s="193"/>
      <c r="G182" s="193"/>
      <c r="H182" s="163" t="s">
        <v>1581</v>
      </c>
      <c r="I182" s="135"/>
      <c r="J182" s="135"/>
    </row>
    <row r="183" spans="1:16" customFormat="1" ht="56.25" hidden="1" x14ac:dyDescent="0.25">
      <c r="A183" s="200">
        <f t="shared" si="8"/>
        <v>370</v>
      </c>
      <c r="B183" s="231" t="str">
        <f>Suite&amp;" Electrical Room "&amp;SWTwo</f>
        <v>G104 Electrical Room XXX</v>
      </c>
      <c r="C183" s="183" t="str">
        <f>"UPS "&amp;SWTwo&amp;"1 Battery Cabinets"</f>
        <v>UPS XXX1 Battery Cabinets</v>
      </c>
      <c r="D183" s="177" t="str" cm="1">
        <f t="array" ref="D183">"Remove LOTO from Battery Breaker Q7B at Cabinet " &amp; SWTwo &amp; "2-2."</f>
        <v>Remove LOTO from Battery Breaker Q7B at Cabinet XXX2-2.</v>
      </c>
      <c r="E183" s="183" t="s">
        <v>1464</v>
      </c>
      <c r="F183" s="193"/>
      <c r="G183" s="193"/>
      <c r="H183" s="163" t="s">
        <v>1581</v>
      </c>
      <c r="I183" s="135"/>
      <c r="J183" s="135"/>
    </row>
    <row r="184" spans="1:16" customFormat="1" ht="56.25" hidden="1" x14ac:dyDescent="0.25">
      <c r="A184" s="200">
        <f t="shared" si="8"/>
        <v>371</v>
      </c>
      <c r="B184" s="231" t="str">
        <f>Suite&amp;" Electrical Room "&amp;SWTwo</f>
        <v>G104 Electrical Room XXX</v>
      </c>
      <c r="C184" s="183" t="str">
        <f>"UPS "&amp;SWTwo&amp;"1 Battery Cabinets"</f>
        <v>UPS XXX1 Battery Cabinets</v>
      </c>
      <c r="D184" s="186" t="s">
        <v>1518</v>
      </c>
      <c r="E184" s="183" t="s">
        <v>1464</v>
      </c>
      <c r="F184" s="193"/>
      <c r="G184" s="193"/>
      <c r="H184" s="163" t="s">
        <v>1581</v>
      </c>
      <c r="I184" s="135"/>
      <c r="J184" s="135"/>
    </row>
    <row r="185" spans="1:16" customFormat="1" ht="56.25" hidden="1" x14ac:dyDescent="0.25">
      <c r="A185" s="200">
        <f t="shared" si="8"/>
        <v>372</v>
      </c>
      <c r="B185" s="231" t="str">
        <f>Suite&amp;" Electrical Room "&amp;SWTwo</f>
        <v>G104 Electrical Room XXX</v>
      </c>
      <c r="C185" s="183" t="str">
        <f>"UPS "&amp;SWTwo&amp;"1 Battery Cabinets"</f>
        <v>UPS XXX1 Battery Cabinets</v>
      </c>
      <c r="D185" s="177" t="str" cm="1">
        <f t="array" ref="D185">"Remove LOTO from Battery Breaker Q7C at Cabinet " &amp; SWTwo &amp; "2-3."</f>
        <v>Remove LOTO from Battery Breaker Q7C at Cabinet XXX2-3.</v>
      </c>
      <c r="E185" s="183" t="s">
        <v>1464</v>
      </c>
      <c r="F185" s="193"/>
      <c r="G185" s="193"/>
      <c r="H185" s="163" t="s">
        <v>1581</v>
      </c>
      <c r="I185" s="135"/>
      <c r="J185" s="135"/>
    </row>
    <row r="186" spans="1:16" customFormat="1" ht="56.25" hidden="1" x14ac:dyDescent="0.25">
      <c r="A186" s="200">
        <f t="shared" si="8"/>
        <v>373</v>
      </c>
      <c r="B186" s="231" t="str">
        <f>Suite&amp;" Electrical Room "&amp;SWTwo</f>
        <v>G104 Electrical Room XXX</v>
      </c>
      <c r="C186" s="183" t="str">
        <f>"UPS "&amp;SWTwo&amp;"1 Battery Cabinets"</f>
        <v>UPS XXX1 Battery Cabinets</v>
      </c>
      <c r="D186" s="186" t="s">
        <v>1518</v>
      </c>
      <c r="E186" s="183" t="s">
        <v>1464</v>
      </c>
      <c r="F186" s="193"/>
      <c r="G186" s="193"/>
      <c r="H186" s="163" t="s">
        <v>1581</v>
      </c>
      <c r="I186" s="135"/>
      <c r="J186" s="135"/>
    </row>
    <row r="187" spans="1:16" customFormat="1" ht="56.25" hidden="1" x14ac:dyDescent="0.25">
      <c r="A187" s="200">
        <f t="shared" si="8"/>
        <v>374</v>
      </c>
      <c r="B187" s="231" t="str">
        <f>Suite&amp;" Electrical Room "&amp;SWTwo</f>
        <v>G104 Electrical Room XXX</v>
      </c>
      <c r="C187" s="183" t="str">
        <f>"UPS "&amp;SWTwo&amp;"1 Battery Cabinets"</f>
        <v>UPS XXX1 Battery Cabinets</v>
      </c>
      <c r="D187" s="177" t="str" cm="1">
        <f t="array" ref="D187">"Remove LOTO from Battery Breaker Q8A at Cabinet " &amp; SWTwo &amp; "2-4."</f>
        <v>Remove LOTO from Battery Breaker Q8A at Cabinet XXX2-4.</v>
      </c>
      <c r="E187" s="183" t="s">
        <v>1464</v>
      </c>
      <c r="F187" s="193"/>
      <c r="G187" s="193"/>
      <c r="H187" s="163" t="s">
        <v>1581</v>
      </c>
      <c r="I187" s="135"/>
      <c r="J187" s="135"/>
      <c r="K187" s="4"/>
      <c r="L187" s="4"/>
      <c r="M187" s="4"/>
      <c r="N187" s="4"/>
      <c r="O187" s="4"/>
      <c r="P187" s="4"/>
    </row>
    <row r="188" spans="1:16" customFormat="1" ht="56.25" hidden="1" x14ac:dyDescent="0.25">
      <c r="A188" s="200">
        <f t="shared" si="8"/>
        <v>375</v>
      </c>
      <c r="B188" s="231" t="str">
        <f>Suite&amp;" Electrical Room "&amp;SWTwo</f>
        <v>G104 Electrical Room XXX</v>
      </c>
      <c r="C188" s="183" t="str">
        <f>"UPS "&amp;SWTwo&amp;"1 Battery Cabinets"</f>
        <v>UPS XXX1 Battery Cabinets</v>
      </c>
      <c r="D188" s="186" t="s">
        <v>1518</v>
      </c>
      <c r="E188" s="183" t="s">
        <v>1464</v>
      </c>
      <c r="F188" s="193"/>
      <c r="G188" s="193"/>
      <c r="H188" s="163" t="s">
        <v>1581</v>
      </c>
      <c r="I188" s="135"/>
      <c r="J188" s="135"/>
      <c r="K188" s="4"/>
      <c r="L188" s="4"/>
      <c r="M188" s="4"/>
      <c r="N188" s="4"/>
      <c r="O188" s="4"/>
      <c r="P188" s="4"/>
    </row>
    <row r="189" spans="1:16" customFormat="1" ht="56.25" hidden="1" x14ac:dyDescent="0.25">
      <c r="A189" s="200">
        <f t="shared" si="8"/>
        <v>376</v>
      </c>
      <c r="B189" s="231" t="str">
        <f>Suite&amp;" Electrical Room "&amp;SWTwo</f>
        <v>G104 Electrical Room XXX</v>
      </c>
      <c r="C189" s="183" t="str">
        <f>"UPS "&amp;SWTwo&amp;"1 Battery Cabinets"</f>
        <v>UPS XXX1 Battery Cabinets</v>
      </c>
      <c r="D189" s="177" t="str" cm="1">
        <f t="array" ref="D189">"Remove LOTO from Battery Breaker Q8B at Cabinet " &amp; SWTwo &amp; "2-5."</f>
        <v>Remove LOTO from Battery Breaker Q8B at Cabinet XXX2-5.</v>
      </c>
      <c r="E189" s="183" t="s">
        <v>1464</v>
      </c>
      <c r="F189" s="193"/>
      <c r="G189" s="193"/>
      <c r="H189" s="163" t="s">
        <v>1581</v>
      </c>
      <c r="I189" s="135"/>
      <c r="J189" s="135"/>
    </row>
    <row r="190" spans="1:16" customFormat="1" ht="56.25" hidden="1" x14ac:dyDescent="0.25">
      <c r="A190" s="200">
        <f t="shared" si="8"/>
        <v>377</v>
      </c>
      <c r="B190" s="231" t="str">
        <f>Suite&amp;" Electrical Room "&amp;SWTwo</f>
        <v>G104 Electrical Room XXX</v>
      </c>
      <c r="C190" s="183" t="str">
        <f>"UPS "&amp;SWTwo&amp;"1 Battery Cabinets"</f>
        <v>UPS XXX1 Battery Cabinets</v>
      </c>
      <c r="D190" s="186" t="s">
        <v>1518</v>
      </c>
      <c r="E190" s="183" t="s">
        <v>1464</v>
      </c>
      <c r="F190" s="193"/>
      <c r="G190" s="193"/>
      <c r="H190" s="163" t="s">
        <v>1581</v>
      </c>
      <c r="I190" s="135"/>
      <c r="J190" s="135"/>
    </row>
    <row r="191" spans="1:16" customFormat="1" ht="56.25" hidden="1" x14ac:dyDescent="0.25">
      <c r="A191" s="200">
        <f t="shared" si="8"/>
        <v>378</v>
      </c>
      <c r="B191" s="231" t="str">
        <f>Suite&amp;" Electrical Room "&amp;SWTwo</f>
        <v>G104 Electrical Room XXX</v>
      </c>
      <c r="C191" s="183" t="str">
        <f>"UPS "&amp;SWTwo&amp;"1 Battery Cabinets"</f>
        <v>UPS XXX1 Battery Cabinets</v>
      </c>
      <c r="D191" s="177" t="str" cm="1">
        <f t="array" ref="D191">"Remove LOTO from Battery Breaker Q8C at Cabinet " &amp; SWTwo &amp; "2-6."</f>
        <v>Remove LOTO from Battery Breaker Q8C at Cabinet XXX2-6.</v>
      </c>
      <c r="E191" s="183" t="s">
        <v>1464</v>
      </c>
      <c r="F191" s="193"/>
      <c r="G191" s="193"/>
      <c r="H191" s="163" t="s">
        <v>1581</v>
      </c>
      <c r="I191" s="135"/>
      <c r="J191" s="135"/>
    </row>
    <row r="192" spans="1:16" customFormat="1" ht="56.25" hidden="1" x14ac:dyDescent="0.25">
      <c r="A192" s="200">
        <f t="shared" si="8"/>
        <v>379</v>
      </c>
      <c r="B192" s="231" t="str">
        <f>Suite&amp;" Electrical Room "&amp;SWTwo</f>
        <v>G104 Electrical Room XXX</v>
      </c>
      <c r="C192" s="183" t="str">
        <f>"UPS "&amp;SWTwo&amp;"1 Battery Cabinets"</f>
        <v>UPS XXX1 Battery Cabinets</v>
      </c>
      <c r="D192" s="186" t="s">
        <v>1518</v>
      </c>
      <c r="E192" s="183" t="s">
        <v>1464</v>
      </c>
      <c r="F192" s="193"/>
      <c r="G192" s="193"/>
      <c r="H192" s="163" t="s">
        <v>1581</v>
      </c>
      <c r="I192" s="135"/>
      <c r="J192" s="135"/>
    </row>
    <row r="193" spans="1:10" customFormat="1" ht="37.5" x14ac:dyDescent="0.25">
      <c r="A193" s="200">
        <f>IF(NumberOfICDs=4, A180+1, A192+1)</f>
        <v>380</v>
      </c>
      <c r="B193" s="231" t="str">
        <f>Suite&amp;" Electrical Room "&amp;SWTwo</f>
        <v>G104 Electrical Room XXX</v>
      </c>
      <c r="C193" s="183" t="s">
        <v>1566</v>
      </c>
      <c r="D193" s="233" t="s">
        <v>1588</v>
      </c>
      <c r="E193" s="183" t="s">
        <v>1464</v>
      </c>
      <c r="F193" s="193"/>
      <c r="G193" s="193"/>
      <c r="H193" s="135"/>
      <c r="I193" s="135"/>
      <c r="J193" s="135"/>
    </row>
    <row r="194" spans="1:10" customFormat="1" ht="37.5" x14ac:dyDescent="0.25">
      <c r="A194" s="200">
        <f t="shared" si="8"/>
        <v>381</v>
      </c>
      <c r="B194" s="231" t="str">
        <f>Suite&amp;" Electrical Room "&amp;SWTwo</f>
        <v>G104 Electrical Room XXX</v>
      </c>
      <c r="C194" s="183" t="str">
        <f>"UPS "&amp;SWTwo&amp;"1"</f>
        <v>UPS XXX1</v>
      </c>
      <c r="D194" s="233" t="str" cm="1">
        <f t="array" ref="D194">"TOUCH the UPS-" &amp; SWTwo &amp; "1 module graphic on the UPS display."</f>
        <v>TOUCH the UPS-XXX1 module graphic on the UPS display.</v>
      </c>
      <c r="E194" s="183" t="s">
        <v>1464</v>
      </c>
      <c r="F194" s="193"/>
      <c r="G194" s="193"/>
      <c r="H194" s="135"/>
      <c r="I194" s="135"/>
      <c r="J194" s="135"/>
    </row>
    <row r="195" spans="1:10" customFormat="1" ht="37.5" x14ac:dyDescent="0.25">
      <c r="A195" s="200">
        <f t="shared" si="8"/>
        <v>382</v>
      </c>
      <c r="B195" s="231" t="str">
        <f>Suite&amp;" Electrical Room "&amp;SWTwo</f>
        <v>G104 Electrical Room XXX</v>
      </c>
      <c r="C195" s="183" t="str">
        <f>"UPS "&amp;SWTwo&amp;"1"</f>
        <v>UPS XXX1</v>
      </c>
      <c r="D195" s="233" t="s">
        <v>1560</v>
      </c>
      <c r="E195" s="183" t="s">
        <v>1464</v>
      </c>
      <c r="F195" s="193"/>
      <c r="G195" s="193"/>
      <c r="H195" s="135"/>
      <c r="I195" s="135"/>
      <c r="J195" s="135"/>
    </row>
    <row r="196" spans="1:10" customFormat="1" ht="37.5" x14ac:dyDescent="0.25">
      <c r="A196" s="200">
        <f t="shared" si="8"/>
        <v>383</v>
      </c>
      <c r="B196" s="231" t="str">
        <f>Suite&amp;" Electrical Room "&amp;SWTwo</f>
        <v>G104 Electrical Room XXX</v>
      </c>
      <c r="C196" s="183" t="str">
        <f>"UPS "&amp;SWTwo&amp;"1"</f>
        <v>UPS XXX1</v>
      </c>
      <c r="D196" s="233" t="s">
        <v>1589</v>
      </c>
      <c r="E196" s="183" t="s">
        <v>1464</v>
      </c>
      <c r="F196" s="193"/>
      <c r="G196" s="193"/>
      <c r="H196" s="135"/>
      <c r="I196" s="135"/>
      <c r="J196" s="135"/>
    </row>
    <row r="197" spans="1:10" customFormat="1" ht="37.5" x14ac:dyDescent="0.25">
      <c r="A197" s="200">
        <f t="shared" si="8"/>
        <v>384</v>
      </c>
      <c r="B197" s="231" t="str">
        <f>Suite&amp;" Electrical Room "&amp;SWTwo</f>
        <v>G104 Electrical Room XXX</v>
      </c>
      <c r="C197" s="183" t="str">
        <f>"UPS "&amp;SWTwo&amp;"1"</f>
        <v>UPS XXX1</v>
      </c>
      <c r="D197" s="233" t="s">
        <v>1562</v>
      </c>
      <c r="E197" s="183" t="s">
        <v>1464</v>
      </c>
      <c r="F197" s="193"/>
      <c r="G197" s="193"/>
      <c r="H197" s="135"/>
      <c r="I197" s="135"/>
      <c r="J197" s="135"/>
    </row>
    <row r="198" spans="1:10" customFormat="1" ht="37.5" x14ac:dyDescent="0.25">
      <c r="A198" s="200">
        <f t="shared" si="8"/>
        <v>385</v>
      </c>
      <c r="B198" s="231" t="str">
        <f>Suite&amp;" Electrical Room "&amp;SWTwo</f>
        <v>G104 Electrical Room XXX</v>
      </c>
      <c r="C198" s="183" t="str">
        <f>"UPS "&amp;SWTwo&amp;"1"</f>
        <v>UPS XXX1</v>
      </c>
      <c r="D198" s="233" t="s">
        <v>1563</v>
      </c>
      <c r="E198" s="183" t="s">
        <v>1464</v>
      </c>
      <c r="F198" s="193"/>
      <c r="G198" s="193"/>
      <c r="H198" s="135"/>
      <c r="I198" s="135"/>
      <c r="J198" s="135"/>
    </row>
    <row r="199" spans="1:10" customFormat="1" ht="37.5" x14ac:dyDescent="0.25">
      <c r="A199" s="200">
        <f t="shared" si="8"/>
        <v>386</v>
      </c>
      <c r="B199" s="231" t="str">
        <f>Suite&amp;" Electrical Room "&amp;SWTwo</f>
        <v>G104 Electrical Room XXX</v>
      </c>
      <c r="C199" s="183" t="str">
        <f>"UPS "&amp;SWTwo&amp;"1"</f>
        <v>UPS XXX1</v>
      </c>
      <c r="D199" s="233" t="s">
        <v>1564</v>
      </c>
      <c r="E199" s="183" t="s">
        <v>1464</v>
      </c>
      <c r="F199" s="193"/>
      <c r="G199" s="193"/>
      <c r="H199" s="135"/>
      <c r="I199" s="135"/>
      <c r="J199" s="135"/>
    </row>
    <row r="200" spans="1:10" customFormat="1" ht="168.75" x14ac:dyDescent="0.25">
      <c r="A200" s="200">
        <f t="shared" si="8"/>
        <v>387</v>
      </c>
      <c r="B200" s="231" t="str">
        <f>Suite&amp;" Electrical Room "&amp;SWTwo</f>
        <v>G104 Electrical Room XXX</v>
      </c>
      <c r="C200" s="183" t="str">
        <f>"UPS "&amp;SWTwo&amp;"1 Battery Cabinets"</f>
        <v>UPS XXX1 Battery Cabinets</v>
      </c>
      <c r="D200" s="233" t="s">
        <v>1590</v>
      </c>
      <c r="E200" s="183" t="s">
        <v>1464</v>
      </c>
      <c r="F200" s="193"/>
      <c r="G200" s="193"/>
      <c r="H200" s="163" t="s">
        <v>1591</v>
      </c>
      <c r="I200" s="135"/>
      <c r="J200" s="135"/>
    </row>
    <row r="201" spans="1:10" customFormat="1" ht="187.5" hidden="1" x14ac:dyDescent="0.25">
      <c r="A201" s="200">
        <f>A199+1</f>
        <v>387</v>
      </c>
      <c r="B201" s="231" t="str">
        <f>Suite&amp;" Electrical Room "&amp;SWTwo</f>
        <v>G104 Electrical Room XXX</v>
      </c>
      <c r="C201" s="183" t="str">
        <f>"UPS "&amp;SWTwo&amp;"1 Battery Cabinets"</f>
        <v>UPS XXX1 Battery Cabinets</v>
      </c>
      <c r="D201" s="233" t="s">
        <v>1592</v>
      </c>
      <c r="E201" s="183" t="s">
        <v>1464</v>
      </c>
      <c r="F201" s="193"/>
      <c r="G201" s="193"/>
      <c r="H201" s="163" t="s">
        <v>1593</v>
      </c>
      <c r="I201" s="135"/>
      <c r="J201" s="135"/>
    </row>
    <row r="202" spans="1:10" customFormat="1" ht="37.5" x14ac:dyDescent="0.25">
      <c r="A202" s="200">
        <f t="shared" si="8"/>
        <v>388</v>
      </c>
      <c r="B202" s="231" t="str">
        <f>Suite&amp;" Electrical Room "&amp;SWTwo</f>
        <v>G104 Electrical Room XXX</v>
      </c>
      <c r="C202" s="183" t="str">
        <f>"UPS "&amp;SWTwo&amp;"1"</f>
        <v>UPS XXX1</v>
      </c>
      <c r="D202" s="233" t="s">
        <v>1594</v>
      </c>
      <c r="E202" s="183" t="s">
        <v>1464</v>
      </c>
      <c r="F202" s="193"/>
      <c r="G202" s="193"/>
      <c r="H202" s="163"/>
      <c r="I202" s="135"/>
      <c r="J202" s="135"/>
    </row>
    <row r="203" spans="1:10" customFormat="1" ht="56.25" x14ac:dyDescent="0.25">
      <c r="A203" s="200">
        <f t="shared" si="8"/>
        <v>389</v>
      </c>
      <c r="B203" s="231" t="str">
        <f>Suite&amp;" Electrical Room "&amp;SWTwo</f>
        <v>G104 Electrical Room XXX</v>
      </c>
      <c r="C203" s="183" t="str">
        <f>"UPS "&amp;SWTwo&amp;"1 Battery Cabinets"</f>
        <v>UPS XXX1 Battery Cabinets</v>
      </c>
      <c r="D203" s="233" t="s">
        <v>1595</v>
      </c>
      <c r="E203" s="183" t="s">
        <v>1464</v>
      </c>
      <c r="F203" s="193"/>
      <c r="G203" s="193"/>
      <c r="H203" s="163"/>
      <c r="I203" s="135"/>
      <c r="J203" s="135"/>
    </row>
    <row r="204" spans="1:10" customFormat="1" ht="56.25" hidden="1" x14ac:dyDescent="0.25">
      <c r="A204" s="200">
        <f t="shared" si="8"/>
        <v>390</v>
      </c>
      <c r="B204" s="231" t="str">
        <f>Suite&amp;" Electrical Room "&amp;SWTwo</f>
        <v>G104 Electrical Room XXX</v>
      </c>
      <c r="C204" s="183" t="str">
        <f>"UPS "&amp;SWTwo&amp;"1 Battery Cabinets"</f>
        <v>UPS XXX1 Battery Cabinets</v>
      </c>
      <c r="D204" s="233" t="s">
        <v>1596</v>
      </c>
      <c r="E204" s="183" t="s">
        <v>1464</v>
      </c>
      <c r="F204" s="193"/>
      <c r="G204" s="193"/>
      <c r="H204" s="163" t="s">
        <v>1593</v>
      </c>
      <c r="I204" s="135"/>
      <c r="J204" s="135"/>
    </row>
    <row r="205" spans="1:10" customFormat="1" ht="56.25" hidden="1" x14ac:dyDescent="0.25">
      <c r="A205" s="200">
        <f t="shared" si="8"/>
        <v>391</v>
      </c>
      <c r="B205" s="231" t="str">
        <f>Suite&amp;" Electrical Room "&amp;SWTwo</f>
        <v>G104 Electrical Room XXX</v>
      </c>
      <c r="C205" s="183" t="str">
        <f>"UPS "&amp;SWTwo&amp;"1 Battery Cabinets"</f>
        <v>UPS XXX1 Battery Cabinets</v>
      </c>
      <c r="D205" s="186" t="s">
        <v>1597</v>
      </c>
      <c r="E205" s="183" t="s">
        <v>1464</v>
      </c>
      <c r="F205" s="193"/>
      <c r="G205" s="193"/>
      <c r="H205" s="163" t="s">
        <v>1593</v>
      </c>
      <c r="I205" s="135"/>
      <c r="J205" s="135"/>
    </row>
    <row r="206" spans="1:10" customFormat="1" ht="56.25" x14ac:dyDescent="0.25">
      <c r="A206" s="200" cm="1">
        <f t="array" ref="A206">IF(AND(Suite="H206", SWTwo="D"), A205+1, A203+1)</f>
        <v>390</v>
      </c>
      <c r="B206" s="231" t="str">
        <f>Suite&amp;" Electrical Room "&amp;SWTwo</f>
        <v>G104 Electrical Room XXX</v>
      </c>
      <c r="C206" s="183" t="str">
        <f>"UPS "&amp;SWTwo&amp;"1 Battery Cabinets"</f>
        <v>UPS XXX1 Battery Cabinets</v>
      </c>
      <c r="D206" s="233" t="str" cm="1">
        <f t="array" ref="D206">"Close Battery Breaker Q8B at Cabinet " &amp; SWTwo &amp; "1-4."</f>
        <v>Close Battery Breaker Q8B at Cabinet XXX1-4.</v>
      </c>
      <c r="E206" s="183" t="s">
        <v>1464</v>
      </c>
      <c r="F206" s="193"/>
      <c r="G206" s="193"/>
      <c r="H206" s="163" t="s">
        <v>1580</v>
      </c>
      <c r="I206" s="135"/>
      <c r="J206" s="135"/>
    </row>
    <row r="207" spans="1:10" customFormat="1" ht="56.25" x14ac:dyDescent="0.25">
      <c r="A207" s="200">
        <f t="shared" ref="A207:A209" si="9">A206+1</f>
        <v>391</v>
      </c>
      <c r="B207" s="231" t="str">
        <f>Suite&amp;" Electrical Room "&amp;SWTwo</f>
        <v>G104 Electrical Room XXX</v>
      </c>
      <c r="C207" s="183" t="str">
        <f>"UPS "&amp;SWTwo&amp;"1 Battery Cabinets"</f>
        <v>UPS XXX1 Battery Cabinets</v>
      </c>
      <c r="D207" s="233" t="str" cm="1">
        <f t="array" ref="D207">"Close Battery Breaker Q7B at Cabinet " &amp; SWTwo &amp; "1-2."</f>
        <v>Close Battery Breaker Q7B at Cabinet XXX1-2.</v>
      </c>
      <c r="E207" s="183" t="s">
        <v>1464</v>
      </c>
      <c r="F207" s="193"/>
      <c r="G207" s="193"/>
      <c r="H207" s="163" t="s">
        <v>1580</v>
      </c>
      <c r="I207" s="135"/>
      <c r="J207" s="164"/>
    </row>
    <row r="208" spans="1:10" customFormat="1" ht="56.25" x14ac:dyDescent="0.25">
      <c r="A208" s="200">
        <f t="shared" si="9"/>
        <v>392</v>
      </c>
      <c r="B208" s="231" t="str">
        <f>Suite&amp;" Electrical Room "&amp;SWTwo</f>
        <v>G104 Electrical Room XXX</v>
      </c>
      <c r="C208" s="183" t="str">
        <f>"UPS "&amp;SWTwo&amp;"1 Battery Cabinets"</f>
        <v>UPS XXX1 Battery Cabinets</v>
      </c>
      <c r="D208" s="233" t="str" cm="1">
        <f t="array" ref="D208">"Close Battery Breaker Q7A at Cabinet " &amp; SWTwo &amp; "1-1."</f>
        <v>Close Battery Breaker Q7A at Cabinet XXX1-1.</v>
      </c>
      <c r="E208" s="183" t="s">
        <v>1464</v>
      </c>
      <c r="F208" s="193"/>
      <c r="G208" s="193"/>
      <c r="H208" s="163" t="s">
        <v>1580</v>
      </c>
      <c r="I208" s="135"/>
      <c r="J208" s="164"/>
    </row>
    <row r="209" spans="1:16" customFormat="1" ht="56.25" x14ac:dyDescent="0.25">
      <c r="A209" s="200">
        <f t="shared" si="9"/>
        <v>393</v>
      </c>
      <c r="B209" s="231" t="str">
        <f>Suite&amp;" Electrical Room "&amp;SWTwo</f>
        <v>G104 Electrical Room XXX</v>
      </c>
      <c r="C209" s="183" t="str">
        <f>"UPS "&amp;SWTwo&amp;"1 Battery Cabinets"</f>
        <v>UPS XXX1 Battery Cabinets</v>
      </c>
      <c r="D209" s="233" t="str" cm="1">
        <f t="array" ref="D209">"Close Battery Breaker Q8A at Cabinet " &amp; SWTwo &amp; "1-3."</f>
        <v>Close Battery Breaker Q8A at Cabinet XXX1-3.</v>
      </c>
      <c r="E209" s="183" t="s">
        <v>1464</v>
      </c>
      <c r="F209" s="193"/>
      <c r="G209" s="193"/>
      <c r="H209" s="163" t="s">
        <v>1580</v>
      </c>
      <c r="I209" s="135"/>
      <c r="J209" s="135"/>
    </row>
    <row r="210" spans="1:16" customFormat="1" ht="56.25" hidden="1" x14ac:dyDescent="0.25">
      <c r="A210" s="200" cm="1">
        <f t="array" ref="A210">IF(AND(Suite="H206", SWTwo="D"), A205+1, A203+1)</f>
        <v>390</v>
      </c>
      <c r="B210" s="231" t="str">
        <f>Suite&amp;" Electrical Room "&amp;SWTwo</f>
        <v>G104 Electrical Room XXX</v>
      </c>
      <c r="C210" s="183" t="str">
        <f>"UPS "&amp;SWTwo&amp;"1 Battery Cabinets"</f>
        <v>UPS XXX1 Battery Cabinets</v>
      </c>
      <c r="D210" s="186" t="str" cm="1">
        <f t="array" ref="D210">"Close Battery Breaker Q7C at Cabinet " &amp; SWTwo &amp; "1-3."</f>
        <v>Close Battery Breaker Q7C at Cabinet XXX1-3.</v>
      </c>
      <c r="E210" s="183" t="s">
        <v>1464</v>
      </c>
      <c r="F210" s="193"/>
      <c r="G210" s="193"/>
      <c r="H210" s="163" t="s">
        <v>1581</v>
      </c>
      <c r="I210" s="135"/>
      <c r="J210" s="135"/>
    </row>
    <row r="211" spans="1:16" customFormat="1" ht="56.25" hidden="1" x14ac:dyDescent="0.25">
      <c r="A211" s="200">
        <f t="shared" ref="A211:A215" si="10">A210+1</f>
        <v>391</v>
      </c>
      <c r="B211" s="231" t="str">
        <f>Suite&amp;" Electrical Room "&amp;SWTwo</f>
        <v>G104 Electrical Room XXX</v>
      </c>
      <c r="C211" s="183" t="str">
        <f>"UPS "&amp;SWTwo&amp;"1 Battery Cabinets"</f>
        <v>UPS XXX1 Battery Cabinets</v>
      </c>
      <c r="D211" s="186" t="str" cm="1">
        <f t="array" ref="D211">"Close Battery Breaker Q8A at Cabinet " &amp; SWTwo &amp; "1-4."</f>
        <v>Close Battery Breaker Q8A at Cabinet XXX1-4.</v>
      </c>
      <c r="E211" s="183" t="s">
        <v>1464</v>
      </c>
      <c r="F211" s="193"/>
      <c r="G211" s="193"/>
      <c r="H211" s="163" t="s">
        <v>1581</v>
      </c>
      <c r="I211" s="135"/>
      <c r="J211" s="135"/>
    </row>
    <row r="212" spans="1:16" customFormat="1" ht="56.25" hidden="1" x14ac:dyDescent="0.25">
      <c r="A212" s="200">
        <f t="shared" si="10"/>
        <v>392</v>
      </c>
      <c r="B212" s="231" t="str">
        <f>Suite&amp;" Electrical Room "&amp;SWTwo</f>
        <v>G104 Electrical Room XXX</v>
      </c>
      <c r="C212" s="183" t="str">
        <f>"UPS "&amp;SWTwo&amp;"1 Battery Cabinets"</f>
        <v>UPS XXX1 Battery Cabinets</v>
      </c>
      <c r="D212" s="186" t="str" cm="1">
        <f t="array" ref="D212">"Close Battery Breaker Q8B at Cabinet " &amp; SWTwo &amp; "1-5."</f>
        <v>Close Battery Breaker Q8B at Cabinet XXX1-5.</v>
      </c>
      <c r="E212" s="183" t="s">
        <v>1464</v>
      </c>
      <c r="F212" s="193"/>
      <c r="G212" s="193"/>
      <c r="H212" s="163" t="s">
        <v>1581</v>
      </c>
      <c r="I212" s="135"/>
      <c r="J212" s="135"/>
      <c r="K212" s="4"/>
      <c r="L212" s="4"/>
      <c r="M212" s="4"/>
      <c r="N212" s="4"/>
      <c r="O212" s="4"/>
      <c r="P212" s="4"/>
    </row>
    <row r="213" spans="1:16" customFormat="1" ht="56.25" hidden="1" x14ac:dyDescent="0.25">
      <c r="A213" s="200">
        <f t="shared" si="10"/>
        <v>393</v>
      </c>
      <c r="B213" s="231" t="str">
        <f>Suite&amp;" Electrical Room "&amp;SWTwo</f>
        <v>G104 Electrical Room XXX</v>
      </c>
      <c r="C213" s="183" t="str">
        <f>"UPS "&amp;SWTwo&amp;"1 Battery Cabinets"</f>
        <v>UPS XXX1 Battery Cabinets</v>
      </c>
      <c r="D213" s="186" t="str" cm="1">
        <f t="array" ref="D213">"Close Battery Breaker Q8C at Cabinet " &amp; SWTwo &amp; "1-6."</f>
        <v>Close Battery Breaker Q8C at Cabinet XXX1-6.</v>
      </c>
      <c r="E213" s="183" t="s">
        <v>1464</v>
      </c>
      <c r="F213" s="193"/>
      <c r="G213" s="193"/>
      <c r="H213" s="163" t="s">
        <v>1581</v>
      </c>
      <c r="I213" s="135"/>
      <c r="J213" s="135"/>
      <c r="K213" s="4"/>
      <c r="L213" s="4"/>
      <c r="M213" s="4"/>
      <c r="N213" s="4"/>
      <c r="O213" s="4"/>
      <c r="P213" s="4"/>
    </row>
    <row r="214" spans="1:16" customFormat="1" ht="56.25" hidden="1" x14ac:dyDescent="0.25">
      <c r="A214" s="200">
        <f t="shared" si="10"/>
        <v>394</v>
      </c>
      <c r="B214" s="231" t="str">
        <f>Suite&amp;" Electrical Room "&amp;SWTwo</f>
        <v>G104 Electrical Room XXX</v>
      </c>
      <c r="C214" s="183" t="str">
        <f>"UPS "&amp;SWTwo&amp;"1 Battery Cabinets"</f>
        <v>UPS XXX1 Battery Cabinets</v>
      </c>
      <c r="D214" s="186" t="str" cm="1">
        <f t="array" ref="D214">"Close Battery Breaker Q7A at Cabinet " &amp; SWTwo &amp; "1-1."</f>
        <v>Close Battery Breaker Q7A at Cabinet XXX1-1.</v>
      </c>
      <c r="E214" s="183" t="s">
        <v>1464</v>
      </c>
      <c r="F214" s="193"/>
      <c r="G214" s="193"/>
      <c r="H214" s="163" t="s">
        <v>1581</v>
      </c>
      <c r="I214" s="135"/>
      <c r="J214" s="135"/>
    </row>
    <row r="215" spans="1:16" customFormat="1" ht="56.25" hidden="1" x14ac:dyDescent="0.25">
      <c r="A215" s="200">
        <f t="shared" si="10"/>
        <v>395</v>
      </c>
      <c r="B215" s="231" t="str">
        <f>Suite&amp;" Electrical Room "&amp;SWTwo</f>
        <v>G104 Electrical Room XXX</v>
      </c>
      <c r="C215" s="183" t="str">
        <f>"UPS "&amp;SWTwo&amp;"1 Battery Cabinets"</f>
        <v>UPS XXX1 Battery Cabinets</v>
      </c>
      <c r="D215" s="186" t="str" cm="1">
        <f t="array" ref="D215">"Close Battery Breaker Q7B at Cabinet " &amp; SWTwo &amp; "1-2."</f>
        <v>Close Battery Breaker Q7B at Cabinet XXX1-2.</v>
      </c>
      <c r="E215" s="183" t="s">
        <v>1464</v>
      </c>
      <c r="F215" s="193"/>
      <c r="G215" s="193"/>
      <c r="H215" s="163" t="s">
        <v>1581</v>
      </c>
      <c r="I215" s="135"/>
      <c r="J215" s="135"/>
    </row>
    <row r="216" spans="1:16" customFormat="1" ht="37.5" x14ac:dyDescent="0.25">
      <c r="A216" s="200">
        <f>IF(NumberOfICDs=4, A209+1, A215+1)</f>
        <v>396</v>
      </c>
      <c r="B216" s="231" t="str">
        <f>Suite&amp;" Electrical Room "&amp;SWTwo</f>
        <v>G104 Electrical Room XXX</v>
      </c>
      <c r="C216" s="183" t="str">
        <f>"UP"&amp;SWTwo</f>
        <v>UPXXX</v>
      </c>
      <c r="D216" s="177" t="str" cm="1">
        <f t="array" ref="D216">"Remove LOTO from breaker DP-" &amp; SWTwo &amp; "1."</f>
        <v>Remove LOTO from breaker DP-XXX1.</v>
      </c>
      <c r="E216" s="183" t="s">
        <v>1464</v>
      </c>
      <c r="F216" s="193"/>
      <c r="G216" s="193"/>
      <c r="H216" s="135"/>
      <c r="I216" s="135"/>
      <c r="J216" s="135"/>
    </row>
    <row r="217" spans="1:16" customFormat="1" ht="37.5" x14ac:dyDescent="0.25">
      <c r="A217" s="200">
        <f t="shared" ref="A217:A232" si="11">A216+1</f>
        <v>397</v>
      </c>
      <c r="B217" s="231" t="str">
        <f>Suite&amp;" Electrical Room "&amp;SWTwo</f>
        <v>G104 Electrical Room XXX</v>
      </c>
      <c r="C217" s="183" t="str">
        <f>"UP"&amp;SWTwo</f>
        <v>UPXXX</v>
      </c>
      <c r="D217" s="186" t="s">
        <v>1518</v>
      </c>
      <c r="E217" s="183" t="s">
        <v>1464</v>
      </c>
      <c r="F217" s="193"/>
      <c r="G217" s="193"/>
      <c r="H217" s="135"/>
      <c r="I217" s="135"/>
      <c r="J217" s="135"/>
    </row>
    <row r="218" spans="1:16" customFormat="1" ht="37.5" x14ac:dyDescent="0.25">
      <c r="A218" s="200">
        <f t="shared" si="11"/>
        <v>398</v>
      </c>
      <c r="B218" s="231" t="str">
        <f>Suite&amp;" Electrical Room "&amp;SWTwo</f>
        <v>G104 Electrical Room XXX</v>
      </c>
      <c r="C218" s="183" t="str">
        <f>"UP"&amp;SWTwo</f>
        <v>UPXXX</v>
      </c>
      <c r="D218" s="233" t="str" cm="1">
        <f t="array" ref="D218">"Close breaker DP-" &amp; SWTwo &amp; "1."</f>
        <v>Close breaker DP-XXX1.</v>
      </c>
      <c r="E218" s="183" t="s">
        <v>1464</v>
      </c>
      <c r="F218" s="193"/>
      <c r="G218" s="193"/>
      <c r="H218" s="135"/>
      <c r="I218" s="135"/>
      <c r="J218" s="135"/>
    </row>
    <row r="219" spans="1:16" customFormat="1" ht="37.5" x14ac:dyDescent="0.25">
      <c r="A219" s="200">
        <f t="shared" si="11"/>
        <v>399</v>
      </c>
      <c r="B219" s="231" t="str">
        <f>Suite&amp;" Electrical Room "&amp;SWTwo</f>
        <v>G104 Electrical Room XXX</v>
      </c>
      <c r="C219" s="183" t="str">
        <f>"UPS "&amp;SWTwo&amp;"1"</f>
        <v>UPS XXX1</v>
      </c>
      <c r="D219" s="233" t="s">
        <v>1598</v>
      </c>
      <c r="E219" s="183" t="s">
        <v>1464</v>
      </c>
      <c r="F219" s="193"/>
      <c r="G219" s="193"/>
      <c r="H219" s="135"/>
      <c r="I219" s="135"/>
      <c r="J219" s="135"/>
    </row>
    <row r="220" spans="1:16" customFormat="1" ht="37.5" x14ac:dyDescent="0.25">
      <c r="A220" s="200">
        <f t="shared" si="11"/>
        <v>400</v>
      </c>
      <c r="B220" s="231" t="str">
        <f>Suite&amp;" Electrical Room "&amp;SWTwo</f>
        <v>G104 Electrical Room XXX</v>
      </c>
      <c r="C220" s="183" t="s">
        <v>1566</v>
      </c>
      <c r="D220" s="233" t="s">
        <v>1599</v>
      </c>
      <c r="E220" s="183" t="s">
        <v>1464</v>
      </c>
      <c r="F220" s="193"/>
      <c r="G220" s="193"/>
      <c r="H220" s="135"/>
      <c r="I220" s="135"/>
      <c r="J220" s="135"/>
    </row>
    <row r="221" spans="1:16" customFormat="1" ht="37.5" x14ac:dyDescent="0.25">
      <c r="A221" s="200">
        <f t="shared" si="11"/>
        <v>401</v>
      </c>
      <c r="B221" s="231" t="str">
        <f>Suite&amp;" Electrical Room "&amp;SWTwo</f>
        <v>G104 Electrical Room XXX</v>
      </c>
      <c r="C221" s="183" t="str">
        <f>"UPS "&amp;SWTwo&amp;"2"</f>
        <v>UPS XXX2</v>
      </c>
      <c r="D221" s="233" t="str" cm="1">
        <f t="array" ref="D221">"TOUCH the UPS-" &amp; SWTwo &amp; "2 module graphic on the UPS display."</f>
        <v>TOUCH the UPS-XXX2 module graphic on the UPS display.</v>
      </c>
      <c r="E221" s="183" t="s">
        <v>1464</v>
      </c>
      <c r="F221" s="193"/>
      <c r="G221" s="193"/>
      <c r="H221" s="135"/>
      <c r="I221" s="135"/>
      <c r="J221" s="135"/>
    </row>
    <row r="222" spans="1:16" customFormat="1" ht="37.5" x14ac:dyDescent="0.25">
      <c r="A222" s="200">
        <f t="shared" si="11"/>
        <v>402</v>
      </c>
      <c r="B222" s="231" t="str">
        <f>Suite&amp;" Electrical Room "&amp;SWTwo</f>
        <v>G104 Electrical Room XXX</v>
      </c>
      <c r="C222" s="183" t="str">
        <f>"UPS "&amp;SWTwo&amp;"2"</f>
        <v>UPS XXX2</v>
      </c>
      <c r="D222" s="233" t="s">
        <v>1560</v>
      </c>
      <c r="E222" s="183" t="s">
        <v>1464</v>
      </c>
      <c r="F222" s="193"/>
      <c r="G222" s="193"/>
      <c r="H222" s="135"/>
      <c r="I222" s="135"/>
      <c r="J222" s="135"/>
    </row>
    <row r="223" spans="1:16" customFormat="1" ht="37.5" x14ac:dyDescent="0.25">
      <c r="A223" s="200">
        <f t="shared" si="11"/>
        <v>403</v>
      </c>
      <c r="B223" s="231" t="str">
        <f>Suite&amp;" Electrical Room "&amp;SWTwo</f>
        <v>G104 Electrical Room XXX</v>
      </c>
      <c r="C223" s="183" t="str">
        <f>"UPS "&amp;SWTwo&amp;"2"</f>
        <v>UPS XXX2</v>
      </c>
      <c r="D223" s="233" t="s">
        <v>1589</v>
      </c>
      <c r="E223" s="183" t="s">
        <v>1464</v>
      </c>
      <c r="F223" s="193"/>
      <c r="G223" s="193"/>
      <c r="H223" s="135"/>
      <c r="I223" s="135"/>
      <c r="J223" s="135"/>
    </row>
    <row r="224" spans="1:16" customFormat="1" ht="37.5" x14ac:dyDescent="0.25">
      <c r="A224" s="200">
        <f t="shared" si="11"/>
        <v>404</v>
      </c>
      <c r="B224" s="231" t="str">
        <f>Suite&amp;" Electrical Room "&amp;SWTwo</f>
        <v>G104 Electrical Room XXX</v>
      </c>
      <c r="C224" s="183" t="str">
        <f>"UPS "&amp;SWTwo&amp;"2"</f>
        <v>UPS XXX2</v>
      </c>
      <c r="D224" s="233" t="s">
        <v>1562</v>
      </c>
      <c r="E224" s="183" t="s">
        <v>1464</v>
      </c>
      <c r="F224" s="193"/>
      <c r="G224" s="193"/>
      <c r="H224" s="135"/>
      <c r="I224" s="135"/>
      <c r="J224" s="135"/>
    </row>
    <row r="225" spans="1:10" customFormat="1" ht="37.5" x14ac:dyDescent="0.25">
      <c r="A225" s="200">
        <f t="shared" si="11"/>
        <v>405</v>
      </c>
      <c r="B225" s="231" t="str">
        <f>Suite&amp;" Electrical Room "&amp;SWTwo</f>
        <v>G104 Electrical Room XXX</v>
      </c>
      <c r="C225" s="183" t="str">
        <f>"UPS "&amp;SWTwo&amp;"2"</f>
        <v>UPS XXX2</v>
      </c>
      <c r="D225" s="233" t="s">
        <v>1563</v>
      </c>
      <c r="E225" s="183" t="s">
        <v>1464</v>
      </c>
      <c r="F225" s="193"/>
      <c r="G225" s="193"/>
      <c r="H225" s="135"/>
      <c r="I225" s="135"/>
      <c r="J225" s="135"/>
    </row>
    <row r="226" spans="1:10" customFormat="1" ht="37.5" x14ac:dyDescent="0.25">
      <c r="A226" s="200">
        <f t="shared" si="11"/>
        <v>406</v>
      </c>
      <c r="B226" s="231" t="str">
        <f>Suite&amp;" Electrical Room "&amp;SWTwo</f>
        <v>G104 Electrical Room XXX</v>
      </c>
      <c r="C226" s="183" t="str">
        <f>"UPS "&amp;SWTwo&amp;"2"</f>
        <v>UPS XXX2</v>
      </c>
      <c r="D226" s="233" t="s">
        <v>1564</v>
      </c>
      <c r="E226" s="183" t="s">
        <v>1464</v>
      </c>
      <c r="F226" s="193"/>
      <c r="G226" s="193"/>
      <c r="H226" s="135"/>
      <c r="I226" s="135"/>
      <c r="J226" s="135"/>
    </row>
    <row r="227" spans="1:10" customFormat="1" ht="168.75" x14ac:dyDescent="0.25">
      <c r="A227" s="200">
        <f t="shared" si="11"/>
        <v>407</v>
      </c>
      <c r="B227" s="231" t="str">
        <f>Suite&amp;" Electrical Room "&amp;SWTwo</f>
        <v>G104 Electrical Room XXX</v>
      </c>
      <c r="C227" s="183" t="str">
        <f>"UPS "&amp;SWTwo&amp;"2 Battery Cabinets"</f>
        <v>UPS XXX2 Battery Cabinets</v>
      </c>
      <c r="D227" s="233" t="s">
        <v>1590</v>
      </c>
      <c r="E227" s="183" t="s">
        <v>1464</v>
      </c>
      <c r="F227" s="193"/>
      <c r="G227" s="193"/>
      <c r="H227" s="163" t="s">
        <v>1591</v>
      </c>
      <c r="I227" s="135"/>
      <c r="J227" s="135"/>
    </row>
    <row r="228" spans="1:10" customFormat="1" ht="187.5" hidden="1" x14ac:dyDescent="0.25">
      <c r="A228" s="200">
        <f>A226+1</f>
        <v>407</v>
      </c>
      <c r="B228" s="231" t="str">
        <f>Suite&amp;" Electrical Room "&amp;SWTwo</f>
        <v>G104 Electrical Room XXX</v>
      </c>
      <c r="C228" s="183" t="str">
        <f>"UPS "&amp;SWTwo&amp;"2 Battery Cabinets"</f>
        <v>UPS XXX2 Battery Cabinets</v>
      </c>
      <c r="D228" s="233" t="s">
        <v>1592</v>
      </c>
      <c r="E228" s="183" t="s">
        <v>1464</v>
      </c>
      <c r="F228" s="193"/>
      <c r="G228" s="193"/>
      <c r="H228" s="163" t="s">
        <v>1593</v>
      </c>
      <c r="I228" s="135"/>
      <c r="J228" s="135"/>
    </row>
    <row r="229" spans="1:10" customFormat="1" ht="37.5" x14ac:dyDescent="0.25">
      <c r="A229" s="200">
        <f t="shared" si="11"/>
        <v>408</v>
      </c>
      <c r="B229" s="231" t="str">
        <f>Suite&amp;" Electrical Room "&amp;SWTwo</f>
        <v>G104 Electrical Room XXX</v>
      </c>
      <c r="C229" s="183" t="str">
        <f>"UPS "&amp;SWTwo&amp;"2"</f>
        <v>UPS XXX2</v>
      </c>
      <c r="D229" s="233" t="s">
        <v>1594</v>
      </c>
      <c r="E229" s="183" t="s">
        <v>1464</v>
      </c>
      <c r="F229" s="193"/>
      <c r="G229" s="193"/>
      <c r="H229" s="163"/>
      <c r="I229" s="135"/>
      <c r="J229" s="135"/>
    </row>
    <row r="230" spans="1:10" customFormat="1" ht="56.25" x14ac:dyDescent="0.25">
      <c r="A230" s="200">
        <f t="shared" si="11"/>
        <v>409</v>
      </c>
      <c r="B230" s="231" t="str">
        <f>Suite&amp;" Electrical Room "&amp;SWTwo</f>
        <v>G104 Electrical Room XXX</v>
      </c>
      <c r="C230" s="183" t="str">
        <f>"UPS "&amp;SWTwo&amp;"2 Battery Cabinets"</f>
        <v>UPS XXX2 Battery Cabinets</v>
      </c>
      <c r="D230" s="233" t="s">
        <v>1579</v>
      </c>
      <c r="E230" s="183" t="s">
        <v>1464</v>
      </c>
      <c r="F230" s="193"/>
      <c r="G230" s="193"/>
      <c r="H230" s="163"/>
      <c r="I230" s="135"/>
      <c r="J230" s="135"/>
    </row>
    <row r="231" spans="1:10" customFormat="1" ht="56.25" hidden="1" x14ac:dyDescent="0.25">
      <c r="A231" s="200">
        <f t="shared" si="11"/>
        <v>410</v>
      </c>
      <c r="B231" s="231" t="str">
        <f>Suite&amp;" Electrical Room "&amp;SWTwo</f>
        <v>G104 Electrical Room XXX</v>
      </c>
      <c r="C231" s="183" t="str">
        <f>"UPS "&amp;SWTwo&amp;"2 Battery Cabinets"</f>
        <v>UPS XXX2 Battery Cabinets</v>
      </c>
      <c r="D231" s="233" t="s">
        <v>1596</v>
      </c>
      <c r="E231" s="183" t="s">
        <v>1464</v>
      </c>
      <c r="F231" s="193"/>
      <c r="G231" s="193"/>
      <c r="H231" s="163" t="s">
        <v>1593</v>
      </c>
      <c r="I231" s="135"/>
      <c r="J231" s="135"/>
    </row>
    <row r="232" spans="1:10" customFormat="1" ht="56.25" hidden="1" x14ac:dyDescent="0.25">
      <c r="A232" s="200">
        <f t="shared" si="11"/>
        <v>411</v>
      </c>
      <c r="B232" s="231" t="str">
        <f>Suite&amp;" Electrical Room "&amp;SWTwo</f>
        <v>G104 Electrical Room XXX</v>
      </c>
      <c r="C232" s="183" t="str">
        <f>"UPS "&amp;SWTwo&amp;"2 Battery Cabinets"</f>
        <v>UPS XXX2 Battery Cabinets</v>
      </c>
      <c r="D232" s="186" t="s">
        <v>1600</v>
      </c>
      <c r="E232" s="183" t="s">
        <v>1464</v>
      </c>
      <c r="F232" s="193"/>
      <c r="G232" s="193"/>
      <c r="H232" s="163" t="s">
        <v>1593</v>
      </c>
      <c r="I232" s="135"/>
      <c r="J232" s="135"/>
    </row>
    <row r="233" spans="1:10" customFormat="1" ht="56.25" x14ac:dyDescent="0.25">
      <c r="A233" s="200" cm="1">
        <f t="array" ref="A233">IF(AND(Suite="H206", SWTwo="D"), A232+1, A230+1)</f>
        <v>410</v>
      </c>
      <c r="B233" s="231" t="str">
        <f>Suite&amp;" Electrical Room "&amp;SWTwo</f>
        <v>G104 Electrical Room XXX</v>
      </c>
      <c r="C233" s="183" t="str">
        <f>"UPS "&amp;SWTwo&amp;"2 Battery Cabinets"</f>
        <v>UPS XXX2 Battery Cabinets</v>
      </c>
      <c r="D233" s="233" t="str" cm="1">
        <f t="array" ref="D233">"Close Battery Breaker Q7A at Cabinet " &amp; SWTwo &amp; "2-1."</f>
        <v>Close Battery Breaker Q7A at Cabinet XXX2-1.</v>
      </c>
      <c r="E233" s="183" t="s">
        <v>1464</v>
      </c>
      <c r="F233" s="193"/>
      <c r="G233" s="193"/>
      <c r="H233" s="163" t="s">
        <v>1580</v>
      </c>
      <c r="I233" s="135"/>
      <c r="J233" s="135"/>
    </row>
    <row r="234" spans="1:10" customFormat="1" ht="56.25" x14ac:dyDescent="0.25">
      <c r="A234" s="200">
        <f t="shared" ref="A234:A236" si="12">A233+1</f>
        <v>411</v>
      </c>
      <c r="B234" s="231" t="str">
        <f>Suite&amp;" Electrical Room "&amp;SWTwo</f>
        <v>G104 Electrical Room XXX</v>
      </c>
      <c r="C234" s="183" t="str">
        <f>"UPS "&amp;SWTwo&amp;"2 Battery Cabinets"</f>
        <v>UPS XXX2 Battery Cabinets</v>
      </c>
      <c r="D234" s="233" t="str" cm="1">
        <f t="array" ref="D234">"Close Battery Breaker Q8A at Cabinet " &amp; SWTwo &amp; "2-3."</f>
        <v>Close Battery Breaker Q8A at Cabinet XXX2-3.</v>
      </c>
      <c r="E234" s="183" t="s">
        <v>1464</v>
      </c>
      <c r="F234" s="193"/>
      <c r="G234" s="193"/>
      <c r="H234" s="163" t="s">
        <v>1580</v>
      </c>
      <c r="I234" s="135"/>
      <c r="J234" s="164"/>
    </row>
    <row r="235" spans="1:10" customFormat="1" ht="56.25" x14ac:dyDescent="0.25">
      <c r="A235" s="200">
        <f t="shared" si="12"/>
        <v>412</v>
      </c>
      <c r="B235" s="231" t="str">
        <f>Suite&amp;" Electrical Room "&amp;SWTwo</f>
        <v>G104 Electrical Room XXX</v>
      </c>
      <c r="C235" s="183" t="str">
        <f>"UPS "&amp;SWTwo&amp;"2 Battery Cabinets"</f>
        <v>UPS XXX2 Battery Cabinets</v>
      </c>
      <c r="D235" s="233" t="str" cm="1">
        <f t="array" ref="D235">"Close Battery Breaker Q8B at Cabinet " &amp; SWTwo &amp; "2-4."</f>
        <v>Close Battery Breaker Q8B at Cabinet XXX2-4.</v>
      </c>
      <c r="E235" s="183" t="s">
        <v>1464</v>
      </c>
      <c r="F235" s="193"/>
      <c r="G235" s="193"/>
      <c r="H235" s="163" t="s">
        <v>1580</v>
      </c>
      <c r="I235" s="135"/>
      <c r="J235" s="164"/>
    </row>
    <row r="236" spans="1:10" customFormat="1" ht="56.25" x14ac:dyDescent="0.25">
      <c r="A236" s="200">
        <f t="shared" si="12"/>
        <v>413</v>
      </c>
      <c r="B236" s="231" t="str">
        <f>Suite&amp;" Electrical Room "&amp;SWTwo</f>
        <v>G104 Electrical Room XXX</v>
      </c>
      <c r="C236" s="183" t="str">
        <f>"UPS "&amp;SWTwo&amp;"2 Battery Cabinets"</f>
        <v>UPS XXX2 Battery Cabinets</v>
      </c>
      <c r="D236" s="233" t="str" cm="1">
        <f t="array" ref="D236">"Close Battery Breaker Q7B at Cabinet " &amp; SWTwo &amp; "2-2."</f>
        <v>Close Battery Breaker Q7B at Cabinet XXX2-2.</v>
      </c>
      <c r="E236" s="183" t="s">
        <v>1464</v>
      </c>
      <c r="F236" s="193"/>
      <c r="G236" s="193"/>
      <c r="H236" s="163" t="s">
        <v>1580</v>
      </c>
      <c r="I236" s="135"/>
      <c r="J236" s="135"/>
    </row>
    <row r="237" spans="1:10" customFormat="1" ht="56.25" hidden="1" x14ac:dyDescent="0.25">
      <c r="A237" s="200">
        <f>A230+1</f>
        <v>410</v>
      </c>
      <c r="B237" s="231" t="str">
        <f>Suite&amp;" Electrical Room "&amp;SWTwo</f>
        <v>G104 Electrical Room XXX</v>
      </c>
      <c r="C237" s="183" t="str">
        <f>"UPS "&amp;SWTwo&amp;"2 Battery Cabinets"</f>
        <v>UPS XXX2 Battery Cabinets</v>
      </c>
      <c r="D237" s="186" t="str" cm="1">
        <f t="array" ref="D237">"Close Battery Breaker Q7C at Cabinet " &amp; SWTwo &amp; "2-3."</f>
        <v>Close Battery Breaker Q7C at Cabinet XXX2-3.</v>
      </c>
      <c r="E237" s="183" t="s">
        <v>1464</v>
      </c>
      <c r="F237" s="193"/>
      <c r="G237" s="193"/>
      <c r="H237" s="163" t="s">
        <v>1581</v>
      </c>
      <c r="I237" s="135"/>
      <c r="J237" s="135"/>
    </row>
    <row r="238" spans="1:10" customFormat="1" ht="56.25" hidden="1" x14ac:dyDescent="0.25">
      <c r="A238" s="200">
        <f t="shared" ref="A238:A242" si="13">A237+1</f>
        <v>411</v>
      </c>
      <c r="B238" s="231" t="str">
        <f>Suite&amp;" Electrical Room "&amp;SWTwo</f>
        <v>G104 Electrical Room XXX</v>
      </c>
      <c r="C238" s="183" t="str">
        <f>"UPS "&amp;SWTwo&amp;"2 Battery Cabinets"</f>
        <v>UPS XXX2 Battery Cabinets</v>
      </c>
      <c r="D238" s="186" t="str" cm="1">
        <f t="array" ref="D238">"Close Battery Breaker Q8A at Cabinet " &amp; SWTwo &amp; "2-4."</f>
        <v>Close Battery Breaker Q8A at Cabinet XXX2-4.</v>
      </c>
      <c r="E238" s="183" t="s">
        <v>1464</v>
      </c>
      <c r="F238" s="193"/>
      <c r="G238" s="193"/>
      <c r="H238" s="163" t="s">
        <v>1581</v>
      </c>
      <c r="I238" s="135"/>
      <c r="J238" s="135"/>
    </row>
    <row r="239" spans="1:10" customFormat="1" ht="56.25" hidden="1" x14ac:dyDescent="0.25">
      <c r="A239" s="200">
        <f t="shared" si="13"/>
        <v>412</v>
      </c>
      <c r="B239" s="231" t="str">
        <f>Suite&amp;" Electrical Room "&amp;SWTwo</f>
        <v>G104 Electrical Room XXX</v>
      </c>
      <c r="C239" s="183" t="str">
        <f>"UPS "&amp;SWTwo&amp;"2 Battery Cabinets"</f>
        <v>UPS XXX2 Battery Cabinets</v>
      </c>
      <c r="D239" s="186" t="str" cm="1">
        <f t="array" ref="D239">"Close Battery Breaker Q8B at Cabinet " &amp; SWTwo &amp; "2-5."</f>
        <v>Close Battery Breaker Q8B at Cabinet XXX2-5.</v>
      </c>
      <c r="E239" s="183" t="s">
        <v>1464</v>
      </c>
      <c r="F239" s="193"/>
      <c r="G239" s="193"/>
      <c r="H239" s="163" t="s">
        <v>1581</v>
      </c>
      <c r="I239" s="135"/>
      <c r="J239" s="135"/>
    </row>
    <row r="240" spans="1:10" customFormat="1" ht="56.25" hidden="1" x14ac:dyDescent="0.25">
      <c r="A240" s="200">
        <f t="shared" si="13"/>
        <v>413</v>
      </c>
      <c r="B240" s="231" t="str">
        <f>Suite&amp;" Electrical Room "&amp;SWTwo</f>
        <v>G104 Electrical Room XXX</v>
      </c>
      <c r="C240" s="183" t="str">
        <f>"UPS "&amp;SWTwo&amp;"2 Battery Cabinets"</f>
        <v>UPS XXX2 Battery Cabinets</v>
      </c>
      <c r="D240" s="186" t="str" cm="1">
        <f t="array" ref="D240">"Close Battery Breaker Q8C at Cabinet " &amp; SWTwo &amp; "2-6."</f>
        <v>Close Battery Breaker Q8C at Cabinet XXX2-6.</v>
      </c>
      <c r="E240" s="183" t="s">
        <v>1464</v>
      </c>
      <c r="F240" s="193"/>
      <c r="G240" s="193"/>
      <c r="H240" s="163" t="s">
        <v>1581</v>
      </c>
      <c r="I240" s="135"/>
      <c r="J240" s="135"/>
    </row>
    <row r="241" spans="1:10" customFormat="1" ht="56.25" hidden="1" x14ac:dyDescent="0.25">
      <c r="A241" s="200">
        <f t="shared" si="13"/>
        <v>414</v>
      </c>
      <c r="B241" s="231" t="str">
        <f>Suite&amp;" Electrical Room "&amp;SWTwo</f>
        <v>G104 Electrical Room XXX</v>
      </c>
      <c r="C241" s="183" t="str">
        <f>"UPS "&amp;SWTwo&amp;"2 Battery Cabinets"</f>
        <v>UPS XXX2 Battery Cabinets</v>
      </c>
      <c r="D241" s="186" t="str" cm="1">
        <f t="array" ref="D241">"Close Battery Breaker Q7A at Cabinet " &amp; SWTwo &amp; "2-1."</f>
        <v>Close Battery Breaker Q7A at Cabinet XXX2-1.</v>
      </c>
      <c r="E241" s="183" t="s">
        <v>1464</v>
      </c>
      <c r="F241" s="193"/>
      <c r="G241" s="193"/>
      <c r="H241" s="163" t="s">
        <v>1581</v>
      </c>
      <c r="I241" s="135"/>
      <c r="J241" s="135"/>
    </row>
    <row r="242" spans="1:10" customFormat="1" ht="56.25" hidden="1" x14ac:dyDescent="0.25">
      <c r="A242" s="200">
        <f t="shared" si="13"/>
        <v>415</v>
      </c>
      <c r="B242" s="231" t="str">
        <f>Suite&amp;" Electrical Room "&amp;SWTwo</f>
        <v>G104 Electrical Room XXX</v>
      </c>
      <c r="C242" s="183" t="str">
        <f>"UPS "&amp;SWTwo&amp;"2 Battery Cabinets"</f>
        <v>UPS XXX2 Battery Cabinets</v>
      </c>
      <c r="D242" s="186" t="str" cm="1">
        <f t="array" ref="D242">"Close Battery Breaker Q7B at Cabinet " &amp; SWTwo &amp; "2-2."</f>
        <v>Close Battery Breaker Q7B at Cabinet XXX2-2.</v>
      </c>
      <c r="E242" s="183" t="s">
        <v>1464</v>
      </c>
      <c r="F242" s="193"/>
      <c r="G242" s="193"/>
      <c r="H242" s="163" t="s">
        <v>1581</v>
      </c>
      <c r="I242" s="135"/>
      <c r="J242" s="135"/>
    </row>
    <row r="243" spans="1:10" customFormat="1" ht="37.5" x14ac:dyDescent="0.25">
      <c r="A243" s="200">
        <f>IF(NumberOfICDs=4, A236+1, A242+1)</f>
        <v>416</v>
      </c>
      <c r="B243" s="231" t="str">
        <f>Suite&amp;" Electrical Room "&amp;SWTwo</f>
        <v>G104 Electrical Room XXX</v>
      </c>
      <c r="C243" s="183" t="str">
        <f>"UP"&amp;SWTwo</f>
        <v>UPXXX</v>
      </c>
      <c r="D243" s="177" t="str" cm="1">
        <f t="array" ref="D243">"Remove LOTO from breaker DP-" &amp; SWTwo &amp; "2."</f>
        <v>Remove LOTO from breaker DP-XXX2.</v>
      </c>
      <c r="E243" s="183" t="s">
        <v>1464</v>
      </c>
      <c r="F243" s="193"/>
      <c r="G243" s="193"/>
      <c r="H243" s="163"/>
      <c r="I243" s="135"/>
      <c r="J243" s="135"/>
    </row>
    <row r="244" spans="1:10" customFormat="1" ht="37.5" x14ac:dyDescent="0.25">
      <c r="A244" s="200">
        <f t="shared" ref="A244:A250" si="14">A243+1</f>
        <v>417</v>
      </c>
      <c r="B244" s="231" t="str">
        <f>Suite&amp;" Electrical Room "&amp;SWTwo</f>
        <v>G104 Electrical Room XXX</v>
      </c>
      <c r="C244" s="183" t="str">
        <f>"UP"&amp;SWTwo</f>
        <v>UPXXX</v>
      </c>
      <c r="D244" s="186" t="s">
        <v>1518</v>
      </c>
      <c r="E244" s="183" t="s">
        <v>1464</v>
      </c>
      <c r="F244" s="193"/>
      <c r="G244" s="193"/>
      <c r="H244" s="135"/>
      <c r="I244" s="135"/>
      <c r="J244" s="135"/>
    </row>
    <row r="245" spans="1:10" customFormat="1" ht="37.5" x14ac:dyDescent="0.25">
      <c r="A245" s="200">
        <f t="shared" si="14"/>
        <v>418</v>
      </c>
      <c r="B245" s="231" t="str">
        <f>Suite&amp;" Electrical Room "&amp;SWTwo</f>
        <v>G104 Electrical Room XXX</v>
      </c>
      <c r="C245" s="183" t="str">
        <f>"UP"&amp;SWTwo</f>
        <v>UPXXX</v>
      </c>
      <c r="D245" s="233" t="str" cm="1">
        <f t="array" ref="D245">"Close breaker DP-" &amp; SWTwo &amp; "2."</f>
        <v>Close breaker DP-XXX2.</v>
      </c>
      <c r="E245" s="183" t="s">
        <v>1464</v>
      </c>
      <c r="F245" s="193"/>
      <c r="G245" s="193"/>
      <c r="H245" s="135"/>
      <c r="I245" s="135"/>
      <c r="J245" s="135"/>
    </row>
    <row r="246" spans="1:10" customFormat="1" ht="37.5" x14ac:dyDescent="0.25">
      <c r="A246" s="200">
        <f t="shared" si="14"/>
        <v>419</v>
      </c>
      <c r="B246" s="231" t="str">
        <f>Suite&amp;" Electrical Room "&amp;SWTwo</f>
        <v>G104 Electrical Room XXX</v>
      </c>
      <c r="C246" s="183" t="str">
        <f>"UPS "&amp;SWTwo&amp;"2"</f>
        <v>UPS XXX2</v>
      </c>
      <c r="D246" s="233" t="s">
        <v>1598</v>
      </c>
      <c r="E246" s="183" t="s">
        <v>1464</v>
      </c>
      <c r="F246" s="193"/>
      <c r="G246" s="193"/>
      <c r="H246" s="163"/>
      <c r="I246" s="135"/>
      <c r="J246" s="135"/>
    </row>
    <row r="247" spans="1:10" customFormat="1" ht="37.5" x14ac:dyDescent="0.25">
      <c r="A247" s="200">
        <f t="shared" si="14"/>
        <v>420</v>
      </c>
      <c r="B247" s="231" t="str">
        <f>Suite&amp;" Electrical Room "&amp;SWTwo</f>
        <v>G104 Electrical Room XXX</v>
      </c>
      <c r="C247" s="183" t="s">
        <v>1566</v>
      </c>
      <c r="D247" s="233" t="s">
        <v>1601</v>
      </c>
      <c r="E247" s="183" t="s">
        <v>1464</v>
      </c>
      <c r="F247" s="193"/>
      <c r="G247" s="193"/>
      <c r="H247" s="163"/>
      <c r="I247" s="135"/>
      <c r="J247" s="135"/>
    </row>
    <row r="248" spans="1:10" customFormat="1" ht="37.5" x14ac:dyDescent="0.25">
      <c r="A248" s="200">
        <f t="shared" si="14"/>
        <v>421</v>
      </c>
      <c r="B248" s="231" t="str">
        <f>Suite&amp;" Electrical Room "&amp;SWTwo</f>
        <v>G104 Electrical Room XXX</v>
      </c>
      <c r="C248" s="183" t="str">
        <f>"UPS "&amp;SWTwo</f>
        <v>UPS XXX</v>
      </c>
      <c r="D248" s="233" t="str" cm="1">
        <f t="array" ref="D248">"UPS SYSTEM "&amp;SWOne&amp;" is now online and ready to accept load. Critical Customer Load remains on Maintenance Bypass Source."</f>
        <v>UPS SYSTEM XXX is now online and ready to accept load. Critical Customer Load remains on Maintenance Bypass Source.</v>
      </c>
      <c r="E248" s="183" t="s">
        <v>1464</v>
      </c>
      <c r="F248" s="193"/>
      <c r="G248" s="193"/>
      <c r="H248" s="163"/>
      <c r="I248" s="135"/>
      <c r="J248" s="135"/>
    </row>
    <row r="249" spans="1:10" customFormat="1" x14ac:dyDescent="0.25">
      <c r="A249" s="200">
        <f t="shared" si="14"/>
        <v>422</v>
      </c>
      <c r="B249" s="711" t="s">
        <v>1602</v>
      </c>
      <c r="C249" s="711"/>
      <c r="D249" s="711"/>
      <c r="E249" s="711"/>
      <c r="F249" s="711"/>
      <c r="G249" s="711"/>
      <c r="H249" s="163"/>
      <c r="I249" s="135"/>
      <c r="J249" s="135"/>
    </row>
    <row r="250" spans="1:10" customFormat="1" ht="37.5" x14ac:dyDescent="0.25">
      <c r="A250" s="200">
        <f t="shared" si="14"/>
        <v>423</v>
      </c>
      <c r="B250" s="231" t="str">
        <f>Suite&amp;" Electrical Room A"</f>
        <v>G104 Electrical Room A</v>
      </c>
      <c r="C250" s="183" t="str">
        <f>"UP"&amp;SWTwo</f>
        <v>UPXXX</v>
      </c>
      <c r="D250" s="233" t="str" cm="1">
        <f t="array" ref="D250">"NOTATE the kW reading at UP" &amp; SWTwo &amp; " Critical Bus Panel Meter: _________"</f>
        <v>NOTATE the kW reading at UPXXX Critical Bus Panel Meter: _________</v>
      </c>
      <c r="E250" s="183" t="s">
        <v>1464</v>
      </c>
      <c r="F250" s="193"/>
      <c r="G250" s="193"/>
      <c r="H250" s="163"/>
      <c r="I250" s="135"/>
      <c r="J250" s="135"/>
    </row>
    <row r="251" spans="1:10" customFormat="1" ht="37.5" x14ac:dyDescent="0.25">
      <c r="A251" s="200">
        <f>A250+1</f>
        <v>424</v>
      </c>
      <c r="B251" s="231" t="str">
        <f>Suite&amp;" Electrical Room "&amp;SWTwo</f>
        <v>G104 Electrical Room XXX</v>
      </c>
      <c r="C251" s="183" t="str">
        <f>"UPS "&amp;SWTwo&amp;"1"</f>
        <v>UPS XXX1</v>
      </c>
      <c r="D251" s="233" t="s">
        <v>1603</v>
      </c>
      <c r="E251" s="183" t="s">
        <v>1464</v>
      </c>
      <c r="F251" s="193"/>
      <c r="G251" s="193"/>
      <c r="H251" s="163"/>
      <c r="I251" s="135"/>
      <c r="J251" s="135"/>
    </row>
    <row r="252" spans="1:10" customFormat="1" ht="37.5" x14ac:dyDescent="0.25">
      <c r="A252" s="200">
        <f t="shared" ref="A252:A291" si="15">A251+1</f>
        <v>425</v>
      </c>
      <c r="B252" s="231" t="str">
        <f>Suite&amp;" Electrical Room "&amp;SWTwo</f>
        <v>G104 Electrical Room XXX</v>
      </c>
      <c r="C252" s="183" t="str">
        <f>"UPS "&amp;SWTwo&amp;"1"</f>
        <v>UPS XXX1</v>
      </c>
      <c r="D252" s="233" t="s">
        <v>1604</v>
      </c>
      <c r="E252" s="183" t="s">
        <v>1464</v>
      </c>
      <c r="F252" s="193"/>
      <c r="G252" s="193"/>
      <c r="H252" s="163"/>
      <c r="I252" s="135"/>
      <c r="J252" s="135"/>
    </row>
    <row r="253" spans="1:10" customFormat="1" ht="37.5" x14ac:dyDescent="0.25">
      <c r="A253" s="200">
        <f t="shared" si="15"/>
        <v>426</v>
      </c>
      <c r="B253" s="231" t="str">
        <f>Suite&amp;" Electrical Room "&amp;SWTwo</f>
        <v>G104 Electrical Room XXX</v>
      </c>
      <c r="C253" s="183" t="str">
        <f>"UPS "&amp;SWTwo&amp;"1"</f>
        <v>UPS XXX1</v>
      </c>
      <c r="D253" s="233" t="s">
        <v>1605</v>
      </c>
      <c r="E253" s="183" t="s">
        <v>1464</v>
      </c>
      <c r="F253" s="193"/>
      <c r="G253" s="193"/>
      <c r="H253" s="163"/>
      <c r="I253" s="135"/>
      <c r="J253" s="135"/>
    </row>
    <row r="254" spans="1:10" customFormat="1" ht="37.5" x14ac:dyDescent="0.25">
      <c r="A254" s="200">
        <f t="shared" si="15"/>
        <v>427</v>
      </c>
      <c r="B254" s="231" t="str">
        <f>Suite&amp;" Electrical Room "&amp;SWTwo</f>
        <v>G104 Electrical Room XXX</v>
      </c>
      <c r="C254" s="183" t="s">
        <v>1566</v>
      </c>
      <c r="D254" s="233" t="s">
        <v>1606</v>
      </c>
      <c r="E254" s="183" t="s">
        <v>1464</v>
      </c>
      <c r="F254" s="193"/>
      <c r="G254" s="193"/>
      <c r="H254" s="163"/>
      <c r="I254" s="135"/>
      <c r="J254" s="135"/>
    </row>
    <row r="255" spans="1:10" customFormat="1" ht="56.25" x14ac:dyDescent="0.25">
      <c r="A255" s="200">
        <f t="shared" si="15"/>
        <v>428</v>
      </c>
      <c r="B255" s="231" t="str">
        <f>Suite&amp;" Electrical Room "&amp;SWTwo</f>
        <v>G104 Electrical Room XXX</v>
      </c>
      <c r="C255" s="183" t="str">
        <f>"UPS "&amp;SWTwo</f>
        <v>UPS XXX</v>
      </c>
      <c r="D255" s="233" t="str" cm="1">
        <f t="array" ref="D255">"UPS SYSTEM "&amp;SWOne&amp;" is now online and applying utility voltage to the line side of the MCBUP"&amp;SWTwo&amp;" breaker via static bypass. Critical Customer Load remains on Maintenance Bypass Source."</f>
        <v>UPS SYSTEM XXX is now online and applying utility voltage to the line side of the MCBUPXXX breaker via static bypass. Critical Customer Load remains on Maintenance Bypass Source.</v>
      </c>
      <c r="E255" s="183" t="s">
        <v>1464</v>
      </c>
      <c r="F255" s="193"/>
      <c r="G255" s="193"/>
      <c r="H255" s="163"/>
      <c r="I255" s="135"/>
      <c r="J255" s="135"/>
    </row>
    <row r="256" spans="1:10" customFormat="1" ht="37.5" x14ac:dyDescent="0.25">
      <c r="A256" s="200">
        <f t="shared" si="15"/>
        <v>429</v>
      </c>
      <c r="B256" s="231" t="str">
        <f>Suite&amp;" Electrical Room "&amp;SWTwo</f>
        <v>G104 Electrical Room XXX</v>
      </c>
      <c r="C256" s="183" t="str">
        <f>"UP"&amp;SWTwo</f>
        <v>UPXXX</v>
      </c>
      <c r="D256" s="233" t="s">
        <v>1568</v>
      </c>
      <c r="E256" s="183" t="s">
        <v>1464</v>
      </c>
      <c r="F256" s="193"/>
      <c r="G256" s="193"/>
      <c r="H256" s="163"/>
      <c r="I256" s="135"/>
      <c r="J256" s="135"/>
    </row>
    <row r="257" spans="1:10" customFormat="1" ht="37.5" x14ac:dyDescent="0.25">
      <c r="A257" s="200">
        <f t="shared" si="15"/>
        <v>430</v>
      </c>
      <c r="B257" s="231" t="str">
        <f>Suite&amp;" Electrical Room "&amp;SWTwo</f>
        <v>G104 Electrical Room XXX</v>
      </c>
      <c r="C257" s="183" t="str">
        <f>"UP"&amp;SWTwo</f>
        <v>UPXXX</v>
      </c>
      <c r="D257" s="186" t="s">
        <v>1569</v>
      </c>
      <c r="E257" s="183" t="s">
        <v>1464</v>
      </c>
      <c r="F257" s="193"/>
      <c r="G257" s="193"/>
      <c r="H257" s="163"/>
      <c r="I257" s="135"/>
      <c r="J257" s="135"/>
    </row>
    <row r="258" spans="1:10" customFormat="1" ht="37.5" x14ac:dyDescent="0.25">
      <c r="A258" s="200">
        <f t="shared" si="15"/>
        <v>431</v>
      </c>
      <c r="B258" s="231" t="str">
        <f>Suite&amp;" Electrical Room "&amp;SWTwo</f>
        <v>G104 Electrical Room XXX</v>
      </c>
      <c r="C258" s="183" t="str">
        <f>"UP"&amp;SWTwo</f>
        <v>UPXXX</v>
      </c>
      <c r="D258" s="186" t="s">
        <v>1570</v>
      </c>
      <c r="E258" s="183" t="s">
        <v>1464</v>
      </c>
      <c r="F258" s="193"/>
      <c r="G258" s="193"/>
      <c r="H258" s="163"/>
      <c r="I258" s="135"/>
      <c r="J258" s="135"/>
    </row>
    <row r="259" spans="1:10" customFormat="1" ht="37.5" x14ac:dyDescent="0.25">
      <c r="A259" s="200">
        <f t="shared" si="15"/>
        <v>432</v>
      </c>
      <c r="B259" s="231" t="str">
        <f>Suite&amp;" Electrical Room "&amp;SWTwo</f>
        <v>G104 Electrical Room XXX</v>
      </c>
      <c r="C259" s="183" t="str">
        <f>"UP"&amp;SWTwo</f>
        <v>UPXXX</v>
      </c>
      <c r="D259" s="233" t="str" cm="1">
        <f t="array" ref="D259">"INSERT the interlock key into the MCBUP" &amp; SWTwo &amp; " breaker lock cylinder."</f>
        <v>INSERT the interlock key into the MCBUPXXX breaker lock cylinder.</v>
      </c>
      <c r="E259" s="183" t="s">
        <v>1464</v>
      </c>
      <c r="F259" s="193"/>
      <c r="G259" s="193"/>
      <c r="H259" s="163"/>
      <c r="I259" s="135"/>
      <c r="J259" s="135"/>
    </row>
    <row r="260" spans="1:10" customFormat="1" ht="37.5" x14ac:dyDescent="0.25">
      <c r="A260" s="200">
        <f t="shared" si="15"/>
        <v>433</v>
      </c>
      <c r="B260" s="231" t="str">
        <f>Suite&amp;" Electrical Room "&amp;SWTwo</f>
        <v>G104 Electrical Room XXX</v>
      </c>
      <c r="C260" s="183" t="str">
        <f>"UP"&amp;SWTwo</f>
        <v>UPXXX</v>
      </c>
      <c r="D260" s="186" t="str" cm="1">
        <f t="array" ref="D260">"ROTATE the interlock key 90 degrees to UNLOCK the MCBUP" &amp; SWTwo &amp; " breaker."</f>
        <v>ROTATE the interlock key 90 degrees to UNLOCK the MCBUPXXX breaker.</v>
      </c>
      <c r="E260" s="183" t="s">
        <v>1464</v>
      </c>
      <c r="F260" s="193"/>
      <c r="G260" s="193"/>
      <c r="H260" s="135"/>
      <c r="I260" s="135"/>
      <c r="J260" s="135"/>
    </row>
    <row r="261" spans="1:10" customFormat="1" ht="37.5" x14ac:dyDescent="0.25">
      <c r="A261" s="200">
        <f t="shared" si="15"/>
        <v>434</v>
      </c>
      <c r="B261" s="231" t="str">
        <f>Suite&amp;" Electrical Room "&amp;SWTwo</f>
        <v>G104 Electrical Room XXX</v>
      </c>
      <c r="C261" s="183" t="str">
        <f>"UP"&amp;SWTwo</f>
        <v>UPXXX</v>
      </c>
      <c r="D261" s="233" t="str" cm="1">
        <f t="array" ref="D261">"Close breaker MCBUP"&amp;SWTwo&amp;"."</f>
        <v>Close breaker MCBUPXXX.</v>
      </c>
      <c r="E261" s="183" t="s">
        <v>1464</v>
      </c>
      <c r="F261" s="193"/>
      <c r="G261" s="193"/>
      <c r="H261" s="135"/>
      <c r="I261" s="135"/>
      <c r="J261" s="135"/>
    </row>
    <row r="262" spans="1:10" customFormat="1" ht="37.5" x14ac:dyDescent="0.25">
      <c r="A262" s="200">
        <f t="shared" si="15"/>
        <v>435</v>
      </c>
      <c r="B262" s="231" t="str">
        <f>Suite&amp;" Electrical Room "&amp;SWTwo</f>
        <v>G104 Electrical Room XXX</v>
      </c>
      <c r="C262" s="183" t="str">
        <f>"UP"&amp;SWTwo</f>
        <v>UPXXX</v>
      </c>
      <c r="D262" s="186" t="str" cm="1">
        <f t="array" ref="D262">"VERIFY MCBUP" &amp; SWTwo &amp; " breaker flag indicates CLOSED."</f>
        <v>VERIFY MCBUPXXX breaker flag indicates CLOSED.</v>
      </c>
      <c r="E262" s="183" t="s">
        <v>1464</v>
      </c>
      <c r="F262" s="193"/>
      <c r="G262" s="193"/>
      <c r="H262" s="135"/>
      <c r="I262" s="135"/>
      <c r="J262" s="135"/>
    </row>
    <row r="263" spans="1:10" customFormat="1" ht="37.5" x14ac:dyDescent="0.25">
      <c r="A263" s="200">
        <f t="shared" si="15"/>
        <v>436</v>
      </c>
      <c r="B263" s="231" t="str">
        <f>Suite&amp;" Electrical Room "&amp;SWTwo</f>
        <v>G104 Electrical Room XXX</v>
      </c>
      <c r="C263" s="183" t="str">
        <f>"UP"&amp;SWTwo</f>
        <v>UPXXX</v>
      </c>
      <c r="D263" s="233" t="str" cm="1">
        <f t="array" ref="D263">"VERIFY breaker MCBUP"&amp;SWTwo&amp;" is carrying a portion of critical customer load using breaker mounted metering."</f>
        <v>VERIFY breaker MCBUPXXX is carrying a portion of critical customer load using breaker mounted metering.</v>
      </c>
      <c r="E263" s="183" t="s">
        <v>1464</v>
      </c>
      <c r="F263" s="193"/>
      <c r="G263" s="193"/>
      <c r="H263" s="135"/>
      <c r="I263" s="135"/>
      <c r="J263" s="135"/>
    </row>
    <row r="264" spans="1:10" customFormat="1" ht="37.5" x14ac:dyDescent="0.25">
      <c r="A264" s="200">
        <f t="shared" si="15"/>
        <v>437</v>
      </c>
      <c r="B264" s="231" t="str">
        <f>Suite&amp;" Electrical Room "&amp;SWTwo</f>
        <v>G104 Electrical Room XXX</v>
      </c>
      <c r="C264" s="183" t="str">
        <f>"UP"&amp;SWTwo</f>
        <v>UPXXX</v>
      </c>
      <c r="D264" s="233" t="str" cm="1">
        <f t="array" ref="D264">"VERIFY breaker MBUP"&amp;SWTwo&amp;" is carrying a portion of critical customer load using breaker mounted metering."</f>
        <v>VERIFY breaker MBUPXXX is carrying a portion of critical customer load using breaker mounted metering.</v>
      </c>
      <c r="E264" s="183" t="s">
        <v>1464</v>
      </c>
      <c r="F264" s="193"/>
      <c r="G264" s="193"/>
      <c r="H264" s="135"/>
      <c r="I264" s="135"/>
      <c r="J264" s="135"/>
    </row>
    <row r="265" spans="1:10" ht="37.5" x14ac:dyDescent="0.25">
      <c r="A265" s="200">
        <f t="shared" si="15"/>
        <v>438</v>
      </c>
      <c r="B265" s="231" t="str">
        <f>Suite&amp;" Electrical Room "&amp;SWTwo</f>
        <v>G104 Electrical Room XXX</v>
      </c>
      <c r="C265" s="183" t="str">
        <f>"UP"&amp;SWTwo</f>
        <v>UPXXX</v>
      </c>
      <c r="D265" s="233" t="str" cm="1">
        <f t="array" ref="D265">"NOTATE the kW reading at UP" &amp; SWTwo &amp; " Critical Bus Panel Meter: _________"</f>
        <v>NOTATE the kW reading at UPXXX Critical Bus Panel Meter: _________</v>
      </c>
      <c r="E265" s="183" t="s">
        <v>1464</v>
      </c>
      <c r="F265" s="193"/>
      <c r="G265" s="193"/>
      <c r="H265" s="135"/>
      <c r="I265" s="135"/>
      <c r="J265" s="135"/>
    </row>
    <row r="266" spans="1:10" ht="37.5" x14ac:dyDescent="0.25">
      <c r="A266" s="200">
        <f t="shared" si="15"/>
        <v>439</v>
      </c>
      <c r="B266" s="231" t="str">
        <f>Suite&amp;" Electrical Room "&amp;SWTwo</f>
        <v>G104 Electrical Room XXX</v>
      </c>
      <c r="C266" s="183" t="str">
        <f>"UP"&amp;SWTwo</f>
        <v>UPXXX</v>
      </c>
      <c r="D266" s="233" t="str">
        <f>"VERIFY the readings in step " &amp; A250 &amp; " and " &amp; A265 &amp; " are within 3% of each other. (new kW divided by original kW must be ≤1.03 and ≥0.97)."</f>
        <v>VERIFY the readings in step 423 and 438 are within 3% of each other. (new kW divided by original kW must be ≤1.03 and ≥0.97).</v>
      </c>
      <c r="E266" s="183" t="s">
        <v>1464</v>
      </c>
      <c r="F266" s="193"/>
      <c r="G266" s="193"/>
      <c r="H266" s="135"/>
      <c r="I266" s="135"/>
      <c r="J266" s="135"/>
    </row>
    <row r="267" spans="1:10" ht="37.5" x14ac:dyDescent="0.25">
      <c r="A267" s="200">
        <f t="shared" si="15"/>
        <v>440</v>
      </c>
      <c r="B267" s="231" t="str">
        <f>Suite&amp;" Electrical Room "&amp;SWTwo</f>
        <v>G104 Electrical Room XXX</v>
      </c>
      <c r="C267" s="183" t="s">
        <v>1566</v>
      </c>
      <c r="D267" s="233" t="s">
        <v>1607</v>
      </c>
      <c r="E267" s="183" t="s">
        <v>1464</v>
      </c>
      <c r="F267" s="193"/>
      <c r="G267" s="193"/>
      <c r="H267" s="135"/>
      <c r="I267" s="135"/>
      <c r="J267" s="135"/>
    </row>
    <row r="268" spans="1:10" ht="37.5" x14ac:dyDescent="0.25">
      <c r="A268" s="200">
        <f t="shared" si="15"/>
        <v>441</v>
      </c>
      <c r="B268" s="231" t="str">
        <f>Suite&amp;" Electrical Room "&amp;SWTwo</f>
        <v>G104 Electrical Room XXX</v>
      </c>
      <c r="C268" s="183" t="str">
        <f>"UP"&amp;SWTwo</f>
        <v>UPXXX</v>
      </c>
      <c r="D268" s="233" t="str" cm="1">
        <f t="array" ref="D268">"OPEN breaker MBUP"&amp;SWTwo&amp;"."</f>
        <v>OPEN breaker MBUPXXX.</v>
      </c>
      <c r="E268" s="183" t="s">
        <v>1464</v>
      </c>
      <c r="F268" s="193"/>
      <c r="G268" s="193"/>
      <c r="H268" s="135"/>
      <c r="I268" s="135"/>
      <c r="J268" s="135"/>
    </row>
    <row r="269" spans="1:10" ht="37.5" x14ac:dyDescent="0.25">
      <c r="A269" s="200">
        <f t="shared" si="15"/>
        <v>442</v>
      </c>
      <c r="B269" s="231" t="str">
        <f>Suite&amp;" Electrical Room "&amp;SWTwo</f>
        <v>G104 Electrical Room XXX</v>
      </c>
      <c r="C269" s="183" t="str">
        <f>"UP"&amp;SWTwo</f>
        <v>UPXXX</v>
      </c>
      <c r="D269" s="233" t="s">
        <v>1501</v>
      </c>
      <c r="E269" s="183" t="s">
        <v>1464</v>
      </c>
      <c r="F269" s="193"/>
      <c r="G269" s="193"/>
      <c r="H269" s="135"/>
      <c r="I269" s="135"/>
      <c r="J269" s="135"/>
    </row>
    <row r="270" spans="1:10" ht="37.5" x14ac:dyDescent="0.25">
      <c r="A270" s="200">
        <f t="shared" si="15"/>
        <v>443</v>
      </c>
      <c r="B270" s="231" t="str">
        <f>Suite&amp;" Electrical Room "&amp;SWTwo</f>
        <v>G104 Electrical Room XXX</v>
      </c>
      <c r="C270" s="183" t="str">
        <f>"UP"&amp;SWTwo</f>
        <v>UPXXX</v>
      </c>
      <c r="D270" s="186" t="str" cm="1">
        <f t="array" ref="D270">"VERIFY MBUP" &amp; SWTwo &amp; " breaker flag indicates OPEN."</f>
        <v>VERIFY MBUPXXX breaker flag indicates OPEN.</v>
      </c>
      <c r="E270" s="183" t="s">
        <v>1464</v>
      </c>
      <c r="F270" s="193"/>
      <c r="G270" s="193"/>
      <c r="H270" s="135"/>
      <c r="I270" s="135"/>
      <c r="J270" s="135"/>
    </row>
    <row r="271" spans="1:10" ht="37.5" x14ac:dyDescent="0.25">
      <c r="A271" s="200">
        <f t="shared" si="15"/>
        <v>444</v>
      </c>
      <c r="B271" s="231" t="str">
        <f>Suite&amp;" Electrical Room "&amp;SWTwo</f>
        <v>G104 Electrical Room XXX</v>
      </c>
      <c r="C271" s="183" t="str">
        <f>"UP"&amp;SWTwo</f>
        <v>UPXXX</v>
      </c>
      <c r="D271" s="233" t="str" cm="1">
        <f t="array" ref="D271">"NOTATE the kW reading at UP" &amp; SWTwo &amp; " Critical Bus Panel Meter: _________"</f>
        <v>NOTATE the kW reading at UPXXX Critical Bus Panel Meter: _________</v>
      </c>
      <c r="E271" s="183" t="s">
        <v>1464</v>
      </c>
      <c r="F271" s="193"/>
      <c r="G271" s="193"/>
      <c r="H271" s="135"/>
      <c r="I271" s="135"/>
      <c r="J271" s="135"/>
    </row>
    <row r="272" spans="1:10" ht="37.5" x14ac:dyDescent="0.25">
      <c r="A272" s="200">
        <f t="shared" si="15"/>
        <v>445</v>
      </c>
      <c r="B272" s="231" t="str">
        <f>Suite&amp;" Electrical Room "&amp;SWTwo</f>
        <v>G104 Electrical Room XXX</v>
      </c>
      <c r="C272" s="183" t="str">
        <f>"UP"&amp;SWTwo</f>
        <v>UPXXX</v>
      </c>
      <c r="D272" s="233" t="str">
        <f>"VERIFY the readings in step " &amp; A265 &amp; " and " &amp; A271 &amp; " are within 3% of each other. (new kW divided by original kW must be ≤1.03 and ≥0.97)."</f>
        <v>VERIFY the readings in step 438 and 444 are within 3% of each other. (new kW divided by original kW must be ≤1.03 and ≥0.97).</v>
      </c>
      <c r="E272" s="183" t="s">
        <v>1464</v>
      </c>
      <c r="F272" s="193"/>
      <c r="G272" s="193"/>
      <c r="H272" s="135"/>
      <c r="I272" s="135"/>
      <c r="J272" s="135"/>
    </row>
    <row r="273" spans="1:10" ht="37.5" x14ac:dyDescent="0.25">
      <c r="A273" s="200">
        <f t="shared" si="15"/>
        <v>446</v>
      </c>
      <c r="B273" s="231" t="str">
        <f>Suite&amp;" Electrical Room "&amp;SWTwo</f>
        <v>G104 Electrical Room XXX</v>
      </c>
      <c r="C273" s="183" t="s">
        <v>1566</v>
      </c>
      <c r="D273" s="233" t="s">
        <v>1608</v>
      </c>
      <c r="E273" s="183" t="s">
        <v>1464</v>
      </c>
      <c r="F273" s="193"/>
      <c r="G273" s="193"/>
      <c r="H273" s="135"/>
      <c r="I273" s="135"/>
      <c r="J273" s="135"/>
    </row>
    <row r="274" spans="1:10" ht="37.5" x14ac:dyDescent="0.25">
      <c r="A274" s="200">
        <f t="shared" si="15"/>
        <v>447</v>
      </c>
      <c r="B274" s="231" t="str">
        <f>Suite&amp;" Electrical Room "&amp;SWTwo</f>
        <v>G104 Electrical Room XXX</v>
      </c>
      <c r="C274" s="183" t="str">
        <f>"UP"&amp;SWTwo</f>
        <v>UPXXX</v>
      </c>
      <c r="D274" s="186" t="str" cm="1">
        <f t="array" ref="D274">"ROTATE the interlock key 90 degrees to LOCK the MBUP"&amp;SWTwo&amp;" breaker."</f>
        <v>ROTATE the interlock key 90 degrees to LOCK the MBUPXXX breaker.</v>
      </c>
      <c r="E274" s="183" t="s">
        <v>1464</v>
      </c>
      <c r="F274" s="193"/>
      <c r="G274" s="193"/>
      <c r="H274" s="135"/>
      <c r="I274" s="135"/>
      <c r="J274" s="135"/>
    </row>
    <row r="275" spans="1:10" ht="37.5" x14ac:dyDescent="0.25">
      <c r="A275" s="200">
        <f t="shared" si="15"/>
        <v>448</v>
      </c>
      <c r="B275" s="231" t="str">
        <f>Suite&amp;" Electrical Room "&amp;SWTwo</f>
        <v>G104 Electrical Room XXX</v>
      </c>
      <c r="C275" s="183" t="str">
        <f>"UP"&amp;SWTwo</f>
        <v>UPXXX</v>
      </c>
      <c r="D275" s="186" t="str" cm="1">
        <f t="array" ref="D275">"REMOVE the interlock key from the MBUP"&amp;SWTwo&amp;" breaker lock cylinder."</f>
        <v>REMOVE the interlock key from the MBUPXXX breaker lock cylinder.</v>
      </c>
      <c r="E275" s="183" t="s">
        <v>1464</v>
      </c>
      <c r="F275" s="193"/>
      <c r="G275" s="193"/>
      <c r="H275" s="135"/>
      <c r="I275" s="135"/>
      <c r="J275" s="135"/>
    </row>
    <row r="276" spans="1:10" ht="37.5" x14ac:dyDescent="0.25">
      <c r="A276" s="200">
        <f t="shared" si="15"/>
        <v>449</v>
      </c>
      <c r="B276" s="231" t="str">
        <f>Suite&amp;" Electrical Room "&amp;SWTwo</f>
        <v>G104 Electrical Room XXX</v>
      </c>
      <c r="C276" s="183" t="str">
        <f>"UP"&amp;SWTwo</f>
        <v>UPXXX</v>
      </c>
      <c r="D276" s="233" t="s">
        <v>1573</v>
      </c>
      <c r="E276" s="183" t="s">
        <v>1464</v>
      </c>
      <c r="F276" s="193"/>
      <c r="G276" s="193"/>
      <c r="H276" s="135"/>
      <c r="I276" s="135"/>
      <c r="J276" s="135"/>
    </row>
    <row r="277" spans="1:10" ht="37.5" x14ac:dyDescent="0.25">
      <c r="A277" s="200">
        <f t="shared" si="15"/>
        <v>450</v>
      </c>
      <c r="B277" s="231" t="str">
        <f>Suite&amp;" Electrical Room "&amp;SWTwo</f>
        <v>G104 Electrical Room XXX</v>
      </c>
      <c r="C277" s="183" t="str">
        <f>"UP"&amp;SWTwo</f>
        <v>UPXXX</v>
      </c>
      <c r="D277" s="186" t="s">
        <v>1574</v>
      </c>
      <c r="E277" s="183" t="s">
        <v>1464</v>
      </c>
      <c r="F277" s="193"/>
      <c r="G277" s="193"/>
      <c r="H277" s="135"/>
      <c r="I277" s="135"/>
      <c r="J277" s="135"/>
    </row>
    <row r="278" spans="1:10" ht="37.5" x14ac:dyDescent="0.25">
      <c r="A278" s="200">
        <f t="shared" si="15"/>
        <v>451</v>
      </c>
      <c r="B278" s="231" t="str">
        <f>Suite&amp;" Electrical Room "&amp;SWTwo</f>
        <v>G104 Electrical Room XXX</v>
      </c>
      <c r="C278" s="183" t="str">
        <f>"UP"&amp;SWTwo</f>
        <v>UPXXX</v>
      </c>
      <c r="D278" s="186" t="s">
        <v>1575</v>
      </c>
      <c r="E278" s="183" t="s">
        <v>1464</v>
      </c>
      <c r="F278" s="193"/>
      <c r="G278" s="193"/>
      <c r="H278" s="135"/>
      <c r="I278" s="135"/>
      <c r="J278" s="135"/>
    </row>
    <row r="279" spans="1:10" ht="37.5" x14ac:dyDescent="0.25">
      <c r="A279" s="200">
        <f t="shared" si="15"/>
        <v>452</v>
      </c>
      <c r="B279" s="231" t="str">
        <f>Suite&amp;" Electrical Room "&amp;SWTwo</f>
        <v>G104 Electrical Room XXX</v>
      </c>
      <c r="C279" s="183" t="str">
        <f>"UP"&amp;SWTwo</f>
        <v>UPXXX</v>
      </c>
      <c r="D279" s="186" t="s">
        <v>1510</v>
      </c>
      <c r="E279" s="183" t="s">
        <v>1464</v>
      </c>
      <c r="F279" s="193"/>
      <c r="G279" s="193"/>
      <c r="H279" s="135"/>
      <c r="I279" s="135"/>
      <c r="J279" s="135"/>
    </row>
    <row r="280" spans="1:10" x14ac:dyDescent="0.25">
      <c r="A280" s="200">
        <f t="shared" si="15"/>
        <v>453</v>
      </c>
      <c r="B280" s="711" t="str">
        <f>"Transfer UPS System "&amp;SWTwo&amp;" to Inverter Service"</f>
        <v>Transfer UPS System XXX to Inverter Service</v>
      </c>
      <c r="C280" s="711"/>
      <c r="D280" s="711"/>
      <c r="E280" s="711"/>
      <c r="F280" s="711"/>
      <c r="G280" s="711"/>
      <c r="H280" s="135"/>
      <c r="I280" s="135"/>
      <c r="J280" s="135"/>
    </row>
    <row r="281" spans="1:10" ht="37.5" x14ac:dyDescent="0.25">
      <c r="A281" s="200">
        <f t="shared" si="15"/>
        <v>454</v>
      </c>
      <c r="B281" s="231" t="str">
        <f>Suite&amp;" Electrical Room "&amp;SWTwo</f>
        <v>G104 Electrical Room XXX</v>
      </c>
      <c r="C281" s="183" t="str">
        <f>"UPS "&amp;SWTwo&amp;"1"</f>
        <v>UPS XXX1</v>
      </c>
      <c r="D281" s="233" t="str" cm="1">
        <f t="array" ref="D281">"TOUCH the UPS-" &amp; SWTwo &amp; "1 module graphic on the UPS display."</f>
        <v>TOUCH the UPS-XXX1 module graphic on the UPS display.</v>
      </c>
      <c r="E281" s="183" t="s">
        <v>1464</v>
      </c>
      <c r="F281" s="193"/>
      <c r="G281" s="193"/>
      <c r="H281" s="135"/>
      <c r="I281" s="135"/>
      <c r="J281" s="135"/>
    </row>
    <row r="282" spans="1:10" ht="37.5" x14ac:dyDescent="0.25">
      <c r="A282" s="200">
        <f t="shared" si="15"/>
        <v>455</v>
      </c>
      <c r="B282" s="231" t="str">
        <f>Suite&amp;" Electrical Room "&amp;SWTwo</f>
        <v>G104 Electrical Room XXX</v>
      </c>
      <c r="C282" s="183" t="str">
        <f>"UPS "&amp;SWTwo&amp;"1"</f>
        <v>UPS XXX1</v>
      </c>
      <c r="D282" s="233" t="s">
        <v>1560</v>
      </c>
      <c r="E282" s="183" t="s">
        <v>1464</v>
      </c>
      <c r="F282" s="193"/>
      <c r="G282" s="193"/>
      <c r="H282" s="135"/>
      <c r="I282" s="135"/>
      <c r="J282" s="135"/>
    </row>
    <row r="283" spans="1:10" ht="37.5" x14ac:dyDescent="0.25">
      <c r="A283" s="200">
        <f t="shared" si="15"/>
        <v>456</v>
      </c>
      <c r="B283" s="231" t="str">
        <f>Suite&amp;" Electrical Room "&amp;SWTwo</f>
        <v>G104 Electrical Room XXX</v>
      </c>
      <c r="C283" s="183" t="str">
        <f>"UPS "&amp;SWTwo&amp;"1"</f>
        <v>UPS XXX1</v>
      </c>
      <c r="D283" s="233" t="s">
        <v>1609</v>
      </c>
      <c r="E283" s="183" t="s">
        <v>1464</v>
      </c>
      <c r="F283" s="193"/>
      <c r="G283" s="193"/>
      <c r="H283" s="135"/>
      <c r="I283" s="135"/>
      <c r="J283" s="135"/>
    </row>
    <row r="284" spans="1:10" ht="37.5" x14ac:dyDescent="0.25">
      <c r="A284" s="200">
        <f t="shared" si="15"/>
        <v>457</v>
      </c>
      <c r="B284" s="231" t="str">
        <f>Suite&amp;" Electrical Room "&amp;SWTwo</f>
        <v>G104 Electrical Room XXX</v>
      </c>
      <c r="C284" s="183" t="str">
        <f>"UPS "&amp;SWTwo&amp;"1"</f>
        <v>UPS XXX1</v>
      </c>
      <c r="D284" s="233" t="s">
        <v>1610</v>
      </c>
      <c r="E284" s="183" t="s">
        <v>1464</v>
      </c>
      <c r="F284" s="193"/>
      <c r="G284" s="193"/>
      <c r="H284" s="135"/>
      <c r="I284" s="135"/>
      <c r="J284" s="135"/>
    </row>
    <row r="285" spans="1:10" ht="37.5" x14ac:dyDescent="0.25">
      <c r="A285" s="200">
        <f t="shared" si="15"/>
        <v>458</v>
      </c>
      <c r="B285" s="231" t="str">
        <f>Suite&amp;" Electrical Room "&amp;SWTwo</f>
        <v>G104 Electrical Room XXX</v>
      </c>
      <c r="C285" s="183" t="str">
        <f>"UPS "&amp;SWTwo</f>
        <v>UPS XXX</v>
      </c>
      <c r="D285" s="233" t="s">
        <v>1557</v>
      </c>
      <c r="E285" s="183" t="s">
        <v>1464</v>
      </c>
      <c r="F285" s="193"/>
      <c r="G285" s="193"/>
      <c r="H285" s="135"/>
      <c r="I285" s="135"/>
      <c r="J285" s="135"/>
    </row>
    <row r="286" spans="1:10" ht="37.5" x14ac:dyDescent="0.25">
      <c r="A286" s="200">
        <f t="shared" si="15"/>
        <v>459</v>
      </c>
      <c r="B286" s="231" t="str">
        <f>Suite&amp;" Electrical Room "&amp;SWTwo</f>
        <v>G104 Electrical Room XXX</v>
      </c>
      <c r="C286" s="183" t="str">
        <f>"UPS "&amp;SWTwo&amp;"1"</f>
        <v>UPS XXX1</v>
      </c>
      <c r="D286" s="233" t="s">
        <v>1611</v>
      </c>
      <c r="E286" s="183" t="s">
        <v>1464</v>
      </c>
      <c r="F286" s="193"/>
      <c r="G286" s="193"/>
      <c r="H286" s="135"/>
      <c r="I286" s="135"/>
      <c r="J286" s="135"/>
    </row>
    <row r="287" spans="1:10" ht="37.5" x14ac:dyDescent="0.25">
      <c r="A287" s="200">
        <f t="shared" si="15"/>
        <v>460</v>
      </c>
      <c r="B287" s="231" t="str">
        <f>Suite&amp;" Electrical Room "&amp;SWTwo</f>
        <v>G104 Electrical Room XXX</v>
      </c>
      <c r="C287" s="183" t="str">
        <f>"UPS "&amp;SWTwo&amp;"2"</f>
        <v>UPS XXX2</v>
      </c>
      <c r="D287" s="233" t="s">
        <v>1611</v>
      </c>
      <c r="E287" s="183" t="s">
        <v>1464</v>
      </c>
      <c r="F287" s="193"/>
      <c r="G287" s="193"/>
      <c r="H287" s="135"/>
      <c r="I287" s="135"/>
      <c r="J287" s="135"/>
    </row>
    <row r="288" spans="1:10" ht="37.5" x14ac:dyDescent="0.25">
      <c r="A288" s="200">
        <f t="shared" si="15"/>
        <v>461</v>
      </c>
      <c r="B288" s="231" t="str">
        <f>Suite&amp;" Electrical Room "&amp;SWTwo</f>
        <v>G104 Electrical Room XXX</v>
      </c>
      <c r="C288" s="183" t="s">
        <v>1566</v>
      </c>
      <c r="D288" s="233" t="s">
        <v>1612</v>
      </c>
      <c r="E288" s="183" t="s">
        <v>1464</v>
      </c>
      <c r="F288" s="193"/>
      <c r="G288" s="193"/>
      <c r="H288" s="135"/>
      <c r="I288" s="135"/>
      <c r="J288" s="135"/>
    </row>
    <row r="289" spans="1:10" ht="37.5" x14ac:dyDescent="0.25">
      <c r="A289" s="200">
        <f t="shared" si="15"/>
        <v>462</v>
      </c>
      <c r="B289" s="231" t="str">
        <f>Suite&amp;" Electrical Room "&amp;SWTwo</f>
        <v>G104 Electrical Room XXX</v>
      </c>
      <c r="C289" s="183" t="str">
        <f>"UP"&amp;SWTwo</f>
        <v>UPXXX</v>
      </c>
      <c r="D289" s="233" t="str" cm="1">
        <f t="array" ref="D289">"NOTATE the kW reading at UP" &amp; SWTwo &amp; " Critical Bus Panel Meter: _________"</f>
        <v>NOTATE the kW reading at UPXXX Critical Bus Panel Meter: _________</v>
      </c>
      <c r="E289" s="183" t="s">
        <v>1464</v>
      </c>
      <c r="F289" s="193"/>
      <c r="G289" s="193"/>
      <c r="H289" s="135"/>
      <c r="I289" s="135"/>
      <c r="J289" s="135"/>
    </row>
    <row r="290" spans="1:10" ht="37.5" x14ac:dyDescent="0.25">
      <c r="A290" s="200">
        <f t="shared" si="15"/>
        <v>463</v>
      </c>
      <c r="B290" s="231" t="str">
        <f>Suite&amp;" Electrical Room "&amp;SWTwo</f>
        <v>G104 Electrical Room XXX</v>
      </c>
      <c r="C290" s="183" t="str">
        <f>"UP"&amp;SWTwo</f>
        <v>UPXXX</v>
      </c>
      <c r="D290" s="233" t="str">
        <f>"VERIFY the readings in step " &amp; A271 &amp; " and " &amp; A289 &amp; " are within 3% of each other. (new kW divided by original kW must be ≤1.03 and ≥0.97)."</f>
        <v>VERIFY the readings in step 444 and 462 are within 3% of each other. (new kW divided by original kW must be ≤1.03 and ≥0.97).</v>
      </c>
      <c r="E290" s="183" t="s">
        <v>1464</v>
      </c>
      <c r="F290" s="193"/>
      <c r="G290" s="193"/>
      <c r="H290" s="165"/>
      <c r="I290" s="165"/>
      <c r="J290" s="165"/>
    </row>
    <row r="291" spans="1:10" ht="37.5" x14ac:dyDescent="0.25">
      <c r="A291" s="200">
        <f t="shared" si="15"/>
        <v>464</v>
      </c>
      <c r="B291" s="183" t="s">
        <v>1462</v>
      </c>
      <c r="C291" s="183" t="s">
        <v>84</v>
      </c>
      <c r="D291" s="252" t="str">
        <f>"Contact the engineer stationed on base to verify no abnormal conditions exist on the suite " &amp; Suite &amp; " electrical systems."</f>
        <v>Contact the engineer stationed on base to verify no abnormal conditions exist on the suite G104 electrical systems.</v>
      </c>
      <c r="E291" s="183" t="s">
        <v>1464</v>
      </c>
      <c r="F291" s="193"/>
      <c r="G291" s="193"/>
      <c r="H291" s="165"/>
      <c r="I291" s="165"/>
      <c r="J291" s="165"/>
    </row>
    <row r="292" spans="1:10" x14ac:dyDescent="0.3">
      <c r="A292" s="253"/>
    </row>
    <row r="304" spans="1:10" x14ac:dyDescent="0.3">
      <c r="A304" s="255"/>
    </row>
    <row r="305" spans="1:1" x14ac:dyDescent="0.3">
      <c r="A305" s="255"/>
    </row>
    <row r="306" spans="1:1" x14ac:dyDescent="0.3">
      <c r="A306" s="255"/>
    </row>
    <row r="307" spans="1:1" x14ac:dyDescent="0.3">
      <c r="A307" s="255"/>
    </row>
    <row r="308" spans="1:1" x14ac:dyDescent="0.3">
      <c r="A308" s="255"/>
    </row>
    <row r="309" spans="1:1" x14ac:dyDescent="0.3">
      <c r="A309" s="255"/>
    </row>
    <row r="310" spans="1:1" x14ac:dyDescent="0.3">
      <c r="A310" s="255"/>
    </row>
    <row r="311" spans="1:1" x14ac:dyDescent="0.3">
      <c r="A311" s="255"/>
    </row>
  </sheetData>
  <sheetProtection formatCells="0" formatColumns="0" formatRows="0" insertRows="0" deleteRows="0" sort="0" autoFilter="0"/>
  <mergeCells count="12">
    <mergeCell ref="A2:B2"/>
    <mergeCell ref="C2:G2"/>
    <mergeCell ref="B280:G280"/>
    <mergeCell ref="A4:C4"/>
    <mergeCell ref="B6:G6"/>
    <mergeCell ref="B8:G8"/>
    <mergeCell ref="B16:G16"/>
    <mergeCell ref="B18:G18"/>
    <mergeCell ref="B31:G31"/>
    <mergeCell ref="B58:G58"/>
    <mergeCell ref="B142:G142"/>
    <mergeCell ref="B249:G24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ED1A9-FFF0-43FE-9F83-A36C2C94622F}">
  <sheetPr codeName="APC_C">
    <pageSetUpPr fitToPage="1"/>
  </sheetPr>
  <dimension ref="A1:O311"/>
  <sheetViews>
    <sheetView view="pageBreakPreview" zoomScale="90" zoomScaleNormal="100" zoomScaleSheetLayoutView="90" workbookViewId="0">
      <selection activeCell="A12" sqref="A12:A15"/>
    </sheetView>
  </sheetViews>
  <sheetFormatPr defaultColWidth="8.7109375" defaultRowHeight="18.75" x14ac:dyDescent="0.3"/>
  <cols>
    <col min="1" max="1" width="6.85546875" style="254" customWidth="1"/>
    <col min="2" max="2" width="19.5703125" style="254" customWidth="1"/>
    <col min="3" max="3" width="15.42578125" style="254" customWidth="1"/>
    <col min="4" max="4" width="87.42578125" style="254" customWidth="1"/>
    <col min="5" max="5" width="22.140625" style="254" bestFit="1" customWidth="1"/>
    <col min="6" max="6" width="13.85546875" style="254" bestFit="1" customWidth="1"/>
    <col min="7" max="7" width="10.42578125" style="254" customWidth="1"/>
    <col min="8" max="8" width="7" style="25" customWidth="1"/>
    <col min="9" max="9" width="8" style="25" customWidth="1"/>
    <col min="10" max="10" width="72.28515625" style="25" customWidth="1"/>
    <col min="11" max="16384" width="8.7109375" style="25"/>
  </cols>
  <sheetData>
    <row r="1" spans="1:11" customFormat="1" x14ac:dyDescent="0.25">
      <c r="A1" s="172" t="s">
        <v>1454</v>
      </c>
      <c r="B1" s="172"/>
      <c r="C1" s="173"/>
      <c r="D1" s="173"/>
      <c r="E1" s="173"/>
      <c r="F1" s="173"/>
      <c r="G1" s="173"/>
    </row>
    <row r="2" spans="1:11" customFormat="1" ht="18.75" customHeight="1" x14ac:dyDescent="0.25">
      <c r="A2" s="705" t="s">
        <v>42</v>
      </c>
      <c r="B2" s="705"/>
      <c r="C2" s="708" t="str">
        <f>zTaskName</f>
        <v>Routine Generator run with no load transfer</v>
      </c>
      <c r="D2" s="709"/>
      <c r="E2" s="709"/>
      <c r="F2" s="709"/>
      <c r="G2" s="710"/>
    </row>
    <row r="3" spans="1:11" customFormat="1" ht="9.9499999999999993" customHeight="1" x14ac:dyDescent="0.25">
      <c r="A3" s="459"/>
      <c r="B3" s="460"/>
      <c r="C3" s="461"/>
      <c r="D3" s="461"/>
      <c r="E3" s="461"/>
      <c r="F3" s="461"/>
      <c r="G3" s="462"/>
    </row>
    <row r="4" spans="1:11" customFormat="1" ht="9.9499999999999993" customHeight="1" x14ac:dyDescent="0.25">
      <c r="A4" s="706"/>
      <c r="B4" s="707"/>
      <c r="C4" s="707"/>
      <c r="D4" s="382"/>
      <c r="E4" s="382"/>
      <c r="F4" s="382"/>
      <c r="G4" s="383"/>
      <c r="H4" s="3"/>
      <c r="I4" s="3"/>
    </row>
    <row r="5" spans="1:11" customFormat="1" ht="37.5" x14ac:dyDescent="0.25">
      <c r="A5" s="421" t="s">
        <v>1455</v>
      </c>
      <c r="B5" s="516" t="s">
        <v>8</v>
      </c>
      <c r="C5" s="516" t="s">
        <v>1456</v>
      </c>
      <c r="D5" s="421" t="s">
        <v>1457</v>
      </c>
      <c r="E5" s="516" t="s">
        <v>1458</v>
      </c>
      <c r="F5" s="516" t="s">
        <v>1459</v>
      </c>
      <c r="G5" s="421" t="s">
        <v>1460</v>
      </c>
    </row>
    <row r="6" spans="1:11" customFormat="1" x14ac:dyDescent="0.25">
      <c r="A6" s="200">
        <f>'APC-B'!A291+1</f>
        <v>465</v>
      </c>
      <c r="B6" s="712" t="s">
        <v>1461</v>
      </c>
      <c r="C6" s="712"/>
      <c r="D6" s="712"/>
      <c r="E6" s="712"/>
      <c r="F6" s="712"/>
      <c r="G6" s="712"/>
      <c r="H6" s="135"/>
      <c r="I6" s="135"/>
      <c r="J6" s="135"/>
    </row>
    <row r="7" spans="1:11" customFormat="1" ht="37.5" x14ac:dyDescent="0.25">
      <c r="A7" s="200">
        <f>A6+1</f>
        <v>466</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c r="H7" s="135"/>
      <c r="I7" s="135"/>
      <c r="J7" s="135"/>
    </row>
    <row r="8" spans="1:11" customFormat="1" x14ac:dyDescent="0.25">
      <c r="A8" s="200">
        <f>A7+1</f>
        <v>467</v>
      </c>
      <c r="B8" s="713" t="s">
        <v>1465</v>
      </c>
      <c r="C8" s="713"/>
      <c r="D8" s="713"/>
      <c r="E8" s="713"/>
      <c r="F8" s="713"/>
      <c r="G8" s="713"/>
      <c r="H8" s="135"/>
      <c r="I8" s="135"/>
      <c r="J8" s="135"/>
    </row>
    <row r="9" spans="1:11" customFormat="1" ht="37.5" x14ac:dyDescent="0.25">
      <c r="A9" s="200">
        <f>A8+1</f>
        <v>468</v>
      </c>
      <c r="B9" s="231" t="str">
        <f>Suite&amp;" Electrical Rooms"</f>
        <v>G104 Electrical Rooms</v>
      </c>
      <c r="C9" s="183" t="str">
        <f>Suite&amp;" UPS Systems"</f>
        <v>G104 UPS Systems</v>
      </c>
      <c r="D9" s="252" t="str">
        <f>"VERIFY all "&amp;Suite&amp;" UPS systems are on-line with no critical alarms present."</f>
        <v>VERIFY all G104 UPS systems are on-line with no critical alarms present.</v>
      </c>
      <c r="E9" s="183" t="s">
        <v>1464</v>
      </c>
      <c r="F9" s="193"/>
      <c r="G9" s="193"/>
      <c r="H9" s="135"/>
      <c r="I9" s="135"/>
      <c r="J9" s="135"/>
    </row>
    <row r="10" spans="1:11" customFormat="1" ht="37.5" x14ac:dyDescent="0.25">
      <c r="A10" s="200">
        <f>A9+1</f>
        <v>469</v>
      </c>
      <c r="B10" s="231" t="str">
        <f>Suite&amp;" Electrical Room "&amp;SWThree</f>
        <v>G104 Electrical Room XXX</v>
      </c>
      <c r="C10" s="183" t="str">
        <f>"UPS "&amp;SWThree&amp;"1"</f>
        <v>UPS XXX1</v>
      </c>
      <c r="D10" s="252" t="str" cm="1">
        <f t="array" ref="D10">"NOTATE the output kW reading at UPS-" &amp; SWThree &amp; "1:  ___________"</f>
        <v>NOTATE the output kW reading at UPS-XXX1:  ___________</v>
      </c>
      <c r="E10" s="183" t="s">
        <v>1464</v>
      </c>
      <c r="F10" s="193"/>
      <c r="G10" s="193"/>
      <c r="H10" s="135"/>
      <c r="I10" s="135"/>
      <c r="J10" s="135"/>
    </row>
    <row r="11" spans="1:11" customFormat="1" ht="37.5" x14ac:dyDescent="0.25">
      <c r="A11" s="200">
        <f t="shared" ref="A11:A16" si="0">A10+1</f>
        <v>470</v>
      </c>
      <c r="B11" s="231" t="str">
        <f>Suite&amp;" Electrical Room "&amp;SWThree</f>
        <v>G104 Electrical Room XXX</v>
      </c>
      <c r="C11" s="183" t="str">
        <f>"UPS "&amp;SWThree&amp;"2"</f>
        <v>UPS XXX2</v>
      </c>
      <c r="D11" s="252" t="str" cm="1">
        <f t="array" ref="D11">"NOTATE the output kW reading at UPS-" &amp; SWThree &amp; "2:  ___________"</f>
        <v>NOTATE the output kW reading at UPS-XXX2:  ___________</v>
      </c>
      <c r="E11" s="183" t="s">
        <v>1464</v>
      </c>
      <c r="F11" s="193"/>
      <c r="G11" s="193"/>
      <c r="H11" s="135"/>
      <c r="I11" s="135"/>
      <c r="J11" s="135"/>
    </row>
    <row r="12" spans="1:11" customFormat="1" ht="37.5" x14ac:dyDescent="0.25">
      <c r="A12" s="200">
        <f t="shared" si="0"/>
        <v>471</v>
      </c>
      <c r="B12" s="231" t="str">
        <f>Suite&amp;" Electrical Room "&amp;SWThree</f>
        <v>G104 Electrical Room XXX</v>
      </c>
      <c r="C12" s="183" t="str">
        <f>"UP"&amp;SWThree</f>
        <v>UPXXX</v>
      </c>
      <c r="D12" s="252" t="str" cm="1">
        <f t="array" ref="D12">"NOTATE the kW reading at UP" &amp; SWThree &amp; " Critical Bus Panel Meter: _________"</f>
        <v>NOTATE the kW reading at UPXXX Critical Bus Panel Meter: _________</v>
      </c>
      <c r="E12" s="183" t="s">
        <v>1464</v>
      </c>
      <c r="F12" s="193"/>
      <c r="G12" s="193"/>
      <c r="H12" s="135"/>
      <c r="I12" s="135"/>
      <c r="J12" s="135"/>
    </row>
    <row r="13" spans="1:11" customFormat="1" ht="56.25" x14ac:dyDescent="0.25">
      <c r="A13" s="200">
        <f t="shared" si="0"/>
        <v>472</v>
      </c>
      <c r="B13" s="500" t="str" cm="1">
        <f t="array" ref="B13">Suite &amp; " Electrical Rooms"</f>
        <v>G104 Electrical Rooms</v>
      </c>
      <c r="C13" s="499" t="str" cm="1">
        <f t="array" ref="C13">Suite &amp; " UPS System"</f>
        <v>G104 UPS System</v>
      </c>
      <c r="D13" s="190" t="s">
        <v>4621</v>
      </c>
      <c r="E13" s="499" t="s">
        <v>1464</v>
      </c>
      <c r="F13" s="500"/>
      <c r="G13" s="519"/>
      <c r="K13" s="4"/>
    </row>
    <row r="14" spans="1:11" customFormat="1" ht="37.5" x14ac:dyDescent="0.25">
      <c r="A14" s="200">
        <f t="shared" si="0"/>
        <v>473</v>
      </c>
      <c r="B14" s="500" t="str" cm="1">
        <f t="array" ref="B14">Suite &amp; " Electrical Rooms"</f>
        <v>G104 Electrical Rooms</v>
      </c>
      <c r="C14" s="499" t="str" cm="1">
        <f t="array" ref="C14">Suite &amp; " UPS System"</f>
        <v>G104 UPS System</v>
      </c>
      <c r="D14" s="191" t="str" cm="1">
        <f t="array" ref="D14">"Verify output kW readings on all UPS modules do not exceed " &amp; ROUNDDOWN(IF(POD="DR", (NumberOfSW-1)/NumberOfSW, 0.5)*(UPSkW), 0) &amp; " kW."</f>
        <v>Verify output kW readings on all UPS modules do not exceed 281 kW.</v>
      </c>
      <c r="E14" s="499" t="s">
        <v>1464</v>
      </c>
      <c r="F14" s="500"/>
      <c r="G14" s="519"/>
    </row>
    <row r="15" spans="1:11" customFormat="1" ht="37.5" x14ac:dyDescent="0.25">
      <c r="A15" s="200">
        <f t="shared" si="0"/>
        <v>474</v>
      </c>
      <c r="B15" s="231" t="str">
        <f>Suite&amp;" Electrical Rooms"</f>
        <v>G104 Electrical Rooms</v>
      </c>
      <c r="C15" s="183" t="str">
        <f>Suite&amp;" UPS Systems"</f>
        <v>G104 UPS Systems</v>
      </c>
      <c r="D15" s="184" t="s">
        <v>1559</v>
      </c>
      <c r="E15" s="183" t="s">
        <v>1464</v>
      </c>
      <c r="F15" s="193"/>
      <c r="G15" s="193"/>
      <c r="H15" s="135"/>
      <c r="I15" s="135"/>
      <c r="J15" s="135"/>
    </row>
    <row r="16" spans="1:11" customFormat="1" x14ac:dyDescent="0.25">
      <c r="A16" s="200">
        <f t="shared" si="0"/>
        <v>475</v>
      </c>
      <c r="B16" s="713" t="str">
        <f>"Prepare UP"&amp;SWThree&amp;" for Transfer to Maintenance Bypass"</f>
        <v>Prepare UPXXX for Transfer to Maintenance Bypass</v>
      </c>
      <c r="C16" s="713"/>
      <c r="D16" s="713"/>
      <c r="E16" s="713"/>
      <c r="F16" s="713"/>
      <c r="G16" s="713"/>
      <c r="H16" s="135"/>
      <c r="I16" s="135"/>
      <c r="J16" s="135"/>
    </row>
    <row r="17" spans="1:10" customFormat="1" ht="37.5" x14ac:dyDescent="0.25">
      <c r="A17" s="200">
        <f>A16+1</f>
        <v>476</v>
      </c>
      <c r="B17" s="231" t="str">
        <f>Suite&amp;" Electrical Room "&amp;SWThree</f>
        <v>G104 Electrical Room XXX</v>
      </c>
      <c r="C17" s="183" t="str">
        <f>"UP"&amp;SWThree</f>
        <v>UPXXX</v>
      </c>
      <c r="D17" s="233" t="str" cm="1">
        <f t="array" ref="D17">"Pump the MBUP" &amp; SWThree &amp; " breaker charging handle repeatedly to compress the charging spring and charge the breaker."</f>
        <v>Pump the MBUPXXX breaker charging handle repeatedly to compress the charging spring and charge the breaker.</v>
      </c>
      <c r="E17" s="183" t="s">
        <v>1464</v>
      </c>
      <c r="F17" s="193"/>
      <c r="G17" s="193"/>
      <c r="H17" s="135"/>
      <c r="I17" s="135"/>
      <c r="J17" s="135"/>
    </row>
    <row r="18" spans="1:10" customFormat="1" x14ac:dyDescent="0.25">
      <c r="A18" s="200">
        <f>A17+1</f>
        <v>477</v>
      </c>
      <c r="B18" s="711" t="str">
        <f>"Transfer UPS System "&amp;SWThree&amp;" to Static Bypass"</f>
        <v>Transfer UPS System XXX to Static Bypass</v>
      </c>
      <c r="C18" s="711"/>
      <c r="D18" s="711"/>
      <c r="E18" s="711"/>
      <c r="F18" s="711"/>
      <c r="G18" s="711"/>
      <c r="H18" s="135"/>
      <c r="I18" s="135"/>
      <c r="J18" s="135"/>
    </row>
    <row r="19" spans="1:10" customFormat="1" ht="37.5" x14ac:dyDescent="0.25">
      <c r="A19" s="200">
        <f>A18+1</f>
        <v>478</v>
      </c>
      <c r="B19" s="231" t="str">
        <f>Suite&amp;" Electrical Room "&amp;SWThree</f>
        <v>G104 Electrical Room XXX</v>
      </c>
      <c r="C19" s="183" t="str">
        <f>"UPS "&amp;SWThree&amp;"1"</f>
        <v>UPS XXX1</v>
      </c>
      <c r="D19" s="233" t="str" cm="1">
        <f t="array" ref="D19">"TOUCH the UPS-" &amp; SWThree &amp; "1 module graphic on the UPS display."</f>
        <v>TOUCH the UPS-XXX1 module graphic on the UPS display.</v>
      </c>
      <c r="E19" s="183" t="s">
        <v>1464</v>
      </c>
      <c r="F19" s="193"/>
      <c r="G19" s="193"/>
      <c r="H19" s="135"/>
      <c r="I19" s="135"/>
      <c r="J19" s="135"/>
    </row>
    <row r="20" spans="1:10" customFormat="1" ht="37.5" x14ac:dyDescent="0.25">
      <c r="A20" s="200">
        <f t="shared" ref="A20:A77" si="1">A19+1</f>
        <v>479</v>
      </c>
      <c r="B20" s="231" t="str">
        <f>Suite&amp;" Electrical Room "&amp;SWThree</f>
        <v>G104 Electrical Room XXX</v>
      </c>
      <c r="C20" s="183" t="str">
        <f>"UPS "&amp;SWThree&amp;"1"</f>
        <v>UPS XXX1</v>
      </c>
      <c r="D20" s="233" t="s">
        <v>1560</v>
      </c>
      <c r="E20" s="183" t="s">
        <v>1464</v>
      </c>
      <c r="F20" s="193"/>
      <c r="G20" s="193"/>
      <c r="H20" s="135"/>
      <c r="I20" s="135"/>
      <c r="J20" s="135"/>
    </row>
    <row r="21" spans="1:10" customFormat="1" ht="37.5" x14ac:dyDescent="0.25">
      <c r="A21" s="200">
        <f t="shared" si="1"/>
        <v>480</v>
      </c>
      <c r="B21" s="231" t="str">
        <f>Suite&amp;" Electrical Room "&amp;SWThree</f>
        <v>G104 Electrical Room XXX</v>
      </c>
      <c r="C21" s="183" t="str">
        <f>"UPS "&amp;SWThree&amp;"1"</f>
        <v>UPS XXX1</v>
      </c>
      <c r="D21" s="233" t="s">
        <v>1561</v>
      </c>
      <c r="E21" s="183" t="s">
        <v>1464</v>
      </c>
      <c r="F21" s="193"/>
      <c r="G21" s="193"/>
      <c r="H21" s="135"/>
      <c r="I21" s="135"/>
      <c r="J21" s="135"/>
    </row>
    <row r="22" spans="1:10" customFormat="1" ht="37.5" x14ac:dyDescent="0.25">
      <c r="A22" s="200">
        <f t="shared" si="1"/>
        <v>481</v>
      </c>
      <c r="B22" s="231" t="str">
        <f>Suite&amp;" Electrical Room "&amp;SWThree</f>
        <v>G104 Electrical Room XXX</v>
      </c>
      <c r="C22" s="183" t="str">
        <f>"UPS "&amp;SWThree&amp;"1"</f>
        <v>UPS XXX1</v>
      </c>
      <c r="D22" s="233" t="s">
        <v>1562</v>
      </c>
      <c r="E22" s="183" t="s">
        <v>1464</v>
      </c>
      <c r="F22" s="193"/>
      <c r="G22" s="193"/>
      <c r="H22" s="135"/>
      <c r="I22" s="135"/>
      <c r="J22" s="135"/>
    </row>
    <row r="23" spans="1:10" customFormat="1" ht="37.5" x14ac:dyDescent="0.25">
      <c r="A23" s="200">
        <f t="shared" si="1"/>
        <v>482</v>
      </c>
      <c r="B23" s="231" t="str">
        <f>Suite&amp;" Electrical Room "&amp;SWThree</f>
        <v>G104 Electrical Room XXX</v>
      </c>
      <c r="C23" s="183" t="str">
        <f>"UPS "&amp;SWThree&amp;"1"</f>
        <v>UPS XXX1</v>
      </c>
      <c r="D23" s="233" t="s">
        <v>1563</v>
      </c>
      <c r="E23" s="183" t="s">
        <v>1464</v>
      </c>
      <c r="F23" s="193"/>
      <c r="G23" s="193"/>
      <c r="H23" s="135"/>
      <c r="I23" s="135"/>
      <c r="J23" s="135"/>
    </row>
    <row r="24" spans="1:10" customFormat="1" ht="37.5" x14ac:dyDescent="0.25">
      <c r="A24" s="200">
        <f t="shared" si="1"/>
        <v>483</v>
      </c>
      <c r="B24" s="231" t="str">
        <f>Suite&amp;" Electrical Room "&amp;SWThree</f>
        <v>G104 Electrical Room XXX</v>
      </c>
      <c r="C24" s="183" t="str">
        <f>"UPS "&amp;SWThree&amp;"1"</f>
        <v>UPS XXX1</v>
      </c>
      <c r="D24" s="233" t="s">
        <v>1564</v>
      </c>
      <c r="E24" s="183" t="s">
        <v>1464</v>
      </c>
      <c r="F24" s="193"/>
      <c r="G24" s="193"/>
      <c r="H24" s="135"/>
      <c r="I24" s="135"/>
      <c r="J24" s="135"/>
    </row>
    <row r="25" spans="1:10" customFormat="1" ht="37.5" x14ac:dyDescent="0.25">
      <c r="A25" s="200">
        <f t="shared" si="1"/>
        <v>484</v>
      </c>
      <c r="B25" s="231" t="str">
        <f>Suite&amp;" Electrical Room "&amp;SWThree</f>
        <v>G104 Electrical Room XXX</v>
      </c>
      <c r="C25" s="183" t="str">
        <f>"UPS "&amp;SWThree&amp;"1"</f>
        <v>UPS XXX1</v>
      </c>
      <c r="D25" s="233" t="s">
        <v>1565</v>
      </c>
      <c r="E25" s="183" t="s">
        <v>1464</v>
      </c>
      <c r="F25" s="193"/>
      <c r="G25" s="193"/>
      <c r="H25" s="135"/>
      <c r="I25" s="135"/>
      <c r="J25" s="135"/>
    </row>
    <row r="26" spans="1:10" customFormat="1" ht="37.5" x14ac:dyDescent="0.25">
      <c r="A26" s="200">
        <f t="shared" si="1"/>
        <v>485</v>
      </c>
      <c r="B26" s="231" t="str">
        <f>Suite&amp;" Electrical Room "&amp;SWThree</f>
        <v>G104 Electrical Room XXX</v>
      </c>
      <c r="C26" s="183" t="str">
        <f>"UPS "&amp;SWThree&amp;"1 &amp; "&amp;SWThree&amp;"2"</f>
        <v>UPS XXX1 &amp; XXX2</v>
      </c>
      <c r="D26" s="233" t="str" cm="1">
        <f t="array" ref="D26">"UPS-" &amp; SWThree &amp; "1 and UPS-" &amp; SWThree &amp; "2 will transfer to Static Bypass."</f>
        <v>UPS-XXX1 and UPS-XXX2 will transfer to Static Bypass.</v>
      </c>
      <c r="E26" s="183" t="s">
        <v>1464</v>
      </c>
      <c r="F26" s="193"/>
      <c r="G26" s="193"/>
      <c r="H26" s="135"/>
      <c r="I26" s="135"/>
      <c r="J26" s="135"/>
    </row>
    <row r="27" spans="1:10" customFormat="1" ht="37.5" x14ac:dyDescent="0.25">
      <c r="A27" s="200">
        <f t="shared" si="1"/>
        <v>486</v>
      </c>
      <c r="B27" s="231" t="str">
        <f>Suite&amp;" Electrical Room "&amp;SWThree</f>
        <v>G104 Electrical Room XXX</v>
      </c>
      <c r="C27" s="183" t="str">
        <f>"UPS "&amp;SWThree</f>
        <v>UPS XXX</v>
      </c>
      <c r="D27" s="233" t="s">
        <v>1501</v>
      </c>
      <c r="E27" s="183" t="s">
        <v>1464</v>
      </c>
      <c r="F27" s="193"/>
      <c r="G27" s="193"/>
      <c r="H27" s="135"/>
      <c r="I27" s="135"/>
      <c r="J27" s="135"/>
    </row>
    <row r="28" spans="1:10" customFormat="1" ht="37.5" x14ac:dyDescent="0.25">
      <c r="A28" s="200">
        <f t="shared" si="1"/>
        <v>487</v>
      </c>
      <c r="B28" s="231" t="str">
        <f>Suite&amp;" Electrical Room "&amp;SWThree</f>
        <v>G104 Electrical Room XXX</v>
      </c>
      <c r="C28" s="183" t="s">
        <v>1566</v>
      </c>
      <c r="D28" s="186" t="s">
        <v>1567</v>
      </c>
      <c r="E28" s="183" t="s">
        <v>1464</v>
      </c>
      <c r="F28" s="193"/>
      <c r="G28" s="193"/>
      <c r="H28" s="135"/>
      <c r="I28" s="135"/>
      <c r="J28" s="135"/>
    </row>
    <row r="29" spans="1:10" customFormat="1" ht="37.5" x14ac:dyDescent="0.25">
      <c r="A29" s="200">
        <f t="shared" si="1"/>
        <v>488</v>
      </c>
      <c r="B29" s="231" t="str">
        <f>Suite&amp;" Electrical Room "&amp;SWThree</f>
        <v>G104 Electrical Room XXX</v>
      </c>
      <c r="C29" s="183" t="str">
        <f>"UP"&amp;SWThree</f>
        <v>UPXXX</v>
      </c>
      <c r="D29" s="233" t="str" cm="1">
        <f t="array" ref="D29">"NOTATE the kW reading at UP" &amp; SWThree &amp; " Critical Bus Panel Meter: _________"</f>
        <v>NOTATE the kW reading at UPXXX Critical Bus Panel Meter: _________</v>
      </c>
      <c r="E29" s="183" t="s">
        <v>1464</v>
      </c>
      <c r="F29" s="193"/>
      <c r="G29" s="193"/>
      <c r="H29" s="135"/>
      <c r="I29" s="135"/>
      <c r="J29" s="135"/>
    </row>
    <row r="30" spans="1:10" customFormat="1" ht="37.5" x14ac:dyDescent="0.25">
      <c r="A30" s="200">
        <f t="shared" si="1"/>
        <v>489</v>
      </c>
      <c r="B30" s="231" t="str">
        <f>Suite&amp;" Electrical Room "&amp;SWThree</f>
        <v>G104 Electrical Room XXX</v>
      </c>
      <c r="C30" s="183" t="str">
        <f>"UP"&amp;SWThree</f>
        <v>UPXXX</v>
      </c>
      <c r="D30" s="233" t="str">
        <f>"VERIFY the readings in step " &amp; A12 &amp; " and " &amp; A29 &amp; " are within 3% of each other. (new kW divided by original kW must be ≤1.03 and ≥0.97)."</f>
        <v>VERIFY the readings in step 471 and 488 are within 3% of each other. (new kW divided by original kW must be ≤1.03 and ≥0.97).</v>
      </c>
      <c r="E30" s="183" t="s">
        <v>1464</v>
      </c>
      <c r="F30" s="193"/>
      <c r="G30" s="193"/>
      <c r="H30" s="135"/>
      <c r="I30" s="135"/>
      <c r="J30" s="135"/>
    </row>
    <row r="31" spans="1:10" customFormat="1" x14ac:dyDescent="0.25">
      <c r="A31" s="200">
        <f t="shared" si="1"/>
        <v>490</v>
      </c>
      <c r="B31" s="711" t="s">
        <v>1502</v>
      </c>
      <c r="C31" s="711"/>
      <c r="D31" s="711"/>
      <c r="E31" s="711"/>
      <c r="F31" s="711"/>
      <c r="G31" s="711"/>
      <c r="H31" s="135"/>
      <c r="I31" s="135"/>
      <c r="J31" s="135"/>
    </row>
    <row r="32" spans="1:10" customFormat="1" ht="37.5" x14ac:dyDescent="0.25">
      <c r="A32" s="200">
        <f t="shared" si="1"/>
        <v>491</v>
      </c>
      <c r="B32" s="231" t="str">
        <f>Suite&amp;" Electrical Room "&amp;SWThree</f>
        <v>G104 Electrical Room XXX</v>
      </c>
      <c r="C32" s="183" t="str">
        <f>"UP"&amp;SWThree</f>
        <v>UPXXX</v>
      </c>
      <c r="D32" s="233" t="s">
        <v>1568</v>
      </c>
      <c r="E32" s="183" t="s">
        <v>1464</v>
      </c>
      <c r="F32" s="193"/>
      <c r="G32" s="193"/>
      <c r="H32" s="135"/>
      <c r="I32" s="135"/>
      <c r="J32" s="135"/>
    </row>
    <row r="33" spans="1:10" customFormat="1" ht="37.5" x14ac:dyDescent="0.25">
      <c r="A33" s="200">
        <f t="shared" si="1"/>
        <v>492</v>
      </c>
      <c r="B33" s="231" t="str">
        <f>Suite&amp;" Electrical Room "&amp;SWThree</f>
        <v>G104 Electrical Room XXX</v>
      </c>
      <c r="C33" s="183" t="str">
        <f>"UP"&amp;SWThree</f>
        <v>UPXXX</v>
      </c>
      <c r="D33" s="186" t="s">
        <v>1569</v>
      </c>
      <c r="E33" s="183" t="s">
        <v>1464</v>
      </c>
      <c r="F33" s="193"/>
      <c r="G33" s="193"/>
      <c r="H33" s="135"/>
      <c r="I33" s="135"/>
      <c r="J33" s="135"/>
    </row>
    <row r="34" spans="1:10" customFormat="1" ht="37.5" x14ac:dyDescent="0.25">
      <c r="A34" s="200">
        <f t="shared" si="1"/>
        <v>493</v>
      </c>
      <c r="B34" s="231" t="str">
        <f>Suite&amp;" Electrical Room "&amp;SWThree</f>
        <v>G104 Electrical Room XXX</v>
      </c>
      <c r="C34" s="183" t="str">
        <f>"UP"&amp;SWThree</f>
        <v>UPXXX</v>
      </c>
      <c r="D34" s="186" t="s">
        <v>1570</v>
      </c>
      <c r="E34" s="183" t="s">
        <v>1464</v>
      </c>
      <c r="F34" s="193"/>
      <c r="G34" s="193"/>
      <c r="H34" s="135"/>
      <c r="I34" s="135"/>
      <c r="J34" s="135"/>
    </row>
    <row r="35" spans="1:10" customFormat="1" ht="37.5" x14ac:dyDescent="0.25">
      <c r="A35" s="200">
        <f t="shared" si="1"/>
        <v>494</v>
      </c>
      <c r="B35" s="231" t="str">
        <f>Suite&amp;" Electrical Room "&amp;SWThree</f>
        <v>G104 Electrical Room XXX</v>
      </c>
      <c r="C35" s="183" t="str">
        <f>"UP"&amp;SWThree</f>
        <v>UPXXX</v>
      </c>
      <c r="D35" s="233" t="str" cm="1">
        <f t="array" ref="D35">"INSERT the interlock key into the MBUP" &amp; SWThree &amp; " breaker lock cylinder."</f>
        <v>INSERT the interlock key into the MBUPXXX breaker lock cylinder.</v>
      </c>
      <c r="E35" s="183" t="s">
        <v>1464</v>
      </c>
      <c r="F35" s="193"/>
      <c r="G35" s="193"/>
      <c r="H35" s="135"/>
      <c r="I35" s="135"/>
      <c r="J35" s="135"/>
    </row>
    <row r="36" spans="1:10" customFormat="1" ht="37.5" x14ac:dyDescent="0.25">
      <c r="A36" s="200">
        <f t="shared" si="1"/>
        <v>495</v>
      </c>
      <c r="B36" s="231" t="str">
        <f>Suite&amp;" Electrical Room "&amp;SWThree</f>
        <v>G104 Electrical Room XXX</v>
      </c>
      <c r="C36" s="183" t="str">
        <f>"UP"&amp;SWThree</f>
        <v>UPXXX</v>
      </c>
      <c r="D36" s="186" t="str" cm="1">
        <f t="array" ref="D36">"ROTATE the interlock key 90 degrees to UNLOCK the MBUP" &amp; SWThree &amp; " breaker."</f>
        <v>ROTATE the interlock key 90 degrees to UNLOCK the MBUPXXX breaker.</v>
      </c>
      <c r="E36" s="183" t="s">
        <v>1464</v>
      </c>
      <c r="F36" s="193"/>
      <c r="G36" s="193"/>
      <c r="H36" s="135"/>
      <c r="I36" s="135"/>
      <c r="J36" s="135"/>
    </row>
    <row r="37" spans="1:10" customFormat="1" ht="37.5" x14ac:dyDescent="0.25">
      <c r="A37" s="200">
        <f t="shared" si="1"/>
        <v>496</v>
      </c>
      <c r="B37" s="231" t="str">
        <f>Suite&amp;" Electrical Room "&amp;SWThree</f>
        <v>G104 Electrical Room XXX</v>
      </c>
      <c r="C37" s="183" t="str">
        <f>"UP"&amp;SWThree</f>
        <v>UPXXX</v>
      </c>
      <c r="D37" s="233" t="str" cm="1">
        <f t="array" ref="D37">"Close breaker MBUP" &amp; SWThree &amp; "."</f>
        <v>Close breaker MBUPXXX.</v>
      </c>
      <c r="E37" s="183" t="s">
        <v>1464</v>
      </c>
      <c r="F37" s="193"/>
      <c r="G37" s="193"/>
      <c r="H37" s="135"/>
      <c r="I37" s="135"/>
      <c r="J37" s="135"/>
    </row>
    <row r="38" spans="1:10" customFormat="1" ht="37.5" x14ac:dyDescent="0.25">
      <c r="A38" s="200">
        <f t="shared" si="1"/>
        <v>497</v>
      </c>
      <c r="B38" s="231" t="str">
        <f>Suite&amp;" Electrical Room "&amp;SWThree</f>
        <v>G104 Electrical Room XXX</v>
      </c>
      <c r="C38" s="183" t="str">
        <f>"UP"&amp;SWThree</f>
        <v>UPXXX</v>
      </c>
      <c r="D38" s="186" t="str" cm="1">
        <f t="array" ref="D38">"VERIFY MBUP" &amp; SWThree &amp; " breaker flag indicates CLOSED."</f>
        <v>VERIFY MBUPXXX breaker flag indicates CLOSED.</v>
      </c>
      <c r="E38" s="183" t="s">
        <v>1464</v>
      </c>
      <c r="F38" s="193"/>
      <c r="G38" s="193"/>
      <c r="H38" s="135"/>
      <c r="I38" s="135"/>
      <c r="J38" s="135"/>
    </row>
    <row r="39" spans="1:10" customFormat="1" ht="37.5" x14ac:dyDescent="0.25">
      <c r="A39" s="200">
        <f t="shared" si="1"/>
        <v>498</v>
      </c>
      <c r="B39" s="231" t="str">
        <f>Suite&amp;" Electrical Room "&amp;SWThree</f>
        <v>G104 Electrical Room XXX</v>
      </c>
      <c r="C39" s="183" t="str">
        <f>"UP"&amp;SWThree</f>
        <v>UPXXX</v>
      </c>
      <c r="D39" s="233" t="str" cm="1">
        <f t="array" ref="D39">"VERIFY breaker MBUP" &amp; SWThree &amp; " is carrying a portion of critical customer load using breaker mounted metering."</f>
        <v>VERIFY breaker MBUPXXX is carrying a portion of critical customer load using breaker mounted metering.</v>
      </c>
      <c r="E39" s="183" t="s">
        <v>1464</v>
      </c>
      <c r="F39" s="193"/>
      <c r="G39" s="193"/>
      <c r="H39" s="135"/>
      <c r="I39" s="135"/>
      <c r="J39" s="135"/>
    </row>
    <row r="40" spans="1:10" customFormat="1" ht="37.5" x14ac:dyDescent="0.25">
      <c r="A40" s="200">
        <f t="shared" si="1"/>
        <v>499</v>
      </c>
      <c r="B40" s="231" t="str">
        <f>Suite&amp;" Electrical Room "&amp;SWThree</f>
        <v>G104 Electrical Room XXX</v>
      </c>
      <c r="C40" s="183" t="str">
        <f>"UP"&amp;SWThree</f>
        <v>UPXXX</v>
      </c>
      <c r="D40" s="233" t="str" cm="1">
        <f t="array" ref="D40">"VERIFY breaker MCBUP" &amp; SWThree &amp; " is carrying a portion of critical customer load using breaker mounted metering."</f>
        <v>VERIFY breaker MCBUPXXX is carrying a portion of critical customer load using breaker mounted metering.</v>
      </c>
      <c r="E40" s="183" t="s">
        <v>1464</v>
      </c>
      <c r="F40" s="193"/>
      <c r="G40" s="193"/>
      <c r="H40" s="135"/>
      <c r="I40" s="135"/>
      <c r="J40" s="135"/>
    </row>
    <row r="41" spans="1:10" customFormat="1" ht="37.5" x14ac:dyDescent="0.25">
      <c r="A41" s="200">
        <f t="shared" si="1"/>
        <v>500</v>
      </c>
      <c r="B41" s="231" t="str">
        <f>Suite&amp;" Electrical Room "&amp;SWThree</f>
        <v>G104 Electrical Room XXX</v>
      </c>
      <c r="C41" s="183" t="str">
        <f>"UP"&amp;SWThree</f>
        <v>UPXXX</v>
      </c>
      <c r="D41" s="233" t="str" cm="1">
        <f t="array" ref="D41">"NOTATE the kW reading at UP" &amp; SWThree &amp; " Critical Bus Panel Meter: _________"</f>
        <v>NOTATE the kW reading at UPXXX Critical Bus Panel Meter: _________</v>
      </c>
      <c r="E41" s="183" t="s">
        <v>1464</v>
      </c>
      <c r="F41" s="193"/>
      <c r="G41" s="193"/>
      <c r="H41" s="135"/>
      <c r="I41" s="135"/>
      <c r="J41" s="135"/>
    </row>
    <row r="42" spans="1:10" customFormat="1" ht="37.5" x14ac:dyDescent="0.25">
      <c r="A42" s="200">
        <f t="shared" si="1"/>
        <v>501</v>
      </c>
      <c r="B42" s="231" t="str">
        <f>Suite&amp;" Electrical Room "&amp;SWThree</f>
        <v>G104 Electrical Room XXX</v>
      </c>
      <c r="C42" s="183" t="str">
        <f>"UP"&amp;SWThree</f>
        <v>UPXXX</v>
      </c>
      <c r="D42" s="233" t="str">
        <f>"VERIFY the readings in step " &amp; A29 &amp; " and " &amp; A41 &amp; " are within 3% of each other. (new kW divided by original kW must be ≤1.03 and ≥0.97)."</f>
        <v>VERIFY the readings in step 488 and 500 are within 3% of each other. (new kW divided by original kW must be ≤1.03 and ≥0.97).</v>
      </c>
      <c r="E42" s="183" t="s">
        <v>1464</v>
      </c>
      <c r="F42" s="193"/>
      <c r="G42" s="193"/>
      <c r="H42" s="135"/>
      <c r="I42" s="135"/>
      <c r="J42" s="135"/>
    </row>
    <row r="43" spans="1:10" customFormat="1" ht="37.5" x14ac:dyDescent="0.25">
      <c r="A43" s="200">
        <f t="shared" si="1"/>
        <v>502</v>
      </c>
      <c r="B43" s="231" t="str">
        <f>Suite&amp;" Electrical Room "&amp;SWThree</f>
        <v>G104 Electrical Room XXX</v>
      </c>
      <c r="C43" s="183" t="s">
        <v>1566</v>
      </c>
      <c r="D43" s="186" t="s">
        <v>1571</v>
      </c>
      <c r="E43" s="183" t="s">
        <v>1464</v>
      </c>
      <c r="F43" s="193"/>
      <c r="G43" s="193"/>
      <c r="H43" s="135"/>
      <c r="I43" s="135"/>
      <c r="J43" s="135"/>
    </row>
    <row r="44" spans="1:10" customFormat="1" ht="37.5" x14ac:dyDescent="0.25">
      <c r="A44" s="200">
        <f t="shared" si="1"/>
        <v>503</v>
      </c>
      <c r="B44" s="231" t="str">
        <f>Suite&amp;" Electrical Room "&amp;SWThree</f>
        <v>G104 Electrical Room XXX</v>
      </c>
      <c r="C44" s="183" t="str">
        <f>"UP"&amp;SWThree</f>
        <v>UPXXX</v>
      </c>
      <c r="D44" s="233" t="str" cm="1">
        <f t="array" ref="D44">"Pump the MCBUP" &amp; SWThree &amp; " breaker charging handle repeatedly to compress the charging spring and charge the breaker."</f>
        <v>Pump the MCBUPXXX breaker charging handle repeatedly to compress the charging spring and charge the breaker.</v>
      </c>
      <c r="E44" s="183" t="s">
        <v>1464</v>
      </c>
      <c r="F44" s="193"/>
      <c r="G44" s="193"/>
      <c r="H44" s="135"/>
      <c r="I44" s="135"/>
      <c r="J44" s="135"/>
    </row>
    <row r="45" spans="1:10" customFormat="1" ht="56.25" x14ac:dyDescent="0.25">
      <c r="A45" s="200">
        <f t="shared" si="1"/>
        <v>504</v>
      </c>
      <c r="B45" s="231" t="str">
        <f>Suite&amp;" Electrical Room "&amp;SWThree</f>
        <v>G104 Electrical Room XXX</v>
      </c>
      <c r="C45" s="183" t="str">
        <f>"UP"&amp;SWThree</f>
        <v>UPXXX</v>
      </c>
      <c r="D45" s="233" t="str" cm="1">
        <f t="array" ref="D45">"Note: If breaker MCBUP" &amp; SWThree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c r="H45" s="135"/>
      <c r="I45" s="135"/>
      <c r="J45" s="135"/>
    </row>
    <row r="46" spans="1:10" customFormat="1" ht="37.5" x14ac:dyDescent="0.25">
      <c r="A46" s="200">
        <f t="shared" si="1"/>
        <v>505</v>
      </c>
      <c r="B46" s="231" t="str">
        <f>Suite&amp;" Electrical Room "&amp;SWThree</f>
        <v>G104 Electrical Room XXX</v>
      </c>
      <c r="C46" s="183" t="str">
        <f>"UP"&amp;SWThree</f>
        <v>UPXXX</v>
      </c>
      <c r="D46" s="233" t="str" cm="1">
        <f t="array" ref="D46">"OPEN breaker MCBUP" &amp; SWThree &amp; "."</f>
        <v>OPEN breaker MCBUPXXX.</v>
      </c>
      <c r="E46" s="183" t="s">
        <v>1464</v>
      </c>
      <c r="F46" s="193"/>
      <c r="G46" s="193"/>
      <c r="H46" s="135"/>
      <c r="I46" s="135"/>
      <c r="J46" s="135"/>
    </row>
    <row r="47" spans="1:10" customFormat="1" ht="37.5" x14ac:dyDescent="0.25">
      <c r="A47" s="200">
        <f t="shared" si="1"/>
        <v>506</v>
      </c>
      <c r="B47" s="231" t="str">
        <f>Suite&amp;" Electrical Room "&amp;SWThree</f>
        <v>G104 Electrical Room XXX</v>
      </c>
      <c r="C47" s="183" t="str">
        <f>"UP"&amp;SWThree</f>
        <v>UPXXX</v>
      </c>
      <c r="D47" s="233" t="s">
        <v>1506</v>
      </c>
      <c r="E47" s="183" t="s">
        <v>1464</v>
      </c>
      <c r="F47" s="193"/>
      <c r="G47" s="193"/>
      <c r="H47" s="135"/>
      <c r="I47" s="135"/>
      <c r="J47" s="135"/>
    </row>
    <row r="48" spans="1:10" customFormat="1" ht="37.5" x14ac:dyDescent="0.25">
      <c r="A48" s="200">
        <f t="shared" si="1"/>
        <v>507</v>
      </c>
      <c r="B48" s="231" t="str">
        <f>Suite&amp;" Electrical Room "&amp;SWThree</f>
        <v>G104 Electrical Room XXX</v>
      </c>
      <c r="C48" s="183" t="str">
        <f>"UP"&amp;SWThree</f>
        <v>UPXXX</v>
      </c>
      <c r="D48" s="186" t="str" cm="1">
        <f t="array" ref="D48">"VERIFY MCBUP" &amp; SWThree &amp; " breaker flag indicates OPEN."</f>
        <v>VERIFY MCBUPXXX breaker flag indicates OPEN.</v>
      </c>
      <c r="E48" s="183" t="s">
        <v>1464</v>
      </c>
      <c r="F48" s="193"/>
      <c r="G48" s="193"/>
      <c r="H48" s="135"/>
      <c r="I48" s="135"/>
      <c r="J48" s="135"/>
    </row>
    <row r="49" spans="1:10" customFormat="1" ht="37.5" x14ac:dyDescent="0.25">
      <c r="A49" s="200">
        <f t="shared" si="1"/>
        <v>508</v>
      </c>
      <c r="B49" s="231" t="str">
        <f>Suite&amp;" Electrical Room "&amp;SWThree</f>
        <v>G104 Electrical Room XXX</v>
      </c>
      <c r="C49" s="183" t="str">
        <f>"UP"&amp;SWThree</f>
        <v>UPXXX</v>
      </c>
      <c r="D49" s="233" t="str" cm="1">
        <f t="array" ref="D49">"NOTATE the kW reading at UP" &amp; SWThree &amp; " Critical Bus Panel Meter: _________"</f>
        <v>NOTATE the kW reading at UPXXX Critical Bus Panel Meter: _________</v>
      </c>
      <c r="E49" s="183" t="s">
        <v>1464</v>
      </c>
      <c r="F49" s="193"/>
      <c r="G49" s="193"/>
      <c r="H49" s="135"/>
      <c r="I49" s="135"/>
      <c r="J49" s="135"/>
    </row>
    <row r="50" spans="1:10" customFormat="1" ht="37.5" x14ac:dyDescent="0.25">
      <c r="A50" s="200">
        <f t="shared" si="1"/>
        <v>509</v>
      </c>
      <c r="B50" s="231" t="str">
        <f>Suite&amp;" Electrical Room "&amp;SWThree</f>
        <v>G104 Electrical Room XXX</v>
      </c>
      <c r="C50" s="183" t="str">
        <f>"UP"&amp;SWThree</f>
        <v>UPXXX</v>
      </c>
      <c r="D50" s="233" t="str">
        <f>"VERIFY the readings in step " &amp; A41 &amp; " and " &amp; A49 &amp; " are within 3% of each other. (new kW divided by original kW must be ≤1.03 and ≥0.97)."</f>
        <v>VERIFY the readings in step 500 and 508 are within 3% of each other. (new kW divided by original kW must be ≤1.03 and ≥0.97).</v>
      </c>
      <c r="E50" s="183" t="s">
        <v>1464</v>
      </c>
      <c r="F50" s="193"/>
      <c r="G50" s="193"/>
      <c r="H50" s="135"/>
      <c r="I50" s="135"/>
      <c r="J50" s="135"/>
    </row>
    <row r="51" spans="1:10" customFormat="1" ht="37.5" x14ac:dyDescent="0.25">
      <c r="A51" s="200">
        <f t="shared" si="1"/>
        <v>510</v>
      </c>
      <c r="B51" s="231" t="str">
        <f>Suite&amp;" Electrical Room "&amp;SWThree</f>
        <v>G104 Electrical Room XXX</v>
      </c>
      <c r="C51" s="183" t="s">
        <v>1566</v>
      </c>
      <c r="D51" s="233" t="s">
        <v>1572</v>
      </c>
      <c r="E51" s="183" t="s">
        <v>1464</v>
      </c>
      <c r="F51" s="193"/>
      <c r="G51" s="193"/>
      <c r="H51" s="135"/>
      <c r="I51" s="135"/>
      <c r="J51" s="135"/>
    </row>
    <row r="52" spans="1:10" customFormat="1" ht="37.5" x14ac:dyDescent="0.25">
      <c r="A52" s="200">
        <f t="shared" si="1"/>
        <v>511</v>
      </c>
      <c r="B52" s="231" t="str">
        <f>Suite&amp;" Electrical Room "&amp;SWThree</f>
        <v>G104 Electrical Room XXX</v>
      </c>
      <c r="C52" s="183" t="str">
        <f>"UP"&amp;SWThree</f>
        <v>UPXXX</v>
      </c>
      <c r="D52" s="186" t="str" cm="1">
        <f t="array" ref="D52">"ROTATE the interlock key 90 degrees to LOCK the MCBUP"&amp;SWThree&amp;" breaker."</f>
        <v>ROTATE the interlock key 90 degrees to LOCK the MCBUPXXX breaker.</v>
      </c>
      <c r="E52" s="183" t="s">
        <v>1464</v>
      </c>
      <c r="F52" s="193"/>
      <c r="G52" s="193"/>
      <c r="H52" s="135"/>
      <c r="I52" s="135"/>
      <c r="J52" s="135"/>
    </row>
    <row r="53" spans="1:10" customFormat="1" ht="37.5" x14ac:dyDescent="0.25">
      <c r="A53" s="200">
        <f t="shared" si="1"/>
        <v>512</v>
      </c>
      <c r="B53" s="231" t="str">
        <f>Suite&amp;" Electrical Room "&amp;SWThree</f>
        <v>G104 Electrical Room XXX</v>
      </c>
      <c r="C53" s="183" t="str">
        <f>"UP"&amp;SWThree</f>
        <v>UPXXX</v>
      </c>
      <c r="D53" s="186" t="str" cm="1">
        <f t="array" ref="D53">"REMOVE the interlock key from the MCBUP"&amp;SWThree&amp;" breaker lock cylinder."</f>
        <v>REMOVE the interlock key from the MCBUPXXX breaker lock cylinder.</v>
      </c>
      <c r="E53" s="183" t="s">
        <v>1464</v>
      </c>
      <c r="F53" s="193"/>
      <c r="G53" s="193"/>
      <c r="H53" s="135"/>
      <c r="I53" s="135"/>
      <c r="J53" s="135"/>
    </row>
    <row r="54" spans="1:10" customFormat="1" ht="37.5" x14ac:dyDescent="0.25">
      <c r="A54" s="200">
        <f t="shared" si="1"/>
        <v>513</v>
      </c>
      <c r="B54" s="231" t="str">
        <f>Suite&amp;" Electrical Room "&amp;SWThree</f>
        <v>G104 Electrical Room XXX</v>
      </c>
      <c r="C54" s="183" t="str">
        <f>"UP"&amp;SWThree</f>
        <v>UPXXX</v>
      </c>
      <c r="D54" s="233" t="s">
        <v>1573</v>
      </c>
      <c r="E54" s="183" t="s">
        <v>1464</v>
      </c>
      <c r="F54" s="193"/>
      <c r="G54" s="193"/>
      <c r="H54" s="135"/>
      <c r="I54" s="135"/>
      <c r="J54" s="135"/>
    </row>
    <row r="55" spans="1:10" customFormat="1" ht="37.5" x14ac:dyDescent="0.25">
      <c r="A55" s="200">
        <f t="shared" si="1"/>
        <v>514</v>
      </c>
      <c r="B55" s="231" t="str">
        <f>Suite&amp;" Electrical Room "&amp;SWThree</f>
        <v>G104 Electrical Room XXX</v>
      </c>
      <c r="C55" s="183" t="str">
        <f>"UP"&amp;SWThree</f>
        <v>UPXXX</v>
      </c>
      <c r="D55" s="186" t="s">
        <v>1574</v>
      </c>
      <c r="E55" s="183" t="s">
        <v>1464</v>
      </c>
      <c r="F55" s="193"/>
      <c r="G55" s="193"/>
      <c r="H55" s="135"/>
      <c r="I55" s="135"/>
      <c r="J55" s="135"/>
    </row>
    <row r="56" spans="1:10" customFormat="1" ht="37.5" x14ac:dyDescent="0.25">
      <c r="A56" s="200">
        <f t="shared" si="1"/>
        <v>515</v>
      </c>
      <c r="B56" s="231" t="str">
        <f>Suite&amp;" Electrical Room "&amp;SWThree</f>
        <v>G104 Electrical Room XXX</v>
      </c>
      <c r="C56" s="183" t="str">
        <f>"UP"&amp;SWThree</f>
        <v>UPXXX</v>
      </c>
      <c r="D56" s="186" t="s">
        <v>1575</v>
      </c>
      <c r="E56" s="183" t="s">
        <v>1464</v>
      </c>
      <c r="F56" s="193"/>
      <c r="G56" s="193"/>
      <c r="H56" s="135"/>
      <c r="I56" s="135"/>
      <c r="J56" s="135"/>
    </row>
    <row r="57" spans="1:10" customFormat="1" ht="37.5" x14ac:dyDescent="0.25">
      <c r="A57" s="200">
        <f t="shared" si="1"/>
        <v>516</v>
      </c>
      <c r="B57" s="231" t="str">
        <f>Suite&amp;" Electrical Room "&amp;SWThree</f>
        <v>G104 Electrical Room XXX</v>
      </c>
      <c r="C57" s="183" t="str">
        <f>"UP"&amp;SWThree</f>
        <v>UPXXX</v>
      </c>
      <c r="D57" s="186" t="s">
        <v>1510</v>
      </c>
      <c r="E57" s="183" t="s">
        <v>1464</v>
      </c>
      <c r="F57" s="193"/>
      <c r="G57" s="193"/>
      <c r="H57" s="135"/>
      <c r="I57" s="135"/>
      <c r="J57" s="135"/>
    </row>
    <row r="58" spans="1:10" customFormat="1" x14ac:dyDescent="0.25">
      <c r="A58" s="200">
        <f t="shared" si="1"/>
        <v>517</v>
      </c>
      <c r="B58" s="711" t="str">
        <f>"Shut Down UPS System "&amp;SWThree</f>
        <v>Shut Down UPS System XXX</v>
      </c>
      <c r="C58" s="711"/>
      <c r="D58" s="711"/>
      <c r="E58" s="711"/>
      <c r="F58" s="711"/>
      <c r="G58" s="711"/>
      <c r="H58" s="135"/>
      <c r="I58" s="135"/>
      <c r="J58" s="135"/>
    </row>
    <row r="59" spans="1:10" customFormat="1" ht="37.5" x14ac:dyDescent="0.25">
      <c r="A59" s="200">
        <f t="shared" si="1"/>
        <v>518</v>
      </c>
      <c r="B59" s="231" t="str">
        <f>Suite&amp;" Electrical Room "&amp;SWThree</f>
        <v>G104 Electrical Room XXX</v>
      </c>
      <c r="C59" s="183" t="str">
        <f>"UPS "&amp;SWThree&amp;"1"</f>
        <v>UPS XXX1</v>
      </c>
      <c r="D59" s="233" t="s">
        <v>1576</v>
      </c>
      <c r="E59" s="183" t="s">
        <v>1464</v>
      </c>
      <c r="F59" s="193"/>
      <c r="G59" s="193"/>
      <c r="H59" s="135"/>
      <c r="I59" s="135"/>
      <c r="J59" s="135"/>
    </row>
    <row r="60" spans="1:10" customFormat="1" ht="37.5" x14ac:dyDescent="0.25">
      <c r="A60" s="200">
        <f t="shared" si="1"/>
        <v>519</v>
      </c>
      <c r="B60" s="231" t="str">
        <f>Suite&amp;" Electrical Room "&amp;SWThree</f>
        <v>G104 Electrical Room XXX</v>
      </c>
      <c r="C60" s="183" t="str">
        <f>"UPS "&amp;SWThree&amp;"1"</f>
        <v>UPS XXX1</v>
      </c>
      <c r="D60" s="233" t="s">
        <v>1577</v>
      </c>
      <c r="E60" s="183" t="s">
        <v>1464</v>
      </c>
      <c r="F60" s="193"/>
      <c r="G60" s="193"/>
      <c r="H60" s="135"/>
      <c r="I60" s="135"/>
      <c r="J60" s="135"/>
    </row>
    <row r="61" spans="1:10" customFormat="1" ht="37.5" x14ac:dyDescent="0.25">
      <c r="A61" s="200">
        <f t="shared" si="1"/>
        <v>520</v>
      </c>
      <c r="B61" s="231" t="str">
        <f>Suite&amp;" Electrical Room "&amp;SWThree</f>
        <v>G104 Electrical Room XXX</v>
      </c>
      <c r="C61" s="183" t="s">
        <v>1566</v>
      </c>
      <c r="D61" s="233" t="s">
        <v>1578</v>
      </c>
      <c r="E61" s="183" t="s">
        <v>1464</v>
      </c>
      <c r="F61" s="193"/>
      <c r="G61" s="193"/>
      <c r="H61" s="135"/>
      <c r="I61" s="135"/>
      <c r="J61" s="135"/>
    </row>
    <row r="62" spans="1:10" customFormat="1" ht="37.5" x14ac:dyDescent="0.25">
      <c r="A62" s="200">
        <f t="shared" si="1"/>
        <v>521</v>
      </c>
      <c r="B62" s="231" t="str">
        <f>Suite&amp;" Electrical Room "&amp;SWThree</f>
        <v>G104 Electrical Room XXX</v>
      </c>
      <c r="C62" s="183" t="str">
        <f>"UP"&amp;SWThree</f>
        <v>UPXXX</v>
      </c>
      <c r="D62" s="233" t="str" cm="1">
        <f t="array" ref="D62">"OPEN breaker DP-" &amp; SWThree &amp; "1."</f>
        <v>OPEN breaker DP-XXX1.</v>
      </c>
      <c r="E62" s="183" t="s">
        <v>1464</v>
      </c>
      <c r="F62" s="193"/>
      <c r="G62" s="193"/>
      <c r="H62" s="135"/>
      <c r="I62" s="135"/>
      <c r="J62" s="135"/>
    </row>
    <row r="63" spans="1:10" customFormat="1" ht="37.5" x14ac:dyDescent="0.25">
      <c r="A63" s="200">
        <f t="shared" si="1"/>
        <v>522</v>
      </c>
      <c r="B63" s="231" t="str">
        <f>Suite&amp;" Electrical Room "&amp;SWThree</f>
        <v>G104 Electrical Room XXX</v>
      </c>
      <c r="C63" s="183" t="str">
        <f>"UP"&amp;SWThree</f>
        <v>UPXXX</v>
      </c>
      <c r="D63" s="186" t="str" cm="1">
        <f t="array" ref="D63">"Apply LOTO to breaker DP-" &amp; SWThree &amp; "1."</f>
        <v>Apply LOTO to breaker DP-XXX1.</v>
      </c>
      <c r="E63" s="183" t="s">
        <v>1464</v>
      </c>
      <c r="F63" s="193"/>
      <c r="G63" s="193"/>
      <c r="H63" s="135"/>
      <c r="I63" s="135"/>
      <c r="J63" s="135"/>
    </row>
    <row r="64" spans="1:10" customFormat="1" ht="37.5" x14ac:dyDescent="0.25">
      <c r="A64" s="200">
        <f t="shared" si="1"/>
        <v>523</v>
      </c>
      <c r="B64" s="231" t="str">
        <f>Suite&amp;" Electrical Room "&amp;SWThree</f>
        <v>G104 Electrical Room XXX</v>
      </c>
      <c r="C64" s="183" t="str">
        <f>"UP"&amp;SWThree</f>
        <v>UPXXX</v>
      </c>
      <c r="D64" s="186" t="s">
        <v>1518</v>
      </c>
      <c r="E64" s="183" t="s">
        <v>1464</v>
      </c>
      <c r="F64" s="193" t="s">
        <v>1519</v>
      </c>
      <c r="G64" s="193"/>
      <c r="H64" s="135"/>
      <c r="I64" s="135"/>
      <c r="J64" s="135"/>
    </row>
    <row r="65" spans="1:15" customFormat="1" ht="56.25" x14ac:dyDescent="0.25">
      <c r="A65" s="200">
        <f t="shared" si="1"/>
        <v>524</v>
      </c>
      <c r="B65" s="231" t="str">
        <f>Suite&amp;" Electrical Room "&amp;SWThree</f>
        <v>G104 Electrical Room XXX</v>
      </c>
      <c r="C65" s="183" t="str">
        <f>"UPS "&amp;SWThree&amp;"1 Battery Cabinets"</f>
        <v>UPS XXX1 Battery Cabinets</v>
      </c>
      <c r="D65" s="233" t="s">
        <v>1579</v>
      </c>
      <c r="E65" s="183" t="s">
        <v>1464</v>
      </c>
      <c r="F65" s="193" t="s">
        <v>1519</v>
      </c>
      <c r="G65" s="193"/>
      <c r="H65" s="135"/>
      <c r="I65" s="135"/>
      <c r="J65" s="135"/>
    </row>
    <row r="66" spans="1:15" customFormat="1" ht="56.25" x14ac:dyDescent="0.25">
      <c r="A66" s="200">
        <f t="shared" si="1"/>
        <v>525</v>
      </c>
      <c r="B66" s="231" t="str">
        <f>Suite&amp;" Electrical Room "&amp;SWThree</f>
        <v>G104 Electrical Room XXX</v>
      </c>
      <c r="C66" s="183" t="str">
        <f>"UPS "&amp;SWThree&amp;"1 Battery Cabinets"</f>
        <v>UPS XXX1 Battery Cabinets</v>
      </c>
      <c r="D66" s="233" t="str" cm="1">
        <f t="array" ref="D66">"OPEN Battery Breaker Q7A at Cabinet " &amp; SWThree &amp; "1-1."</f>
        <v>OPEN Battery Breaker Q7A at Cabinet XXX1-1.</v>
      </c>
      <c r="E66" s="183" t="s">
        <v>1464</v>
      </c>
      <c r="F66" s="193" t="s">
        <v>1519</v>
      </c>
      <c r="G66" s="193"/>
      <c r="H66" s="163" t="s">
        <v>1580</v>
      </c>
      <c r="I66" s="135"/>
      <c r="J66" s="135"/>
    </row>
    <row r="67" spans="1:15" customFormat="1" ht="56.25" x14ac:dyDescent="0.25">
      <c r="A67" s="200">
        <f t="shared" si="1"/>
        <v>526</v>
      </c>
      <c r="B67" s="231" t="str">
        <f>Suite&amp;" Electrical Room "&amp;SWThree</f>
        <v>G104 Electrical Room XXX</v>
      </c>
      <c r="C67" s="183" t="str">
        <f>"UPS "&amp;SWThree&amp;"1 Battery Cabinets"</f>
        <v>UPS XXX1 Battery Cabinets</v>
      </c>
      <c r="D67" s="177" t="str" cm="1">
        <f t="array" ref="D67">"Apply LOTO to Battery Breaker Q7A at Cabinet " &amp; SWThree &amp; "1-1."</f>
        <v>Apply LOTO to Battery Breaker Q7A at Cabinet XXX1-1.</v>
      </c>
      <c r="E67" s="183" t="s">
        <v>1464</v>
      </c>
      <c r="F67" s="193" t="s">
        <v>1519</v>
      </c>
      <c r="G67" s="193"/>
      <c r="H67" s="163" t="s">
        <v>1580</v>
      </c>
      <c r="I67" s="135"/>
      <c r="J67" s="135"/>
    </row>
    <row r="68" spans="1:15" customFormat="1" ht="56.25" x14ac:dyDescent="0.25">
      <c r="A68" s="200">
        <f t="shared" si="1"/>
        <v>527</v>
      </c>
      <c r="B68" s="231" t="str">
        <f>Suite&amp;" Electrical Room "&amp;SWThree</f>
        <v>G104 Electrical Room XXX</v>
      </c>
      <c r="C68" s="183" t="str">
        <f>"UPS "&amp;SWThree&amp;"1 Battery Cabinets"</f>
        <v>UPS XXX1 Battery Cabinets</v>
      </c>
      <c r="D68" s="186" t="s">
        <v>1518</v>
      </c>
      <c r="E68" s="183" t="s">
        <v>1464</v>
      </c>
      <c r="F68" s="193" t="s">
        <v>1519</v>
      </c>
      <c r="G68" s="193"/>
      <c r="H68" s="163" t="s">
        <v>1580</v>
      </c>
      <c r="I68" s="135"/>
      <c r="J68" s="135"/>
    </row>
    <row r="69" spans="1:15" customFormat="1" ht="56.25" x14ac:dyDescent="0.25">
      <c r="A69" s="200">
        <f t="shared" si="1"/>
        <v>528</v>
      </c>
      <c r="B69" s="231" t="str">
        <f>Suite&amp;" Electrical Room "&amp;SWThree</f>
        <v>G104 Electrical Room XXX</v>
      </c>
      <c r="C69" s="183" t="str">
        <f>"UPS "&amp;SWThree&amp;"1 Battery Cabinets"</f>
        <v>UPS XXX1 Battery Cabinets</v>
      </c>
      <c r="D69" s="233" t="str" cm="1">
        <f t="array" ref="D69">"OPEN Battery Breaker Q7B at Cabinet " &amp; SWThree &amp; "1-2."</f>
        <v>OPEN Battery Breaker Q7B at Cabinet XXX1-2.</v>
      </c>
      <c r="E69" s="183" t="s">
        <v>1464</v>
      </c>
      <c r="F69" s="193" t="s">
        <v>1519</v>
      </c>
      <c r="G69" s="193"/>
      <c r="H69" s="163" t="s">
        <v>1580</v>
      </c>
      <c r="I69" s="135"/>
      <c r="J69" s="164"/>
      <c r="K69" s="4"/>
      <c r="L69" s="4"/>
      <c r="M69" s="4"/>
      <c r="N69" s="4"/>
      <c r="O69" s="4"/>
    </row>
    <row r="70" spans="1:15" customFormat="1" ht="56.25" x14ac:dyDescent="0.25">
      <c r="A70" s="200">
        <f t="shared" si="1"/>
        <v>529</v>
      </c>
      <c r="B70" s="231" t="str">
        <f>Suite&amp;" Electrical Room "&amp;SWThree</f>
        <v>G104 Electrical Room XXX</v>
      </c>
      <c r="C70" s="183" t="str">
        <f>"UPS "&amp;SWThree&amp;"1 Battery Cabinets"</f>
        <v>UPS XXX1 Battery Cabinets</v>
      </c>
      <c r="D70" s="177" t="str" cm="1">
        <f t="array" ref="D70">"Apply LOTO to Battery Breaker Q7B at Cabinet " &amp; SWThree &amp; "1-2."</f>
        <v>Apply LOTO to Battery Breaker Q7B at Cabinet XXX1-2.</v>
      </c>
      <c r="E70" s="183" t="s">
        <v>1464</v>
      </c>
      <c r="F70" s="193" t="s">
        <v>1519</v>
      </c>
      <c r="G70" s="193"/>
      <c r="H70" s="163" t="s">
        <v>1580</v>
      </c>
      <c r="I70" s="135"/>
      <c r="J70" s="135"/>
    </row>
    <row r="71" spans="1:15" customFormat="1" ht="56.25" x14ac:dyDescent="0.25">
      <c r="A71" s="200">
        <f t="shared" si="1"/>
        <v>530</v>
      </c>
      <c r="B71" s="231" t="str">
        <f>Suite&amp;" Electrical Room "&amp;SWThree</f>
        <v>G104 Electrical Room XXX</v>
      </c>
      <c r="C71" s="183" t="str">
        <f>"UPS "&amp;SWThree&amp;"1 Battery Cabinets"</f>
        <v>UPS XXX1 Battery Cabinets</v>
      </c>
      <c r="D71" s="186" t="s">
        <v>1518</v>
      </c>
      <c r="E71" s="183" t="s">
        <v>1464</v>
      </c>
      <c r="F71" s="193" t="s">
        <v>1519</v>
      </c>
      <c r="G71" s="193"/>
      <c r="H71" s="163" t="s">
        <v>1580</v>
      </c>
      <c r="I71" s="135"/>
      <c r="J71" s="135"/>
    </row>
    <row r="72" spans="1:15" customFormat="1" ht="56.25" x14ac:dyDescent="0.25">
      <c r="A72" s="200">
        <f t="shared" si="1"/>
        <v>531</v>
      </c>
      <c r="B72" s="231" t="str">
        <f>Suite&amp;" Electrical Room "&amp;SWThree</f>
        <v>G104 Electrical Room XXX</v>
      </c>
      <c r="C72" s="183" t="str">
        <f>"UPS "&amp;SWThree&amp;"1 Battery Cabinets"</f>
        <v>UPS XXX1 Battery Cabinets</v>
      </c>
      <c r="D72" s="233" t="str" cm="1">
        <f t="array" ref="D72">"OPEN Battery Breaker Q8A at Cabinet " &amp; SWThree &amp; "1-3."</f>
        <v>OPEN Battery Breaker Q8A at Cabinet XXX1-3.</v>
      </c>
      <c r="E72" s="183" t="s">
        <v>1464</v>
      </c>
      <c r="F72" s="193" t="s">
        <v>1519</v>
      </c>
      <c r="G72" s="193"/>
      <c r="H72" s="163" t="s">
        <v>1580</v>
      </c>
      <c r="I72" s="135"/>
      <c r="J72" s="135"/>
    </row>
    <row r="73" spans="1:15" customFormat="1" ht="56.25" x14ac:dyDescent="0.25">
      <c r="A73" s="200">
        <f t="shared" si="1"/>
        <v>532</v>
      </c>
      <c r="B73" s="231" t="str">
        <f>Suite&amp;" Electrical Room "&amp;SWThree</f>
        <v>G104 Electrical Room XXX</v>
      </c>
      <c r="C73" s="183" t="str">
        <f>"UPS "&amp;SWThree&amp;"1 Battery Cabinets"</f>
        <v>UPS XXX1 Battery Cabinets</v>
      </c>
      <c r="D73" s="177" t="str" cm="1">
        <f t="array" ref="D73">"Apply LOTO to Battery Breaker Q8A at Cabinet " &amp; SWThree &amp; "1-3."</f>
        <v>Apply LOTO to Battery Breaker Q8A at Cabinet XXX1-3.</v>
      </c>
      <c r="E73" s="183" t="s">
        <v>1464</v>
      </c>
      <c r="F73" s="193" t="s">
        <v>1519</v>
      </c>
      <c r="G73" s="193"/>
      <c r="H73" s="163" t="s">
        <v>1580</v>
      </c>
      <c r="I73" s="135"/>
      <c r="J73" s="135"/>
    </row>
    <row r="74" spans="1:15" customFormat="1" ht="56.25" x14ac:dyDescent="0.25">
      <c r="A74" s="200">
        <f t="shared" si="1"/>
        <v>533</v>
      </c>
      <c r="B74" s="231" t="str">
        <f>Suite&amp;" Electrical Room "&amp;SWThree</f>
        <v>G104 Electrical Room XXX</v>
      </c>
      <c r="C74" s="183" t="str">
        <f>"UPS "&amp;SWThree&amp;"1 Battery Cabinets"</f>
        <v>UPS XXX1 Battery Cabinets</v>
      </c>
      <c r="D74" s="186" t="s">
        <v>1518</v>
      </c>
      <c r="E74" s="183" t="s">
        <v>1464</v>
      </c>
      <c r="F74" s="193" t="s">
        <v>1519</v>
      </c>
      <c r="G74" s="193"/>
      <c r="H74" s="163" t="s">
        <v>1580</v>
      </c>
      <c r="I74" s="135"/>
      <c r="J74" s="135"/>
    </row>
    <row r="75" spans="1:15" customFormat="1" ht="56.25" x14ac:dyDescent="0.25">
      <c r="A75" s="200">
        <f t="shared" si="1"/>
        <v>534</v>
      </c>
      <c r="B75" s="231" t="str">
        <f>Suite&amp;" Electrical Room "&amp;SWThree</f>
        <v>G104 Electrical Room XXX</v>
      </c>
      <c r="C75" s="183" t="str">
        <f>"UPS "&amp;SWThree&amp;"1 Battery Cabinets"</f>
        <v>UPS XXX1 Battery Cabinets</v>
      </c>
      <c r="D75" s="233" t="str" cm="1">
        <f t="array" ref="D75">"OPEN Battery Breaker Q8B at Cabinet " &amp; SWThree &amp; "1-4."</f>
        <v>OPEN Battery Breaker Q8B at Cabinet XXX1-4.</v>
      </c>
      <c r="E75" s="183" t="s">
        <v>1464</v>
      </c>
      <c r="F75" s="193" t="s">
        <v>1519</v>
      </c>
      <c r="G75" s="193"/>
      <c r="H75" s="163" t="s">
        <v>1580</v>
      </c>
      <c r="I75" s="135"/>
      <c r="J75" s="135"/>
    </row>
    <row r="76" spans="1:15" customFormat="1" ht="56.25" x14ac:dyDescent="0.25">
      <c r="A76" s="200">
        <f t="shared" si="1"/>
        <v>535</v>
      </c>
      <c r="B76" s="231" t="str">
        <f>Suite&amp;" Electrical Room "&amp;SWThree</f>
        <v>G104 Electrical Room XXX</v>
      </c>
      <c r="C76" s="183" t="str">
        <f>"UPS "&amp;SWThree&amp;"1 Battery Cabinets"</f>
        <v>UPS XXX1 Battery Cabinets</v>
      </c>
      <c r="D76" s="177" t="str" cm="1">
        <f t="array" ref="D76">"Apply LOTO to Battery Breaker Q8B at Cabinet " &amp; SWThree &amp; "1-4."</f>
        <v>Apply LOTO to Battery Breaker Q8B at Cabinet XXX1-4.</v>
      </c>
      <c r="E76" s="183" t="s">
        <v>1464</v>
      </c>
      <c r="F76" s="193" t="s">
        <v>1519</v>
      </c>
      <c r="G76" s="193"/>
      <c r="H76" s="163" t="s">
        <v>1580</v>
      </c>
      <c r="I76" s="135"/>
      <c r="J76" s="135"/>
    </row>
    <row r="77" spans="1:15" customFormat="1" ht="56.25" x14ac:dyDescent="0.25">
      <c r="A77" s="200">
        <f t="shared" si="1"/>
        <v>536</v>
      </c>
      <c r="B77" s="231" t="str">
        <f>Suite&amp;" Electrical Room "&amp;SWThree</f>
        <v>G104 Electrical Room XXX</v>
      </c>
      <c r="C77" s="183" t="str">
        <f>"UPS "&amp;SWThree&amp;"1 Battery Cabinets"</f>
        <v>UPS XXX1 Battery Cabinets</v>
      </c>
      <c r="D77" s="186" t="s">
        <v>1518</v>
      </c>
      <c r="E77" s="183" t="s">
        <v>1464</v>
      </c>
      <c r="F77" s="193" t="s">
        <v>1519</v>
      </c>
      <c r="G77" s="193"/>
      <c r="H77" s="163" t="s">
        <v>1580</v>
      </c>
      <c r="I77" s="135"/>
      <c r="J77" s="135"/>
    </row>
    <row r="78" spans="1:15" customFormat="1" ht="56.25" hidden="1" x14ac:dyDescent="0.25">
      <c r="A78" s="200">
        <f>A65+1</f>
        <v>525</v>
      </c>
      <c r="B78" s="231" t="str">
        <f>Suite&amp;" Electrical Room "&amp;SWThree</f>
        <v>G104 Electrical Room XXX</v>
      </c>
      <c r="C78" s="183" t="str">
        <f>"UPS "&amp;SWThree&amp;"1 Battery Cabinets"</f>
        <v>UPS XXX1 Battery Cabinets</v>
      </c>
      <c r="D78" s="186" t="str" cm="1">
        <f t="array" ref="D78">"OPEN Battery Breaker Q7A at Cabinet " &amp; SWThree &amp; "1-1."</f>
        <v>OPEN Battery Breaker Q7A at Cabinet XXX1-1.</v>
      </c>
      <c r="E78" s="183" t="s">
        <v>1464</v>
      </c>
      <c r="F78" s="193" t="s">
        <v>1519</v>
      </c>
      <c r="G78" s="193"/>
      <c r="H78" s="163" t="s">
        <v>1581</v>
      </c>
      <c r="I78" s="135"/>
      <c r="J78" s="135"/>
    </row>
    <row r="79" spans="1:15" customFormat="1" ht="56.25" hidden="1" x14ac:dyDescent="0.25">
      <c r="A79" s="200">
        <f t="shared" ref="A79:A95" si="2">A78+1</f>
        <v>526</v>
      </c>
      <c r="B79" s="231" t="str">
        <f>Suite&amp;" Electrical Room "&amp;SWThree</f>
        <v>G104 Electrical Room XXX</v>
      </c>
      <c r="C79" s="183" t="str">
        <f>"UPS "&amp;SWThree&amp;"1 Battery Cabinets"</f>
        <v>UPS XXX1 Battery Cabinets</v>
      </c>
      <c r="D79" s="177" t="str" cm="1">
        <f t="array" ref="D79">"Apply LOTO to Battery Breaker Q7A at Cabinet " &amp; SWThree &amp; "1-1."</f>
        <v>Apply LOTO to Battery Breaker Q7A at Cabinet XXX1-1.</v>
      </c>
      <c r="E79" s="183" t="s">
        <v>1464</v>
      </c>
      <c r="F79" s="193" t="s">
        <v>1519</v>
      </c>
      <c r="G79" s="193"/>
      <c r="H79" s="163" t="s">
        <v>1581</v>
      </c>
      <c r="I79" s="135"/>
      <c r="J79" s="135"/>
    </row>
    <row r="80" spans="1:15" customFormat="1" ht="56.25" hidden="1" x14ac:dyDescent="0.25">
      <c r="A80" s="200">
        <f t="shared" si="2"/>
        <v>527</v>
      </c>
      <c r="B80" s="231" t="str">
        <f>Suite&amp;" Electrical Room "&amp;SWThree</f>
        <v>G104 Electrical Room XXX</v>
      </c>
      <c r="C80" s="183" t="str">
        <f>"UPS "&amp;SWThree&amp;"1 Battery Cabinets"</f>
        <v>UPS XXX1 Battery Cabinets</v>
      </c>
      <c r="D80" s="186" t="s">
        <v>1518</v>
      </c>
      <c r="E80" s="183" t="s">
        <v>1464</v>
      </c>
      <c r="F80" s="193" t="s">
        <v>1519</v>
      </c>
      <c r="G80" s="193"/>
      <c r="H80" s="163" t="s">
        <v>1581</v>
      </c>
      <c r="I80" s="135"/>
      <c r="J80" s="135"/>
    </row>
    <row r="81" spans="1:10" customFormat="1" ht="56.25" hidden="1" x14ac:dyDescent="0.25">
      <c r="A81" s="200">
        <f t="shared" si="2"/>
        <v>528</v>
      </c>
      <c r="B81" s="231" t="str">
        <f>Suite&amp;" Electrical Room "&amp;SWThree</f>
        <v>G104 Electrical Room XXX</v>
      </c>
      <c r="C81" s="183" t="str">
        <f>"UPS "&amp;SWThree&amp;"1 Battery Cabinets"</f>
        <v>UPS XXX1 Battery Cabinets</v>
      </c>
      <c r="D81" s="186" t="str" cm="1">
        <f t="array" ref="D81">"OPEN Battery Breaker Q7B at Cabinet " &amp; SWThree &amp; "1-2."</f>
        <v>OPEN Battery Breaker Q7B at Cabinet XXX1-2.</v>
      </c>
      <c r="E81" s="183" t="s">
        <v>1464</v>
      </c>
      <c r="F81" s="193" t="s">
        <v>1519</v>
      </c>
      <c r="G81" s="193"/>
      <c r="H81" s="163" t="s">
        <v>1581</v>
      </c>
      <c r="I81" s="135"/>
      <c r="J81" s="135"/>
    </row>
    <row r="82" spans="1:10" customFormat="1" ht="56.25" hidden="1" x14ac:dyDescent="0.25">
      <c r="A82" s="200">
        <f t="shared" si="2"/>
        <v>529</v>
      </c>
      <c r="B82" s="231" t="str">
        <f>Suite&amp;" Electrical Room "&amp;SWThree</f>
        <v>G104 Electrical Room XXX</v>
      </c>
      <c r="C82" s="183" t="str">
        <f>"UPS "&amp;SWThree&amp;"1 Battery Cabinets"</f>
        <v>UPS XXX1 Battery Cabinets</v>
      </c>
      <c r="D82" s="177" t="str" cm="1">
        <f t="array" ref="D82">"Apply LOTO to Battery Breaker Q7B at Cabinet " &amp; SWThree &amp; "1-2."</f>
        <v>Apply LOTO to Battery Breaker Q7B at Cabinet XXX1-2.</v>
      </c>
      <c r="E82" s="183" t="s">
        <v>1464</v>
      </c>
      <c r="F82" s="193" t="s">
        <v>1519</v>
      </c>
      <c r="G82" s="193"/>
      <c r="H82" s="163" t="s">
        <v>1581</v>
      </c>
      <c r="I82" s="135"/>
      <c r="J82" s="135"/>
    </row>
    <row r="83" spans="1:10" customFormat="1" ht="56.25" hidden="1" x14ac:dyDescent="0.25">
      <c r="A83" s="200">
        <f t="shared" si="2"/>
        <v>530</v>
      </c>
      <c r="B83" s="231" t="str">
        <f>Suite&amp;" Electrical Room "&amp;SWThree</f>
        <v>G104 Electrical Room XXX</v>
      </c>
      <c r="C83" s="183" t="str">
        <f>"UPS "&amp;SWThree&amp;"1 Battery Cabinets"</f>
        <v>UPS XXX1 Battery Cabinets</v>
      </c>
      <c r="D83" s="186" t="s">
        <v>1518</v>
      </c>
      <c r="E83" s="183" t="s">
        <v>1464</v>
      </c>
      <c r="F83" s="193" t="s">
        <v>1519</v>
      </c>
      <c r="G83" s="193"/>
      <c r="H83" s="163" t="s">
        <v>1581</v>
      </c>
      <c r="I83" s="135"/>
      <c r="J83" s="135"/>
    </row>
    <row r="84" spans="1:10" customFormat="1" ht="56.25" hidden="1" x14ac:dyDescent="0.25">
      <c r="A84" s="200">
        <f t="shared" si="2"/>
        <v>531</v>
      </c>
      <c r="B84" s="231" t="str">
        <f>Suite&amp;" Electrical Room "&amp;SWThree</f>
        <v>G104 Electrical Room XXX</v>
      </c>
      <c r="C84" s="183" t="str">
        <f>"UPS "&amp;SWThree&amp;"1 Battery Cabinets"</f>
        <v>UPS XXX1 Battery Cabinets</v>
      </c>
      <c r="D84" s="186" t="str" cm="1">
        <f t="array" ref="D84">"OPEN Battery Breaker Q7C at Cabinet " &amp; SWThree &amp; "1-3."</f>
        <v>OPEN Battery Breaker Q7C at Cabinet XXX1-3.</v>
      </c>
      <c r="E84" s="183" t="s">
        <v>1464</v>
      </c>
      <c r="F84" s="193" t="s">
        <v>1519</v>
      </c>
      <c r="G84" s="193"/>
      <c r="H84" s="163" t="s">
        <v>1581</v>
      </c>
      <c r="I84" s="135"/>
      <c r="J84" s="135"/>
    </row>
    <row r="85" spans="1:10" customFormat="1" ht="56.25" hidden="1" x14ac:dyDescent="0.25">
      <c r="A85" s="200">
        <f t="shared" si="2"/>
        <v>532</v>
      </c>
      <c r="B85" s="231" t="str">
        <f>Suite&amp;" Electrical Room "&amp;SWThree</f>
        <v>G104 Electrical Room XXX</v>
      </c>
      <c r="C85" s="183" t="str">
        <f>"UPS "&amp;SWThree&amp;"1 Battery Cabinets"</f>
        <v>UPS XXX1 Battery Cabinets</v>
      </c>
      <c r="D85" s="177" t="str" cm="1">
        <f t="array" ref="D85">"Apply LOTO to Battery Breaker Q7C at Cabinet " &amp; SWThree &amp; "1-3."</f>
        <v>Apply LOTO to Battery Breaker Q7C at Cabinet XXX1-3.</v>
      </c>
      <c r="E85" s="183" t="s">
        <v>1464</v>
      </c>
      <c r="F85" s="193" t="s">
        <v>1519</v>
      </c>
      <c r="G85" s="193"/>
      <c r="H85" s="163" t="s">
        <v>1581</v>
      </c>
      <c r="I85" s="135"/>
      <c r="J85" s="135"/>
    </row>
    <row r="86" spans="1:10" customFormat="1" ht="56.25" hidden="1" x14ac:dyDescent="0.25">
      <c r="A86" s="200">
        <f t="shared" si="2"/>
        <v>533</v>
      </c>
      <c r="B86" s="231" t="str">
        <f>Suite&amp;" Electrical Room "&amp;SWThree</f>
        <v>G104 Electrical Room XXX</v>
      </c>
      <c r="C86" s="183" t="str">
        <f>"UPS "&amp;SWThree&amp;"1 Battery Cabinets"</f>
        <v>UPS XXX1 Battery Cabinets</v>
      </c>
      <c r="D86" s="186" t="s">
        <v>1518</v>
      </c>
      <c r="E86" s="183" t="s">
        <v>1464</v>
      </c>
      <c r="F86" s="193" t="s">
        <v>1519</v>
      </c>
      <c r="G86" s="193"/>
      <c r="H86" s="163" t="s">
        <v>1581</v>
      </c>
      <c r="I86" s="135"/>
      <c r="J86" s="135"/>
    </row>
    <row r="87" spans="1:10" customFormat="1" ht="56.25" hidden="1" x14ac:dyDescent="0.25">
      <c r="A87" s="200">
        <f t="shared" si="2"/>
        <v>534</v>
      </c>
      <c r="B87" s="231" t="str">
        <f>Suite&amp;" Electrical Room "&amp;SWThree</f>
        <v>G104 Electrical Room XXX</v>
      </c>
      <c r="C87" s="183" t="str">
        <f>"UPS "&amp;SWThree&amp;"1 Battery Cabinets"</f>
        <v>UPS XXX1 Battery Cabinets</v>
      </c>
      <c r="D87" s="186" t="str" cm="1">
        <f t="array" ref="D87">"OPEN Battery Breaker Q8A at Cabinet " &amp; SWThree &amp; "1-4."</f>
        <v>OPEN Battery Breaker Q8A at Cabinet XXX1-4.</v>
      </c>
      <c r="E87" s="183" t="s">
        <v>1464</v>
      </c>
      <c r="F87" s="193" t="s">
        <v>1519</v>
      </c>
      <c r="G87" s="193"/>
      <c r="H87" s="163" t="s">
        <v>1581</v>
      </c>
      <c r="I87" s="135"/>
      <c r="J87" s="135"/>
    </row>
    <row r="88" spans="1:10" customFormat="1" ht="56.25" hidden="1" x14ac:dyDescent="0.25">
      <c r="A88" s="200">
        <f t="shared" si="2"/>
        <v>535</v>
      </c>
      <c r="B88" s="231" t="str">
        <f>Suite&amp;" Electrical Room "&amp;SWThree</f>
        <v>G104 Electrical Room XXX</v>
      </c>
      <c r="C88" s="183" t="str">
        <f>"UPS "&amp;SWThree&amp;"1 Battery Cabinets"</f>
        <v>UPS XXX1 Battery Cabinets</v>
      </c>
      <c r="D88" s="177" t="str" cm="1">
        <f t="array" ref="D88">"Apply LOTO to Battery Breaker Q8A at Cabinet " &amp; SWThree &amp; "1-4."</f>
        <v>Apply LOTO to Battery Breaker Q8A at Cabinet XXX1-4.</v>
      </c>
      <c r="E88" s="183" t="s">
        <v>1464</v>
      </c>
      <c r="F88" s="193" t="s">
        <v>1519</v>
      </c>
      <c r="G88" s="193"/>
      <c r="H88" s="163" t="s">
        <v>1581</v>
      </c>
      <c r="I88" s="135"/>
      <c r="J88" s="135"/>
    </row>
    <row r="89" spans="1:10" customFormat="1" ht="56.25" hidden="1" x14ac:dyDescent="0.25">
      <c r="A89" s="200">
        <f t="shared" si="2"/>
        <v>536</v>
      </c>
      <c r="B89" s="231" t="str">
        <f>Suite&amp;" Electrical Room "&amp;SWThree</f>
        <v>G104 Electrical Room XXX</v>
      </c>
      <c r="C89" s="183" t="str">
        <f>"UPS "&amp;SWThree&amp;"1 Battery Cabinets"</f>
        <v>UPS XXX1 Battery Cabinets</v>
      </c>
      <c r="D89" s="186" t="s">
        <v>1518</v>
      </c>
      <c r="E89" s="183" t="s">
        <v>1464</v>
      </c>
      <c r="F89" s="193" t="s">
        <v>1519</v>
      </c>
      <c r="G89" s="193"/>
      <c r="H89" s="163" t="s">
        <v>1581</v>
      </c>
      <c r="I89" s="135"/>
      <c r="J89" s="135"/>
    </row>
    <row r="90" spans="1:10" customFormat="1" ht="56.25" hidden="1" x14ac:dyDescent="0.25">
      <c r="A90" s="200">
        <f t="shared" si="2"/>
        <v>537</v>
      </c>
      <c r="B90" s="231" t="str">
        <f>Suite&amp;" Electrical Room "&amp;SWThree</f>
        <v>G104 Electrical Room XXX</v>
      </c>
      <c r="C90" s="183" t="str">
        <f>"UPS "&amp;SWThree&amp;"1 Battery Cabinets"</f>
        <v>UPS XXX1 Battery Cabinets</v>
      </c>
      <c r="D90" s="186" t="str" cm="1">
        <f t="array" ref="D90">"OPEN Battery Breaker Q8B at Cabinet " &amp; SWThree &amp; "1-5."</f>
        <v>OPEN Battery Breaker Q8B at Cabinet XXX1-5.</v>
      </c>
      <c r="E90" s="183" t="s">
        <v>1464</v>
      </c>
      <c r="F90" s="193" t="s">
        <v>1519</v>
      </c>
      <c r="G90" s="193"/>
      <c r="H90" s="163" t="s">
        <v>1581</v>
      </c>
      <c r="I90" s="135"/>
      <c r="J90" s="135"/>
    </row>
    <row r="91" spans="1:10" customFormat="1" ht="56.25" hidden="1" x14ac:dyDescent="0.25">
      <c r="A91" s="200">
        <f t="shared" si="2"/>
        <v>538</v>
      </c>
      <c r="B91" s="231" t="str">
        <f>Suite&amp;" Electrical Room "&amp;SWThree</f>
        <v>G104 Electrical Room XXX</v>
      </c>
      <c r="C91" s="183" t="str">
        <f>"UPS "&amp;SWThree&amp;"1 Battery Cabinets"</f>
        <v>UPS XXX1 Battery Cabinets</v>
      </c>
      <c r="D91" s="186" t="str" cm="1">
        <f t="array" ref="D91">"Apply LOTO to Battery Breaker Q8B at Cabinet " &amp; SWThree &amp; "1-5."</f>
        <v>Apply LOTO to Battery Breaker Q8B at Cabinet XXX1-5.</v>
      </c>
      <c r="E91" s="183" t="s">
        <v>1464</v>
      </c>
      <c r="F91" s="193" t="s">
        <v>1519</v>
      </c>
      <c r="G91" s="193"/>
      <c r="H91" s="163" t="s">
        <v>1581</v>
      </c>
      <c r="I91" s="135"/>
      <c r="J91" s="135"/>
    </row>
    <row r="92" spans="1:10" customFormat="1" ht="56.25" hidden="1" x14ac:dyDescent="0.25">
      <c r="A92" s="200">
        <f t="shared" si="2"/>
        <v>539</v>
      </c>
      <c r="B92" s="231" t="str">
        <f>Suite&amp;" Electrical Room "&amp;SWThree</f>
        <v>G104 Electrical Room XXX</v>
      </c>
      <c r="C92" s="183" t="str">
        <f>"UPS "&amp;SWThree&amp;"1 Battery Cabinets"</f>
        <v>UPS XXX1 Battery Cabinets</v>
      </c>
      <c r="D92" s="186" t="s">
        <v>1518</v>
      </c>
      <c r="E92" s="183" t="s">
        <v>1464</v>
      </c>
      <c r="F92" s="193" t="s">
        <v>1519</v>
      </c>
      <c r="G92" s="193"/>
      <c r="H92" s="163" t="s">
        <v>1581</v>
      </c>
      <c r="I92" s="135"/>
      <c r="J92" s="135"/>
    </row>
    <row r="93" spans="1:10" customFormat="1" ht="56.25" hidden="1" x14ac:dyDescent="0.25">
      <c r="A93" s="200">
        <f t="shared" si="2"/>
        <v>540</v>
      </c>
      <c r="B93" s="231" t="str">
        <f>Suite&amp;" Electrical Room "&amp;SWThree</f>
        <v>G104 Electrical Room XXX</v>
      </c>
      <c r="C93" s="183" t="str">
        <f>"UPS "&amp;SWThree&amp;"1 Battery Cabinets"</f>
        <v>UPS XXX1 Battery Cabinets</v>
      </c>
      <c r="D93" s="186" t="str" cm="1">
        <f t="array" ref="D93">"OPEN Battery Breaker Q8C at Cabinet " &amp; SWThree &amp; "1-6."</f>
        <v>OPEN Battery Breaker Q8C at Cabinet XXX1-6.</v>
      </c>
      <c r="E93" s="183" t="s">
        <v>1464</v>
      </c>
      <c r="F93" s="193" t="s">
        <v>1519</v>
      </c>
      <c r="G93" s="193"/>
      <c r="H93" s="163" t="s">
        <v>1581</v>
      </c>
      <c r="I93" s="135"/>
      <c r="J93" s="135"/>
    </row>
    <row r="94" spans="1:10" customFormat="1" ht="56.25" hidden="1" x14ac:dyDescent="0.25">
      <c r="A94" s="200">
        <f t="shared" si="2"/>
        <v>541</v>
      </c>
      <c r="B94" s="231" t="str">
        <f>Suite&amp;" Electrical Room "&amp;SWThree</f>
        <v>G104 Electrical Room XXX</v>
      </c>
      <c r="C94" s="183" t="str">
        <f>"UPS "&amp;SWThree&amp;"1 Battery Cabinets"</f>
        <v>UPS XXX1 Battery Cabinets</v>
      </c>
      <c r="D94" s="177" t="str" cm="1">
        <f t="array" ref="D94">"Apply LOTO to Battery Breaker Q8C at Cabinet " &amp; SWThree &amp; "1-6."</f>
        <v>Apply LOTO to Battery Breaker Q8C at Cabinet XXX1-6.</v>
      </c>
      <c r="E94" s="183" t="s">
        <v>1464</v>
      </c>
      <c r="F94" s="193" t="s">
        <v>1519</v>
      </c>
      <c r="G94" s="193"/>
      <c r="H94" s="163" t="s">
        <v>1581</v>
      </c>
      <c r="I94" s="135"/>
      <c r="J94" s="135"/>
    </row>
    <row r="95" spans="1:10" customFormat="1" ht="56.25" hidden="1" x14ac:dyDescent="0.25">
      <c r="A95" s="200">
        <f t="shared" si="2"/>
        <v>542</v>
      </c>
      <c r="B95" s="231" t="str">
        <f>Suite&amp;" Electrical Room "&amp;SWThree</f>
        <v>G104 Electrical Room XXX</v>
      </c>
      <c r="C95" s="183" t="str">
        <f>"UPS "&amp;SWThree&amp;"1 Battery Cabinets"</f>
        <v>UPS XXX1 Battery Cabinets</v>
      </c>
      <c r="D95" s="186" t="s">
        <v>1518</v>
      </c>
      <c r="E95" s="183" t="s">
        <v>1464</v>
      </c>
      <c r="F95" s="193" t="s">
        <v>1519</v>
      </c>
      <c r="G95" s="193"/>
      <c r="H95" s="163" t="s">
        <v>1581</v>
      </c>
      <c r="I95" s="135"/>
      <c r="J95" s="135"/>
    </row>
    <row r="96" spans="1:10" customFormat="1" ht="37.5" x14ac:dyDescent="0.25">
      <c r="A96" s="200">
        <f>IF(NumberOfICDs=4, A77+1, A95+1)</f>
        <v>543</v>
      </c>
      <c r="B96" s="231" t="str">
        <f>Suite&amp;" Electrical Room "&amp;SWThree</f>
        <v>G104 Electrical Room XXX</v>
      </c>
      <c r="C96" s="183" t="str">
        <f>"SW"&amp;SWThree</f>
        <v>SWXXX</v>
      </c>
      <c r="D96" s="186" t="str" cm="1">
        <f t="array" ref="D96">"OPEN breaker UPS-" &amp; SWThree &amp; "1."</f>
        <v>OPEN breaker UPS-XXX1.</v>
      </c>
      <c r="E96" s="183" t="s">
        <v>1464</v>
      </c>
      <c r="F96" s="193" t="s">
        <v>1519</v>
      </c>
      <c r="G96" s="193"/>
      <c r="H96" s="135"/>
      <c r="I96" s="135"/>
      <c r="J96" s="135"/>
    </row>
    <row r="97" spans="1:15" customFormat="1" ht="37.5" x14ac:dyDescent="0.25">
      <c r="A97" s="200">
        <f t="shared" ref="A97:A118" si="3">A96+1</f>
        <v>544</v>
      </c>
      <c r="B97" s="231" t="str">
        <f>Suite&amp;" Electrical Room "&amp;SWThree</f>
        <v>G104 Electrical Room XXX</v>
      </c>
      <c r="C97" s="183" t="str">
        <f>"SW"&amp;SWThree</f>
        <v>SWXXX</v>
      </c>
      <c r="D97" s="186" t="str" cm="1">
        <f t="array" ref="D97">"Apply LOTO to breaker UPS-" &amp; SWThree &amp; "1."</f>
        <v>Apply LOTO to breaker UPS-XXX1.</v>
      </c>
      <c r="E97" s="183" t="s">
        <v>1464</v>
      </c>
      <c r="F97" s="193"/>
      <c r="G97" s="193"/>
      <c r="H97" s="135"/>
      <c r="I97" s="135"/>
      <c r="J97" s="135"/>
    </row>
    <row r="98" spans="1:15" customFormat="1" ht="37.5" x14ac:dyDescent="0.25">
      <c r="A98" s="200">
        <f t="shared" si="3"/>
        <v>545</v>
      </c>
      <c r="B98" s="231" t="str">
        <f>Suite&amp;" Electrical Room "&amp;SWThree</f>
        <v>G104 Electrical Room XXX</v>
      </c>
      <c r="C98" s="183" t="str">
        <f>"SW"&amp;SWThree</f>
        <v>SWXXX</v>
      </c>
      <c r="D98" s="186" t="s">
        <v>1518</v>
      </c>
      <c r="E98" s="183" t="s">
        <v>1464</v>
      </c>
      <c r="F98" s="193"/>
      <c r="G98" s="193"/>
      <c r="H98" s="135"/>
      <c r="I98" s="135"/>
      <c r="J98" s="135"/>
    </row>
    <row r="99" spans="1:15" customFormat="1" ht="37.5" x14ac:dyDescent="0.25">
      <c r="A99" s="200">
        <f t="shared" si="3"/>
        <v>546</v>
      </c>
      <c r="B99" s="231" t="str">
        <f>Suite&amp;" Electrical Room "&amp;SWThree</f>
        <v>G104 Electrical Room XXX</v>
      </c>
      <c r="C99" s="183" t="s">
        <v>1566</v>
      </c>
      <c r="D99" s="233" t="s">
        <v>1582</v>
      </c>
      <c r="E99" s="183" t="s">
        <v>1464</v>
      </c>
      <c r="F99" s="193" t="s">
        <v>1519</v>
      </c>
      <c r="G99" s="193"/>
      <c r="H99" s="135"/>
      <c r="I99" s="135"/>
      <c r="J99" s="135"/>
    </row>
    <row r="100" spans="1:15" customFormat="1" ht="37.5" x14ac:dyDescent="0.25">
      <c r="A100" s="200">
        <f t="shared" si="3"/>
        <v>547</v>
      </c>
      <c r="B100" s="231" t="str">
        <f>Suite&amp;" Electrical Room "&amp;SWThree</f>
        <v>G104 Electrical Room XXX</v>
      </c>
      <c r="C100" s="183" t="str">
        <f>"UPS "&amp;SWThree&amp;"2"</f>
        <v>UPS XXX2</v>
      </c>
      <c r="D100" s="233" t="s">
        <v>1576</v>
      </c>
      <c r="E100" s="183" t="s">
        <v>1464</v>
      </c>
      <c r="F100" s="193"/>
      <c r="G100" s="193"/>
      <c r="H100" s="135"/>
      <c r="I100" s="135"/>
      <c r="J100" s="135"/>
    </row>
    <row r="101" spans="1:15" customFormat="1" ht="37.5" x14ac:dyDescent="0.25">
      <c r="A101" s="200">
        <f t="shared" si="3"/>
        <v>548</v>
      </c>
      <c r="B101" s="231" t="str">
        <f>Suite&amp;" Electrical Room "&amp;SWThree</f>
        <v>G104 Electrical Room XXX</v>
      </c>
      <c r="C101" s="183" t="str">
        <f>"UPS "&amp;SWThree&amp;"2"</f>
        <v>UPS XXX2</v>
      </c>
      <c r="D101" s="233" t="s">
        <v>1577</v>
      </c>
      <c r="E101" s="183" t="s">
        <v>1464</v>
      </c>
      <c r="F101" s="193"/>
      <c r="G101" s="193"/>
      <c r="H101" s="135"/>
      <c r="I101" s="135"/>
      <c r="J101" s="135"/>
    </row>
    <row r="102" spans="1:15" customFormat="1" ht="37.5" x14ac:dyDescent="0.25">
      <c r="A102" s="200">
        <f t="shared" si="3"/>
        <v>549</v>
      </c>
      <c r="B102" s="231" t="str">
        <f>Suite&amp;" Electrical Room "&amp;SWThree</f>
        <v>G104 Electrical Room XXX</v>
      </c>
      <c r="C102" s="183" t="s">
        <v>1566</v>
      </c>
      <c r="D102" s="233" t="s">
        <v>1583</v>
      </c>
      <c r="E102" s="183" t="s">
        <v>1464</v>
      </c>
      <c r="F102" s="193"/>
      <c r="G102" s="193"/>
      <c r="H102" s="135"/>
      <c r="I102" s="135"/>
      <c r="J102" s="135"/>
    </row>
    <row r="103" spans="1:15" customFormat="1" ht="37.5" x14ac:dyDescent="0.25">
      <c r="A103" s="200">
        <f t="shared" si="3"/>
        <v>550</v>
      </c>
      <c r="B103" s="231" t="str">
        <f>Suite&amp;" Electrical Room "&amp;SWThree</f>
        <v>G104 Electrical Room XXX</v>
      </c>
      <c r="C103" s="183" t="str">
        <f>"UP"&amp;SWThree</f>
        <v>UPXXX</v>
      </c>
      <c r="D103" s="233" t="str" cm="1">
        <f t="array" ref="D103">"OPEN breaker DP-" &amp; SWThree &amp; "2."</f>
        <v>OPEN breaker DP-XXX2.</v>
      </c>
      <c r="E103" s="183" t="s">
        <v>1464</v>
      </c>
      <c r="F103" s="193"/>
      <c r="G103" s="193"/>
      <c r="H103" s="135"/>
      <c r="I103" s="135"/>
      <c r="J103" s="135"/>
    </row>
    <row r="104" spans="1:15" customFormat="1" ht="37.5" x14ac:dyDescent="0.25">
      <c r="A104" s="200">
        <f t="shared" si="3"/>
        <v>551</v>
      </c>
      <c r="B104" s="231" t="str">
        <f>Suite&amp;" Electrical Room "&amp;SWThree</f>
        <v>G104 Electrical Room XXX</v>
      </c>
      <c r="C104" s="183" t="str">
        <f>"UP"&amp;SWThree</f>
        <v>UPXXX</v>
      </c>
      <c r="D104" s="186" t="str" cm="1">
        <f t="array" ref="D104">"Apply LOTO to breaker DP-" &amp; SWThree &amp; "2."</f>
        <v>Apply LOTO to breaker DP-XXX2.</v>
      </c>
      <c r="E104" s="183" t="s">
        <v>1464</v>
      </c>
      <c r="F104" s="193"/>
      <c r="G104" s="193"/>
      <c r="H104" s="135"/>
      <c r="I104" s="135"/>
      <c r="J104" s="135"/>
    </row>
    <row r="105" spans="1:15" customFormat="1" ht="37.5" x14ac:dyDescent="0.25">
      <c r="A105" s="200">
        <f t="shared" si="3"/>
        <v>552</v>
      </c>
      <c r="B105" s="231" t="str">
        <f>Suite&amp;" Electrical Room "&amp;SWThree</f>
        <v>G104 Electrical Room XXX</v>
      </c>
      <c r="C105" s="183" t="str">
        <f>"UP"&amp;SWThree</f>
        <v>UPXXX</v>
      </c>
      <c r="D105" s="186" t="s">
        <v>1518</v>
      </c>
      <c r="E105" s="183" t="s">
        <v>1464</v>
      </c>
      <c r="F105" s="193"/>
      <c r="G105" s="193"/>
      <c r="H105" s="135"/>
      <c r="I105" s="135"/>
      <c r="J105" s="135"/>
    </row>
    <row r="106" spans="1:15" customFormat="1" ht="56.25" x14ac:dyDescent="0.25">
      <c r="A106" s="200">
        <f t="shared" si="3"/>
        <v>553</v>
      </c>
      <c r="B106" s="231" t="str">
        <f>Suite&amp;" Electrical Room "&amp;SWThree</f>
        <v>G104 Electrical Room XXX</v>
      </c>
      <c r="C106" s="183" t="str">
        <f>"UPS "&amp;SWThree&amp;"2 Battery Cabinets"</f>
        <v>UPS XXX2 Battery Cabinets</v>
      </c>
      <c r="D106" s="233" t="s">
        <v>1579</v>
      </c>
      <c r="E106" s="183" t="s">
        <v>1464</v>
      </c>
      <c r="F106" s="193"/>
      <c r="G106" s="193"/>
      <c r="H106" s="135"/>
      <c r="I106" s="135"/>
      <c r="J106" s="135"/>
    </row>
    <row r="107" spans="1:15" customFormat="1" ht="56.25" x14ac:dyDescent="0.25">
      <c r="A107" s="200">
        <f t="shared" si="3"/>
        <v>554</v>
      </c>
      <c r="B107" s="231" t="str">
        <f>Suite&amp;" Electrical Room "&amp;SWThree</f>
        <v>G104 Electrical Room XXX</v>
      </c>
      <c r="C107" s="183" t="str">
        <f>"UPS "&amp;SWThree&amp;"2 Battery Cabinets"</f>
        <v>UPS XXX2 Battery Cabinets</v>
      </c>
      <c r="D107" s="233" t="str" cm="1">
        <f t="array" ref="D107">"OPEN Battery Breaker Q7A at Cabinet " &amp; SWThree &amp; "2-1."</f>
        <v>OPEN Battery Breaker Q7A at Cabinet XXX2-1.</v>
      </c>
      <c r="E107" s="183" t="s">
        <v>1464</v>
      </c>
      <c r="F107" s="193" t="s">
        <v>1519</v>
      </c>
      <c r="G107" s="193"/>
      <c r="H107" s="163" t="s">
        <v>1580</v>
      </c>
      <c r="I107" s="135"/>
      <c r="J107" s="135"/>
    </row>
    <row r="108" spans="1:15" customFormat="1" ht="56.25" x14ac:dyDescent="0.25">
      <c r="A108" s="200">
        <f t="shared" si="3"/>
        <v>555</v>
      </c>
      <c r="B108" s="231" t="str">
        <f>Suite&amp;" Electrical Room "&amp;SWThree</f>
        <v>G104 Electrical Room XXX</v>
      </c>
      <c r="C108" s="183" t="str">
        <f>"UPS "&amp;SWThree&amp;"2 Battery Cabinets"</f>
        <v>UPS XXX2 Battery Cabinets</v>
      </c>
      <c r="D108" s="177" t="str" cm="1">
        <f t="array" ref="D108">"Apply LOTO to Battery Breaker Q7A at Cabinet " &amp; SWThree &amp; "2-1."</f>
        <v>Apply LOTO to Battery Breaker Q7A at Cabinet XXX2-1.</v>
      </c>
      <c r="E108" s="183" t="s">
        <v>1464</v>
      </c>
      <c r="F108" s="193" t="s">
        <v>1519</v>
      </c>
      <c r="G108" s="193"/>
      <c r="H108" s="163" t="s">
        <v>1580</v>
      </c>
      <c r="I108" s="135"/>
      <c r="J108" s="135"/>
    </row>
    <row r="109" spans="1:15" customFormat="1" ht="56.25" x14ac:dyDescent="0.25">
      <c r="A109" s="200">
        <f t="shared" si="3"/>
        <v>556</v>
      </c>
      <c r="B109" s="231" t="str">
        <f>Suite&amp;" Electrical Room "&amp;SWThree</f>
        <v>G104 Electrical Room XXX</v>
      </c>
      <c r="C109" s="183" t="str">
        <f>"UPS "&amp;SWThree&amp;"2 Battery Cabinets"</f>
        <v>UPS XXX2 Battery Cabinets</v>
      </c>
      <c r="D109" s="186" t="s">
        <v>1518</v>
      </c>
      <c r="E109" s="183" t="s">
        <v>1464</v>
      </c>
      <c r="F109" s="193" t="s">
        <v>1519</v>
      </c>
      <c r="G109" s="193"/>
      <c r="H109" s="163" t="s">
        <v>1580</v>
      </c>
      <c r="I109" s="135"/>
      <c r="J109" s="135"/>
    </row>
    <row r="110" spans="1:15" customFormat="1" ht="56.25" x14ac:dyDescent="0.25">
      <c r="A110" s="200">
        <f t="shared" si="3"/>
        <v>557</v>
      </c>
      <c r="B110" s="231" t="str">
        <f>Suite&amp;" Electrical Room "&amp;SWThree</f>
        <v>G104 Electrical Room XXX</v>
      </c>
      <c r="C110" s="183" t="str">
        <f>"UPS "&amp;SWThree&amp;"2 Battery Cabinets"</f>
        <v>UPS XXX2 Battery Cabinets</v>
      </c>
      <c r="D110" s="233" t="str" cm="1">
        <f t="array" ref="D110">"OPEN Battery Breaker Q7B at Cabinet " &amp; SWThree &amp; "2-2."</f>
        <v>OPEN Battery Breaker Q7B at Cabinet XXX2-2.</v>
      </c>
      <c r="E110" s="183" t="s">
        <v>1464</v>
      </c>
      <c r="F110" s="193" t="s">
        <v>1519</v>
      </c>
      <c r="G110" s="193"/>
      <c r="H110" s="163" t="s">
        <v>1580</v>
      </c>
      <c r="I110" s="135"/>
      <c r="J110" s="164"/>
      <c r="K110" s="4"/>
      <c r="L110" s="4"/>
      <c r="M110" s="4"/>
      <c r="N110" s="4"/>
      <c r="O110" s="4"/>
    </row>
    <row r="111" spans="1:15" customFormat="1" ht="56.25" x14ac:dyDescent="0.25">
      <c r="A111" s="200">
        <f t="shared" si="3"/>
        <v>558</v>
      </c>
      <c r="B111" s="231" t="str">
        <f>Suite&amp;" Electrical Room "&amp;SWThree</f>
        <v>G104 Electrical Room XXX</v>
      </c>
      <c r="C111" s="183" t="str">
        <f>"UPS "&amp;SWThree&amp;"2 Battery Cabinets"</f>
        <v>UPS XXX2 Battery Cabinets</v>
      </c>
      <c r="D111" s="177" t="str" cm="1">
        <f t="array" ref="D111">"Apply LOTO to Battery Breaker Q7B at Cabinet " &amp; SWThree &amp; "2-2."</f>
        <v>Apply LOTO to Battery Breaker Q7B at Cabinet XXX2-2.</v>
      </c>
      <c r="E111" s="183" t="s">
        <v>1464</v>
      </c>
      <c r="F111" s="193" t="s">
        <v>1519</v>
      </c>
      <c r="G111" s="193"/>
      <c r="H111" s="163" t="s">
        <v>1580</v>
      </c>
      <c r="I111" s="135"/>
      <c r="J111" s="135"/>
    </row>
    <row r="112" spans="1:15" customFormat="1" ht="56.25" x14ac:dyDescent="0.25">
      <c r="A112" s="200">
        <f t="shared" si="3"/>
        <v>559</v>
      </c>
      <c r="B112" s="231" t="str">
        <f>Suite&amp;" Electrical Room "&amp;SWThree</f>
        <v>G104 Electrical Room XXX</v>
      </c>
      <c r="C112" s="183" t="str">
        <f>"UPS "&amp;SWThree&amp;"2 Battery Cabinets"</f>
        <v>UPS XXX2 Battery Cabinets</v>
      </c>
      <c r="D112" s="186" t="s">
        <v>1518</v>
      </c>
      <c r="E112" s="183" t="s">
        <v>1464</v>
      </c>
      <c r="F112" s="193" t="s">
        <v>1519</v>
      </c>
      <c r="G112" s="193"/>
      <c r="H112" s="163" t="s">
        <v>1580</v>
      </c>
      <c r="I112" s="135"/>
      <c r="J112" s="135"/>
    </row>
    <row r="113" spans="1:10" customFormat="1" ht="56.25" x14ac:dyDescent="0.25">
      <c r="A113" s="200">
        <f t="shared" si="3"/>
        <v>560</v>
      </c>
      <c r="B113" s="231" t="str">
        <f>Suite&amp;" Electrical Room "&amp;SWThree</f>
        <v>G104 Electrical Room XXX</v>
      </c>
      <c r="C113" s="183" t="str">
        <f>"UPS "&amp;SWThree&amp;"2 Battery Cabinets"</f>
        <v>UPS XXX2 Battery Cabinets</v>
      </c>
      <c r="D113" s="233" t="str" cm="1">
        <f t="array" ref="D113">"OPEN Battery Breaker Q8A at Cabinet " &amp; SWThree &amp; "2-3."</f>
        <v>OPEN Battery Breaker Q8A at Cabinet XXX2-3.</v>
      </c>
      <c r="E113" s="183" t="s">
        <v>1464</v>
      </c>
      <c r="F113" s="193" t="s">
        <v>1519</v>
      </c>
      <c r="G113" s="193"/>
      <c r="H113" s="163" t="s">
        <v>1580</v>
      </c>
      <c r="I113" s="135"/>
      <c r="J113" s="135"/>
    </row>
    <row r="114" spans="1:10" customFormat="1" ht="56.25" x14ac:dyDescent="0.25">
      <c r="A114" s="200">
        <f t="shared" si="3"/>
        <v>561</v>
      </c>
      <c r="B114" s="231" t="str">
        <f>Suite&amp;" Electrical Room "&amp;SWThree</f>
        <v>G104 Electrical Room XXX</v>
      </c>
      <c r="C114" s="183" t="str">
        <f>"UPS "&amp;SWThree&amp;"2 Battery Cabinets"</f>
        <v>UPS XXX2 Battery Cabinets</v>
      </c>
      <c r="D114" s="177" t="str" cm="1">
        <f t="array" ref="D114">"Apply LOTO to Battery Breaker Q8A at Cabinet " &amp; SWThree &amp; "2-3."</f>
        <v>Apply LOTO to Battery Breaker Q8A at Cabinet XXX2-3.</v>
      </c>
      <c r="E114" s="183" t="s">
        <v>1464</v>
      </c>
      <c r="F114" s="193" t="s">
        <v>1519</v>
      </c>
      <c r="G114" s="193"/>
      <c r="H114" s="163" t="s">
        <v>1580</v>
      </c>
      <c r="I114" s="135"/>
      <c r="J114" s="135"/>
    </row>
    <row r="115" spans="1:10" customFormat="1" ht="56.25" x14ac:dyDescent="0.25">
      <c r="A115" s="200">
        <f t="shared" si="3"/>
        <v>562</v>
      </c>
      <c r="B115" s="231" t="str">
        <f>Suite&amp;" Electrical Room "&amp;SWThree</f>
        <v>G104 Electrical Room XXX</v>
      </c>
      <c r="C115" s="183" t="str">
        <f>"UPS "&amp;SWThree&amp;"2 Battery Cabinets"</f>
        <v>UPS XXX2 Battery Cabinets</v>
      </c>
      <c r="D115" s="186" t="s">
        <v>1518</v>
      </c>
      <c r="E115" s="183" t="s">
        <v>1464</v>
      </c>
      <c r="F115" s="193" t="s">
        <v>1519</v>
      </c>
      <c r="G115" s="193"/>
      <c r="H115" s="163" t="s">
        <v>1580</v>
      </c>
      <c r="I115" s="135"/>
      <c r="J115" s="135"/>
    </row>
    <row r="116" spans="1:10" customFormat="1" ht="56.25" x14ac:dyDescent="0.25">
      <c r="A116" s="200">
        <f t="shared" si="3"/>
        <v>563</v>
      </c>
      <c r="B116" s="231" t="str">
        <f>Suite&amp;" Electrical Room "&amp;SWThree</f>
        <v>G104 Electrical Room XXX</v>
      </c>
      <c r="C116" s="183" t="str">
        <f>"UPS "&amp;SWThree&amp;"2 Battery Cabinets"</f>
        <v>UPS XXX2 Battery Cabinets</v>
      </c>
      <c r="D116" s="233" t="str" cm="1">
        <f t="array" ref="D116">"OPEN Battery Breaker Q8B at Cabinet " &amp; SWThree &amp; "2-4."</f>
        <v>OPEN Battery Breaker Q8B at Cabinet XXX2-4.</v>
      </c>
      <c r="E116" s="183" t="s">
        <v>1464</v>
      </c>
      <c r="F116" s="193" t="s">
        <v>1519</v>
      </c>
      <c r="G116" s="193"/>
      <c r="H116" s="163" t="s">
        <v>1580</v>
      </c>
      <c r="I116" s="135"/>
      <c r="J116" s="135"/>
    </row>
    <row r="117" spans="1:10" customFormat="1" ht="56.25" x14ac:dyDescent="0.25">
      <c r="A117" s="200">
        <f t="shared" si="3"/>
        <v>564</v>
      </c>
      <c r="B117" s="231" t="str">
        <f>Suite&amp;" Electrical Room "&amp;SWThree</f>
        <v>G104 Electrical Room XXX</v>
      </c>
      <c r="C117" s="183" t="str">
        <f>"UPS "&amp;SWThree&amp;"2 Battery Cabinets"</f>
        <v>UPS XXX2 Battery Cabinets</v>
      </c>
      <c r="D117" s="177" t="str" cm="1">
        <f t="array" ref="D117">"Apply LOTO to Battery Breaker Q8B at Cabinet " &amp; SWThree &amp; "2-4."</f>
        <v>Apply LOTO to Battery Breaker Q8B at Cabinet XXX2-4.</v>
      </c>
      <c r="E117" s="183" t="s">
        <v>1464</v>
      </c>
      <c r="F117" s="193" t="s">
        <v>1519</v>
      </c>
      <c r="G117" s="193"/>
      <c r="H117" s="163" t="s">
        <v>1580</v>
      </c>
      <c r="I117" s="135"/>
      <c r="J117" s="135"/>
    </row>
    <row r="118" spans="1:10" customFormat="1" ht="56.25" x14ac:dyDescent="0.25">
      <c r="A118" s="200">
        <f t="shared" si="3"/>
        <v>565</v>
      </c>
      <c r="B118" s="231" t="str">
        <f>Suite&amp;" Electrical Room "&amp;SWThree</f>
        <v>G104 Electrical Room XXX</v>
      </c>
      <c r="C118" s="183" t="str">
        <f>"UPS "&amp;SWThree&amp;"2 Battery Cabinets"</f>
        <v>UPS XXX2 Battery Cabinets</v>
      </c>
      <c r="D118" s="186" t="s">
        <v>1518</v>
      </c>
      <c r="E118" s="183" t="s">
        <v>1464</v>
      </c>
      <c r="F118" s="193" t="s">
        <v>1519</v>
      </c>
      <c r="G118" s="193"/>
      <c r="H118" s="163" t="s">
        <v>1580</v>
      </c>
      <c r="I118" s="135"/>
      <c r="J118" s="135"/>
    </row>
    <row r="119" spans="1:10" customFormat="1" ht="56.25" hidden="1" x14ac:dyDescent="0.25">
      <c r="A119" s="200">
        <f>A106+1</f>
        <v>554</v>
      </c>
      <c r="B119" s="231" t="str">
        <f>Suite&amp;" Electrical Room "&amp;SWThree</f>
        <v>G104 Electrical Room XXX</v>
      </c>
      <c r="C119" s="183" t="str">
        <f>"UPS "&amp;SWThree&amp;"2 Battery Cabinets"</f>
        <v>UPS XXX2 Battery Cabinets</v>
      </c>
      <c r="D119" s="186" t="str" cm="1">
        <f t="array" ref="D119">"OPEN Battery Breaker Q7A at Cabinet " &amp; SWThree &amp; "2-1."</f>
        <v>OPEN Battery Breaker Q7A at Cabinet XXX2-1.</v>
      </c>
      <c r="E119" s="183" t="s">
        <v>1464</v>
      </c>
      <c r="F119" s="193" t="s">
        <v>1519</v>
      </c>
      <c r="G119" s="193"/>
      <c r="H119" s="163" t="s">
        <v>1581</v>
      </c>
      <c r="I119" s="135"/>
      <c r="J119" s="135"/>
    </row>
    <row r="120" spans="1:10" customFormat="1" ht="56.25" hidden="1" x14ac:dyDescent="0.25">
      <c r="A120" s="200">
        <f t="shared" ref="A120:A136" si="4">A119+1</f>
        <v>555</v>
      </c>
      <c r="B120" s="231" t="str">
        <f>Suite&amp;" Electrical Room "&amp;SWThree</f>
        <v>G104 Electrical Room XXX</v>
      </c>
      <c r="C120" s="183" t="str">
        <f>"UPS "&amp;SWThree&amp;"2 Battery Cabinets"</f>
        <v>UPS XXX2 Battery Cabinets</v>
      </c>
      <c r="D120" s="177" t="str" cm="1">
        <f t="array" ref="D120">"Apply LOTO to Battery Breaker Q7A at Cabinet " &amp; SWThree &amp; "2-1."</f>
        <v>Apply LOTO to Battery Breaker Q7A at Cabinet XXX2-1.</v>
      </c>
      <c r="E120" s="183" t="s">
        <v>1464</v>
      </c>
      <c r="F120" s="193" t="s">
        <v>1519</v>
      </c>
      <c r="G120" s="193"/>
      <c r="H120" s="163" t="s">
        <v>1581</v>
      </c>
      <c r="I120" s="135"/>
      <c r="J120" s="135"/>
    </row>
    <row r="121" spans="1:10" customFormat="1" ht="56.25" hidden="1" x14ac:dyDescent="0.25">
      <c r="A121" s="200">
        <f t="shared" si="4"/>
        <v>556</v>
      </c>
      <c r="B121" s="231" t="str">
        <f>Suite&amp;" Electrical Room "&amp;SWThree</f>
        <v>G104 Electrical Room XXX</v>
      </c>
      <c r="C121" s="183" t="str">
        <f>"UPS "&amp;SWThree&amp;"2 Battery Cabinets"</f>
        <v>UPS XXX2 Battery Cabinets</v>
      </c>
      <c r="D121" s="186" t="s">
        <v>1518</v>
      </c>
      <c r="E121" s="183" t="s">
        <v>1464</v>
      </c>
      <c r="F121" s="193" t="s">
        <v>1519</v>
      </c>
      <c r="G121" s="193"/>
      <c r="H121" s="163" t="s">
        <v>1581</v>
      </c>
      <c r="I121" s="135"/>
      <c r="J121" s="135"/>
    </row>
    <row r="122" spans="1:10" customFormat="1" ht="56.25" hidden="1" x14ac:dyDescent="0.25">
      <c r="A122" s="200">
        <f t="shared" si="4"/>
        <v>557</v>
      </c>
      <c r="B122" s="231" t="str">
        <f>Suite&amp;" Electrical Room "&amp;SWThree</f>
        <v>G104 Electrical Room XXX</v>
      </c>
      <c r="C122" s="183" t="str">
        <f>"UPS "&amp;SWThree&amp;"2 Battery Cabinets"</f>
        <v>UPS XXX2 Battery Cabinets</v>
      </c>
      <c r="D122" s="186" t="str" cm="1">
        <f t="array" ref="D122">"OPEN Battery Breaker Q7B at Cabinet " &amp; SWThree &amp; "2-2."</f>
        <v>OPEN Battery Breaker Q7B at Cabinet XXX2-2.</v>
      </c>
      <c r="E122" s="183" t="s">
        <v>1464</v>
      </c>
      <c r="F122" s="193" t="s">
        <v>1519</v>
      </c>
      <c r="G122" s="193"/>
      <c r="H122" s="163" t="s">
        <v>1581</v>
      </c>
      <c r="I122" s="135"/>
      <c r="J122" s="135"/>
    </row>
    <row r="123" spans="1:10" customFormat="1" ht="56.25" hidden="1" x14ac:dyDescent="0.25">
      <c r="A123" s="200">
        <f t="shared" si="4"/>
        <v>558</v>
      </c>
      <c r="B123" s="231" t="str">
        <f>Suite&amp;" Electrical Room "&amp;SWThree</f>
        <v>G104 Electrical Room XXX</v>
      </c>
      <c r="C123" s="183" t="str">
        <f>"UPS "&amp;SWThree&amp;"2 Battery Cabinets"</f>
        <v>UPS XXX2 Battery Cabinets</v>
      </c>
      <c r="D123" s="177" t="str" cm="1">
        <f t="array" ref="D123">"Apply LOTO to Battery Breaker Q7B at Cabinet " &amp; SWThree &amp; "2-2."</f>
        <v>Apply LOTO to Battery Breaker Q7B at Cabinet XXX2-2.</v>
      </c>
      <c r="E123" s="183" t="s">
        <v>1464</v>
      </c>
      <c r="F123" s="193" t="s">
        <v>1519</v>
      </c>
      <c r="G123" s="193"/>
      <c r="H123" s="163" t="s">
        <v>1581</v>
      </c>
      <c r="I123" s="135"/>
      <c r="J123" s="135"/>
    </row>
    <row r="124" spans="1:10" customFormat="1" ht="56.25" hidden="1" x14ac:dyDescent="0.25">
      <c r="A124" s="200">
        <f t="shared" si="4"/>
        <v>559</v>
      </c>
      <c r="B124" s="231" t="str">
        <f>Suite&amp;" Electrical Room "&amp;SWThree</f>
        <v>G104 Electrical Room XXX</v>
      </c>
      <c r="C124" s="183" t="str">
        <f>"UPS "&amp;SWThree&amp;"2 Battery Cabinets"</f>
        <v>UPS XXX2 Battery Cabinets</v>
      </c>
      <c r="D124" s="186" t="s">
        <v>1518</v>
      </c>
      <c r="E124" s="183" t="s">
        <v>1464</v>
      </c>
      <c r="F124" s="193" t="s">
        <v>1519</v>
      </c>
      <c r="G124" s="193"/>
      <c r="H124" s="163" t="s">
        <v>1581</v>
      </c>
      <c r="I124" s="135"/>
      <c r="J124" s="135"/>
    </row>
    <row r="125" spans="1:10" customFormat="1" ht="56.25" hidden="1" x14ac:dyDescent="0.25">
      <c r="A125" s="200">
        <f t="shared" si="4"/>
        <v>560</v>
      </c>
      <c r="B125" s="231" t="str">
        <f>Suite&amp;" Electrical Room "&amp;SWThree</f>
        <v>G104 Electrical Room XXX</v>
      </c>
      <c r="C125" s="183" t="str">
        <f>"UPS "&amp;SWThree&amp;"2 Battery Cabinets"</f>
        <v>UPS XXX2 Battery Cabinets</v>
      </c>
      <c r="D125" s="186" t="str" cm="1">
        <f t="array" ref="D125">"OPEN Battery Breaker Q7C at Cabinet " &amp; SWThree &amp; "2-3."</f>
        <v>OPEN Battery Breaker Q7C at Cabinet XXX2-3.</v>
      </c>
      <c r="E125" s="183" t="s">
        <v>1464</v>
      </c>
      <c r="F125" s="193" t="s">
        <v>1519</v>
      </c>
      <c r="G125" s="193"/>
      <c r="H125" s="163" t="s">
        <v>1581</v>
      </c>
      <c r="I125" s="135"/>
      <c r="J125" s="135"/>
    </row>
    <row r="126" spans="1:10" customFormat="1" ht="56.25" hidden="1" x14ac:dyDescent="0.25">
      <c r="A126" s="200">
        <f t="shared" si="4"/>
        <v>561</v>
      </c>
      <c r="B126" s="231" t="str">
        <f>Suite&amp;" Electrical Room "&amp;SWThree</f>
        <v>G104 Electrical Room XXX</v>
      </c>
      <c r="C126" s="183" t="str">
        <f>"UPS "&amp;SWThree&amp;"2 Battery Cabinets"</f>
        <v>UPS XXX2 Battery Cabinets</v>
      </c>
      <c r="D126" s="177" t="str" cm="1">
        <f t="array" ref="D126">"Apply LOTO to Battery Breaker Q7C at Cabinet " &amp; SWThree &amp; "2-3."</f>
        <v>Apply LOTO to Battery Breaker Q7C at Cabinet XXX2-3.</v>
      </c>
      <c r="E126" s="183" t="s">
        <v>1464</v>
      </c>
      <c r="F126" s="193" t="s">
        <v>1519</v>
      </c>
      <c r="G126" s="193"/>
      <c r="H126" s="163" t="s">
        <v>1581</v>
      </c>
      <c r="I126" s="135"/>
      <c r="J126" s="135"/>
    </row>
    <row r="127" spans="1:10" customFormat="1" ht="56.25" hidden="1" x14ac:dyDescent="0.25">
      <c r="A127" s="200">
        <f t="shared" si="4"/>
        <v>562</v>
      </c>
      <c r="B127" s="231" t="str">
        <f>Suite&amp;" Electrical Room "&amp;SWThree</f>
        <v>G104 Electrical Room XXX</v>
      </c>
      <c r="C127" s="183" t="str">
        <f>"UPS "&amp;SWThree&amp;"2 Battery Cabinets"</f>
        <v>UPS XXX2 Battery Cabinets</v>
      </c>
      <c r="D127" s="186" t="s">
        <v>1518</v>
      </c>
      <c r="E127" s="183" t="s">
        <v>1464</v>
      </c>
      <c r="F127" s="193" t="s">
        <v>1519</v>
      </c>
      <c r="G127" s="193"/>
      <c r="H127" s="163" t="s">
        <v>1581</v>
      </c>
      <c r="I127" s="135"/>
      <c r="J127" s="135"/>
    </row>
    <row r="128" spans="1:10" customFormat="1" ht="56.25" hidden="1" x14ac:dyDescent="0.25">
      <c r="A128" s="200">
        <f t="shared" si="4"/>
        <v>563</v>
      </c>
      <c r="B128" s="231" t="str">
        <f>Suite&amp;" Electrical Room "&amp;SWThree</f>
        <v>G104 Electrical Room XXX</v>
      </c>
      <c r="C128" s="183" t="str">
        <f>"UPS "&amp;SWThree&amp;"2 Battery Cabinets"</f>
        <v>UPS XXX2 Battery Cabinets</v>
      </c>
      <c r="D128" s="186" t="str" cm="1">
        <f t="array" ref="D128">"OPEN Battery Breaker Q8A at Cabinet " &amp; SWThree &amp; "2-4."</f>
        <v>OPEN Battery Breaker Q8A at Cabinet XXX2-4.</v>
      </c>
      <c r="E128" s="183" t="s">
        <v>1464</v>
      </c>
      <c r="F128" s="193" t="s">
        <v>1519</v>
      </c>
      <c r="G128" s="193"/>
      <c r="H128" s="163" t="s">
        <v>1581</v>
      </c>
      <c r="I128" s="135"/>
      <c r="J128" s="135"/>
    </row>
    <row r="129" spans="1:10" customFormat="1" ht="56.25" hidden="1" x14ac:dyDescent="0.25">
      <c r="A129" s="200">
        <f t="shared" si="4"/>
        <v>564</v>
      </c>
      <c r="B129" s="231" t="str">
        <f>Suite&amp;" Electrical Room "&amp;SWThree</f>
        <v>G104 Electrical Room XXX</v>
      </c>
      <c r="C129" s="183" t="str">
        <f>"UPS "&amp;SWThree&amp;"2 Battery Cabinets"</f>
        <v>UPS XXX2 Battery Cabinets</v>
      </c>
      <c r="D129" s="177" t="str" cm="1">
        <f t="array" ref="D129">"Apply LOTO to Battery Breaker Q8A at Cabinet " &amp; SWThree &amp; "2-4."</f>
        <v>Apply LOTO to Battery Breaker Q8A at Cabinet XXX2-4.</v>
      </c>
      <c r="E129" s="183" t="s">
        <v>1464</v>
      </c>
      <c r="F129" s="193" t="s">
        <v>1519</v>
      </c>
      <c r="G129" s="193"/>
      <c r="H129" s="163" t="s">
        <v>1581</v>
      </c>
      <c r="I129" s="135"/>
      <c r="J129" s="135"/>
    </row>
    <row r="130" spans="1:10" customFormat="1" ht="56.25" hidden="1" x14ac:dyDescent="0.25">
      <c r="A130" s="200">
        <f t="shared" si="4"/>
        <v>565</v>
      </c>
      <c r="B130" s="231" t="str">
        <f>Suite&amp;" Electrical Room "&amp;SWThree</f>
        <v>G104 Electrical Room XXX</v>
      </c>
      <c r="C130" s="183" t="str">
        <f>"UPS "&amp;SWThree&amp;"2 Battery Cabinets"</f>
        <v>UPS XXX2 Battery Cabinets</v>
      </c>
      <c r="D130" s="186" t="s">
        <v>1518</v>
      </c>
      <c r="E130" s="183" t="s">
        <v>1464</v>
      </c>
      <c r="F130" s="193" t="s">
        <v>1519</v>
      </c>
      <c r="G130" s="193"/>
      <c r="H130" s="163" t="s">
        <v>1581</v>
      </c>
      <c r="I130" s="135"/>
      <c r="J130" s="135"/>
    </row>
    <row r="131" spans="1:10" customFormat="1" ht="56.25" hidden="1" x14ac:dyDescent="0.25">
      <c r="A131" s="200">
        <f t="shared" si="4"/>
        <v>566</v>
      </c>
      <c r="B131" s="231" t="str">
        <f>Suite&amp;" Electrical Room "&amp;SWThree</f>
        <v>G104 Electrical Room XXX</v>
      </c>
      <c r="C131" s="183" t="str">
        <f>"UPS "&amp;SWThree&amp;"2 Battery Cabinets"</f>
        <v>UPS XXX2 Battery Cabinets</v>
      </c>
      <c r="D131" s="186" t="str" cm="1">
        <f t="array" ref="D131">"OPEN Battery Breaker Q8B at Cabinet " &amp; SWThree &amp; "2-5."</f>
        <v>OPEN Battery Breaker Q8B at Cabinet XXX2-5.</v>
      </c>
      <c r="E131" s="183" t="s">
        <v>1464</v>
      </c>
      <c r="F131" s="193" t="s">
        <v>1519</v>
      </c>
      <c r="G131" s="193"/>
      <c r="H131" s="163" t="s">
        <v>1581</v>
      </c>
      <c r="I131" s="135"/>
      <c r="J131" s="135"/>
    </row>
    <row r="132" spans="1:10" customFormat="1" ht="56.25" hidden="1" x14ac:dyDescent="0.25">
      <c r="A132" s="200">
        <f t="shared" si="4"/>
        <v>567</v>
      </c>
      <c r="B132" s="231" t="str">
        <f>Suite&amp;" Electrical Room "&amp;SWThree</f>
        <v>G104 Electrical Room XXX</v>
      </c>
      <c r="C132" s="183" t="str">
        <f>"UPS "&amp;SWThree&amp;"2 Battery Cabinets"</f>
        <v>UPS XXX2 Battery Cabinets</v>
      </c>
      <c r="D132" s="186" t="str" cm="1">
        <f t="array" ref="D132">"Apply LOTO to Battery Breaker Q8B at Cabinet " &amp; SWThree &amp; "2-5."</f>
        <v>Apply LOTO to Battery Breaker Q8B at Cabinet XXX2-5.</v>
      </c>
      <c r="E132" s="183" t="s">
        <v>1464</v>
      </c>
      <c r="F132" s="193" t="s">
        <v>1519</v>
      </c>
      <c r="G132" s="193"/>
      <c r="H132" s="163" t="s">
        <v>1581</v>
      </c>
      <c r="I132" s="135"/>
      <c r="J132" s="135"/>
    </row>
    <row r="133" spans="1:10" customFormat="1" ht="56.25" hidden="1" x14ac:dyDescent="0.25">
      <c r="A133" s="200">
        <f t="shared" si="4"/>
        <v>568</v>
      </c>
      <c r="B133" s="231" t="str">
        <f>Suite&amp;" Electrical Room "&amp;SWThree</f>
        <v>G104 Electrical Room XXX</v>
      </c>
      <c r="C133" s="183" t="str">
        <f>"UPS "&amp;SWThree&amp;"2 Battery Cabinets"</f>
        <v>UPS XXX2 Battery Cabinets</v>
      </c>
      <c r="D133" s="186" t="s">
        <v>1518</v>
      </c>
      <c r="E133" s="183" t="s">
        <v>1464</v>
      </c>
      <c r="F133" s="193" t="s">
        <v>1519</v>
      </c>
      <c r="G133" s="193"/>
      <c r="H133" s="163" t="s">
        <v>1581</v>
      </c>
      <c r="I133" s="135"/>
      <c r="J133" s="135"/>
    </row>
    <row r="134" spans="1:10" customFormat="1" ht="56.25" hidden="1" x14ac:dyDescent="0.25">
      <c r="A134" s="200">
        <f t="shared" si="4"/>
        <v>569</v>
      </c>
      <c r="B134" s="231" t="str">
        <f>Suite&amp;" Electrical Room "&amp;SWThree</f>
        <v>G104 Electrical Room XXX</v>
      </c>
      <c r="C134" s="183" t="str">
        <f>"UPS "&amp;SWThree&amp;"2 Battery Cabinets"</f>
        <v>UPS XXX2 Battery Cabinets</v>
      </c>
      <c r="D134" s="186" t="str" cm="1">
        <f t="array" ref="D134">"OPEN Battery Breaker Q8C at Cabinet " &amp; SWThree &amp; "2-6."</f>
        <v>OPEN Battery Breaker Q8C at Cabinet XXX2-6.</v>
      </c>
      <c r="E134" s="183" t="s">
        <v>1464</v>
      </c>
      <c r="F134" s="193" t="s">
        <v>1519</v>
      </c>
      <c r="G134" s="193"/>
      <c r="H134" s="163" t="s">
        <v>1581</v>
      </c>
      <c r="I134" s="135"/>
      <c r="J134" s="135"/>
    </row>
    <row r="135" spans="1:10" customFormat="1" ht="56.25" hidden="1" x14ac:dyDescent="0.25">
      <c r="A135" s="200">
        <f t="shared" si="4"/>
        <v>570</v>
      </c>
      <c r="B135" s="231" t="str">
        <f>Suite&amp;" Electrical Room "&amp;SWThree</f>
        <v>G104 Electrical Room XXX</v>
      </c>
      <c r="C135" s="183" t="str">
        <f>"UPS "&amp;SWThree&amp;"2 Battery Cabinets"</f>
        <v>UPS XXX2 Battery Cabinets</v>
      </c>
      <c r="D135" s="177" t="str" cm="1">
        <f t="array" ref="D135">"Apply LOTO to Battery Breaker Q8C at Cabinet " &amp; SWThree &amp; "2-6."</f>
        <v>Apply LOTO to Battery Breaker Q8C at Cabinet XXX2-6.</v>
      </c>
      <c r="E135" s="183" t="s">
        <v>1464</v>
      </c>
      <c r="F135" s="193" t="s">
        <v>1519</v>
      </c>
      <c r="G135" s="193"/>
      <c r="H135" s="163" t="s">
        <v>1581</v>
      </c>
      <c r="I135" s="135"/>
      <c r="J135" s="135"/>
    </row>
    <row r="136" spans="1:10" customFormat="1" ht="56.25" hidden="1" x14ac:dyDescent="0.25">
      <c r="A136" s="200">
        <f t="shared" si="4"/>
        <v>571</v>
      </c>
      <c r="B136" s="231" t="str">
        <f>Suite&amp;" Electrical Room "&amp;SWThree</f>
        <v>G104 Electrical Room XXX</v>
      </c>
      <c r="C136" s="183" t="str">
        <f>"UPS "&amp;SWThree&amp;"2 Battery Cabinets"</f>
        <v>UPS XXX2 Battery Cabinets</v>
      </c>
      <c r="D136" s="186" t="s">
        <v>1518</v>
      </c>
      <c r="E136" s="183" t="s">
        <v>1464</v>
      </c>
      <c r="F136" s="193" t="s">
        <v>1519</v>
      </c>
      <c r="G136" s="193"/>
      <c r="H136" s="163" t="s">
        <v>1581</v>
      </c>
      <c r="I136" s="135"/>
      <c r="J136" s="135"/>
    </row>
    <row r="137" spans="1:10" customFormat="1" ht="37.5" x14ac:dyDescent="0.25">
      <c r="A137" s="200">
        <f>IF(NumberOfICDs=4, A118+1, A136+1)</f>
        <v>572</v>
      </c>
      <c r="B137" s="231" t="str">
        <f>Suite&amp;" Electrical Room "&amp;SWThree</f>
        <v>G104 Electrical Room XXX</v>
      </c>
      <c r="C137" s="183" t="str">
        <f>"SW"&amp;SWThree</f>
        <v>SWXXX</v>
      </c>
      <c r="D137" s="186" t="str" cm="1">
        <f t="array" ref="D137">"OPEN breaker UPS-" &amp; SWThree &amp; "2."</f>
        <v>OPEN breaker UPS-XXX2.</v>
      </c>
      <c r="E137" s="183" t="s">
        <v>1464</v>
      </c>
      <c r="F137" s="193"/>
      <c r="G137" s="193"/>
      <c r="H137" s="135"/>
      <c r="I137" s="135"/>
      <c r="J137" s="135"/>
    </row>
    <row r="138" spans="1:10" customFormat="1" ht="37.5" x14ac:dyDescent="0.25">
      <c r="A138" s="200">
        <f t="shared" ref="A138:A160" si="5">A137+1</f>
        <v>573</v>
      </c>
      <c r="B138" s="231" t="str">
        <f>Suite&amp;" Electrical Room "&amp;SWThree</f>
        <v>G104 Electrical Room XXX</v>
      </c>
      <c r="C138" s="183" t="str">
        <f>"SW"&amp;SWThree</f>
        <v>SWXXX</v>
      </c>
      <c r="D138" s="186" t="str" cm="1">
        <f t="array" ref="D138">"Apply LOTO to breaker UPS-" &amp; SWThree &amp; "2."</f>
        <v>Apply LOTO to breaker UPS-XXX2.</v>
      </c>
      <c r="E138" s="183" t="s">
        <v>1464</v>
      </c>
      <c r="F138" s="193"/>
      <c r="G138" s="193"/>
      <c r="H138" s="135"/>
      <c r="I138" s="135"/>
      <c r="J138" s="135"/>
    </row>
    <row r="139" spans="1:10" customFormat="1" ht="37.5" x14ac:dyDescent="0.25">
      <c r="A139" s="200">
        <f t="shared" si="5"/>
        <v>574</v>
      </c>
      <c r="B139" s="231" t="str">
        <f>Suite&amp;" Electrical Room "&amp;SWThree</f>
        <v>G104 Electrical Room XXX</v>
      </c>
      <c r="C139" s="183" t="str">
        <f>"SW"&amp;SWThree</f>
        <v>SWXXX</v>
      </c>
      <c r="D139" s="186" t="s">
        <v>1518</v>
      </c>
      <c r="E139" s="183" t="s">
        <v>1464</v>
      </c>
      <c r="F139" s="193"/>
      <c r="G139" s="193"/>
      <c r="H139" s="135"/>
      <c r="I139" s="135"/>
      <c r="J139" s="135"/>
    </row>
    <row r="140" spans="1:10" customFormat="1" ht="37.5" x14ac:dyDescent="0.25">
      <c r="A140" s="200">
        <f t="shared" si="5"/>
        <v>575</v>
      </c>
      <c r="B140" s="231" t="str">
        <f>Suite&amp;" Electrical Room "&amp;SWThree</f>
        <v>G104 Electrical Room XXX</v>
      </c>
      <c r="C140" s="183" t="str">
        <f>"SW"&amp;SWThree</f>
        <v>SWXXX</v>
      </c>
      <c r="D140" s="233" t="str" cm="1">
        <f t="array" ref="D140">"UPS SYSTEM " &amp; SWThree &amp; " is now completely offline. Critical Customer Load remains on Maintenance Bypass Source."</f>
        <v>UPS SYSTEM XXX is now completely offline. Critical Customer Load remains on Maintenance Bypass Source.</v>
      </c>
      <c r="E140" s="183" t="s">
        <v>1464</v>
      </c>
      <c r="F140" s="193"/>
      <c r="G140" s="193"/>
      <c r="H140" s="135"/>
      <c r="I140" s="135"/>
      <c r="J140" s="135"/>
    </row>
    <row r="141" spans="1:10" customFormat="1" ht="37.5" x14ac:dyDescent="0.25">
      <c r="A141" s="200">
        <f t="shared" si="5"/>
        <v>576</v>
      </c>
      <c r="B141" s="231" t="str">
        <f>Suite&amp;" Electrical Room "&amp;SWThree</f>
        <v>G104 Electrical Room XXX</v>
      </c>
      <c r="C141" s="183" t="str">
        <f>"SW"&amp;SWThree</f>
        <v>SWXXX</v>
      </c>
      <c r="D141" s="233" t="s">
        <v>1584</v>
      </c>
      <c r="E141" s="183" t="s">
        <v>1464</v>
      </c>
      <c r="F141" s="193"/>
      <c r="G141" s="193"/>
      <c r="H141" s="135"/>
      <c r="I141" s="135"/>
      <c r="J141" s="135"/>
    </row>
    <row r="142" spans="1:10" customFormat="1" x14ac:dyDescent="0.25">
      <c r="A142" s="200">
        <f t="shared" si="5"/>
        <v>577</v>
      </c>
      <c r="B142" s="711" t="str">
        <f>"Restart UPS System "&amp;SWThree</f>
        <v>Restart UPS System XXX</v>
      </c>
      <c r="C142" s="711"/>
      <c r="D142" s="711"/>
      <c r="E142" s="711"/>
      <c r="F142" s="711"/>
      <c r="G142" s="711"/>
      <c r="H142" s="135"/>
      <c r="I142" s="135"/>
      <c r="J142" s="135"/>
    </row>
    <row r="143" spans="1:10" customFormat="1" ht="37.5" x14ac:dyDescent="0.25">
      <c r="A143" s="200">
        <f t="shared" si="5"/>
        <v>578</v>
      </c>
      <c r="B143" s="231" t="str">
        <f>Suite&amp;" Electrical Room "&amp;SWThree</f>
        <v>G104 Electrical Room XXX</v>
      </c>
      <c r="C143" s="183" t="str">
        <f>"UPS "&amp;SWThree</f>
        <v>UPS XXX</v>
      </c>
      <c r="D143" s="233" t="s">
        <v>1585</v>
      </c>
      <c r="E143" s="183" t="s">
        <v>1464</v>
      </c>
      <c r="F143" s="193"/>
      <c r="G143" s="193"/>
      <c r="H143" s="135"/>
      <c r="I143" s="135"/>
      <c r="J143" s="135"/>
    </row>
    <row r="144" spans="1:10" customFormat="1" ht="37.5" x14ac:dyDescent="0.25">
      <c r="A144" s="200">
        <f t="shared" si="5"/>
        <v>579</v>
      </c>
      <c r="B144" s="231" t="str">
        <f>Suite&amp;" Electrical Room "&amp;SWThree</f>
        <v>G104 Electrical Room XXX</v>
      </c>
      <c r="C144" s="183" t="str">
        <f>"UPS "&amp;SWThree</f>
        <v>UPS XXX</v>
      </c>
      <c r="D144" s="252" t="str" cm="1">
        <f t="array" ref="D144">"By my signature below I certify that UPS-" &amp; SWThree &amp; " is ready to be returned to service."</f>
        <v>By my signature below I certify that UPS-XXX is ready to be returned to service.</v>
      </c>
      <c r="E144" s="183" t="s">
        <v>1529</v>
      </c>
      <c r="F144" s="193"/>
      <c r="G144" s="193"/>
      <c r="H144" s="135"/>
      <c r="I144" s="135"/>
      <c r="J144" s="135"/>
    </row>
    <row r="145" spans="1:10" customFormat="1" ht="37.5" x14ac:dyDescent="0.25">
      <c r="A145" s="200">
        <f t="shared" si="5"/>
        <v>580</v>
      </c>
      <c r="B145" s="231" t="str">
        <f>Suite&amp;" Electrical Room "&amp;SWThree</f>
        <v>G104 Electrical Room XXX</v>
      </c>
      <c r="C145" s="183" t="str">
        <f>"UPS "&amp;SWThree</f>
        <v>UPS XXX</v>
      </c>
      <c r="D145" s="184" t="s">
        <v>1586</v>
      </c>
      <c r="E145" s="183" t="s">
        <v>1529</v>
      </c>
      <c r="F145" s="193"/>
      <c r="G145" s="193"/>
      <c r="H145" s="135"/>
      <c r="I145" s="135"/>
      <c r="J145" s="135"/>
    </row>
    <row r="146" spans="1:10" customFormat="1" ht="37.5" x14ac:dyDescent="0.25">
      <c r="A146" s="200">
        <f t="shared" si="5"/>
        <v>581</v>
      </c>
      <c r="B146" s="231" t="str">
        <f>Suite&amp;" Electrical Room "&amp;SWThree</f>
        <v>G104 Electrical Room XXX</v>
      </c>
      <c r="C146" s="183" t="str">
        <f>"SW"&amp;SWThree</f>
        <v>SWXXX</v>
      </c>
      <c r="D146" s="186" t="str" cm="1">
        <f t="array" ref="D146">"Remove LOTO from breaker UPS-" &amp; SWThree &amp; "1."</f>
        <v>Remove LOTO from breaker UPS-XXX1.</v>
      </c>
      <c r="E146" s="183" t="s">
        <v>1464</v>
      </c>
      <c r="F146" s="193"/>
      <c r="G146" s="193"/>
      <c r="H146" s="135"/>
      <c r="I146" s="135"/>
      <c r="J146" s="135"/>
    </row>
    <row r="147" spans="1:10" customFormat="1" ht="37.5" x14ac:dyDescent="0.25">
      <c r="A147" s="200">
        <f t="shared" si="5"/>
        <v>582</v>
      </c>
      <c r="B147" s="231" t="str">
        <f>Suite&amp;" Electrical Room "&amp;SWThree</f>
        <v>G104 Electrical Room XXX</v>
      </c>
      <c r="C147" s="183" t="str">
        <f>"SW"&amp;SWThree</f>
        <v>SWXXX</v>
      </c>
      <c r="D147" s="186" t="s">
        <v>1518</v>
      </c>
      <c r="E147" s="183" t="s">
        <v>1464</v>
      </c>
      <c r="F147" s="193"/>
      <c r="G147" s="193"/>
      <c r="H147" s="135"/>
      <c r="I147" s="135"/>
      <c r="J147" s="135"/>
    </row>
    <row r="148" spans="1:10" customFormat="1" ht="37.5" x14ac:dyDescent="0.25">
      <c r="A148" s="200">
        <f t="shared" si="5"/>
        <v>583</v>
      </c>
      <c r="B148" s="231" t="str">
        <f>Suite&amp;" Electrical Room "&amp;SWThree</f>
        <v>G104 Electrical Room XXX</v>
      </c>
      <c r="C148" s="183" t="str">
        <f>"SW"&amp;SWThree</f>
        <v>SWXXX</v>
      </c>
      <c r="D148" s="186" t="str" cm="1">
        <f t="array" ref="D148">"CLOSE breaker UPS-" &amp; SWThree &amp; "1."</f>
        <v>CLOSE breaker UPS-XXX1.</v>
      </c>
      <c r="E148" s="183" t="s">
        <v>1464</v>
      </c>
      <c r="F148" s="193"/>
      <c r="G148" s="193"/>
      <c r="H148" s="135"/>
      <c r="I148" s="135"/>
      <c r="J148" s="135"/>
    </row>
    <row r="149" spans="1:10" customFormat="1" ht="37.5" x14ac:dyDescent="0.25">
      <c r="A149" s="200">
        <f t="shared" si="5"/>
        <v>584</v>
      </c>
      <c r="B149" s="231" t="str">
        <f>Suite&amp;" Electrical Room "&amp;SWThree</f>
        <v>G104 Electrical Room XXX</v>
      </c>
      <c r="C149" s="183" t="str">
        <f>"SW"&amp;SWThree</f>
        <v>SWXXX</v>
      </c>
      <c r="D149" s="186" t="str" cm="1">
        <f t="array" ref="D149">"Remove LOTO from breaker UPS-" &amp; SWThree &amp; "2."</f>
        <v>Remove LOTO from breaker UPS-XXX2.</v>
      </c>
      <c r="E149" s="183" t="s">
        <v>1464</v>
      </c>
      <c r="F149" s="193"/>
      <c r="G149" s="193"/>
      <c r="H149" s="135"/>
      <c r="I149" s="135"/>
      <c r="J149" s="135"/>
    </row>
    <row r="150" spans="1:10" customFormat="1" ht="37.5" x14ac:dyDescent="0.25">
      <c r="A150" s="200">
        <f t="shared" si="5"/>
        <v>585</v>
      </c>
      <c r="B150" s="231" t="str">
        <f>Suite&amp;" Electrical Room "&amp;SWThree</f>
        <v>G104 Electrical Room XXX</v>
      </c>
      <c r="C150" s="183" t="str">
        <f>"SW"&amp;SWThree</f>
        <v>SWXXX</v>
      </c>
      <c r="D150" s="186" t="s">
        <v>1518</v>
      </c>
      <c r="E150" s="183" t="s">
        <v>1464</v>
      </c>
      <c r="F150" s="193"/>
      <c r="G150" s="193"/>
      <c r="H150" s="135"/>
      <c r="I150" s="135"/>
      <c r="J150" s="135"/>
    </row>
    <row r="151" spans="1:10" customFormat="1" ht="37.5" x14ac:dyDescent="0.25">
      <c r="A151" s="200">
        <f t="shared" si="5"/>
        <v>586</v>
      </c>
      <c r="B151" s="231" t="str">
        <f>Suite&amp;" Electrical Room "&amp;SWThree</f>
        <v>G104 Electrical Room XXX</v>
      </c>
      <c r="C151" s="183" t="str">
        <f>"SW"&amp;SWThree</f>
        <v>SWXXX</v>
      </c>
      <c r="D151" s="186" t="str" cm="1">
        <f t="array" ref="D151">"CLOSE breaker UPS-" &amp; SWThree &amp; "2."</f>
        <v>CLOSE breaker UPS-XXX2.</v>
      </c>
      <c r="E151" s="183" t="s">
        <v>1464</v>
      </c>
      <c r="F151" s="193"/>
      <c r="G151" s="193"/>
      <c r="H151" s="135"/>
      <c r="I151" s="135"/>
      <c r="J151" s="135"/>
    </row>
    <row r="152" spans="1:10" customFormat="1" ht="56.25" x14ac:dyDescent="0.25">
      <c r="A152" s="200">
        <f t="shared" si="5"/>
        <v>587</v>
      </c>
      <c r="B152" s="231" t="str">
        <f>Suite&amp;" Electrical Room "&amp;SWThree</f>
        <v>G104 Electrical Room XXX</v>
      </c>
      <c r="C152" s="183" t="str">
        <f>"UPS "&amp;SWThree&amp;"1 &amp; "&amp;SWThree&amp;"2"</f>
        <v>UPS XXX1 &amp; XXX2</v>
      </c>
      <c r="D152" s="233" t="s">
        <v>1587</v>
      </c>
      <c r="E152" s="183" t="s">
        <v>1464</v>
      </c>
      <c r="F152" s="193"/>
      <c r="G152" s="193"/>
      <c r="H152" s="135"/>
      <c r="I152" s="135"/>
      <c r="J152" s="135"/>
    </row>
    <row r="153" spans="1:10" customFormat="1" ht="56.25" x14ac:dyDescent="0.25">
      <c r="A153" s="200">
        <f t="shared" si="5"/>
        <v>588</v>
      </c>
      <c r="B153" s="231" t="str">
        <f>Suite&amp;" Electrical Room "&amp;SWThree</f>
        <v>G104 Electrical Room XXX</v>
      </c>
      <c r="C153" s="183" t="str">
        <f>"UPS "&amp;SWThree&amp;"1 Battery Cabinets"</f>
        <v>UPS XXX1 Battery Cabinets</v>
      </c>
      <c r="D153" s="177" t="str" cm="1">
        <f t="array" ref="D153">"Remove LOTO from Battery Breaker Q7A at Cabinet " &amp; SWThree &amp; "1-1."</f>
        <v>Remove LOTO from Battery Breaker Q7A at Cabinet XXX1-1.</v>
      </c>
      <c r="E153" s="183" t="s">
        <v>1464</v>
      </c>
      <c r="F153" s="193"/>
      <c r="G153" s="193"/>
      <c r="H153" s="163" t="s">
        <v>1580</v>
      </c>
      <c r="I153" s="135"/>
      <c r="J153" s="135"/>
    </row>
    <row r="154" spans="1:10" customFormat="1" ht="56.25" x14ac:dyDescent="0.25">
      <c r="A154" s="200">
        <f t="shared" si="5"/>
        <v>589</v>
      </c>
      <c r="B154" s="231" t="str">
        <f>Suite&amp;" Electrical Room "&amp;SWThree</f>
        <v>G104 Electrical Room XXX</v>
      </c>
      <c r="C154" s="183" t="str">
        <f>"UPS "&amp;SWThree&amp;"1 Battery Cabinets"</f>
        <v>UPS XXX1 Battery Cabinets</v>
      </c>
      <c r="D154" s="186" t="s">
        <v>1518</v>
      </c>
      <c r="E154" s="183" t="s">
        <v>1464</v>
      </c>
      <c r="F154" s="193"/>
      <c r="G154" s="193"/>
      <c r="H154" s="163" t="s">
        <v>1580</v>
      </c>
      <c r="I154" s="135"/>
      <c r="J154" s="135"/>
    </row>
    <row r="155" spans="1:10" customFormat="1" ht="56.25" x14ac:dyDescent="0.25">
      <c r="A155" s="200">
        <f t="shared" si="5"/>
        <v>590</v>
      </c>
      <c r="B155" s="231" t="str">
        <f>Suite&amp;" Electrical Room "&amp;SWThree</f>
        <v>G104 Electrical Room XXX</v>
      </c>
      <c r="C155" s="183" t="str">
        <f>"UPS "&amp;SWThree&amp;"1 Battery Cabinets"</f>
        <v>UPS XXX1 Battery Cabinets</v>
      </c>
      <c r="D155" s="177" t="str" cm="1">
        <f t="array" ref="D155">"Remove LOTO from Battery Breaker Q7B at Cabinet " &amp; SWThree &amp; "1-2."</f>
        <v>Remove LOTO from Battery Breaker Q7B at Cabinet XXX1-2.</v>
      </c>
      <c r="E155" s="183" t="s">
        <v>1464</v>
      </c>
      <c r="F155" s="193"/>
      <c r="G155" s="193"/>
      <c r="H155" s="163" t="s">
        <v>1580</v>
      </c>
      <c r="I155" s="135"/>
      <c r="J155" s="135"/>
    </row>
    <row r="156" spans="1:10" customFormat="1" ht="56.25" x14ac:dyDescent="0.25">
      <c r="A156" s="200">
        <f t="shared" si="5"/>
        <v>591</v>
      </c>
      <c r="B156" s="231" t="str">
        <f>Suite&amp;" Electrical Room "&amp;SWThree</f>
        <v>G104 Electrical Room XXX</v>
      </c>
      <c r="C156" s="183" t="str">
        <f>"UPS "&amp;SWThree&amp;"1 Battery Cabinets"</f>
        <v>UPS XXX1 Battery Cabinets</v>
      </c>
      <c r="D156" s="186" t="s">
        <v>1518</v>
      </c>
      <c r="E156" s="183" t="s">
        <v>1464</v>
      </c>
      <c r="F156" s="193"/>
      <c r="G156" s="193"/>
      <c r="H156" s="163" t="s">
        <v>1580</v>
      </c>
      <c r="I156" s="135"/>
      <c r="J156" s="135"/>
    </row>
    <row r="157" spans="1:10" customFormat="1" ht="56.25" x14ac:dyDescent="0.25">
      <c r="A157" s="200">
        <f t="shared" si="5"/>
        <v>592</v>
      </c>
      <c r="B157" s="231" t="str">
        <f>Suite&amp;" Electrical Room "&amp;SWThree</f>
        <v>G104 Electrical Room XXX</v>
      </c>
      <c r="C157" s="183" t="str">
        <f>"UPS "&amp;SWThree&amp;"1 Battery Cabinets"</f>
        <v>UPS XXX1 Battery Cabinets</v>
      </c>
      <c r="D157" s="177" t="str" cm="1">
        <f t="array" ref="D157">"Remove LOTO from Battery Breaker Q8A at Cabinet " &amp; SWThree &amp; "1-3."</f>
        <v>Remove LOTO from Battery Breaker Q8A at Cabinet XXX1-3.</v>
      </c>
      <c r="E157" s="183" t="s">
        <v>1464</v>
      </c>
      <c r="F157" s="193"/>
      <c r="G157" s="193"/>
      <c r="H157" s="163" t="s">
        <v>1580</v>
      </c>
      <c r="I157" s="135"/>
      <c r="J157" s="135"/>
    </row>
    <row r="158" spans="1:10" customFormat="1" ht="56.25" x14ac:dyDescent="0.25">
      <c r="A158" s="200">
        <f t="shared" si="5"/>
        <v>593</v>
      </c>
      <c r="B158" s="231" t="str">
        <f>Suite&amp;" Electrical Room "&amp;SWThree</f>
        <v>G104 Electrical Room XXX</v>
      </c>
      <c r="C158" s="183" t="str">
        <f>"UPS "&amp;SWThree&amp;"1 Battery Cabinets"</f>
        <v>UPS XXX1 Battery Cabinets</v>
      </c>
      <c r="D158" s="186" t="s">
        <v>1518</v>
      </c>
      <c r="E158" s="183" t="s">
        <v>1464</v>
      </c>
      <c r="F158" s="193"/>
      <c r="G158" s="193"/>
      <c r="H158" s="163" t="s">
        <v>1580</v>
      </c>
      <c r="I158" s="135"/>
      <c r="J158" s="135"/>
    </row>
    <row r="159" spans="1:10" customFormat="1" ht="56.25" x14ac:dyDescent="0.25">
      <c r="A159" s="200">
        <f t="shared" si="5"/>
        <v>594</v>
      </c>
      <c r="B159" s="231" t="str">
        <f>Suite&amp;" Electrical Room "&amp;SWThree</f>
        <v>G104 Electrical Room XXX</v>
      </c>
      <c r="C159" s="183" t="str">
        <f>"UPS "&amp;SWThree&amp;"1 Battery Cabinets"</f>
        <v>UPS XXX1 Battery Cabinets</v>
      </c>
      <c r="D159" s="177" t="str" cm="1">
        <f t="array" ref="D159">"Remove LOTO from Battery Breaker Q8B at Cabinet " &amp; SWThree &amp; "1-4."</f>
        <v>Remove LOTO from Battery Breaker Q8B at Cabinet XXX1-4.</v>
      </c>
      <c r="E159" s="183" t="s">
        <v>1464</v>
      </c>
      <c r="F159" s="193"/>
      <c r="G159" s="193"/>
      <c r="H159" s="163" t="s">
        <v>1580</v>
      </c>
      <c r="I159" s="135"/>
      <c r="J159" s="135"/>
    </row>
    <row r="160" spans="1:10" customFormat="1" ht="56.25" x14ac:dyDescent="0.25">
      <c r="A160" s="200">
        <f t="shared" si="5"/>
        <v>595</v>
      </c>
      <c r="B160" s="231" t="str">
        <f>Suite&amp;" Electrical Room "&amp;SWThree</f>
        <v>G104 Electrical Room XXX</v>
      </c>
      <c r="C160" s="183" t="str">
        <f>"UPS "&amp;SWThree&amp;"1 Battery Cabinets"</f>
        <v>UPS XXX1 Battery Cabinets</v>
      </c>
      <c r="D160" s="186" t="s">
        <v>1518</v>
      </c>
      <c r="E160" s="183" t="s">
        <v>1464</v>
      </c>
      <c r="F160" s="193"/>
      <c r="G160" s="193"/>
      <c r="H160" s="163" t="s">
        <v>1580</v>
      </c>
      <c r="I160" s="135"/>
      <c r="J160" s="135"/>
    </row>
    <row r="161" spans="1:10" customFormat="1" ht="56.25" hidden="1" x14ac:dyDescent="0.25">
      <c r="A161" s="200">
        <f>A152+1</f>
        <v>588</v>
      </c>
      <c r="B161" s="231" t="str">
        <f>Suite&amp;" Electrical Room "&amp;SWThree</f>
        <v>G104 Electrical Room XXX</v>
      </c>
      <c r="C161" s="183" t="str">
        <f>"UPS "&amp;SWThree&amp;"1 Battery Cabinets"</f>
        <v>UPS XXX1 Battery Cabinets</v>
      </c>
      <c r="D161" s="177" t="str" cm="1">
        <f t="array" ref="D161">"Remove LOTO from Battery Breaker Q7A at Cabinet " &amp; SWThree &amp; "1-1."</f>
        <v>Remove LOTO from Battery Breaker Q7A at Cabinet XXX1-1.</v>
      </c>
      <c r="E161" s="183" t="s">
        <v>1464</v>
      </c>
      <c r="F161" s="193"/>
      <c r="G161" s="193"/>
      <c r="H161" s="163" t="s">
        <v>1581</v>
      </c>
      <c r="I161" s="135"/>
      <c r="J161" s="135"/>
    </row>
    <row r="162" spans="1:10" customFormat="1" ht="56.25" hidden="1" x14ac:dyDescent="0.25">
      <c r="A162" s="200">
        <f t="shared" ref="A162:A172" si="6">A161+1</f>
        <v>589</v>
      </c>
      <c r="B162" s="231" t="str">
        <f>Suite&amp;" Electrical Room "&amp;SWThree</f>
        <v>G104 Electrical Room XXX</v>
      </c>
      <c r="C162" s="183" t="str">
        <f>"UPS "&amp;SWThree&amp;"1 Battery Cabinets"</f>
        <v>UPS XXX1 Battery Cabinets</v>
      </c>
      <c r="D162" s="186" t="s">
        <v>1518</v>
      </c>
      <c r="E162" s="183" t="s">
        <v>1464</v>
      </c>
      <c r="F162" s="193"/>
      <c r="G162" s="193"/>
      <c r="H162" s="163" t="s">
        <v>1581</v>
      </c>
      <c r="I162" s="135"/>
      <c r="J162" s="135"/>
    </row>
    <row r="163" spans="1:10" customFormat="1" ht="56.25" hidden="1" x14ac:dyDescent="0.25">
      <c r="A163" s="200">
        <f t="shared" si="6"/>
        <v>590</v>
      </c>
      <c r="B163" s="231" t="str">
        <f>Suite&amp;" Electrical Room "&amp;SWThree</f>
        <v>G104 Electrical Room XXX</v>
      </c>
      <c r="C163" s="183" t="str">
        <f>"UPS "&amp;SWThree&amp;"1 Battery Cabinets"</f>
        <v>UPS XXX1 Battery Cabinets</v>
      </c>
      <c r="D163" s="177" t="str" cm="1">
        <f t="array" ref="D163">"Remove LOTO from Battery Breaker Q7B at Cabinet " &amp; SWThree &amp; "1-2."</f>
        <v>Remove LOTO from Battery Breaker Q7B at Cabinet XXX1-2.</v>
      </c>
      <c r="E163" s="183" t="s">
        <v>1464</v>
      </c>
      <c r="F163" s="193"/>
      <c r="G163" s="193"/>
      <c r="H163" s="163" t="s">
        <v>1581</v>
      </c>
      <c r="I163" s="135"/>
      <c r="J163" s="135"/>
    </row>
    <row r="164" spans="1:10" customFormat="1" ht="56.25" hidden="1" x14ac:dyDescent="0.25">
      <c r="A164" s="200">
        <f t="shared" si="6"/>
        <v>591</v>
      </c>
      <c r="B164" s="231" t="str">
        <f>Suite&amp;" Electrical Room "&amp;SWThree</f>
        <v>G104 Electrical Room XXX</v>
      </c>
      <c r="C164" s="183" t="str">
        <f>"UPS "&amp;SWThree&amp;"1 Battery Cabinets"</f>
        <v>UPS XXX1 Battery Cabinets</v>
      </c>
      <c r="D164" s="186" t="s">
        <v>1518</v>
      </c>
      <c r="E164" s="183" t="s">
        <v>1464</v>
      </c>
      <c r="F164" s="193"/>
      <c r="G164" s="193"/>
      <c r="H164" s="163" t="s">
        <v>1581</v>
      </c>
      <c r="I164" s="135"/>
      <c r="J164" s="135"/>
    </row>
    <row r="165" spans="1:10" customFormat="1" ht="56.25" hidden="1" x14ac:dyDescent="0.25">
      <c r="A165" s="200">
        <f t="shared" si="6"/>
        <v>592</v>
      </c>
      <c r="B165" s="231" t="str">
        <f>Suite&amp;" Electrical Room "&amp;SWThree</f>
        <v>G104 Electrical Room XXX</v>
      </c>
      <c r="C165" s="183" t="str">
        <f>"UPS "&amp;SWThree&amp;"1 Battery Cabinets"</f>
        <v>UPS XXX1 Battery Cabinets</v>
      </c>
      <c r="D165" s="177" t="str" cm="1">
        <f t="array" ref="D165">"Remove LOTO from Battery Breaker Q7C at Cabinet " &amp; SWThree &amp; "1-3."</f>
        <v>Remove LOTO from Battery Breaker Q7C at Cabinet XXX1-3.</v>
      </c>
      <c r="E165" s="183" t="s">
        <v>1464</v>
      </c>
      <c r="F165" s="193"/>
      <c r="G165" s="193"/>
      <c r="H165" s="163" t="s">
        <v>1581</v>
      </c>
      <c r="I165" s="135"/>
      <c r="J165" s="135"/>
    </row>
    <row r="166" spans="1:10" customFormat="1" ht="56.25" hidden="1" x14ac:dyDescent="0.25">
      <c r="A166" s="200">
        <f t="shared" si="6"/>
        <v>593</v>
      </c>
      <c r="B166" s="231" t="str">
        <f>Suite&amp;" Electrical Room "&amp;SWThree</f>
        <v>G104 Electrical Room XXX</v>
      </c>
      <c r="C166" s="183" t="str">
        <f>"UPS "&amp;SWThree&amp;"1 Battery Cabinets"</f>
        <v>UPS XXX1 Battery Cabinets</v>
      </c>
      <c r="D166" s="186" t="s">
        <v>1518</v>
      </c>
      <c r="E166" s="183" t="s">
        <v>1464</v>
      </c>
      <c r="F166" s="193"/>
      <c r="G166" s="193"/>
      <c r="H166" s="163" t="s">
        <v>1581</v>
      </c>
      <c r="I166" s="135"/>
      <c r="J166" s="135"/>
    </row>
    <row r="167" spans="1:10" customFormat="1" ht="56.25" hidden="1" x14ac:dyDescent="0.25">
      <c r="A167" s="200">
        <f t="shared" si="6"/>
        <v>594</v>
      </c>
      <c r="B167" s="231" t="str">
        <f>Suite&amp;" Electrical Room "&amp;SWThree</f>
        <v>G104 Electrical Room XXX</v>
      </c>
      <c r="C167" s="183" t="str">
        <f>"UPS "&amp;SWThree&amp;"1 Battery Cabinets"</f>
        <v>UPS XXX1 Battery Cabinets</v>
      </c>
      <c r="D167" s="177" t="str" cm="1">
        <f t="array" ref="D167">"Remove LOTO from Battery Breaker Q8A at Cabinet " &amp; SWThree &amp; "1-4."</f>
        <v>Remove LOTO from Battery Breaker Q8A at Cabinet XXX1-4.</v>
      </c>
      <c r="E167" s="183" t="s">
        <v>1464</v>
      </c>
      <c r="F167" s="193"/>
      <c r="G167" s="193"/>
      <c r="H167" s="163" t="s">
        <v>1581</v>
      </c>
      <c r="I167" s="135"/>
      <c r="J167" s="135"/>
    </row>
    <row r="168" spans="1:10" customFormat="1" ht="56.25" hidden="1" x14ac:dyDescent="0.25">
      <c r="A168" s="200">
        <f t="shared" si="6"/>
        <v>595</v>
      </c>
      <c r="B168" s="231" t="str">
        <f>Suite&amp;" Electrical Room "&amp;SWThree</f>
        <v>G104 Electrical Room XXX</v>
      </c>
      <c r="C168" s="183" t="str">
        <f>"UPS "&amp;SWThree&amp;"1 Battery Cabinets"</f>
        <v>UPS XXX1 Battery Cabinets</v>
      </c>
      <c r="D168" s="186" t="s">
        <v>1518</v>
      </c>
      <c r="E168" s="183" t="s">
        <v>1464</v>
      </c>
      <c r="F168" s="193"/>
      <c r="G168" s="193"/>
      <c r="H168" s="163" t="s">
        <v>1581</v>
      </c>
      <c r="I168" s="135"/>
      <c r="J168" s="135"/>
    </row>
    <row r="169" spans="1:10" customFormat="1" ht="56.25" hidden="1" x14ac:dyDescent="0.25">
      <c r="A169" s="200">
        <f t="shared" si="6"/>
        <v>596</v>
      </c>
      <c r="B169" s="231" t="str">
        <f>Suite&amp;" Electrical Room "&amp;SWThree</f>
        <v>G104 Electrical Room XXX</v>
      </c>
      <c r="C169" s="183" t="str">
        <f>"UPS "&amp;SWThree&amp;"1 Battery Cabinets"</f>
        <v>UPS XXX1 Battery Cabinets</v>
      </c>
      <c r="D169" s="177" t="str" cm="1">
        <f t="array" ref="D169">"Remove LOTO from Battery Breaker Q8B at Cabinet " &amp; SWThree &amp; "1-5."</f>
        <v>Remove LOTO from Battery Breaker Q8B at Cabinet XXX1-5.</v>
      </c>
      <c r="E169" s="183" t="s">
        <v>1464</v>
      </c>
      <c r="F169" s="193"/>
      <c r="G169" s="193"/>
      <c r="H169" s="163" t="s">
        <v>1581</v>
      </c>
      <c r="I169" s="135"/>
      <c r="J169" s="135"/>
    </row>
    <row r="170" spans="1:10" customFormat="1" ht="56.25" hidden="1" x14ac:dyDescent="0.25">
      <c r="A170" s="200">
        <f t="shared" si="6"/>
        <v>597</v>
      </c>
      <c r="B170" s="231" t="str">
        <f>Suite&amp;" Electrical Room "&amp;SWThree</f>
        <v>G104 Electrical Room XXX</v>
      </c>
      <c r="C170" s="183" t="str">
        <f>"UPS "&amp;SWThree&amp;"1 Battery Cabinets"</f>
        <v>UPS XXX1 Battery Cabinets</v>
      </c>
      <c r="D170" s="186" t="s">
        <v>1518</v>
      </c>
      <c r="E170" s="183" t="s">
        <v>1464</v>
      </c>
      <c r="F170" s="193"/>
      <c r="G170" s="193"/>
      <c r="H170" s="163" t="s">
        <v>1581</v>
      </c>
      <c r="I170" s="135"/>
      <c r="J170" s="135"/>
    </row>
    <row r="171" spans="1:10" customFormat="1" ht="56.25" hidden="1" x14ac:dyDescent="0.25">
      <c r="A171" s="200">
        <f t="shared" si="6"/>
        <v>598</v>
      </c>
      <c r="B171" s="231" t="str">
        <f>Suite&amp;" Electrical Room "&amp;SWThree</f>
        <v>G104 Electrical Room XXX</v>
      </c>
      <c r="C171" s="183" t="str">
        <f>"UPS "&amp;SWThree&amp;"1 Battery Cabinets"</f>
        <v>UPS XXX1 Battery Cabinets</v>
      </c>
      <c r="D171" s="177" t="str" cm="1">
        <f t="array" ref="D171">"Remove LOTO from Battery Breaker Q8C at Cabinet " &amp; SWThree &amp; "1-6."</f>
        <v>Remove LOTO from Battery Breaker Q8C at Cabinet XXX1-6.</v>
      </c>
      <c r="E171" s="183" t="s">
        <v>1464</v>
      </c>
      <c r="F171" s="193"/>
      <c r="G171" s="193"/>
      <c r="H171" s="163" t="s">
        <v>1581</v>
      </c>
      <c r="I171" s="135"/>
      <c r="J171" s="135"/>
    </row>
    <row r="172" spans="1:10" customFormat="1" ht="56.25" hidden="1" x14ac:dyDescent="0.25">
      <c r="A172" s="200">
        <f t="shared" si="6"/>
        <v>599</v>
      </c>
      <c r="B172" s="231" t="str">
        <f>Suite&amp;" Electrical Room "&amp;SWThree</f>
        <v>G104 Electrical Room XXX</v>
      </c>
      <c r="C172" s="183" t="str">
        <f>"UPS "&amp;SWThree&amp;"1 Battery Cabinets"</f>
        <v>UPS XXX1 Battery Cabinets</v>
      </c>
      <c r="D172" s="186" t="s">
        <v>1518</v>
      </c>
      <c r="E172" s="183" t="s">
        <v>1464</v>
      </c>
      <c r="F172" s="193"/>
      <c r="G172" s="193"/>
      <c r="H172" s="163" t="s">
        <v>1581</v>
      </c>
      <c r="I172" s="135"/>
      <c r="J172" s="135"/>
    </row>
    <row r="173" spans="1:10" customFormat="1" ht="56.25" x14ac:dyDescent="0.25">
      <c r="A173" s="200">
        <f>A160+1</f>
        <v>596</v>
      </c>
      <c r="B173" s="231" t="str">
        <f>Suite&amp;" Electrical Room "&amp;SWThree</f>
        <v>G104 Electrical Room XXX</v>
      </c>
      <c r="C173" s="183" t="str">
        <f>"UPS "&amp;SWThree&amp;"1 Battery Cabinets"</f>
        <v>UPS XXX1 Battery Cabinets</v>
      </c>
      <c r="D173" s="177" t="str" cm="1">
        <f t="array" ref="D173">"Remove LOTO from Battery Breaker Q7A at Cabinet " &amp; SWThree &amp; "2-1."</f>
        <v>Remove LOTO from Battery Breaker Q7A at Cabinet XXX2-1.</v>
      </c>
      <c r="E173" s="183" t="s">
        <v>1464</v>
      </c>
      <c r="F173" s="193"/>
      <c r="G173" s="193"/>
      <c r="H173" s="163" t="s">
        <v>1580</v>
      </c>
      <c r="I173" s="135"/>
      <c r="J173" s="135"/>
    </row>
    <row r="174" spans="1:10" customFormat="1" ht="56.25" x14ac:dyDescent="0.25">
      <c r="A174" s="200">
        <f t="shared" ref="A174:A180" si="7">A173+1</f>
        <v>597</v>
      </c>
      <c r="B174" s="231" t="str">
        <f>Suite&amp;" Electrical Room "&amp;SWThree</f>
        <v>G104 Electrical Room XXX</v>
      </c>
      <c r="C174" s="183" t="str">
        <f>"UPS "&amp;SWThree&amp;"1 Battery Cabinets"</f>
        <v>UPS XXX1 Battery Cabinets</v>
      </c>
      <c r="D174" s="186" t="s">
        <v>1518</v>
      </c>
      <c r="E174" s="183" t="s">
        <v>1464</v>
      </c>
      <c r="F174" s="193"/>
      <c r="G174" s="193"/>
      <c r="H174" s="163" t="s">
        <v>1580</v>
      </c>
      <c r="I174" s="135"/>
      <c r="J174" s="135"/>
    </row>
    <row r="175" spans="1:10" customFormat="1" ht="56.25" x14ac:dyDescent="0.25">
      <c r="A175" s="200">
        <f t="shared" si="7"/>
        <v>598</v>
      </c>
      <c r="B175" s="231" t="str">
        <f>Suite&amp;" Electrical Room "&amp;SWThree</f>
        <v>G104 Electrical Room XXX</v>
      </c>
      <c r="C175" s="183" t="str">
        <f>"UPS "&amp;SWThree&amp;"1 Battery Cabinets"</f>
        <v>UPS XXX1 Battery Cabinets</v>
      </c>
      <c r="D175" s="177" t="str" cm="1">
        <f t="array" ref="D175">"Remove LOTO from Battery Breaker Q7B at Cabinet " &amp; SWThree &amp; "2-2."</f>
        <v>Remove LOTO from Battery Breaker Q7B at Cabinet XXX2-2.</v>
      </c>
      <c r="E175" s="183" t="s">
        <v>1464</v>
      </c>
      <c r="F175" s="193"/>
      <c r="G175" s="193"/>
      <c r="H175" s="163" t="s">
        <v>1580</v>
      </c>
      <c r="I175" s="135"/>
      <c r="J175" s="135"/>
    </row>
    <row r="176" spans="1:10" customFormat="1" ht="56.25" x14ac:dyDescent="0.25">
      <c r="A176" s="200">
        <f t="shared" si="7"/>
        <v>599</v>
      </c>
      <c r="B176" s="231" t="str">
        <f>Suite&amp;" Electrical Room "&amp;SWThree</f>
        <v>G104 Electrical Room XXX</v>
      </c>
      <c r="C176" s="183" t="str">
        <f>"UPS "&amp;SWThree&amp;"1 Battery Cabinets"</f>
        <v>UPS XXX1 Battery Cabinets</v>
      </c>
      <c r="D176" s="186" t="s">
        <v>1518</v>
      </c>
      <c r="E176" s="183" t="s">
        <v>1464</v>
      </c>
      <c r="F176" s="193"/>
      <c r="G176" s="193"/>
      <c r="H176" s="163" t="s">
        <v>1580</v>
      </c>
      <c r="I176" s="135"/>
      <c r="J176" s="135"/>
    </row>
    <row r="177" spans="1:15" customFormat="1" ht="56.25" x14ac:dyDescent="0.25">
      <c r="A177" s="200">
        <f t="shared" si="7"/>
        <v>600</v>
      </c>
      <c r="B177" s="231" t="str">
        <f>Suite&amp;" Electrical Room "&amp;SWThree</f>
        <v>G104 Electrical Room XXX</v>
      </c>
      <c r="C177" s="183" t="str">
        <f>"UPS "&amp;SWThree&amp;"1 Battery Cabinets"</f>
        <v>UPS XXX1 Battery Cabinets</v>
      </c>
      <c r="D177" s="177" t="str" cm="1">
        <f t="array" ref="D177">"Remove LOTO from Battery Breaker Q8A at Cabinet " &amp; SWThree &amp; "2-3."</f>
        <v>Remove LOTO from Battery Breaker Q8A at Cabinet XXX2-3.</v>
      </c>
      <c r="E177" s="183" t="s">
        <v>1464</v>
      </c>
      <c r="F177" s="193"/>
      <c r="G177" s="193"/>
      <c r="H177" s="163" t="s">
        <v>1580</v>
      </c>
      <c r="I177" s="135"/>
      <c r="J177" s="135"/>
    </row>
    <row r="178" spans="1:15" customFormat="1" ht="56.25" x14ac:dyDescent="0.25">
      <c r="A178" s="200">
        <f t="shared" si="7"/>
        <v>601</v>
      </c>
      <c r="B178" s="231" t="str">
        <f>Suite&amp;" Electrical Room "&amp;SWThree</f>
        <v>G104 Electrical Room XXX</v>
      </c>
      <c r="C178" s="183" t="str">
        <f>"UPS "&amp;SWThree&amp;"1 Battery Cabinets"</f>
        <v>UPS XXX1 Battery Cabinets</v>
      </c>
      <c r="D178" s="186" t="s">
        <v>1518</v>
      </c>
      <c r="E178" s="183" t="s">
        <v>1464</v>
      </c>
      <c r="F178" s="193"/>
      <c r="G178" s="193"/>
      <c r="H178" s="163" t="s">
        <v>1580</v>
      </c>
      <c r="I178" s="135"/>
      <c r="J178" s="135"/>
    </row>
    <row r="179" spans="1:15" customFormat="1" ht="56.25" x14ac:dyDescent="0.25">
      <c r="A179" s="200">
        <f t="shared" si="7"/>
        <v>602</v>
      </c>
      <c r="B179" s="231" t="str">
        <f>Suite&amp;" Electrical Room "&amp;SWThree</f>
        <v>G104 Electrical Room XXX</v>
      </c>
      <c r="C179" s="183" t="str">
        <f>"UPS "&amp;SWThree&amp;"1 Battery Cabinets"</f>
        <v>UPS XXX1 Battery Cabinets</v>
      </c>
      <c r="D179" s="177" t="str" cm="1">
        <f t="array" ref="D179">"Remove LOTO from Battery Breaker Q8B at Cabinet " &amp; SWThree &amp; "2-4."</f>
        <v>Remove LOTO from Battery Breaker Q8B at Cabinet XXX2-4.</v>
      </c>
      <c r="E179" s="183" t="s">
        <v>1464</v>
      </c>
      <c r="F179" s="193"/>
      <c r="G179" s="193"/>
      <c r="H179" s="163" t="s">
        <v>1580</v>
      </c>
      <c r="I179" s="135"/>
      <c r="J179" s="135"/>
    </row>
    <row r="180" spans="1:15" customFormat="1" ht="56.25" x14ac:dyDescent="0.25">
      <c r="A180" s="200">
        <f t="shared" si="7"/>
        <v>603</v>
      </c>
      <c r="B180" s="231" t="str">
        <f>Suite&amp;" Electrical Room "&amp;SWThree</f>
        <v>G104 Electrical Room XXX</v>
      </c>
      <c r="C180" s="183" t="str">
        <f>"UPS "&amp;SWThree&amp;"1 Battery Cabinets"</f>
        <v>UPS XXX1 Battery Cabinets</v>
      </c>
      <c r="D180" s="186" t="s">
        <v>1518</v>
      </c>
      <c r="E180" s="183" t="s">
        <v>1464</v>
      </c>
      <c r="F180" s="193"/>
      <c r="G180" s="193"/>
      <c r="H180" s="163" t="s">
        <v>1580</v>
      </c>
      <c r="I180" s="135"/>
      <c r="J180" s="135"/>
    </row>
    <row r="181" spans="1:15" customFormat="1" ht="56.25" hidden="1" x14ac:dyDescent="0.25">
      <c r="A181" s="200">
        <f>A172+1</f>
        <v>600</v>
      </c>
      <c r="B181" s="231" t="str">
        <f>Suite&amp;" Electrical Room "&amp;SWThree</f>
        <v>G104 Electrical Room XXX</v>
      </c>
      <c r="C181" s="183" t="str">
        <f>"UPS "&amp;SWThree&amp;"1 Battery Cabinets"</f>
        <v>UPS XXX1 Battery Cabinets</v>
      </c>
      <c r="D181" s="177" t="str" cm="1">
        <f t="array" ref="D181">"Remove LOTO from Battery Breaker Q7A at Cabinet " &amp; SWThree &amp; "2-1."</f>
        <v>Remove LOTO from Battery Breaker Q7A at Cabinet XXX2-1.</v>
      </c>
      <c r="E181" s="183" t="s">
        <v>1464</v>
      </c>
      <c r="F181" s="193"/>
      <c r="G181" s="193"/>
      <c r="H181" s="163" t="s">
        <v>1581</v>
      </c>
      <c r="I181" s="135"/>
      <c r="J181" s="135"/>
    </row>
    <row r="182" spans="1:15" customFormat="1" ht="56.25" hidden="1" x14ac:dyDescent="0.25">
      <c r="A182" s="200">
        <f t="shared" ref="A182:A205" si="8">A181+1</f>
        <v>601</v>
      </c>
      <c r="B182" s="231" t="str">
        <f>Suite&amp;" Electrical Room "&amp;SWThree</f>
        <v>G104 Electrical Room XXX</v>
      </c>
      <c r="C182" s="183" t="str">
        <f>"UPS "&amp;SWThree&amp;"1 Battery Cabinets"</f>
        <v>UPS XXX1 Battery Cabinets</v>
      </c>
      <c r="D182" s="186" t="s">
        <v>1518</v>
      </c>
      <c r="E182" s="183" t="s">
        <v>1464</v>
      </c>
      <c r="F182" s="193"/>
      <c r="G182" s="193"/>
      <c r="H182" s="163" t="s">
        <v>1581</v>
      </c>
      <c r="I182" s="135"/>
      <c r="J182" s="135"/>
    </row>
    <row r="183" spans="1:15" customFormat="1" ht="56.25" hidden="1" x14ac:dyDescent="0.25">
      <c r="A183" s="200">
        <f t="shared" si="8"/>
        <v>602</v>
      </c>
      <c r="B183" s="231" t="str">
        <f>Suite&amp;" Electrical Room "&amp;SWThree</f>
        <v>G104 Electrical Room XXX</v>
      </c>
      <c r="C183" s="183" t="str">
        <f>"UPS "&amp;SWThree&amp;"1 Battery Cabinets"</f>
        <v>UPS XXX1 Battery Cabinets</v>
      </c>
      <c r="D183" s="177" t="str" cm="1">
        <f t="array" ref="D183">"Remove LOTO from Battery Breaker Q7B at Cabinet " &amp; SWThree &amp; "2-2."</f>
        <v>Remove LOTO from Battery Breaker Q7B at Cabinet XXX2-2.</v>
      </c>
      <c r="E183" s="183" t="s">
        <v>1464</v>
      </c>
      <c r="F183" s="193"/>
      <c r="G183" s="193"/>
      <c r="H183" s="163" t="s">
        <v>1581</v>
      </c>
      <c r="I183" s="135"/>
      <c r="J183" s="135"/>
    </row>
    <row r="184" spans="1:15" customFormat="1" ht="56.25" hidden="1" x14ac:dyDescent="0.25">
      <c r="A184" s="200">
        <f t="shared" si="8"/>
        <v>603</v>
      </c>
      <c r="B184" s="231" t="str">
        <f>Suite&amp;" Electrical Room "&amp;SWThree</f>
        <v>G104 Electrical Room XXX</v>
      </c>
      <c r="C184" s="183" t="str">
        <f>"UPS "&amp;SWThree&amp;"1 Battery Cabinets"</f>
        <v>UPS XXX1 Battery Cabinets</v>
      </c>
      <c r="D184" s="186" t="s">
        <v>1518</v>
      </c>
      <c r="E184" s="183" t="s">
        <v>1464</v>
      </c>
      <c r="F184" s="193"/>
      <c r="G184" s="193"/>
      <c r="H184" s="163" t="s">
        <v>1581</v>
      </c>
      <c r="I184" s="135"/>
      <c r="J184" s="135"/>
    </row>
    <row r="185" spans="1:15" customFormat="1" ht="56.25" hidden="1" x14ac:dyDescent="0.25">
      <c r="A185" s="200">
        <f t="shared" si="8"/>
        <v>604</v>
      </c>
      <c r="B185" s="231" t="str">
        <f>Suite&amp;" Electrical Room "&amp;SWThree</f>
        <v>G104 Electrical Room XXX</v>
      </c>
      <c r="C185" s="183" t="str">
        <f>"UPS "&amp;SWThree&amp;"1 Battery Cabinets"</f>
        <v>UPS XXX1 Battery Cabinets</v>
      </c>
      <c r="D185" s="177" t="str" cm="1">
        <f t="array" ref="D185">"Remove LOTO from Battery Breaker Q7C at Cabinet " &amp; SWThree &amp; "2-3."</f>
        <v>Remove LOTO from Battery Breaker Q7C at Cabinet XXX2-3.</v>
      </c>
      <c r="E185" s="183" t="s">
        <v>1464</v>
      </c>
      <c r="F185" s="193"/>
      <c r="G185" s="193"/>
      <c r="H185" s="163" t="s">
        <v>1581</v>
      </c>
      <c r="I185" s="135"/>
      <c r="J185" s="135"/>
    </row>
    <row r="186" spans="1:15" customFormat="1" ht="56.25" hidden="1" x14ac:dyDescent="0.25">
      <c r="A186" s="200">
        <f t="shared" si="8"/>
        <v>605</v>
      </c>
      <c r="B186" s="231" t="str">
        <f>Suite&amp;" Electrical Room "&amp;SWThree</f>
        <v>G104 Electrical Room XXX</v>
      </c>
      <c r="C186" s="183" t="str">
        <f>"UPS "&amp;SWThree&amp;"1 Battery Cabinets"</f>
        <v>UPS XXX1 Battery Cabinets</v>
      </c>
      <c r="D186" s="186" t="s">
        <v>1518</v>
      </c>
      <c r="E186" s="183" t="s">
        <v>1464</v>
      </c>
      <c r="F186" s="193"/>
      <c r="G186" s="193"/>
      <c r="H186" s="163" t="s">
        <v>1581</v>
      </c>
      <c r="I186" s="135"/>
      <c r="J186" s="135"/>
    </row>
    <row r="187" spans="1:15" customFormat="1" ht="56.25" hidden="1" x14ac:dyDescent="0.25">
      <c r="A187" s="200">
        <f t="shared" si="8"/>
        <v>606</v>
      </c>
      <c r="B187" s="231" t="str">
        <f>Suite&amp;" Electrical Room "&amp;SWThree</f>
        <v>G104 Electrical Room XXX</v>
      </c>
      <c r="C187" s="183" t="str">
        <f>"UPS "&amp;SWThree&amp;"1 Battery Cabinets"</f>
        <v>UPS XXX1 Battery Cabinets</v>
      </c>
      <c r="D187" s="177" t="str" cm="1">
        <f t="array" ref="D187">"Remove LOTO from Battery Breaker Q8A at Cabinet " &amp; SWThree &amp; "2-4."</f>
        <v>Remove LOTO from Battery Breaker Q8A at Cabinet XXX2-4.</v>
      </c>
      <c r="E187" s="183" t="s">
        <v>1464</v>
      </c>
      <c r="F187" s="193"/>
      <c r="G187" s="193"/>
      <c r="H187" s="163" t="s">
        <v>1581</v>
      </c>
      <c r="I187" s="135"/>
      <c r="J187" s="135"/>
      <c r="K187" s="4"/>
      <c r="L187" s="4"/>
      <c r="M187" s="4"/>
      <c r="N187" s="4"/>
      <c r="O187" s="4"/>
    </row>
    <row r="188" spans="1:15" customFormat="1" ht="56.25" hidden="1" x14ac:dyDescent="0.25">
      <c r="A188" s="200">
        <f t="shared" si="8"/>
        <v>607</v>
      </c>
      <c r="B188" s="231" t="str">
        <f>Suite&amp;" Electrical Room "&amp;SWThree</f>
        <v>G104 Electrical Room XXX</v>
      </c>
      <c r="C188" s="183" t="str">
        <f>"UPS "&amp;SWThree&amp;"1 Battery Cabinets"</f>
        <v>UPS XXX1 Battery Cabinets</v>
      </c>
      <c r="D188" s="186" t="s">
        <v>1518</v>
      </c>
      <c r="E188" s="183" t="s">
        <v>1464</v>
      </c>
      <c r="F188" s="193"/>
      <c r="G188" s="193"/>
      <c r="H188" s="163" t="s">
        <v>1581</v>
      </c>
      <c r="I188" s="135"/>
      <c r="J188" s="135"/>
      <c r="K188" s="4"/>
      <c r="L188" s="4"/>
      <c r="M188" s="4"/>
      <c r="N188" s="4"/>
      <c r="O188" s="4"/>
    </row>
    <row r="189" spans="1:15" customFormat="1" ht="56.25" hidden="1" x14ac:dyDescent="0.25">
      <c r="A189" s="200">
        <f t="shared" si="8"/>
        <v>608</v>
      </c>
      <c r="B189" s="231" t="str">
        <f>Suite&amp;" Electrical Room "&amp;SWThree</f>
        <v>G104 Electrical Room XXX</v>
      </c>
      <c r="C189" s="183" t="str">
        <f>"UPS "&amp;SWThree&amp;"1 Battery Cabinets"</f>
        <v>UPS XXX1 Battery Cabinets</v>
      </c>
      <c r="D189" s="177" t="str" cm="1">
        <f t="array" ref="D189">"Remove LOTO from Battery Breaker Q8B at Cabinet " &amp; SWThree &amp; "2-5."</f>
        <v>Remove LOTO from Battery Breaker Q8B at Cabinet XXX2-5.</v>
      </c>
      <c r="E189" s="183" t="s">
        <v>1464</v>
      </c>
      <c r="F189" s="193"/>
      <c r="G189" s="193"/>
      <c r="H189" s="163" t="s">
        <v>1581</v>
      </c>
      <c r="I189" s="135"/>
      <c r="J189" s="135"/>
    </row>
    <row r="190" spans="1:15" customFormat="1" ht="56.25" hidden="1" x14ac:dyDescent="0.25">
      <c r="A190" s="200">
        <f t="shared" si="8"/>
        <v>609</v>
      </c>
      <c r="B190" s="231" t="str">
        <f>Suite&amp;" Electrical Room "&amp;SWThree</f>
        <v>G104 Electrical Room XXX</v>
      </c>
      <c r="C190" s="183" t="str">
        <f>"UPS "&amp;SWThree&amp;"1 Battery Cabinets"</f>
        <v>UPS XXX1 Battery Cabinets</v>
      </c>
      <c r="D190" s="186" t="s">
        <v>1518</v>
      </c>
      <c r="E190" s="183" t="s">
        <v>1464</v>
      </c>
      <c r="F190" s="193"/>
      <c r="G190" s="193"/>
      <c r="H190" s="163" t="s">
        <v>1581</v>
      </c>
      <c r="I190" s="135"/>
      <c r="J190" s="135"/>
    </row>
    <row r="191" spans="1:15" customFormat="1" ht="56.25" hidden="1" x14ac:dyDescent="0.25">
      <c r="A191" s="200">
        <f t="shared" si="8"/>
        <v>610</v>
      </c>
      <c r="B191" s="231" t="str">
        <f>Suite&amp;" Electrical Room "&amp;SWThree</f>
        <v>G104 Electrical Room XXX</v>
      </c>
      <c r="C191" s="183" t="str">
        <f>"UPS "&amp;SWThree&amp;"1 Battery Cabinets"</f>
        <v>UPS XXX1 Battery Cabinets</v>
      </c>
      <c r="D191" s="177" t="str" cm="1">
        <f t="array" ref="D191">"Remove LOTO from Battery Breaker Q8C at Cabinet " &amp; SWThree &amp; "2-6."</f>
        <v>Remove LOTO from Battery Breaker Q8C at Cabinet XXX2-6.</v>
      </c>
      <c r="E191" s="183" t="s">
        <v>1464</v>
      </c>
      <c r="F191" s="193"/>
      <c r="G191" s="193"/>
      <c r="H191" s="163" t="s">
        <v>1581</v>
      </c>
      <c r="I191" s="135"/>
      <c r="J191" s="135"/>
    </row>
    <row r="192" spans="1:15" customFormat="1" ht="56.25" hidden="1" x14ac:dyDescent="0.25">
      <c r="A192" s="200">
        <f t="shared" si="8"/>
        <v>611</v>
      </c>
      <c r="B192" s="231" t="str">
        <f>Suite&amp;" Electrical Room "&amp;SWThree</f>
        <v>G104 Electrical Room XXX</v>
      </c>
      <c r="C192" s="183" t="str">
        <f>"UPS "&amp;SWThree&amp;"1 Battery Cabinets"</f>
        <v>UPS XXX1 Battery Cabinets</v>
      </c>
      <c r="D192" s="186" t="s">
        <v>1518</v>
      </c>
      <c r="E192" s="183" t="s">
        <v>1464</v>
      </c>
      <c r="F192" s="193"/>
      <c r="G192" s="193"/>
      <c r="H192" s="163" t="s">
        <v>1581</v>
      </c>
      <c r="I192" s="135"/>
      <c r="J192" s="135"/>
    </row>
    <row r="193" spans="1:10" customFormat="1" ht="37.5" x14ac:dyDescent="0.25">
      <c r="A193" s="200">
        <f>IF(NumberOfICDs=4, A180+1, A192+1)</f>
        <v>612</v>
      </c>
      <c r="B193" s="231" t="str">
        <f>Suite&amp;" Electrical Room "&amp;SWThree</f>
        <v>G104 Electrical Room XXX</v>
      </c>
      <c r="C193" s="183" t="s">
        <v>1566</v>
      </c>
      <c r="D193" s="233" t="s">
        <v>1588</v>
      </c>
      <c r="E193" s="183" t="s">
        <v>1464</v>
      </c>
      <c r="F193" s="193"/>
      <c r="G193" s="193"/>
      <c r="H193" s="135"/>
      <c r="I193" s="135"/>
      <c r="J193" s="135"/>
    </row>
    <row r="194" spans="1:10" customFormat="1" ht="37.5" x14ac:dyDescent="0.25">
      <c r="A194" s="200">
        <f t="shared" si="8"/>
        <v>613</v>
      </c>
      <c r="B194" s="231" t="str">
        <f>Suite&amp;" Electrical Room "&amp;SWThree</f>
        <v>G104 Electrical Room XXX</v>
      </c>
      <c r="C194" s="183" t="str">
        <f>"UPS "&amp;SWThree&amp;"1"</f>
        <v>UPS XXX1</v>
      </c>
      <c r="D194" s="233" t="str" cm="1">
        <f t="array" ref="D194">"TOUCH the UPS-" &amp; SWThree &amp; "1 module graphic on the UPS display."</f>
        <v>TOUCH the UPS-XXX1 module graphic on the UPS display.</v>
      </c>
      <c r="E194" s="183" t="s">
        <v>1464</v>
      </c>
      <c r="F194" s="193"/>
      <c r="G194" s="193"/>
      <c r="H194" s="135"/>
      <c r="I194" s="135"/>
      <c r="J194" s="135"/>
    </row>
    <row r="195" spans="1:10" customFormat="1" ht="37.5" x14ac:dyDescent="0.25">
      <c r="A195" s="200">
        <f t="shared" si="8"/>
        <v>614</v>
      </c>
      <c r="B195" s="231" t="str">
        <f>Suite&amp;" Electrical Room "&amp;SWThree</f>
        <v>G104 Electrical Room XXX</v>
      </c>
      <c r="C195" s="183" t="str">
        <f>"UPS "&amp;SWThree&amp;"1"</f>
        <v>UPS XXX1</v>
      </c>
      <c r="D195" s="233" t="s">
        <v>1560</v>
      </c>
      <c r="E195" s="183" t="s">
        <v>1464</v>
      </c>
      <c r="F195" s="193"/>
      <c r="G195" s="193"/>
      <c r="H195" s="135"/>
      <c r="I195" s="135"/>
      <c r="J195" s="135"/>
    </row>
    <row r="196" spans="1:10" customFormat="1" ht="37.5" x14ac:dyDescent="0.25">
      <c r="A196" s="200">
        <f t="shared" si="8"/>
        <v>615</v>
      </c>
      <c r="B196" s="231" t="str">
        <f>Suite&amp;" Electrical Room "&amp;SWThree</f>
        <v>G104 Electrical Room XXX</v>
      </c>
      <c r="C196" s="183" t="str">
        <f>"UPS "&amp;SWThree&amp;"1"</f>
        <v>UPS XXX1</v>
      </c>
      <c r="D196" s="233" t="s">
        <v>1589</v>
      </c>
      <c r="E196" s="183" t="s">
        <v>1464</v>
      </c>
      <c r="F196" s="193"/>
      <c r="G196" s="193"/>
      <c r="H196" s="135"/>
      <c r="I196" s="135"/>
      <c r="J196" s="135"/>
    </row>
    <row r="197" spans="1:10" customFormat="1" ht="37.5" x14ac:dyDescent="0.25">
      <c r="A197" s="200">
        <f t="shared" si="8"/>
        <v>616</v>
      </c>
      <c r="B197" s="231" t="str">
        <f>Suite&amp;" Electrical Room "&amp;SWThree</f>
        <v>G104 Electrical Room XXX</v>
      </c>
      <c r="C197" s="183" t="str">
        <f>"UPS "&amp;SWThree&amp;"1"</f>
        <v>UPS XXX1</v>
      </c>
      <c r="D197" s="233" t="s">
        <v>1562</v>
      </c>
      <c r="E197" s="183" t="s">
        <v>1464</v>
      </c>
      <c r="F197" s="193"/>
      <c r="G197" s="193"/>
      <c r="H197" s="135"/>
      <c r="I197" s="135"/>
      <c r="J197" s="135"/>
    </row>
    <row r="198" spans="1:10" customFormat="1" ht="37.5" x14ac:dyDescent="0.25">
      <c r="A198" s="200">
        <f t="shared" si="8"/>
        <v>617</v>
      </c>
      <c r="B198" s="231" t="str">
        <f>Suite&amp;" Electrical Room "&amp;SWThree</f>
        <v>G104 Electrical Room XXX</v>
      </c>
      <c r="C198" s="183" t="str">
        <f>"UPS "&amp;SWThree&amp;"1"</f>
        <v>UPS XXX1</v>
      </c>
      <c r="D198" s="233" t="s">
        <v>1563</v>
      </c>
      <c r="E198" s="183" t="s">
        <v>1464</v>
      </c>
      <c r="F198" s="193"/>
      <c r="G198" s="193"/>
      <c r="H198" s="135"/>
      <c r="I198" s="135"/>
      <c r="J198" s="135"/>
    </row>
    <row r="199" spans="1:10" customFormat="1" ht="37.5" x14ac:dyDescent="0.25">
      <c r="A199" s="200">
        <f t="shared" si="8"/>
        <v>618</v>
      </c>
      <c r="B199" s="231" t="str">
        <f>Suite&amp;" Electrical Room "&amp;SWThree</f>
        <v>G104 Electrical Room XXX</v>
      </c>
      <c r="C199" s="183" t="str">
        <f>"UPS "&amp;SWThree&amp;"1"</f>
        <v>UPS XXX1</v>
      </c>
      <c r="D199" s="233" t="s">
        <v>1564</v>
      </c>
      <c r="E199" s="183" t="s">
        <v>1464</v>
      </c>
      <c r="F199" s="193"/>
      <c r="G199" s="193"/>
      <c r="H199" s="135"/>
      <c r="I199" s="135"/>
      <c r="J199" s="135"/>
    </row>
    <row r="200" spans="1:10" customFormat="1" ht="168.75" x14ac:dyDescent="0.25">
      <c r="A200" s="200">
        <f t="shared" si="8"/>
        <v>619</v>
      </c>
      <c r="B200" s="231" t="str">
        <f>Suite&amp;" Electrical Room "&amp;SWThree</f>
        <v>G104 Electrical Room XXX</v>
      </c>
      <c r="C200" s="183" t="str">
        <f>"UPS "&amp;SWThree&amp;"1 Battery Cabinets"</f>
        <v>UPS XXX1 Battery Cabinets</v>
      </c>
      <c r="D200" s="233" t="s">
        <v>1590</v>
      </c>
      <c r="E200" s="183" t="s">
        <v>1464</v>
      </c>
      <c r="F200" s="193"/>
      <c r="G200" s="193"/>
      <c r="H200" s="163" t="s">
        <v>1591</v>
      </c>
      <c r="I200" s="135"/>
      <c r="J200" s="135"/>
    </row>
    <row r="201" spans="1:10" customFormat="1" ht="187.5" hidden="1" x14ac:dyDescent="0.25">
      <c r="A201" s="200">
        <f>A199+1</f>
        <v>619</v>
      </c>
      <c r="B201" s="231" t="str">
        <f>Suite&amp;" Electrical Room "&amp;SWThree</f>
        <v>G104 Electrical Room XXX</v>
      </c>
      <c r="C201" s="183" t="str">
        <f>"UPS "&amp;SWThree&amp;"1 Battery Cabinets"</f>
        <v>UPS XXX1 Battery Cabinets</v>
      </c>
      <c r="D201" s="233" t="s">
        <v>1592</v>
      </c>
      <c r="E201" s="183" t="s">
        <v>1464</v>
      </c>
      <c r="F201" s="193"/>
      <c r="G201" s="193"/>
      <c r="H201" s="163" t="s">
        <v>1593</v>
      </c>
      <c r="I201" s="135"/>
      <c r="J201" s="135"/>
    </row>
    <row r="202" spans="1:10" customFormat="1" ht="37.5" x14ac:dyDescent="0.25">
      <c r="A202" s="200">
        <f t="shared" si="8"/>
        <v>620</v>
      </c>
      <c r="B202" s="231" t="str">
        <f>Suite&amp;" Electrical Room "&amp;SWThree</f>
        <v>G104 Electrical Room XXX</v>
      </c>
      <c r="C202" s="183" t="str">
        <f>"UPS "&amp;SWThree&amp;"1"</f>
        <v>UPS XXX1</v>
      </c>
      <c r="D202" s="233" t="s">
        <v>1594</v>
      </c>
      <c r="E202" s="183" t="s">
        <v>1464</v>
      </c>
      <c r="F202" s="193"/>
      <c r="G202" s="193"/>
      <c r="H202" s="163"/>
      <c r="I202" s="135"/>
      <c r="J202" s="135"/>
    </row>
    <row r="203" spans="1:10" customFormat="1" ht="56.25" x14ac:dyDescent="0.25">
      <c r="A203" s="200">
        <f t="shared" si="8"/>
        <v>621</v>
      </c>
      <c r="B203" s="231" t="str">
        <f>Suite&amp;" Electrical Room "&amp;SWThree</f>
        <v>G104 Electrical Room XXX</v>
      </c>
      <c r="C203" s="183" t="str">
        <f>"UPS "&amp;SWThree&amp;"1 Battery Cabinets"</f>
        <v>UPS XXX1 Battery Cabinets</v>
      </c>
      <c r="D203" s="233" t="s">
        <v>1595</v>
      </c>
      <c r="E203" s="183" t="s">
        <v>1464</v>
      </c>
      <c r="F203" s="193"/>
      <c r="G203" s="193"/>
      <c r="H203" s="163"/>
      <c r="I203" s="135"/>
      <c r="J203" s="135"/>
    </row>
    <row r="204" spans="1:10" customFormat="1" ht="56.25" hidden="1" x14ac:dyDescent="0.25">
      <c r="A204" s="200">
        <f t="shared" si="8"/>
        <v>622</v>
      </c>
      <c r="B204" s="231" t="str">
        <f>Suite&amp;" Electrical Room "&amp;SWThree</f>
        <v>G104 Electrical Room XXX</v>
      </c>
      <c r="C204" s="183" t="str">
        <f>"UPS "&amp;SWThree&amp;"1 Battery Cabinets"</f>
        <v>UPS XXX1 Battery Cabinets</v>
      </c>
      <c r="D204" s="233" t="s">
        <v>1596</v>
      </c>
      <c r="E204" s="183" t="s">
        <v>1464</v>
      </c>
      <c r="F204" s="193"/>
      <c r="G204" s="193"/>
      <c r="H204" s="163" t="s">
        <v>1593</v>
      </c>
      <c r="I204" s="135"/>
      <c r="J204" s="135"/>
    </row>
    <row r="205" spans="1:10" customFormat="1" ht="56.25" hidden="1" x14ac:dyDescent="0.25">
      <c r="A205" s="200">
        <f t="shared" si="8"/>
        <v>623</v>
      </c>
      <c r="B205" s="231" t="str">
        <f>Suite&amp;" Electrical Room "&amp;SWThree</f>
        <v>G104 Electrical Room XXX</v>
      </c>
      <c r="C205" s="183" t="str">
        <f>"UPS "&amp;SWThree&amp;"1 Battery Cabinets"</f>
        <v>UPS XXX1 Battery Cabinets</v>
      </c>
      <c r="D205" s="186" t="s">
        <v>1597</v>
      </c>
      <c r="E205" s="183" t="s">
        <v>1464</v>
      </c>
      <c r="F205" s="193"/>
      <c r="G205" s="193"/>
      <c r="H205" s="163" t="s">
        <v>1593</v>
      </c>
      <c r="I205" s="135"/>
      <c r="J205" s="135"/>
    </row>
    <row r="206" spans="1:10" customFormat="1" ht="56.25" x14ac:dyDescent="0.25">
      <c r="A206" s="200" cm="1">
        <f t="array" ref="A206">IF(AND(Suite="H206", SWThree="D"), A205+1, A203+1)</f>
        <v>622</v>
      </c>
      <c r="B206" s="231" t="str">
        <f>Suite&amp;" Electrical Room "&amp;SWThree</f>
        <v>G104 Electrical Room XXX</v>
      </c>
      <c r="C206" s="183" t="str">
        <f>"UPS "&amp;SWThree&amp;"1 Battery Cabinets"</f>
        <v>UPS XXX1 Battery Cabinets</v>
      </c>
      <c r="D206" s="233" t="str" cm="1">
        <f t="array" ref="D206">"Close Battery Breaker Q8B at Cabinet " &amp; SWThree &amp; "1-4."</f>
        <v>Close Battery Breaker Q8B at Cabinet XXX1-4.</v>
      </c>
      <c r="E206" s="183" t="s">
        <v>1464</v>
      </c>
      <c r="F206" s="193"/>
      <c r="G206" s="193"/>
      <c r="H206" s="163" t="s">
        <v>1580</v>
      </c>
      <c r="I206" s="135"/>
      <c r="J206" s="135"/>
    </row>
    <row r="207" spans="1:10" customFormat="1" ht="56.25" x14ac:dyDescent="0.25">
      <c r="A207" s="200">
        <f t="shared" ref="A207:A209" si="9">A206+1</f>
        <v>623</v>
      </c>
      <c r="B207" s="231" t="str">
        <f>Suite&amp;" Electrical Room "&amp;SWThree</f>
        <v>G104 Electrical Room XXX</v>
      </c>
      <c r="C207" s="183" t="str">
        <f>"UPS "&amp;SWThree&amp;"1 Battery Cabinets"</f>
        <v>UPS XXX1 Battery Cabinets</v>
      </c>
      <c r="D207" s="233" t="str" cm="1">
        <f t="array" ref="D207">"Close Battery Breaker Q7B at Cabinet " &amp; SWThree &amp; "1-2."</f>
        <v>Close Battery Breaker Q7B at Cabinet XXX1-2.</v>
      </c>
      <c r="E207" s="183" t="s">
        <v>1464</v>
      </c>
      <c r="F207" s="193"/>
      <c r="G207" s="193"/>
      <c r="H207" s="163" t="s">
        <v>1580</v>
      </c>
      <c r="I207" s="135"/>
      <c r="J207" s="164"/>
    </row>
    <row r="208" spans="1:10" customFormat="1" ht="56.25" x14ac:dyDescent="0.25">
      <c r="A208" s="200">
        <f t="shared" si="9"/>
        <v>624</v>
      </c>
      <c r="B208" s="231" t="str">
        <f>Suite&amp;" Electrical Room "&amp;SWThree</f>
        <v>G104 Electrical Room XXX</v>
      </c>
      <c r="C208" s="183" t="str">
        <f>"UPS "&amp;SWThree&amp;"1 Battery Cabinets"</f>
        <v>UPS XXX1 Battery Cabinets</v>
      </c>
      <c r="D208" s="233" t="str" cm="1">
        <f t="array" ref="D208">"Close Battery Breaker Q7A at Cabinet " &amp; SWThree &amp; "1-1."</f>
        <v>Close Battery Breaker Q7A at Cabinet XXX1-1.</v>
      </c>
      <c r="E208" s="183" t="s">
        <v>1464</v>
      </c>
      <c r="F208" s="193"/>
      <c r="G208" s="193"/>
      <c r="H208" s="163" t="s">
        <v>1580</v>
      </c>
      <c r="I208" s="135"/>
      <c r="J208" s="164"/>
    </row>
    <row r="209" spans="1:15" customFormat="1" ht="56.25" x14ac:dyDescent="0.25">
      <c r="A209" s="200">
        <f t="shared" si="9"/>
        <v>625</v>
      </c>
      <c r="B209" s="231" t="str">
        <f>Suite&amp;" Electrical Room "&amp;SWThree</f>
        <v>G104 Electrical Room XXX</v>
      </c>
      <c r="C209" s="183" t="str">
        <f>"UPS "&amp;SWThree&amp;"1 Battery Cabinets"</f>
        <v>UPS XXX1 Battery Cabinets</v>
      </c>
      <c r="D209" s="233" t="str" cm="1">
        <f t="array" ref="D209">"Close Battery Breaker Q8A at Cabinet " &amp; SWThree &amp; "1-3."</f>
        <v>Close Battery Breaker Q8A at Cabinet XXX1-3.</v>
      </c>
      <c r="E209" s="183" t="s">
        <v>1464</v>
      </c>
      <c r="F209" s="193"/>
      <c r="G209" s="193"/>
      <c r="H209" s="163" t="s">
        <v>1580</v>
      </c>
      <c r="I209" s="135"/>
      <c r="J209" s="135"/>
    </row>
    <row r="210" spans="1:15" customFormat="1" ht="56.25" hidden="1" x14ac:dyDescent="0.25">
      <c r="A210" s="200" cm="1">
        <f t="array" ref="A210">IF(AND(Suite="H206", SWThree="D"), A205+1, A203+1)</f>
        <v>622</v>
      </c>
      <c r="B210" s="231" t="str">
        <f>Suite&amp;" Electrical Room "&amp;SWThree</f>
        <v>G104 Electrical Room XXX</v>
      </c>
      <c r="C210" s="183" t="str">
        <f>"UPS "&amp;SWThree&amp;"1 Battery Cabinets"</f>
        <v>UPS XXX1 Battery Cabinets</v>
      </c>
      <c r="D210" s="186" t="str" cm="1">
        <f t="array" ref="D210">"Close Battery Breaker Q7C at Cabinet " &amp; SWThree &amp; "1-3."</f>
        <v>Close Battery Breaker Q7C at Cabinet XXX1-3.</v>
      </c>
      <c r="E210" s="183" t="s">
        <v>1464</v>
      </c>
      <c r="F210" s="193"/>
      <c r="G210" s="193"/>
      <c r="H210" s="163" t="s">
        <v>1581</v>
      </c>
      <c r="I210" s="135"/>
      <c r="J210" s="135"/>
    </row>
    <row r="211" spans="1:15" customFormat="1" ht="56.25" hidden="1" x14ac:dyDescent="0.25">
      <c r="A211" s="200">
        <f t="shared" ref="A211:A215" si="10">A210+1</f>
        <v>623</v>
      </c>
      <c r="B211" s="231" t="str">
        <f>Suite&amp;" Electrical Room "&amp;SWThree</f>
        <v>G104 Electrical Room XXX</v>
      </c>
      <c r="C211" s="183" t="str">
        <f>"UPS "&amp;SWThree&amp;"1 Battery Cabinets"</f>
        <v>UPS XXX1 Battery Cabinets</v>
      </c>
      <c r="D211" s="186" t="str" cm="1">
        <f t="array" ref="D211">"Close Battery Breaker Q8A at Cabinet " &amp; SWThree &amp; "1-4."</f>
        <v>Close Battery Breaker Q8A at Cabinet XXX1-4.</v>
      </c>
      <c r="E211" s="183" t="s">
        <v>1464</v>
      </c>
      <c r="F211" s="193"/>
      <c r="G211" s="193"/>
      <c r="H211" s="163" t="s">
        <v>1581</v>
      </c>
      <c r="I211" s="135"/>
      <c r="J211" s="135"/>
    </row>
    <row r="212" spans="1:15" customFormat="1" ht="56.25" hidden="1" x14ac:dyDescent="0.25">
      <c r="A212" s="200">
        <f t="shared" si="10"/>
        <v>624</v>
      </c>
      <c r="B212" s="231" t="str">
        <f>Suite&amp;" Electrical Room "&amp;SWThree</f>
        <v>G104 Electrical Room XXX</v>
      </c>
      <c r="C212" s="183" t="str">
        <f>"UPS "&amp;SWThree&amp;"1 Battery Cabinets"</f>
        <v>UPS XXX1 Battery Cabinets</v>
      </c>
      <c r="D212" s="186" t="str" cm="1">
        <f t="array" ref="D212">"Close Battery Breaker Q8B at Cabinet " &amp; SWThree &amp; "1-5."</f>
        <v>Close Battery Breaker Q8B at Cabinet XXX1-5.</v>
      </c>
      <c r="E212" s="183" t="s">
        <v>1464</v>
      </c>
      <c r="F212" s="193"/>
      <c r="G212" s="193"/>
      <c r="H212" s="163" t="s">
        <v>1581</v>
      </c>
      <c r="I212" s="135"/>
      <c r="J212" s="135"/>
      <c r="K212" s="4"/>
      <c r="L212" s="4"/>
      <c r="M212" s="4"/>
      <c r="N212" s="4"/>
      <c r="O212" s="4"/>
    </row>
    <row r="213" spans="1:15" customFormat="1" ht="56.25" hidden="1" x14ac:dyDescent="0.25">
      <c r="A213" s="200">
        <f t="shared" si="10"/>
        <v>625</v>
      </c>
      <c r="B213" s="231" t="str">
        <f>Suite&amp;" Electrical Room "&amp;SWThree</f>
        <v>G104 Electrical Room XXX</v>
      </c>
      <c r="C213" s="183" t="str">
        <f>"UPS "&amp;SWThree&amp;"1 Battery Cabinets"</f>
        <v>UPS XXX1 Battery Cabinets</v>
      </c>
      <c r="D213" s="186" t="str" cm="1">
        <f t="array" ref="D213">"Close Battery Breaker Q8C at Cabinet " &amp; SWThree &amp; "1-6."</f>
        <v>Close Battery Breaker Q8C at Cabinet XXX1-6.</v>
      </c>
      <c r="E213" s="183" t="s">
        <v>1464</v>
      </c>
      <c r="F213" s="193"/>
      <c r="G213" s="193"/>
      <c r="H213" s="163" t="s">
        <v>1581</v>
      </c>
      <c r="I213" s="135"/>
      <c r="J213" s="135"/>
      <c r="K213" s="4"/>
      <c r="L213" s="4"/>
      <c r="M213" s="4"/>
      <c r="N213" s="4"/>
      <c r="O213" s="4"/>
    </row>
    <row r="214" spans="1:15" customFormat="1" ht="56.25" hidden="1" x14ac:dyDescent="0.25">
      <c r="A214" s="200">
        <f t="shared" si="10"/>
        <v>626</v>
      </c>
      <c r="B214" s="231" t="str">
        <f>Suite&amp;" Electrical Room "&amp;SWThree</f>
        <v>G104 Electrical Room XXX</v>
      </c>
      <c r="C214" s="183" t="str">
        <f>"UPS "&amp;SWThree&amp;"1 Battery Cabinets"</f>
        <v>UPS XXX1 Battery Cabinets</v>
      </c>
      <c r="D214" s="186" t="str" cm="1">
        <f t="array" ref="D214">"Close Battery Breaker Q7A at Cabinet " &amp; SWThree &amp; "1-1."</f>
        <v>Close Battery Breaker Q7A at Cabinet XXX1-1.</v>
      </c>
      <c r="E214" s="183" t="s">
        <v>1464</v>
      </c>
      <c r="F214" s="193"/>
      <c r="G214" s="193"/>
      <c r="H214" s="163" t="s">
        <v>1581</v>
      </c>
      <c r="I214" s="135"/>
      <c r="J214" s="135"/>
    </row>
    <row r="215" spans="1:15" customFormat="1" ht="56.25" hidden="1" x14ac:dyDescent="0.25">
      <c r="A215" s="200">
        <f t="shared" si="10"/>
        <v>627</v>
      </c>
      <c r="B215" s="231" t="str">
        <f>Suite&amp;" Electrical Room "&amp;SWThree</f>
        <v>G104 Electrical Room XXX</v>
      </c>
      <c r="C215" s="183" t="str">
        <f>"UPS "&amp;SWThree&amp;"1 Battery Cabinets"</f>
        <v>UPS XXX1 Battery Cabinets</v>
      </c>
      <c r="D215" s="186" t="str" cm="1">
        <f t="array" ref="D215">"Close Battery Breaker Q7B at Cabinet " &amp; SWThree &amp; "1-2."</f>
        <v>Close Battery Breaker Q7B at Cabinet XXX1-2.</v>
      </c>
      <c r="E215" s="183" t="s">
        <v>1464</v>
      </c>
      <c r="F215" s="193"/>
      <c r="G215" s="193"/>
      <c r="H215" s="163" t="s">
        <v>1581</v>
      </c>
      <c r="I215" s="135"/>
      <c r="J215" s="135"/>
    </row>
    <row r="216" spans="1:15" customFormat="1" ht="37.5" x14ac:dyDescent="0.25">
      <c r="A216" s="200">
        <f>IF(NumberOfICDs=4, A209+1, A215+1)</f>
        <v>628</v>
      </c>
      <c r="B216" s="231" t="str">
        <f>Suite&amp;" Electrical Room "&amp;SWThree</f>
        <v>G104 Electrical Room XXX</v>
      </c>
      <c r="C216" s="183" t="str">
        <f>"UP"&amp;SWThree</f>
        <v>UPXXX</v>
      </c>
      <c r="D216" s="177" t="str" cm="1">
        <f t="array" ref="D216">"Remove LOTO from breaker DP-" &amp; SWThree &amp; "1."</f>
        <v>Remove LOTO from breaker DP-XXX1.</v>
      </c>
      <c r="E216" s="183" t="s">
        <v>1464</v>
      </c>
      <c r="F216" s="193"/>
      <c r="G216" s="193"/>
      <c r="H216" s="135"/>
      <c r="I216" s="135"/>
      <c r="J216" s="135"/>
    </row>
    <row r="217" spans="1:15" customFormat="1" ht="37.5" x14ac:dyDescent="0.25">
      <c r="A217" s="200">
        <f t="shared" ref="A217:A232" si="11">A216+1</f>
        <v>629</v>
      </c>
      <c r="B217" s="231" t="str">
        <f>Suite&amp;" Electrical Room "&amp;SWThree</f>
        <v>G104 Electrical Room XXX</v>
      </c>
      <c r="C217" s="183" t="str">
        <f>"UP"&amp;SWThree</f>
        <v>UPXXX</v>
      </c>
      <c r="D217" s="186" t="s">
        <v>1518</v>
      </c>
      <c r="E217" s="183" t="s">
        <v>1464</v>
      </c>
      <c r="F217" s="193"/>
      <c r="G217" s="193"/>
      <c r="H217" s="135"/>
      <c r="I217" s="135"/>
      <c r="J217" s="135"/>
    </row>
    <row r="218" spans="1:15" customFormat="1" ht="37.5" x14ac:dyDescent="0.25">
      <c r="A218" s="200">
        <f t="shared" si="11"/>
        <v>630</v>
      </c>
      <c r="B218" s="231" t="str">
        <f>Suite&amp;" Electrical Room "&amp;SWThree</f>
        <v>G104 Electrical Room XXX</v>
      </c>
      <c r="C218" s="183" t="str">
        <f>"UP"&amp;SWThree</f>
        <v>UPXXX</v>
      </c>
      <c r="D218" s="233" t="str" cm="1">
        <f t="array" ref="D218">"Close breaker DP-" &amp; SWThree &amp; "1."</f>
        <v>Close breaker DP-XXX1.</v>
      </c>
      <c r="E218" s="183" t="s">
        <v>1464</v>
      </c>
      <c r="F218" s="193"/>
      <c r="G218" s="193"/>
      <c r="H218" s="135"/>
      <c r="I218" s="135"/>
      <c r="J218" s="135"/>
    </row>
    <row r="219" spans="1:15" customFormat="1" ht="37.5" x14ac:dyDescent="0.25">
      <c r="A219" s="200">
        <f t="shared" si="11"/>
        <v>631</v>
      </c>
      <c r="B219" s="231" t="str">
        <f>Suite&amp;" Electrical Room "&amp;SWThree</f>
        <v>G104 Electrical Room XXX</v>
      </c>
      <c r="C219" s="183" t="str">
        <f>"UPS "&amp;SWThree&amp;"1"</f>
        <v>UPS XXX1</v>
      </c>
      <c r="D219" s="233" t="s">
        <v>1598</v>
      </c>
      <c r="E219" s="183" t="s">
        <v>1464</v>
      </c>
      <c r="F219" s="193"/>
      <c r="G219" s="193"/>
      <c r="H219" s="135"/>
      <c r="I219" s="135"/>
      <c r="J219" s="135"/>
    </row>
    <row r="220" spans="1:15" customFormat="1" ht="37.5" x14ac:dyDescent="0.25">
      <c r="A220" s="200">
        <f t="shared" si="11"/>
        <v>632</v>
      </c>
      <c r="B220" s="231" t="str">
        <f>Suite&amp;" Electrical Room "&amp;SWThree</f>
        <v>G104 Electrical Room XXX</v>
      </c>
      <c r="C220" s="183" t="s">
        <v>1566</v>
      </c>
      <c r="D220" s="233" t="s">
        <v>1599</v>
      </c>
      <c r="E220" s="183" t="s">
        <v>1464</v>
      </c>
      <c r="F220" s="193"/>
      <c r="G220" s="193"/>
      <c r="H220" s="135"/>
      <c r="I220" s="135"/>
      <c r="J220" s="135"/>
    </row>
    <row r="221" spans="1:15" customFormat="1" ht="37.5" x14ac:dyDescent="0.25">
      <c r="A221" s="200">
        <f t="shared" si="11"/>
        <v>633</v>
      </c>
      <c r="B221" s="231" t="str">
        <f>Suite&amp;" Electrical Room "&amp;SWThree</f>
        <v>G104 Electrical Room XXX</v>
      </c>
      <c r="C221" s="183" t="str">
        <f>"UPS "&amp;SWThree&amp;"2"</f>
        <v>UPS XXX2</v>
      </c>
      <c r="D221" s="233" t="str" cm="1">
        <f t="array" ref="D221">"TOUCH the UPS-" &amp; SWThree &amp; "2 module graphic on the UPS display."</f>
        <v>TOUCH the UPS-XXX2 module graphic on the UPS display.</v>
      </c>
      <c r="E221" s="183" t="s">
        <v>1464</v>
      </c>
      <c r="F221" s="193"/>
      <c r="G221" s="193"/>
      <c r="H221" s="135"/>
      <c r="I221" s="135"/>
      <c r="J221" s="135"/>
    </row>
    <row r="222" spans="1:15" customFormat="1" ht="37.5" x14ac:dyDescent="0.25">
      <c r="A222" s="200">
        <f t="shared" si="11"/>
        <v>634</v>
      </c>
      <c r="B222" s="231" t="str">
        <f>Suite&amp;" Electrical Room "&amp;SWThree</f>
        <v>G104 Electrical Room XXX</v>
      </c>
      <c r="C222" s="183" t="str">
        <f>"UPS "&amp;SWThree&amp;"2"</f>
        <v>UPS XXX2</v>
      </c>
      <c r="D222" s="233" t="s">
        <v>1560</v>
      </c>
      <c r="E222" s="183" t="s">
        <v>1464</v>
      </c>
      <c r="F222" s="193"/>
      <c r="G222" s="193"/>
      <c r="H222" s="135"/>
      <c r="I222" s="135"/>
      <c r="J222" s="135"/>
    </row>
    <row r="223" spans="1:15" customFormat="1" ht="37.5" x14ac:dyDescent="0.25">
      <c r="A223" s="200">
        <f t="shared" si="11"/>
        <v>635</v>
      </c>
      <c r="B223" s="231" t="str">
        <f>Suite&amp;" Electrical Room "&amp;SWThree</f>
        <v>G104 Electrical Room XXX</v>
      </c>
      <c r="C223" s="183" t="str">
        <f>"UPS "&amp;SWThree&amp;"2"</f>
        <v>UPS XXX2</v>
      </c>
      <c r="D223" s="233" t="s">
        <v>1589</v>
      </c>
      <c r="E223" s="183" t="s">
        <v>1464</v>
      </c>
      <c r="F223" s="193"/>
      <c r="G223" s="193"/>
      <c r="H223" s="135"/>
      <c r="I223" s="135"/>
      <c r="J223" s="135"/>
    </row>
    <row r="224" spans="1:15" customFormat="1" ht="37.5" x14ac:dyDescent="0.25">
      <c r="A224" s="200">
        <f t="shared" si="11"/>
        <v>636</v>
      </c>
      <c r="B224" s="231" t="str">
        <f>Suite&amp;" Electrical Room "&amp;SWThree</f>
        <v>G104 Electrical Room XXX</v>
      </c>
      <c r="C224" s="183" t="str">
        <f>"UPS "&amp;SWThree&amp;"2"</f>
        <v>UPS XXX2</v>
      </c>
      <c r="D224" s="233" t="s">
        <v>1562</v>
      </c>
      <c r="E224" s="183" t="s">
        <v>1464</v>
      </c>
      <c r="F224" s="193"/>
      <c r="G224" s="193"/>
      <c r="H224" s="135"/>
      <c r="I224" s="135"/>
      <c r="J224" s="135"/>
    </row>
    <row r="225" spans="1:10" customFormat="1" ht="37.5" x14ac:dyDescent="0.25">
      <c r="A225" s="200">
        <f t="shared" si="11"/>
        <v>637</v>
      </c>
      <c r="B225" s="231" t="str">
        <f>Suite&amp;" Electrical Room "&amp;SWThree</f>
        <v>G104 Electrical Room XXX</v>
      </c>
      <c r="C225" s="183" t="str">
        <f>"UPS "&amp;SWThree&amp;"2"</f>
        <v>UPS XXX2</v>
      </c>
      <c r="D225" s="233" t="s">
        <v>1563</v>
      </c>
      <c r="E225" s="183" t="s">
        <v>1464</v>
      </c>
      <c r="F225" s="193"/>
      <c r="G225" s="193"/>
      <c r="H225" s="135"/>
      <c r="I225" s="135"/>
      <c r="J225" s="135"/>
    </row>
    <row r="226" spans="1:10" customFormat="1" ht="37.5" x14ac:dyDescent="0.25">
      <c r="A226" s="200">
        <f t="shared" si="11"/>
        <v>638</v>
      </c>
      <c r="B226" s="231" t="str">
        <f>Suite&amp;" Electrical Room "&amp;SWThree</f>
        <v>G104 Electrical Room XXX</v>
      </c>
      <c r="C226" s="183" t="str">
        <f>"UPS "&amp;SWThree&amp;"2"</f>
        <v>UPS XXX2</v>
      </c>
      <c r="D226" s="233" t="s">
        <v>1564</v>
      </c>
      <c r="E226" s="183" t="s">
        <v>1464</v>
      </c>
      <c r="F226" s="193"/>
      <c r="G226" s="193"/>
      <c r="H226" s="135"/>
      <c r="I226" s="135"/>
      <c r="J226" s="135"/>
    </row>
    <row r="227" spans="1:10" customFormat="1" ht="168.75" x14ac:dyDescent="0.25">
      <c r="A227" s="200">
        <f t="shared" si="11"/>
        <v>639</v>
      </c>
      <c r="B227" s="231" t="str">
        <f>Suite&amp;" Electrical Room "&amp;SWThree</f>
        <v>G104 Electrical Room XXX</v>
      </c>
      <c r="C227" s="183" t="str">
        <f>"UPS "&amp;SWThree&amp;"2 Battery Cabinets"</f>
        <v>UPS XXX2 Battery Cabinets</v>
      </c>
      <c r="D227" s="233" t="s">
        <v>1590</v>
      </c>
      <c r="E227" s="183" t="s">
        <v>1464</v>
      </c>
      <c r="F227" s="193"/>
      <c r="G227" s="193"/>
      <c r="H227" s="163" t="s">
        <v>1591</v>
      </c>
      <c r="I227" s="135"/>
      <c r="J227" s="135"/>
    </row>
    <row r="228" spans="1:10" customFormat="1" ht="187.5" hidden="1" x14ac:dyDescent="0.25">
      <c r="A228" s="200">
        <f>A226+1</f>
        <v>639</v>
      </c>
      <c r="B228" s="231" t="str">
        <f>Suite&amp;" Electrical Room "&amp;SWThree</f>
        <v>G104 Electrical Room XXX</v>
      </c>
      <c r="C228" s="183" t="str">
        <f>"UPS "&amp;SWThree&amp;"2 Battery Cabinets"</f>
        <v>UPS XXX2 Battery Cabinets</v>
      </c>
      <c r="D228" s="233" t="s">
        <v>1592</v>
      </c>
      <c r="E228" s="183" t="s">
        <v>1464</v>
      </c>
      <c r="F228" s="193"/>
      <c r="G228" s="193"/>
      <c r="H228" s="163" t="s">
        <v>1593</v>
      </c>
      <c r="I228" s="135"/>
      <c r="J228" s="135"/>
    </row>
    <row r="229" spans="1:10" customFormat="1" ht="37.5" x14ac:dyDescent="0.25">
      <c r="A229" s="200">
        <f t="shared" si="11"/>
        <v>640</v>
      </c>
      <c r="B229" s="231" t="str">
        <f>Suite&amp;" Electrical Room "&amp;SWThree</f>
        <v>G104 Electrical Room XXX</v>
      </c>
      <c r="C229" s="183" t="str">
        <f>"UPS "&amp;SWThree&amp;"2"</f>
        <v>UPS XXX2</v>
      </c>
      <c r="D229" s="233" t="s">
        <v>1594</v>
      </c>
      <c r="E229" s="183" t="s">
        <v>1464</v>
      </c>
      <c r="F229" s="193"/>
      <c r="G229" s="193"/>
      <c r="H229" s="163"/>
      <c r="I229" s="135"/>
      <c r="J229" s="135"/>
    </row>
    <row r="230" spans="1:10" customFormat="1" ht="56.25" x14ac:dyDescent="0.25">
      <c r="A230" s="200">
        <f t="shared" si="11"/>
        <v>641</v>
      </c>
      <c r="B230" s="231" t="str">
        <f>Suite&amp;" Electrical Room "&amp;SWThree</f>
        <v>G104 Electrical Room XXX</v>
      </c>
      <c r="C230" s="183" t="str">
        <f>"UPS "&amp;SWThree&amp;"2 Battery Cabinets"</f>
        <v>UPS XXX2 Battery Cabinets</v>
      </c>
      <c r="D230" s="233" t="s">
        <v>1579</v>
      </c>
      <c r="E230" s="183" t="s">
        <v>1464</v>
      </c>
      <c r="F230" s="193"/>
      <c r="G230" s="193"/>
      <c r="H230" s="163"/>
      <c r="I230" s="135"/>
      <c r="J230" s="135"/>
    </row>
    <row r="231" spans="1:10" customFormat="1" ht="56.25" hidden="1" x14ac:dyDescent="0.25">
      <c r="A231" s="200">
        <f t="shared" si="11"/>
        <v>642</v>
      </c>
      <c r="B231" s="231" t="str">
        <f>Suite&amp;" Electrical Room "&amp;SWThree</f>
        <v>G104 Electrical Room XXX</v>
      </c>
      <c r="C231" s="183" t="str">
        <f>"UPS "&amp;SWThree&amp;"2 Battery Cabinets"</f>
        <v>UPS XXX2 Battery Cabinets</v>
      </c>
      <c r="D231" s="233" t="s">
        <v>1596</v>
      </c>
      <c r="E231" s="183" t="s">
        <v>1464</v>
      </c>
      <c r="F231" s="193"/>
      <c r="G231" s="193"/>
      <c r="H231" s="163" t="s">
        <v>1593</v>
      </c>
      <c r="I231" s="135"/>
      <c r="J231" s="135"/>
    </row>
    <row r="232" spans="1:10" customFormat="1" ht="56.25" hidden="1" x14ac:dyDescent="0.25">
      <c r="A232" s="200">
        <f t="shared" si="11"/>
        <v>643</v>
      </c>
      <c r="B232" s="231" t="str">
        <f>Suite&amp;" Electrical Room "&amp;SWThree</f>
        <v>G104 Electrical Room XXX</v>
      </c>
      <c r="C232" s="183" t="str">
        <f>"UPS "&amp;SWThree&amp;"2 Battery Cabinets"</f>
        <v>UPS XXX2 Battery Cabinets</v>
      </c>
      <c r="D232" s="186" t="s">
        <v>1600</v>
      </c>
      <c r="E232" s="183" t="s">
        <v>1464</v>
      </c>
      <c r="F232" s="193"/>
      <c r="G232" s="193"/>
      <c r="H232" s="163" t="s">
        <v>1593</v>
      </c>
      <c r="I232" s="135"/>
      <c r="J232" s="135"/>
    </row>
    <row r="233" spans="1:10" customFormat="1" ht="56.25" x14ac:dyDescent="0.25">
      <c r="A233" s="200" cm="1">
        <f t="array" ref="A233">IF(AND(Suite="H206", SWThree="D"), A232+1, A230+1)</f>
        <v>642</v>
      </c>
      <c r="B233" s="231" t="str">
        <f>Suite&amp;" Electrical Room "&amp;SWThree</f>
        <v>G104 Electrical Room XXX</v>
      </c>
      <c r="C233" s="183" t="str">
        <f>"UPS "&amp;SWThree&amp;"2 Battery Cabinets"</f>
        <v>UPS XXX2 Battery Cabinets</v>
      </c>
      <c r="D233" s="233" t="str" cm="1">
        <f t="array" ref="D233">"Close Battery Breaker Q7A at Cabinet " &amp; SWThree &amp; "2-1."</f>
        <v>Close Battery Breaker Q7A at Cabinet XXX2-1.</v>
      </c>
      <c r="E233" s="183" t="s">
        <v>1464</v>
      </c>
      <c r="F233" s="193"/>
      <c r="G233" s="193"/>
      <c r="H233" s="163" t="s">
        <v>1580</v>
      </c>
      <c r="I233" s="135"/>
      <c r="J233" s="135"/>
    </row>
    <row r="234" spans="1:10" customFormat="1" ht="56.25" x14ac:dyDescent="0.25">
      <c r="A234" s="200">
        <f t="shared" ref="A234:A236" si="12">A233+1</f>
        <v>643</v>
      </c>
      <c r="B234" s="231" t="str">
        <f>Suite&amp;" Electrical Room "&amp;SWThree</f>
        <v>G104 Electrical Room XXX</v>
      </c>
      <c r="C234" s="183" t="str">
        <f>"UPS "&amp;SWThree&amp;"2 Battery Cabinets"</f>
        <v>UPS XXX2 Battery Cabinets</v>
      </c>
      <c r="D234" s="233" t="str" cm="1">
        <f t="array" ref="D234">"Close Battery Breaker Q8A at Cabinet " &amp; SWThree &amp; "2-3."</f>
        <v>Close Battery Breaker Q8A at Cabinet XXX2-3.</v>
      </c>
      <c r="E234" s="183" t="s">
        <v>1464</v>
      </c>
      <c r="F234" s="193"/>
      <c r="G234" s="193"/>
      <c r="H234" s="163" t="s">
        <v>1580</v>
      </c>
      <c r="I234" s="135"/>
      <c r="J234" s="164"/>
    </row>
    <row r="235" spans="1:10" customFormat="1" ht="56.25" x14ac:dyDescent="0.25">
      <c r="A235" s="200">
        <f t="shared" si="12"/>
        <v>644</v>
      </c>
      <c r="B235" s="231" t="str">
        <f>Suite&amp;" Electrical Room "&amp;SWThree</f>
        <v>G104 Electrical Room XXX</v>
      </c>
      <c r="C235" s="183" t="str">
        <f>"UPS "&amp;SWThree&amp;"2 Battery Cabinets"</f>
        <v>UPS XXX2 Battery Cabinets</v>
      </c>
      <c r="D235" s="233" t="str" cm="1">
        <f t="array" ref="D235">"Close Battery Breaker Q8B at Cabinet " &amp; SWThree &amp; "2-4."</f>
        <v>Close Battery Breaker Q8B at Cabinet XXX2-4.</v>
      </c>
      <c r="E235" s="183" t="s">
        <v>1464</v>
      </c>
      <c r="F235" s="193"/>
      <c r="G235" s="193"/>
      <c r="H235" s="163" t="s">
        <v>1580</v>
      </c>
      <c r="I235" s="135"/>
      <c r="J235" s="164"/>
    </row>
    <row r="236" spans="1:10" customFormat="1" ht="56.25" x14ac:dyDescent="0.25">
      <c r="A236" s="200">
        <f t="shared" si="12"/>
        <v>645</v>
      </c>
      <c r="B236" s="231" t="str">
        <f>Suite&amp;" Electrical Room "&amp;SWThree</f>
        <v>G104 Electrical Room XXX</v>
      </c>
      <c r="C236" s="183" t="str">
        <f>"UPS "&amp;SWThree&amp;"2 Battery Cabinets"</f>
        <v>UPS XXX2 Battery Cabinets</v>
      </c>
      <c r="D236" s="233" t="str" cm="1">
        <f t="array" ref="D236">"Close Battery Breaker Q7B at Cabinet " &amp; SWThree &amp; "2-2."</f>
        <v>Close Battery Breaker Q7B at Cabinet XXX2-2.</v>
      </c>
      <c r="E236" s="183" t="s">
        <v>1464</v>
      </c>
      <c r="F236" s="193"/>
      <c r="G236" s="193"/>
      <c r="H236" s="163" t="s">
        <v>1580</v>
      </c>
      <c r="I236" s="135"/>
      <c r="J236" s="135"/>
    </row>
    <row r="237" spans="1:10" customFormat="1" ht="56.25" hidden="1" x14ac:dyDescent="0.25">
      <c r="A237" s="200">
        <f>A230+1</f>
        <v>642</v>
      </c>
      <c r="B237" s="231" t="str">
        <f>Suite&amp;" Electrical Room "&amp;SWThree</f>
        <v>G104 Electrical Room XXX</v>
      </c>
      <c r="C237" s="183" t="str">
        <f>"UPS "&amp;SWThree&amp;"2 Battery Cabinets"</f>
        <v>UPS XXX2 Battery Cabinets</v>
      </c>
      <c r="D237" s="186" t="str" cm="1">
        <f t="array" ref="D237">"Close Battery Breaker Q7C at Cabinet " &amp; SWThree &amp; "2-3."</f>
        <v>Close Battery Breaker Q7C at Cabinet XXX2-3.</v>
      </c>
      <c r="E237" s="183" t="s">
        <v>1464</v>
      </c>
      <c r="F237" s="193"/>
      <c r="G237" s="193"/>
      <c r="H237" s="163" t="s">
        <v>1581</v>
      </c>
      <c r="I237" s="135"/>
      <c r="J237" s="135"/>
    </row>
    <row r="238" spans="1:10" customFormat="1" ht="56.25" hidden="1" x14ac:dyDescent="0.25">
      <c r="A238" s="200">
        <f t="shared" ref="A238:A242" si="13">A237+1</f>
        <v>643</v>
      </c>
      <c r="B238" s="231" t="str">
        <f>Suite&amp;" Electrical Room "&amp;SWThree</f>
        <v>G104 Electrical Room XXX</v>
      </c>
      <c r="C238" s="183" t="str">
        <f>"UPS "&amp;SWThree&amp;"2 Battery Cabinets"</f>
        <v>UPS XXX2 Battery Cabinets</v>
      </c>
      <c r="D238" s="186" t="str" cm="1">
        <f t="array" ref="D238">"Close Battery Breaker Q8A at Cabinet " &amp; SWThree &amp; "2-4."</f>
        <v>Close Battery Breaker Q8A at Cabinet XXX2-4.</v>
      </c>
      <c r="E238" s="183" t="s">
        <v>1464</v>
      </c>
      <c r="F238" s="193"/>
      <c r="G238" s="193"/>
      <c r="H238" s="163" t="s">
        <v>1581</v>
      </c>
      <c r="I238" s="135"/>
      <c r="J238" s="135"/>
    </row>
    <row r="239" spans="1:10" customFormat="1" ht="56.25" hidden="1" x14ac:dyDescent="0.25">
      <c r="A239" s="200">
        <f t="shared" si="13"/>
        <v>644</v>
      </c>
      <c r="B239" s="231" t="str">
        <f>Suite&amp;" Electrical Room "&amp;SWThree</f>
        <v>G104 Electrical Room XXX</v>
      </c>
      <c r="C239" s="183" t="str">
        <f>"UPS "&amp;SWThree&amp;"2 Battery Cabinets"</f>
        <v>UPS XXX2 Battery Cabinets</v>
      </c>
      <c r="D239" s="186" t="str" cm="1">
        <f t="array" ref="D239">"Close Battery Breaker Q8B at Cabinet " &amp; SWThree &amp; "2-5."</f>
        <v>Close Battery Breaker Q8B at Cabinet XXX2-5.</v>
      </c>
      <c r="E239" s="183" t="s">
        <v>1464</v>
      </c>
      <c r="F239" s="193"/>
      <c r="G239" s="193"/>
      <c r="H239" s="163" t="s">
        <v>1581</v>
      </c>
      <c r="I239" s="135"/>
      <c r="J239" s="135"/>
    </row>
    <row r="240" spans="1:10" customFormat="1" ht="56.25" hidden="1" x14ac:dyDescent="0.25">
      <c r="A240" s="200">
        <f t="shared" si="13"/>
        <v>645</v>
      </c>
      <c r="B240" s="231" t="str">
        <f>Suite&amp;" Electrical Room "&amp;SWThree</f>
        <v>G104 Electrical Room XXX</v>
      </c>
      <c r="C240" s="183" t="str">
        <f>"UPS "&amp;SWThree&amp;"2 Battery Cabinets"</f>
        <v>UPS XXX2 Battery Cabinets</v>
      </c>
      <c r="D240" s="186" t="str" cm="1">
        <f t="array" ref="D240">"Close Battery Breaker Q8C at Cabinet " &amp; SWThree &amp; "2-6."</f>
        <v>Close Battery Breaker Q8C at Cabinet XXX2-6.</v>
      </c>
      <c r="E240" s="183" t="s">
        <v>1464</v>
      </c>
      <c r="F240" s="193"/>
      <c r="G240" s="193"/>
      <c r="H240" s="163" t="s">
        <v>1581</v>
      </c>
      <c r="I240" s="135"/>
      <c r="J240" s="135"/>
    </row>
    <row r="241" spans="1:10" customFormat="1" ht="56.25" hidden="1" x14ac:dyDescent="0.25">
      <c r="A241" s="200">
        <f t="shared" si="13"/>
        <v>646</v>
      </c>
      <c r="B241" s="231" t="str">
        <f>Suite&amp;" Electrical Room "&amp;SWThree</f>
        <v>G104 Electrical Room XXX</v>
      </c>
      <c r="C241" s="183" t="str">
        <f>"UPS "&amp;SWThree&amp;"2 Battery Cabinets"</f>
        <v>UPS XXX2 Battery Cabinets</v>
      </c>
      <c r="D241" s="186" t="str" cm="1">
        <f t="array" ref="D241">"Close Battery Breaker Q7A at Cabinet " &amp; SWThree &amp; "2-1."</f>
        <v>Close Battery Breaker Q7A at Cabinet XXX2-1.</v>
      </c>
      <c r="E241" s="183" t="s">
        <v>1464</v>
      </c>
      <c r="F241" s="193"/>
      <c r="G241" s="193"/>
      <c r="H241" s="163" t="s">
        <v>1581</v>
      </c>
      <c r="I241" s="135"/>
      <c r="J241" s="135"/>
    </row>
    <row r="242" spans="1:10" customFormat="1" ht="56.25" hidden="1" x14ac:dyDescent="0.25">
      <c r="A242" s="200">
        <f t="shared" si="13"/>
        <v>647</v>
      </c>
      <c r="B242" s="231" t="str">
        <f>Suite&amp;" Electrical Room "&amp;SWThree</f>
        <v>G104 Electrical Room XXX</v>
      </c>
      <c r="C242" s="183" t="str">
        <f>"UPS "&amp;SWThree&amp;"2 Battery Cabinets"</f>
        <v>UPS XXX2 Battery Cabinets</v>
      </c>
      <c r="D242" s="186" t="str" cm="1">
        <f t="array" ref="D242">"Close Battery Breaker Q7B at Cabinet " &amp; SWThree &amp; "2-2."</f>
        <v>Close Battery Breaker Q7B at Cabinet XXX2-2.</v>
      </c>
      <c r="E242" s="183" t="s">
        <v>1464</v>
      </c>
      <c r="F242" s="193"/>
      <c r="G242" s="193"/>
      <c r="H242" s="163" t="s">
        <v>1581</v>
      </c>
      <c r="I242" s="135"/>
      <c r="J242" s="135"/>
    </row>
    <row r="243" spans="1:10" customFormat="1" ht="37.5" x14ac:dyDescent="0.25">
      <c r="A243" s="200">
        <f>IF(NumberOfICDs=4, A236+1, A242+1)</f>
        <v>648</v>
      </c>
      <c r="B243" s="231" t="str">
        <f>Suite&amp;" Electrical Room "&amp;SWThree</f>
        <v>G104 Electrical Room XXX</v>
      </c>
      <c r="C243" s="183" t="str">
        <f>"UP"&amp;SWThree</f>
        <v>UPXXX</v>
      </c>
      <c r="D243" s="177" t="str" cm="1">
        <f t="array" ref="D243">"Remove LOTO from breaker DP-" &amp; SWThree &amp; "2."</f>
        <v>Remove LOTO from breaker DP-XXX2.</v>
      </c>
      <c r="E243" s="183" t="s">
        <v>1464</v>
      </c>
      <c r="F243" s="193"/>
      <c r="G243" s="193"/>
      <c r="H243" s="163"/>
      <c r="I243" s="135"/>
      <c r="J243" s="135"/>
    </row>
    <row r="244" spans="1:10" customFormat="1" ht="37.5" x14ac:dyDescent="0.25">
      <c r="A244" s="200">
        <f t="shared" ref="A244:A250" si="14">A243+1</f>
        <v>649</v>
      </c>
      <c r="B244" s="231" t="str">
        <f>Suite&amp;" Electrical Room "&amp;SWThree</f>
        <v>G104 Electrical Room XXX</v>
      </c>
      <c r="C244" s="183" t="str">
        <f>"UP"&amp;SWThree</f>
        <v>UPXXX</v>
      </c>
      <c r="D244" s="186" t="s">
        <v>1518</v>
      </c>
      <c r="E244" s="183" t="s">
        <v>1464</v>
      </c>
      <c r="F244" s="193"/>
      <c r="G244" s="193"/>
      <c r="H244" s="135"/>
      <c r="I244" s="135"/>
      <c r="J244" s="135"/>
    </row>
    <row r="245" spans="1:10" customFormat="1" ht="37.5" x14ac:dyDescent="0.25">
      <c r="A245" s="200">
        <f t="shared" si="14"/>
        <v>650</v>
      </c>
      <c r="B245" s="231" t="str">
        <f>Suite&amp;" Electrical Room "&amp;SWThree</f>
        <v>G104 Electrical Room XXX</v>
      </c>
      <c r="C245" s="183" t="str">
        <f>"UP"&amp;SWThree</f>
        <v>UPXXX</v>
      </c>
      <c r="D245" s="233" t="str" cm="1">
        <f t="array" ref="D245">"Close breaker DP-" &amp; SWThree &amp; "2."</f>
        <v>Close breaker DP-XXX2.</v>
      </c>
      <c r="E245" s="183" t="s">
        <v>1464</v>
      </c>
      <c r="F245" s="193"/>
      <c r="G245" s="193"/>
      <c r="H245" s="135"/>
      <c r="I245" s="135"/>
      <c r="J245" s="135"/>
    </row>
    <row r="246" spans="1:10" customFormat="1" ht="37.5" x14ac:dyDescent="0.25">
      <c r="A246" s="200">
        <f t="shared" si="14"/>
        <v>651</v>
      </c>
      <c r="B246" s="231" t="str">
        <f>Suite&amp;" Electrical Room "&amp;SWThree</f>
        <v>G104 Electrical Room XXX</v>
      </c>
      <c r="C246" s="183" t="str">
        <f>"UPS "&amp;SWThree&amp;"2"</f>
        <v>UPS XXX2</v>
      </c>
      <c r="D246" s="233" t="s">
        <v>1598</v>
      </c>
      <c r="E246" s="183" t="s">
        <v>1464</v>
      </c>
      <c r="F246" s="193"/>
      <c r="G246" s="193"/>
      <c r="H246" s="163"/>
      <c r="I246" s="135"/>
      <c r="J246" s="135"/>
    </row>
    <row r="247" spans="1:10" customFormat="1" ht="37.5" x14ac:dyDescent="0.25">
      <c r="A247" s="200">
        <f t="shared" si="14"/>
        <v>652</v>
      </c>
      <c r="B247" s="231" t="str">
        <f>Suite&amp;" Electrical Room "&amp;SWThree</f>
        <v>G104 Electrical Room XXX</v>
      </c>
      <c r="C247" s="183" t="s">
        <v>1566</v>
      </c>
      <c r="D247" s="233" t="s">
        <v>1601</v>
      </c>
      <c r="E247" s="183" t="s">
        <v>1464</v>
      </c>
      <c r="F247" s="193"/>
      <c r="G247" s="193"/>
      <c r="H247" s="163"/>
      <c r="I247" s="135"/>
      <c r="J247" s="135"/>
    </row>
    <row r="248" spans="1:10" customFormat="1" ht="37.5" x14ac:dyDescent="0.25">
      <c r="A248" s="200">
        <f t="shared" si="14"/>
        <v>653</v>
      </c>
      <c r="B248" s="231" t="str">
        <f>Suite&amp;" Electrical Room "&amp;SWThree</f>
        <v>G104 Electrical Room XXX</v>
      </c>
      <c r="C248" s="183" t="str">
        <f>"UPS "&amp;SWThree</f>
        <v>UPS XXX</v>
      </c>
      <c r="D248" s="233" t="str" cm="1">
        <f t="array" ref="D248">"UPS SYSTEM "&amp;SWThree&amp;" is now online and ready to accept load. Critical Customer Load remains on Maintenance Bypass Source."</f>
        <v>UPS SYSTEM XXX is now online and ready to accept load. Critical Customer Load remains on Maintenance Bypass Source.</v>
      </c>
      <c r="E248" s="183" t="s">
        <v>1464</v>
      </c>
      <c r="F248" s="193"/>
      <c r="G248" s="193"/>
      <c r="H248" s="163"/>
      <c r="I248" s="135"/>
      <c r="J248" s="135"/>
    </row>
    <row r="249" spans="1:10" customFormat="1" x14ac:dyDescent="0.25">
      <c r="A249" s="200">
        <f t="shared" si="14"/>
        <v>654</v>
      </c>
      <c r="B249" s="711" t="s">
        <v>1602</v>
      </c>
      <c r="C249" s="711"/>
      <c r="D249" s="711"/>
      <c r="E249" s="711"/>
      <c r="F249" s="711"/>
      <c r="G249" s="711"/>
      <c r="H249" s="163"/>
      <c r="I249" s="135"/>
      <c r="J249" s="135"/>
    </row>
    <row r="250" spans="1:10" customFormat="1" ht="37.5" x14ac:dyDescent="0.25">
      <c r="A250" s="200">
        <f t="shared" si="14"/>
        <v>655</v>
      </c>
      <c r="B250" s="231" t="str">
        <f>Suite&amp;" Electrical Room A"</f>
        <v>G104 Electrical Room A</v>
      </c>
      <c r="C250" s="183" t="str">
        <f>"UP"&amp;SWThree</f>
        <v>UPXXX</v>
      </c>
      <c r="D250" s="233" t="str" cm="1">
        <f t="array" ref="D250">"NOTATE the kW reading at UP" &amp; SWThree &amp; " Critical Bus Panel Meter: _________"</f>
        <v>NOTATE the kW reading at UPXXX Critical Bus Panel Meter: _________</v>
      </c>
      <c r="E250" s="183" t="s">
        <v>1464</v>
      </c>
      <c r="F250" s="193"/>
      <c r="G250" s="193"/>
      <c r="H250" s="163"/>
      <c r="I250" s="135"/>
      <c r="J250" s="135"/>
    </row>
    <row r="251" spans="1:10" customFormat="1" ht="37.5" x14ac:dyDescent="0.25">
      <c r="A251" s="200">
        <f>A250+1</f>
        <v>656</v>
      </c>
      <c r="B251" s="231" t="str">
        <f>Suite&amp;" Electrical Room "&amp;SWThree</f>
        <v>G104 Electrical Room XXX</v>
      </c>
      <c r="C251" s="183" t="str">
        <f>"UPS "&amp;SWThree&amp;"1"</f>
        <v>UPS XXX1</v>
      </c>
      <c r="D251" s="233" t="s">
        <v>1603</v>
      </c>
      <c r="E251" s="183" t="s">
        <v>1464</v>
      </c>
      <c r="F251" s="193"/>
      <c r="G251" s="193"/>
      <c r="H251" s="163"/>
      <c r="I251" s="135"/>
      <c r="J251" s="135"/>
    </row>
    <row r="252" spans="1:10" customFormat="1" ht="37.5" x14ac:dyDescent="0.25">
      <c r="A252" s="200">
        <f t="shared" ref="A252:A291" si="15">A251+1</f>
        <v>657</v>
      </c>
      <c r="B252" s="231" t="str">
        <f>Suite&amp;" Electrical Room "&amp;SWThree</f>
        <v>G104 Electrical Room XXX</v>
      </c>
      <c r="C252" s="183" t="str">
        <f>"UPS "&amp;SWThree&amp;"1"</f>
        <v>UPS XXX1</v>
      </c>
      <c r="D252" s="233" t="s">
        <v>1604</v>
      </c>
      <c r="E252" s="183" t="s">
        <v>1464</v>
      </c>
      <c r="F252" s="193"/>
      <c r="G252" s="193"/>
      <c r="H252" s="163"/>
      <c r="I252" s="135"/>
      <c r="J252" s="135"/>
    </row>
    <row r="253" spans="1:10" customFormat="1" ht="37.5" x14ac:dyDescent="0.25">
      <c r="A253" s="200">
        <f t="shared" si="15"/>
        <v>658</v>
      </c>
      <c r="B253" s="231" t="str">
        <f>Suite&amp;" Electrical Room "&amp;SWThree</f>
        <v>G104 Electrical Room XXX</v>
      </c>
      <c r="C253" s="183" t="str">
        <f>"UPS "&amp;SWThree&amp;"1"</f>
        <v>UPS XXX1</v>
      </c>
      <c r="D253" s="233" t="s">
        <v>1605</v>
      </c>
      <c r="E253" s="183" t="s">
        <v>1464</v>
      </c>
      <c r="F253" s="193"/>
      <c r="G253" s="193"/>
      <c r="H253" s="163"/>
      <c r="I253" s="135"/>
      <c r="J253" s="135"/>
    </row>
    <row r="254" spans="1:10" customFormat="1" ht="37.5" x14ac:dyDescent="0.25">
      <c r="A254" s="200">
        <f t="shared" si="15"/>
        <v>659</v>
      </c>
      <c r="B254" s="231" t="str">
        <f>Suite&amp;" Electrical Room "&amp;SWThree</f>
        <v>G104 Electrical Room XXX</v>
      </c>
      <c r="C254" s="183" t="s">
        <v>1566</v>
      </c>
      <c r="D254" s="233" t="s">
        <v>1606</v>
      </c>
      <c r="E254" s="183" t="s">
        <v>1464</v>
      </c>
      <c r="F254" s="193"/>
      <c r="G254" s="193"/>
      <c r="H254" s="163"/>
      <c r="I254" s="135"/>
      <c r="J254" s="135"/>
    </row>
    <row r="255" spans="1:10" customFormat="1" ht="56.25" x14ac:dyDescent="0.25">
      <c r="A255" s="200">
        <f t="shared" si="15"/>
        <v>660</v>
      </c>
      <c r="B255" s="231" t="str">
        <f>Suite&amp;" Electrical Room "&amp;SWThree</f>
        <v>G104 Electrical Room XXX</v>
      </c>
      <c r="C255" s="183" t="str">
        <f>"UPS "&amp;SWThree</f>
        <v>UPS XXX</v>
      </c>
      <c r="D255" s="233" t="str" cm="1">
        <f t="array" ref="D255">"UPS SYSTEM "&amp;SWThree&amp;" is now online and applying utility voltage to the line side of the MCBUP"&amp;SWThree&amp;" breaker via static bypass. Critical Customer Load remains on Maintenance Bypass Source."</f>
        <v>UPS SYSTEM XXX is now online and applying utility voltage to the line side of the MCBUPXXX breaker via static bypass. Critical Customer Load remains on Maintenance Bypass Source.</v>
      </c>
      <c r="E255" s="183" t="s">
        <v>1464</v>
      </c>
      <c r="F255" s="193"/>
      <c r="G255" s="193"/>
      <c r="H255" s="163"/>
      <c r="I255" s="135"/>
      <c r="J255" s="135"/>
    </row>
    <row r="256" spans="1:10" customFormat="1" ht="37.5" x14ac:dyDescent="0.25">
      <c r="A256" s="200">
        <f t="shared" si="15"/>
        <v>661</v>
      </c>
      <c r="B256" s="231" t="str">
        <f>Suite&amp;" Electrical Room "&amp;SWThree</f>
        <v>G104 Electrical Room XXX</v>
      </c>
      <c r="C256" s="183" t="str">
        <f>"UP"&amp;SWThree</f>
        <v>UPXXX</v>
      </c>
      <c r="D256" s="233" t="s">
        <v>1568</v>
      </c>
      <c r="E256" s="183" t="s">
        <v>1464</v>
      </c>
      <c r="F256" s="193"/>
      <c r="G256" s="193"/>
      <c r="H256" s="163"/>
      <c r="I256" s="135"/>
      <c r="J256" s="135"/>
    </row>
    <row r="257" spans="1:10" customFormat="1" ht="37.5" x14ac:dyDescent="0.25">
      <c r="A257" s="200">
        <f t="shared" si="15"/>
        <v>662</v>
      </c>
      <c r="B257" s="231" t="str">
        <f>Suite&amp;" Electrical Room "&amp;SWThree</f>
        <v>G104 Electrical Room XXX</v>
      </c>
      <c r="C257" s="183" t="str">
        <f>"UP"&amp;SWThree</f>
        <v>UPXXX</v>
      </c>
      <c r="D257" s="186" t="s">
        <v>1569</v>
      </c>
      <c r="E257" s="183" t="s">
        <v>1464</v>
      </c>
      <c r="F257" s="193"/>
      <c r="G257" s="193"/>
      <c r="H257" s="163"/>
      <c r="I257" s="135"/>
      <c r="J257" s="135"/>
    </row>
    <row r="258" spans="1:10" customFormat="1" ht="37.5" x14ac:dyDescent="0.25">
      <c r="A258" s="200">
        <f t="shared" si="15"/>
        <v>663</v>
      </c>
      <c r="B258" s="231" t="str">
        <f>Suite&amp;" Electrical Room "&amp;SWThree</f>
        <v>G104 Electrical Room XXX</v>
      </c>
      <c r="C258" s="183" t="str">
        <f>"UP"&amp;SWThree</f>
        <v>UPXXX</v>
      </c>
      <c r="D258" s="186" t="s">
        <v>1570</v>
      </c>
      <c r="E258" s="183" t="s">
        <v>1464</v>
      </c>
      <c r="F258" s="193"/>
      <c r="G258" s="193"/>
      <c r="H258" s="163"/>
      <c r="I258" s="135"/>
      <c r="J258" s="135"/>
    </row>
    <row r="259" spans="1:10" customFormat="1" ht="37.5" x14ac:dyDescent="0.25">
      <c r="A259" s="200">
        <f t="shared" si="15"/>
        <v>664</v>
      </c>
      <c r="B259" s="231" t="str">
        <f>Suite&amp;" Electrical Room "&amp;SWThree</f>
        <v>G104 Electrical Room XXX</v>
      </c>
      <c r="C259" s="183" t="str">
        <f>"UP"&amp;SWThree</f>
        <v>UPXXX</v>
      </c>
      <c r="D259" s="233" t="str" cm="1">
        <f t="array" ref="D259">"INSERT the interlock key into the MCBUP" &amp; SWThree &amp; " breaker lock cylinder."</f>
        <v>INSERT the interlock key into the MCBUPXXX breaker lock cylinder.</v>
      </c>
      <c r="E259" s="183" t="s">
        <v>1464</v>
      </c>
      <c r="F259" s="193"/>
      <c r="G259" s="193"/>
      <c r="H259" s="163"/>
      <c r="I259" s="135"/>
      <c r="J259" s="135"/>
    </row>
    <row r="260" spans="1:10" customFormat="1" ht="37.5" x14ac:dyDescent="0.25">
      <c r="A260" s="200">
        <f t="shared" si="15"/>
        <v>665</v>
      </c>
      <c r="B260" s="231" t="str">
        <f>Suite&amp;" Electrical Room "&amp;SWThree</f>
        <v>G104 Electrical Room XXX</v>
      </c>
      <c r="C260" s="183" t="str">
        <f>"UP"&amp;SWThree</f>
        <v>UPXXX</v>
      </c>
      <c r="D260" s="186" t="str" cm="1">
        <f t="array" ref="D260">"ROTATE the interlock key 90 degrees to UNLOCK the MCBUP" &amp; SWThree &amp; " breaker."</f>
        <v>ROTATE the interlock key 90 degrees to UNLOCK the MCBUPXXX breaker.</v>
      </c>
      <c r="E260" s="183" t="s">
        <v>1464</v>
      </c>
      <c r="F260" s="193"/>
      <c r="G260" s="193"/>
      <c r="H260" s="135"/>
      <c r="I260" s="135"/>
      <c r="J260" s="135"/>
    </row>
    <row r="261" spans="1:10" customFormat="1" ht="37.5" x14ac:dyDescent="0.25">
      <c r="A261" s="200">
        <f t="shared" si="15"/>
        <v>666</v>
      </c>
      <c r="B261" s="231" t="str">
        <f>Suite&amp;" Electrical Room "&amp;SWThree</f>
        <v>G104 Electrical Room XXX</v>
      </c>
      <c r="C261" s="183" t="str">
        <f>"UP"&amp;SWThree</f>
        <v>UPXXX</v>
      </c>
      <c r="D261" s="233" t="str" cm="1">
        <f t="array" ref="D261">"Close breaker MCBUP"&amp;SWThree&amp;"."</f>
        <v>Close breaker MCBUPXXX.</v>
      </c>
      <c r="E261" s="183" t="s">
        <v>1464</v>
      </c>
      <c r="F261" s="193"/>
      <c r="G261" s="193"/>
      <c r="H261" s="135"/>
      <c r="I261" s="135"/>
      <c r="J261" s="135"/>
    </row>
    <row r="262" spans="1:10" customFormat="1" ht="37.5" x14ac:dyDescent="0.25">
      <c r="A262" s="200">
        <f t="shared" si="15"/>
        <v>667</v>
      </c>
      <c r="B262" s="231" t="str">
        <f>Suite&amp;" Electrical Room "&amp;SWThree</f>
        <v>G104 Electrical Room XXX</v>
      </c>
      <c r="C262" s="183" t="str">
        <f>"UP"&amp;SWThree</f>
        <v>UPXXX</v>
      </c>
      <c r="D262" s="186" t="str" cm="1">
        <f t="array" ref="D262">"VERIFY MCBUP" &amp; SWThree &amp; " breaker flag indicates CLOSED."</f>
        <v>VERIFY MCBUPXXX breaker flag indicates CLOSED.</v>
      </c>
      <c r="E262" s="183" t="s">
        <v>1464</v>
      </c>
      <c r="F262" s="193"/>
      <c r="G262" s="193"/>
      <c r="H262" s="135"/>
      <c r="I262" s="135"/>
      <c r="J262" s="135"/>
    </row>
    <row r="263" spans="1:10" customFormat="1" ht="37.5" x14ac:dyDescent="0.25">
      <c r="A263" s="200">
        <f t="shared" si="15"/>
        <v>668</v>
      </c>
      <c r="B263" s="231" t="str">
        <f>Suite&amp;" Electrical Room "&amp;SWThree</f>
        <v>G104 Electrical Room XXX</v>
      </c>
      <c r="C263" s="183" t="str">
        <f>"UP"&amp;SWThree</f>
        <v>UPXXX</v>
      </c>
      <c r="D263" s="233" t="str" cm="1">
        <f t="array" ref="D263">"VERIFY breaker MCBUP"&amp;SWThree&amp;" is carrying a portion of critical customer load using breaker mounted metering."</f>
        <v>VERIFY breaker MCBUPXXX is carrying a portion of critical customer load using breaker mounted metering.</v>
      </c>
      <c r="E263" s="183" t="s">
        <v>1464</v>
      </c>
      <c r="F263" s="193"/>
      <c r="G263" s="193"/>
      <c r="H263" s="135"/>
      <c r="I263" s="135"/>
      <c r="J263" s="135"/>
    </row>
    <row r="264" spans="1:10" customFormat="1" ht="37.5" x14ac:dyDescent="0.25">
      <c r="A264" s="200">
        <f t="shared" si="15"/>
        <v>669</v>
      </c>
      <c r="B264" s="231" t="str">
        <f>Suite&amp;" Electrical Room "&amp;SWThree</f>
        <v>G104 Electrical Room XXX</v>
      </c>
      <c r="C264" s="183" t="str">
        <f>"UP"&amp;SWThree</f>
        <v>UPXXX</v>
      </c>
      <c r="D264" s="233" t="str" cm="1">
        <f t="array" ref="D264">"VERIFY breaker MBUP"&amp;SWThree&amp;" is carrying a portion of critical customer load using breaker mounted metering."</f>
        <v>VERIFY breaker MBUPXXX is carrying a portion of critical customer load using breaker mounted metering.</v>
      </c>
      <c r="E264" s="183" t="s">
        <v>1464</v>
      </c>
      <c r="F264" s="193"/>
      <c r="G264" s="193"/>
      <c r="H264" s="135"/>
      <c r="I264" s="135"/>
      <c r="J264" s="135"/>
    </row>
    <row r="265" spans="1:10" ht="37.5" x14ac:dyDescent="0.25">
      <c r="A265" s="200">
        <f t="shared" si="15"/>
        <v>670</v>
      </c>
      <c r="B265" s="231" t="str">
        <f>Suite&amp;" Electrical Room "&amp;SWThree</f>
        <v>G104 Electrical Room XXX</v>
      </c>
      <c r="C265" s="183" t="str">
        <f>"UP"&amp;SWThree</f>
        <v>UPXXX</v>
      </c>
      <c r="D265" s="233" t="str" cm="1">
        <f t="array" ref="D265">"NOTATE the kW reading at UP" &amp; SWThree &amp; " Critical Bus Panel Meter: _________"</f>
        <v>NOTATE the kW reading at UPXXX Critical Bus Panel Meter: _________</v>
      </c>
      <c r="E265" s="183" t="s">
        <v>1464</v>
      </c>
      <c r="F265" s="193"/>
      <c r="G265" s="193"/>
      <c r="H265" s="135"/>
      <c r="I265" s="135"/>
      <c r="J265" s="135"/>
    </row>
    <row r="266" spans="1:10" ht="37.5" x14ac:dyDescent="0.25">
      <c r="A266" s="200">
        <f t="shared" si="15"/>
        <v>671</v>
      </c>
      <c r="B266" s="231" t="str">
        <f>Suite&amp;" Electrical Room "&amp;SWThree</f>
        <v>G104 Electrical Room XXX</v>
      </c>
      <c r="C266" s="183" t="str">
        <f>"UP"&amp;SWThree</f>
        <v>UPXXX</v>
      </c>
      <c r="D266" s="233" t="str">
        <f>"VERIFY the readings in step " &amp; A250 &amp; " and " &amp; A265 &amp; " are within 3% of each other. (new kW divided by original kW must be ≤1.03 and ≥0.97)."</f>
        <v>VERIFY the readings in step 655 and 670 are within 3% of each other. (new kW divided by original kW must be ≤1.03 and ≥0.97).</v>
      </c>
      <c r="E266" s="183" t="s">
        <v>1464</v>
      </c>
      <c r="F266" s="193"/>
      <c r="G266" s="193"/>
      <c r="H266" s="135"/>
      <c r="I266" s="135"/>
      <c r="J266" s="135"/>
    </row>
    <row r="267" spans="1:10" ht="37.5" x14ac:dyDescent="0.25">
      <c r="A267" s="200">
        <f t="shared" si="15"/>
        <v>672</v>
      </c>
      <c r="B267" s="231" t="str">
        <f>Suite&amp;" Electrical Room "&amp;SWThree</f>
        <v>G104 Electrical Room XXX</v>
      </c>
      <c r="C267" s="183" t="s">
        <v>1566</v>
      </c>
      <c r="D267" s="233" t="s">
        <v>1607</v>
      </c>
      <c r="E267" s="183" t="s">
        <v>1464</v>
      </c>
      <c r="F267" s="193"/>
      <c r="G267" s="193"/>
      <c r="H267" s="135"/>
      <c r="I267" s="135"/>
      <c r="J267" s="135"/>
    </row>
    <row r="268" spans="1:10" ht="37.5" x14ac:dyDescent="0.25">
      <c r="A268" s="200">
        <f t="shared" si="15"/>
        <v>673</v>
      </c>
      <c r="B268" s="231" t="str">
        <f>Suite&amp;" Electrical Room "&amp;SWThree</f>
        <v>G104 Electrical Room XXX</v>
      </c>
      <c r="C268" s="183" t="str">
        <f>"UP"&amp;SWThree</f>
        <v>UPXXX</v>
      </c>
      <c r="D268" s="233" t="str" cm="1">
        <f t="array" ref="D268">"OPEN breaker MBUP"&amp;SWThree&amp;"."</f>
        <v>OPEN breaker MBUPXXX.</v>
      </c>
      <c r="E268" s="183" t="s">
        <v>1464</v>
      </c>
      <c r="F268" s="193"/>
      <c r="G268" s="193"/>
      <c r="H268" s="135"/>
      <c r="I268" s="135"/>
      <c r="J268" s="135"/>
    </row>
    <row r="269" spans="1:10" ht="37.5" x14ac:dyDescent="0.25">
      <c r="A269" s="200">
        <f t="shared" si="15"/>
        <v>674</v>
      </c>
      <c r="B269" s="231" t="str">
        <f>Suite&amp;" Electrical Room "&amp;SWThree</f>
        <v>G104 Electrical Room XXX</v>
      </c>
      <c r="C269" s="183" t="str">
        <f>"UP"&amp;SWThree</f>
        <v>UPXXX</v>
      </c>
      <c r="D269" s="233" t="s">
        <v>1501</v>
      </c>
      <c r="E269" s="183" t="s">
        <v>1464</v>
      </c>
      <c r="F269" s="193"/>
      <c r="G269" s="193"/>
      <c r="H269" s="135"/>
      <c r="I269" s="135"/>
      <c r="J269" s="135"/>
    </row>
    <row r="270" spans="1:10" ht="37.5" x14ac:dyDescent="0.25">
      <c r="A270" s="200">
        <f t="shared" si="15"/>
        <v>675</v>
      </c>
      <c r="B270" s="231" t="str">
        <f>Suite&amp;" Electrical Room "&amp;SWThree</f>
        <v>G104 Electrical Room XXX</v>
      </c>
      <c r="C270" s="183" t="str">
        <f>"UP"&amp;SWThree</f>
        <v>UPXXX</v>
      </c>
      <c r="D270" s="186" t="str" cm="1">
        <f t="array" ref="D270">"VERIFY MBUP" &amp; SWThree &amp; " breaker flag indicates OPEN."</f>
        <v>VERIFY MBUPXXX breaker flag indicates OPEN.</v>
      </c>
      <c r="E270" s="183" t="s">
        <v>1464</v>
      </c>
      <c r="F270" s="193"/>
      <c r="G270" s="193"/>
      <c r="H270" s="135"/>
      <c r="I270" s="135"/>
      <c r="J270" s="135"/>
    </row>
    <row r="271" spans="1:10" ht="37.5" x14ac:dyDescent="0.25">
      <c r="A271" s="200">
        <f t="shared" si="15"/>
        <v>676</v>
      </c>
      <c r="B271" s="231" t="str">
        <f>Suite&amp;" Electrical Room "&amp;SWThree</f>
        <v>G104 Electrical Room XXX</v>
      </c>
      <c r="C271" s="183" t="str">
        <f>"UP"&amp;SWThree</f>
        <v>UPXXX</v>
      </c>
      <c r="D271" s="233" t="str" cm="1">
        <f t="array" ref="D271">"NOTATE the kW reading at UP" &amp; SWThree &amp; " Critical Bus Panel Meter: _________"</f>
        <v>NOTATE the kW reading at UPXXX Critical Bus Panel Meter: _________</v>
      </c>
      <c r="E271" s="183" t="s">
        <v>1464</v>
      </c>
      <c r="F271" s="193"/>
      <c r="G271" s="193"/>
      <c r="H271" s="135"/>
      <c r="I271" s="135"/>
      <c r="J271" s="135"/>
    </row>
    <row r="272" spans="1:10" ht="37.5" x14ac:dyDescent="0.25">
      <c r="A272" s="200">
        <f t="shared" si="15"/>
        <v>677</v>
      </c>
      <c r="B272" s="231" t="str">
        <f>Suite&amp;" Electrical Room "&amp;SWThree</f>
        <v>G104 Electrical Room XXX</v>
      </c>
      <c r="C272" s="183" t="str">
        <f>"UP"&amp;SWThree</f>
        <v>UPXXX</v>
      </c>
      <c r="D272" s="233" t="str">
        <f>"VERIFY the readings in step " &amp; A265 &amp; " and " &amp; A271 &amp; " are within 3% of each other. (new kW divided by original kW must be ≤1.03 and ≥0.97)."</f>
        <v>VERIFY the readings in step 670 and 676 are within 3% of each other. (new kW divided by original kW must be ≤1.03 and ≥0.97).</v>
      </c>
      <c r="E272" s="183" t="s">
        <v>1464</v>
      </c>
      <c r="F272" s="193"/>
      <c r="G272" s="193"/>
      <c r="H272" s="135"/>
      <c r="I272" s="135"/>
      <c r="J272" s="135"/>
    </row>
    <row r="273" spans="1:10" ht="37.5" x14ac:dyDescent="0.25">
      <c r="A273" s="200">
        <f t="shared" si="15"/>
        <v>678</v>
      </c>
      <c r="B273" s="231" t="str">
        <f>Suite&amp;" Electrical Room "&amp;SWThree</f>
        <v>G104 Electrical Room XXX</v>
      </c>
      <c r="C273" s="183" t="s">
        <v>1566</v>
      </c>
      <c r="D273" s="233" t="s">
        <v>1608</v>
      </c>
      <c r="E273" s="183" t="s">
        <v>1464</v>
      </c>
      <c r="F273" s="193"/>
      <c r="G273" s="193"/>
      <c r="H273" s="135"/>
      <c r="I273" s="135"/>
      <c r="J273" s="135"/>
    </row>
    <row r="274" spans="1:10" ht="37.5" x14ac:dyDescent="0.25">
      <c r="A274" s="200">
        <f t="shared" si="15"/>
        <v>679</v>
      </c>
      <c r="B274" s="231" t="str">
        <f>Suite&amp;" Electrical Room "&amp;SWThree</f>
        <v>G104 Electrical Room XXX</v>
      </c>
      <c r="C274" s="183" t="str">
        <f>"UP"&amp;SWThree</f>
        <v>UPXXX</v>
      </c>
      <c r="D274" s="186" t="str" cm="1">
        <f t="array" ref="D274">"ROTATE the interlock key 90 degrees to LOCK the MBUP"&amp;SWThree&amp;" breaker."</f>
        <v>ROTATE the interlock key 90 degrees to LOCK the MBUPXXX breaker.</v>
      </c>
      <c r="E274" s="183" t="s">
        <v>1464</v>
      </c>
      <c r="F274" s="193"/>
      <c r="G274" s="193"/>
      <c r="H274" s="135"/>
      <c r="I274" s="135"/>
      <c r="J274" s="135"/>
    </row>
    <row r="275" spans="1:10" ht="37.5" x14ac:dyDescent="0.25">
      <c r="A275" s="200">
        <f t="shared" si="15"/>
        <v>680</v>
      </c>
      <c r="B275" s="231" t="str">
        <f>Suite&amp;" Electrical Room "&amp;SWThree</f>
        <v>G104 Electrical Room XXX</v>
      </c>
      <c r="C275" s="183" t="str">
        <f>"UP"&amp;SWThree</f>
        <v>UPXXX</v>
      </c>
      <c r="D275" s="186" t="str" cm="1">
        <f t="array" ref="D275">"REMOVE the interlock key from the MBUP"&amp;SWThree&amp;" breaker lock cylinder."</f>
        <v>REMOVE the interlock key from the MBUPXXX breaker lock cylinder.</v>
      </c>
      <c r="E275" s="183" t="s">
        <v>1464</v>
      </c>
      <c r="F275" s="193"/>
      <c r="G275" s="193"/>
      <c r="H275" s="135"/>
      <c r="I275" s="135"/>
      <c r="J275" s="135"/>
    </row>
    <row r="276" spans="1:10" ht="37.5" x14ac:dyDescent="0.25">
      <c r="A276" s="200">
        <f t="shared" si="15"/>
        <v>681</v>
      </c>
      <c r="B276" s="231" t="str">
        <f>Suite&amp;" Electrical Room "&amp;SWThree</f>
        <v>G104 Electrical Room XXX</v>
      </c>
      <c r="C276" s="183" t="str">
        <f>"UP"&amp;SWThree</f>
        <v>UPXXX</v>
      </c>
      <c r="D276" s="233" t="s">
        <v>1573</v>
      </c>
      <c r="E276" s="183" t="s">
        <v>1464</v>
      </c>
      <c r="F276" s="193"/>
      <c r="G276" s="193"/>
      <c r="H276" s="135"/>
      <c r="I276" s="135"/>
      <c r="J276" s="135"/>
    </row>
    <row r="277" spans="1:10" ht="37.5" x14ac:dyDescent="0.25">
      <c r="A277" s="200">
        <f t="shared" si="15"/>
        <v>682</v>
      </c>
      <c r="B277" s="231" t="str">
        <f>Suite&amp;" Electrical Room "&amp;SWThree</f>
        <v>G104 Electrical Room XXX</v>
      </c>
      <c r="C277" s="183" t="str">
        <f>"UP"&amp;SWThree</f>
        <v>UPXXX</v>
      </c>
      <c r="D277" s="186" t="s">
        <v>1574</v>
      </c>
      <c r="E277" s="183" t="s">
        <v>1464</v>
      </c>
      <c r="F277" s="193"/>
      <c r="G277" s="193"/>
      <c r="H277" s="135"/>
      <c r="I277" s="135"/>
      <c r="J277" s="135"/>
    </row>
    <row r="278" spans="1:10" ht="37.5" x14ac:dyDescent="0.25">
      <c r="A278" s="200">
        <f t="shared" si="15"/>
        <v>683</v>
      </c>
      <c r="B278" s="231" t="str">
        <f>Suite&amp;" Electrical Room "&amp;SWThree</f>
        <v>G104 Electrical Room XXX</v>
      </c>
      <c r="C278" s="183" t="str">
        <f>"UP"&amp;SWThree</f>
        <v>UPXXX</v>
      </c>
      <c r="D278" s="186" t="s">
        <v>1575</v>
      </c>
      <c r="E278" s="183" t="s">
        <v>1464</v>
      </c>
      <c r="F278" s="193"/>
      <c r="G278" s="193"/>
      <c r="H278" s="135"/>
      <c r="I278" s="135"/>
      <c r="J278" s="135"/>
    </row>
    <row r="279" spans="1:10" ht="37.5" x14ac:dyDescent="0.25">
      <c r="A279" s="200">
        <f t="shared" si="15"/>
        <v>684</v>
      </c>
      <c r="B279" s="231" t="str">
        <f>Suite&amp;" Electrical Room "&amp;SWThree</f>
        <v>G104 Electrical Room XXX</v>
      </c>
      <c r="C279" s="183" t="str">
        <f>"UP"&amp;SWThree</f>
        <v>UPXXX</v>
      </c>
      <c r="D279" s="186" t="s">
        <v>1510</v>
      </c>
      <c r="E279" s="183" t="s">
        <v>1464</v>
      </c>
      <c r="F279" s="193"/>
      <c r="G279" s="193"/>
      <c r="H279" s="135"/>
      <c r="I279" s="135"/>
      <c r="J279" s="135"/>
    </row>
    <row r="280" spans="1:10" x14ac:dyDescent="0.25">
      <c r="A280" s="200">
        <f t="shared" si="15"/>
        <v>685</v>
      </c>
      <c r="B280" s="711" t="str">
        <f>"Transfer UPS System "&amp;SWThree&amp;" to Inverter Service"</f>
        <v>Transfer UPS System XXX to Inverter Service</v>
      </c>
      <c r="C280" s="711"/>
      <c r="D280" s="711"/>
      <c r="E280" s="711"/>
      <c r="F280" s="711"/>
      <c r="G280" s="711"/>
      <c r="H280" s="135"/>
      <c r="I280" s="135"/>
      <c r="J280" s="135"/>
    </row>
    <row r="281" spans="1:10" ht="37.5" x14ac:dyDescent="0.25">
      <c r="A281" s="200">
        <f t="shared" si="15"/>
        <v>686</v>
      </c>
      <c r="B281" s="231" t="str">
        <f>Suite&amp;" Electrical Room "&amp;SWThree</f>
        <v>G104 Electrical Room XXX</v>
      </c>
      <c r="C281" s="183" t="str">
        <f>"UPS "&amp;SWThree&amp;"1"</f>
        <v>UPS XXX1</v>
      </c>
      <c r="D281" s="233" t="str" cm="1">
        <f t="array" ref="D281">"TOUCH the UPS-" &amp; SWThree &amp; "1 module graphic on the UPS display."</f>
        <v>TOUCH the UPS-XXX1 module graphic on the UPS display.</v>
      </c>
      <c r="E281" s="183" t="s">
        <v>1464</v>
      </c>
      <c r="F281" s="193"/>
      <c r="G281" s="193"/>
      <c r="H281" s="135"/>
      <c r="I281" s="135"/>
      <c r="J281" s="135"/>
    </row>
    <row r="282" spans="1:10" ht="37.5" x14ac:dyDescent="0.25">
      <c r="A282" s="200">
        <f t="shared" si="15"/>
        <v>687</v>
      </c>
      <c r="B282" s="231" t="str">
        <f>Suite&amp;" Electrical Room "&amp;SWThree</f>
        <v>G104 Electrical Room XXX</v>
      </c>
      <c r="C282" s="183" t="str">
        <f>"UPS "&amp;SWThree&amp;"1"</f>
        <v>UPS XXX1</v>
      </c>
      <c r="D282" s="233" t="s">
        <v>1560</v>
      </c>
      <c r="E282" s="183" t="s">
        <v>1464</v>
      </c>
      <c r="F282" s="193"/>
      <c r="G282" s="193"/>
      <c r="H282" s="135"/>
      <c r="I282" s="135"/>
      <c r="J282" s="135"/>
    </row>
    <row r="283" spans="1:10" ht="37.5" x14ac:dyDescent="0.25">
      <c r="A283" s="200">
        <f t="shared" si="15"/>
        <v>688</v>
      </c>
      <c r="B283" s="231" t="str">
        <f>Suite&amp;" Electrical Room "&amp;SWThree</f>
        <v>G104 Electrical Room XXX</v>
      </c>
      <c r="C283" s="183" t="str">
        <f>"UPS "&amp;SWThree&amp;"1"</f>
        <v>UPS XXX1</v>
      </c>
      <c r="D283" s="233" t="s">
        <v>1609</v>
      </c>
      <c r="E283" s="183" t="s">
        <v>1464</v>
      </c>
      <c r="F283" s="193"/>
      <c r="G283" s="193"/>
      <c r="H283" s="135"/>
      <c r="I283" s="135"/>
      <c r="J283" s="135"/>
    </row>
    <row r="284" spans="1:10" ht="37.5" x14ac:dyDescent="0.25">
      <c r="A284" s="200">
        <f t="shared" si="15"/>
        <v>689</v>
      </c>
      <c r="B284" s="231" t="str">
        <f>Suite&amp;" Electrical Room "&amp;SWThree</f>
        <v>G104 Electrical Room XXX</v>
      </c>
      <c r="C284" s="183" t="str">
        <f>"UPS "&amp;SWThree&amp;"1"</f>
        <v>UPS XXX1</v>
      </c>
      <c r="D284" s="233" t="s">
        <v>1610</v>
      </c>
      <c r="E284" s="183" t="s">
        <v>1464</v>
      </c>
      <c r="F284" s="193"/>
      <c r="G284" s="193"/>
      <c r="H284" s="135"/>
      <c r="I284" s="135"/>
      <c r="J284" s="135"/>
    </row>
    <row r="285" spans="1:10" ht="37.5" x14ac:dyDescent="0.25">
      <c r="A285" s="200">
        <f t="shared" si="15"/>
        <v>690</v>
      </c>
      <c r="B285" s="231" t="str">
        <f>Suite&amp;" Electrical Room "&amp;SWThree</f>
        <v>G104 Electrical Room XXX</v>
      </c>
      <c r="C285" s="183" t="str">
        <f>"UPS "&amp;SWThree</f>
        <v>UPS XXX</v>
      </c>
      <c r="D285" s="233" t="s">
        <v>1557</v>
      </c>
      <c r="E285" s="183" t="s">
        <v>1464</v>
      </c>
      <c r="F285" s="193"/>
      <c r="G285" s="193"/>
      <c r="H285" s="135"/>
      <c r="I285" s="135"/>
      <c r="J285" s="135"/>
    </row>
    <row r="286" spans="1:10" ht="37.5" x14ac:dyDescent="0.25">
      <c r="A286" s="200">
        <f t="shared" si="15"/>
        <v>691</v>
      </c>
      <c r="B286" s="231" t="str">
        <f>Suite&amp;" Electrical Room "&amp;SWThree</f>
        <v>G104 Electrical Room XXX</v>
      </c>
      <c r="C286" s="183" t="str">
        <f>"UPS "&amp;SWThree&amp;"1"</f>
        <v>UPS XXX1</v>
      </c>
      <c r="D286" s="233" t="s">
        <v>1611</v>
      </c>
      <c r="E286" s="183" t="s">
        <v>1464</v>
      </c>
      <c r="F286" s="193"/>
      <c r="G286" s="193"/>
      <c r="H286" s="135"/>
      <c r="I286" s="135"/>
      <c r="J286" s="135"/>
    </row>
    <row r="287" spans="1:10" ht="37.5" x14ac:dyDescent="0.25">
      <c r="A287" s="200">
        <f t="shared" si="15"/>
        <v>692</v>
      </c>
      <c r="B287" s="231" t="str">
        <f>Suite&amp;" Electrical Room "&amp;SWThree</f>
        <v>G104 Electrical Room XXX</v>
      </c>
      <c r="C287" s="183" t="str">
        <f>"UPS "&amp;SWThree&amp;"2"</f>
        <v>UPS XXX2</v>
      </c>
      <c r="D287" s="233" t="s">
        <v>1611</v>
      </c>
      <c r="E287" s="183" t="s">
        <v>1464</v>
      </c>
      <c r="F287" s="193"/>
      <c r="G287" s="193"/>
      <c r="H287" s="135"/>
      <c r="I287" s="135"/>
      <c r="J287" s="135"/>
    </row>
    <row r="288" spans="1:10" ht="37.5" x14ac:dyDescent="0.25">
      <c r="A288" s="200">
        <f t="shared" si="15"/>
        <v>693</v>
      </c>
      <c r="B288" s="231" t="str">
        <f>Suite&amp;" Electrical Room "&amp;SWThree</f>
        <v>G104 Electrical Room XXX</v>
      </c>
      <c r="C288" s="183" t="s">
        <v>1566</v>
      </c>
      <c r="D288" s="233" t="s">
        <v>1612</v>
      </c>
      <c r="E288" s="183" t="s">
        <v>1464</v>
      </c>
      <c r="F288" s="193"/>
      <c r="G288" s="193"/>
      <c r="H288" s="135"/>
      <c r="I288" s="135"/>
      <c r="J288" s="135"/>
    </row>
    <row r="289" spans="1:10" ht="37.5" x14ac:dyDescent="0.25">
      <c r="A289" s="200">
        <f t="shared" si="15"/>
        <v>694</v>
      </c>
      <c r="B289" s="231" t="str">
        <f>Suite&amp;" Electrical Room "&amp;SWThree</f>
        <v>G104 Electrical Room XXX</v>
      </c>
      <c r="C289" s="183" t="str">
        <f>"UP"&amp;SWThree</f>
        <v>UPXXX</v>
      </c>
      <c r="D289" s="233" t="str" cm="1">
        <f t="array" ref="D289">"NOTATE the kW reading at UP" &amp; SWThree &amp; " Critical Bus Panel Meter: _________"</f>
        <v>NOTATE the kW reading at UPXXX Critical Bus Panel Meter: _________</v>
      </c>
      <c r="E289" s="183" t="s">
        <v>1464</v>
      </c>
      <c r="F289" s="193"/>
      <c r="G289" s="193"/>
      <c r="H289" s="135"/>
      <c r="I289" s="135"/>
      <c r="J289" s="135"/>
    </row>
    <row r="290" spans="1:10" ht="37.5" x14ac:dyDescent="0.25">
      <c r="A290" s="200">
        <f t="shared" si="15"/>
        <v>695</v>
      </c>
      <c r="B290" s="231" t="str">
        <f>Suite&amp;" Electrical Room "&amp;SWThree</f>
        <v>G104 Electrical Room XXX</v>
      </c>
      <c r="C290" s="183" t="str">
        <f>"UP"&amp;SWThree</f>
        <v>UPXXX</v>
      </c>
      <c r="D290" s="233" t="str">
        <f>"VERIFY the readings in step " &amp; A271 &amp; " and " &amp; A289 &amp; " are within 3% of each other. (new kW divided by original kW must be ≤1.03 and ≥0.97)."</f>
        <v>VERIFY the readings in step 676 and 694 are within 3% of each other. (new kW divided by original kW must be ≤1.03 and ≥0.97).</v>
      </c>
      <c r="E290" s="183" t="s">
        <v>1464</v>
      </c>
      <c r="F290" s="193"/>
      <c r="G290" s="193"/>
      <c r="H290" s="165"/>
      <c r="I290" s="165"/>
      <c r="J290" s="165"/>
    </row>
    <row r="291" spans="1:10" ht="37.5" x14ac:dyDescent="0.25">
      <c r="A291" s="200">
        <f t="shared" si="15"/>
        <v>696</v>
      </c>
      <c r="B291" s="183" t="s">
        <v>1462</v>
      </c>
      <c r="C291" s="183" t="s">
        <v>84</v>
      </c>
      <c r="D291" s="252" t="str">
        <f>"Contact the engineer stationed on base to verify no abnormal conditions exist on the suite " &amp; Suite &amp; " electrical systems."</f>
        <v>Contact the engineer stationed on base to verify no abnormal conditions exist on the suite G104 electrical systems.</v>
      </c>
      <c r="E291" s="183" t="s">
        <v>1464</v>
      </c>
      <c r="F291" s="193"/>
      <c r="G291" s="193"/>
      <c r="H291" s="165"/>
      <c r="I291" s="165"/>
      <c r="J291" s="165"/>
    </row>
    <row r="292" spans="1:10" x14ac:dyDescent="0.3">
      <c r="A292" s="253"/>
    </row>
    <row r="304" spans="1:10" x14ac:dyDescent="0.3">
      <c r="A304" s="255"/>
    </row>
    <row r="305" spans="1:1" x14ac:dyDescent="0.3">
      <c r="A305" s="255"/>
    </row>
    <row r="306" spans="1:1" x14ac:dyDescent="0.3">
      <c r="A306" s="255"/>
    </row>
    <row r="307" spans="1:1" x14ac:dyDescent="0.3">
      <c r="A307" s="255"/>
    </row>
    <row r="308" spans="1:1" x14ac:dyDescent="0.3">
      <c r="A308" s="255"/>
    </row>
    <row r="309" spans="1:1" x14ac:dyDescent="0.3">
      <c r="A309" s="255"/>
    </row>
    <row r="310" spans="1:1" x14ac:dyDescent="0.3">
      <c r="A310" s="255"/>
    </row>
    <row r="311" spans="1:1" x14ac:dyDescent="0.3">
      <c r="A311" s="255"/>
    </row>
  </sheetData>
  <sheetProtection formatCells="0" formatColumns="0" formatRows="0" insertRows="0" deleteRows="0" sort="0" autoFilter="0"/>
  <mergeCells count="12">
    <mergeCell ref="A2:B2"/>
    <mergeCell ref="C2:G2"/>
    <mergeCell ref="B280:G280"/>
    <mergeCell ref="A4:C4"/>
    <mergeCell ref="B6:G6"/>
    <mergeCell ref="B8:G8"/>
    <mergeCell ref="B16:G16"/>
    <mergeCell ref="B18:G18"/>
    <mergeCell ref="B31:G31"/>
    <mergeCell ref="B58:G58"/>
    <mergeCell ref="B142:G142"/>
    <mergeCell ref="B249:G24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FF1DE-3D7A-4179-9480-879975018AC7}">
  <sheetPr codeName="APC_D">
    <pageSetUpPr fitToPage="1"/>
  </sheetPr>
  <dimension ref="A1:O311"/>
  <sheetViews>
    <sheetView view="pageBreakPreview" zoomScale="90" zoomScaleNormal="100" zoomScaleSheetLayoutView="90" workbookViewId="0">
      <selection activeCell="A201" sqref="A201:XFD201"/>
    </sheetView>
  </sheetViews>
  <sheetFormatPr defaultColWidth="8.7109375" defaultRowHeight="18.75" x14ac:dyDescent="0.3"/>
  <cols>
    <col min="1" max="1" width="6.85546875" style="254" customWidth="1"/>
    <col min="2" max="2" width="19.5703125" style="254" customWidth="1"/>
    <col min="3" max="3" width="15.42578125" style="254" customWidth="1"/>
    <col min="4" max="4" width="87.42578125" style="254" customWidth="1"/>
    <col min="5" max="5" width="22.140625" style="254" bestFit="1" customWidth="1"/>
    <col min="6" max="6" width="13.85546875" style="254" bestFit="1" customWidth="1"/>
    <col min="7" max="7" width="10.42578125" style="254" customWidth="1"/>
    <col min="8" max="8" width="7" style="25" customWidth="1"/>
    <col min="9" max="9" width="8" style="25" customWidth="1"/>
    <col min="10" max="10" width="72.28515625" style="25" customWidth="1"/>
    <col min="11" max="16384" width="8.7109375" style="25"/>
  </cols>
  <sheetData>
    <row r="1" spans="1:11" customFormat="1" x14ac:dyDescent="0.25">
      <c r="A1" s="172" t="s">
        <v>1454</v>
      </c>
      <c r="B1" s="172"/>
      <c r="C1" s="173"/>
      <c r="D1" s="173"/>
      <c r="E1" s="173"/>
      <c r="F1" s="173"/>
      <c r="G1" s="173"/>
    </row>
    <row r="2" spans="1:11" customFormat="1" ht="18.75" customHeight="1" x14ac:dyDescent="0.25">
      <c r="A2" s="705" t="s">
        <v>42</v>
      </c>
      <c r="B2" s="705"/>
      <c r="C2" s="708" t="str">
        <f>zTaskName</f>
        <v>Routine Generator run with no load transfer</v>
      </c>
      <c r="D2" s="709"/>
      <c r="E2" s="709"/>
      <c r="F2" s="709"/>
      <c r="G2" s="710"/>
    </row>
    <row r="3" spans="1:11" customFormat="1" ht="9.9499999999999993" customHeight="1" x14ac:dyDescent="0.25">
      <c r="A3" s="459"/>
      <c r="B3" s="460"/>
      <c r="C3" s="461"/>
      <c r="D3" s="461"/>
      <c r="E3" s="461"/>
      <c r="F3" s="461"/>
      <c r="G3" s="462"/>
    </row>
    <row r="4" spans="1:11" customFormat="1" ht="9.9499999999999993" customHeight="1" x14ac:dyDescent="0.25">
      <c r="A4" s="706"/>
      <c r="B4" s="707"/>
      <c r="C4" s="707"/>
      <c r="D4" s="382"/>
      <c r="E4" s="382"/>
      <c r="F4" s="382"/>
      <c r="G4" s="383"/>
      <c r="H4" s="3"/>
      <c r="I4" s="3"/>
    </row>
    <row r="5" spans="1:11" customFormat="1" ht="37.5" x14ac:dyDescent="0.25">
      <c r="A5" s="421" t="s">
        <v>1455</v>
      </c>
      <c r="B5" s="516" t="s">
        <v>8</v>
      </c>
      <c r="C5" s="516" t="s">
        <v>1456</v>
      </c>
      <c r="D5" s="421" t="s">
        <v>1457</v>
      </c>
      <c r="E5" s="516" t="s">
        <v>1458</v>
      </c>
      <c r="F5" s="516" t="s">
        <v>1459</v>
      </c>
      <c r="G5" s="421" t="s">
        <v>1460</v>
      </c>
    </row>
    <row r="6" spans="1:11" s="135" customFormat="1" x14ac:dyDescent="0.25">
      <c r="A6" s="200">
        <f>'APC-C'!A291+1</f>
        <v>697</v>
      </c>
      <c r="B6" s="712" t="s">
        <v>1461</v>
      </c>
      <c r="C6" s="712"/>
      <c r="D6" s="712"/>
      <c r="E6" s="712"/>
      <c r="F6" s="712"/>
      <c r="G6" s="712"/>
    </row>
    <row r="7" spans="1:11" s="135" customFormat="1" ht="37.5" x14ac:dyDescent="0.25">
      <c r="A7" s="200">
        <f>A6+1</f>
        <v>698</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11" s="135" customFormat="1" x14ac:dyDescent="0.25">
      <c r="A8" s="200">
        <f>A7+1</f>
        <v>699</v>
      </c>
      <c r="B8" s="713" t="s">
        <v>1465</v>
      </c>
      <c r="C8" s="713"/>
      <c r="D8" s="713"/>
      <c r="E8" s="713"/>
      <c r="F8" s="713"/>
      <c r="G8" s="713"/>
    </row>
    <row r="9" spans="1:11" s="135" customFormat="1" ht="37.5" x14ac:dyDescent="0.25">
      <c r="A9" s="200">
        <f>A8+1</f>
        <v>700</v>
      </c>
      <c r="B9" s="231" t="str">
        <f>Suite&amp;" Electrical Rooms"</f>
        <v>G104 Electrical Rooms</v>
      </c>
      <c r="C9" s="183" t="str">
        <f>Suite&amp;" UPS Systems"</f>
        <v>G104 UPS Systems</v>
      </c>
      <c r="D9" s="252" t="str">
        <f>"VERIFY all "&amp;Suite&amp;" UPS systems are on-line with no critical alarms present."</f>
        <v>VERIFY all G104 UPS systems are on-line with no critical alarms present.</v>
      </c>
      <c r="E9" s="183" t="s">
        <v>1464</v>
      </c>
      <c r="F9" s="193"/>
      <c r="G9" s="193"/>
    </row>
    <row r="10" spans="1:11" s="135" customFormat="1" ht="37.5" x14ac:dyDescent="0.25">
      <c r="A10" s="200">
        <f>A9+1</f>
        <v>701</v>
      </c>
      <c r="B10" s="231" t="str">
        <f>Suite&amp;" Electrical Room "&amp;SWFour</f>
        <v>G104 Electrical Room XXX</v>
      </c>
      <c r="C10" s="183" t="str">
        <f>"UPS "&amp;SWFour&amp;"1"</f>
        <v>UPS XXX1</v>
      </c>
      <c r="D10" s="252" t="str" cm="1">
        <f t="array" ref="D10">"NOTATE the output kW reading at UPS-" &amp; SWFour &amp; "1:  ___________"</f>
        <v>NOTATE the output kW reading at UPS-XXX1:  ___________</v>
      </c>
      <c r="E10" s="183" t="s">
        <v>1464</v>
      </c>
      <c r="F10" s="193"/>
      <c r="G10" s="193"/>
    </row>
    <row r="11" spans="1:11" s="135" customFormat="1" ht="37.5" x14ac:dyDescent="0.25">
      <c r="A11" s="200">
        <f t="shared" ref="A11:A16" si="0">A10+1</f>
        <v>702</v>
      </c>
      <c r="B11" s="231" t="str">
        <f>Suite&amp;" Electrical Room "&amp;SWFour</f>
        <v>G104 Electrical Room XXX</v>
      </c>
      <c r="C11" s="183" t="str">
        <f>"UPS "&amp;SWFour&amp;"2"</f>
        <v>UPS XXX2</v>
      </c>
      <c r="D11" s="252" t="str" cm="1">
        <f t="array" ref="D11">"NOTATE the output kW reading at UPS-" &amp; SWFour &amp; "2:  ___________"</f>
        <v>NOTATE the output kW reading at UPS-XXX2:  ___________</v>
      </c>
      <c r="E11" s="183" t="s">
        <v>1464</v>
      </c>
      <c r="F11" s="193"/>
      <c r="G11" s="193"/>
    </row>
    <row r="12" spans="1:11" s="135" customFormat="1" ht="37.5" x14ac:dyDescent="0.25">
      <c r="A12" s="200">
        <f t="shared" si="0"/>
        <v>703</v>
      </c>
      <c r="B12" s="231" t="str">
        <f>Suite&amp;" Electrical Room "&amp;SWFour</f>
        <v>G104 Electrical Room XXX</v>
      </c>
      <c r="C12" s="183" t="str">
        <f>"UP"&amp;SWFour</f>
        <v>UPXXX</v>
      </c>
      <c r="D12" s="252" t="str" cm="1">
        <f t="array" ref="D12">"NOTATE the kW reading at UP" &amp; SWFour &amp; " Critical Bus Panel Meter: _________"</f>
        <v>NOTATE the kW reading at UPXXX Critical Bus Panel Meter: _________</v>
      </c>
      <c r="E12" s="183" t="s">
        <v>1464</v>
      </c>
      <c r="F12" s="193"/>
      <c r="G12" s="193"/>
    </row>
    <row r="13" spans="1:11" customFormat="1" ht="56.25" x14ac:dyDescent="0.25">
      <c r="A13" s="200">
        <f t="shared" si="0"/>
        <v>704</v>
      </c>
      <c r="B13" s="500" t="str" cm="1">
        <f t="array" ref="B13">Suite &amp; " Electrical Rooms"</f>
        <v>G104 Electrical Rooms</v>
      </c>
      <c r="C13" s="499" t="str" cm="1">
        <f t="array" ref="C13">Suite &amp; " UPS System"</f>
        <v>G104 UPS System</v>
      </c>
      <c r="D13" s="190" t="s">
        <v>4621</v>
      </c>
      <c r="E13" s="499" t="s">
        <v>1464</v>
      </c>
      <c r="F13" s="500"/>
      <c r="G13" s="519"/>
      <c r="K13" s="4"/>
    </row>
    <row r="14" spans="1:11" customFormat="1" ht="37.5" x14ac:dyDescent="0.25">
      <c r="A14" s="200">
        <f t="shared" si="0"/>
        <v>705</v>
      </c>
      <c r="B14" s="500" t="str" cm="1">
        <f t="array" ref="B14">Suite &amp; " Electrical Rooms"</f>
        <v>G104 Electrical Rooms</v>
      </c>
      <c r="C14" s="499" t="str" cm="1">
        <f t="array" ref="C14">Suite &amp; " UPS System"</f>
        <v>G104 UPS System</v>
      </c>
      <c r="D14" s="191" t="str" cm="1">
        <f t="array" ref="D14">"Verify output kW readings on all UPS modules do not exceed " &amp; ROUNDDOWN(IF(POD="DR", (NumberOfSW-1)/NumberOfSW, 0.5)*(UPSkW), 0) &amp; " kW."</f>
        <v>Verify output kW readings on all UPS modules do not exceed 281 kW.</v>
      </c>
      <c r="E14" s="499" t="s">
        <v>1464</v>
      </c>
      <c r="F14" s="500"/>
      <c r="G14" s="519"/>
    </row>
    <row r="15" spans="1:11" s="135" customFormat="1" ht="37.5" x14ac:dyDescent="0.25">
      <c r="A15" s="200">
        <f t="shared" si="0"/>
        <v>706</v>
      </c>
      <c r="B15" s="231" t="str">
        <f>Suite&amp;" Electrical Rooms"</f>
        <v>G104 Electrical Rooms</v>
      </c>
      <c r="C15" s="183" t="str">
        <f>Suite&amp;" UPS Systems"</f>
        <v>G104 UPS Systems</v>
      </c>
      <c r="D15" s="184" t="s">
        <v>1559</v>
      </c>
      <c r="E15" s="183" t="s">
        <v>1464</v>
      </c>
      <c r="F15" s="193"/>
      <c r="G15" s="193"/>
    </row>
    <row r="16" spans="1:11" s="135" customFormat="1" x14ac:dyDescent="0.25">
      <c r="A16" s="200">
        <f t="shared" si="0"/>
        <v>707</v>
      </c>
      <c r="B16" s="713" t="str">
        <f>"Prepare UP"&amp;SWFour&amp;" for Transfer to Maintenance Bypass"</f>
        <v>Prepare UPXXX for Transfer to Maintenance Bypass</v>
      </c>
      <c r="C16" s="713"/>
      <c r="D16" s="713"/>
      <c r="E16" s="713"/>
      <c r="F16" s="713"/>
      <c r="G16" s="713"/>
    </row>
    <row r="17" spans="1:7" s="135" customFormat="1" ht="37.5" x14ac:dyDescent="0.25">
      <c r="A17" s="200">
        <f>A16+1</f>
        <v>708</v>
      </c>
      <c r="B17" s="231" t="str">
        <f>Suite&amp;" Electrical Room "&amp;SWFour</f>
        <v>G104 Electrical Room XXX</v>
      </c>
      <c r="C17" s="183" t="str">
        <f>"UP"&amp;SWFour</f>
        <v>UPXXX</v>
      </c>
      <c r="D17" s="233" t="str" cm="1">
        <f t="array" ref="D17">"Pump the MBUP" &amp; SWFour &amp; " breaker charging handle repeatedly to compress the charging spring and charge the breaker."</f>
        <v>Pump the MBUPXXX breaker charging handle repeatedly to compress the charging spring and charge the breaker.</v>
      </c>
      <c r="E17" s="183" t="s">
        <v>1464</v>
      </c>
      <c r="F17" s="193"/>
      <c r="G17" s="193"/>
    </row>
    <row r="18" spans="1:7" s="135" customFormat="1" x14ac:dyDescent="0.25">
      <c r="A18" s="200">
        <f>A17+1</f>
        <v>709</v>
      </c>
      <c r="B18" s="711" t="str">
        <f>"Transfer UPS System "&amp;SWFour&amp;" to Static Bypass"</f>
        <v>Transfer UPS System XXX to Static Bypass</v>
      </c>
      <c r="C18" s="711"/>
      <c r="D18" s="711"/>
      <c r="E18" s="711"/>
      <c r="F18" s="711"/>
      <c r="G18" s="711"/>
    </row>
    <row r="19" spans="1:7" s="135" customFormat="1" ht="37.5" x14ac:dyDescent="0.25">
      <c r="A19" s="200">
        <f>A18+1</f>
        <v>710</v>
      </c>
      <c r="B19" s="231" t="str">
        <f>Suite&amp;" Electrical Room "&amp;SWFour</f>
        <v>G104 Electrical Room XXX</v>
      </c>
      <c r="C19" s="183" t="str">
        <f>"UPS "&amp;SWFour&amp;"1"</f>
        <v>UPS XXX1</v>
      </c>
      <c r="D19" s="233" t="str" cm="1">
        <f t="array" ref="D19">"TOUCH the UPS-" &amp; SWFour &amp; "1 module graphic on the UPS display."</f>
        <v>TOUCH the UPS-XXX1 module graphic on the UPS display.</v>
      </c>
      <c r="E19" s="183" t="s">
        <v>1464</v>
      </c>
      <c r="F19" s="193"/>
      <c r="G19" s="193"/>
    </row>
    <row r="20" spans="1:7" s="135" customFormat="1" ht="37.5" x14ac:dyDescent="0.25">
      <c r="A20" s="200">
        <f t="shared" ref="A20:A77" si="1">A19+1</f>
        <v>711</v>
      </c>
      <c r="B20" s="231" t="str">
        <f>Suite&amp;" Electrical Room "&amp;SWFour</f>
        <v>G104 Electrical Room XXX</v>
      </c>
      <c r="C20" s="183" t="str">
        <f>"UPS "&amp;SWFour&amp;"1"</f>
        <v>UPS XXX1</v>
      </c>
      <c r="D20" s="233" t="s">
        <v>1560</v>
      </c>
      <c r="E20" s="183" t="s">
        <v>1464</v>
      </c>
      <c r="F20" s="193"/>
      <c r="G20" s="193"/>
    </row>
    <row r="21" spans="1:7" s="135" customFormat="1" ht="37.5" x14ac:dyDescent="0.25">
      <c r="A21" s="200">
        <f t="shared" si="1"/>
        <v>712</v>
      </c>
      <c r="B21" s="231" t="str">
        <f>Suite&amp;" Electrical Room "&amp;SWFour</f>
        <v>G104 Electrical Room XXX</v>
      </c>
      <c r="C21" s="183" t="str">
        <f>"UPS "&amp;SWFour&amp;"1"</f>
        <v>UPS XXX1</v>
      </c>
      <c r="D21" s="233" t="s">
        <v>1561</v>
      </c>
      <c r="E21" s="183" t="s">
        <v>1464</v>
      </c>
      <c r="F21" s="193"/>
      <c r="G21" s="193"/>
    </row>
    <row r="22" spans="1:7" s="135" customFormat="1" ht="37.5" x14ac:dyDescent="0.25">
      <c r="A22" s="200">
        <f t="shared" si="1"/>
        <v>713</v>
      </c>
      <c r="B22" s="231" t="str">
        <f>Suite&amp;" Electrical Room "&amp;SWFour</f>
        <v>G104 Electrical Room XXX</v>
      </c>
      <c r="C22" s="183" t="str">
        <f>"UPS "&amp;SWFour&amp;"1"</f>
        <v>UPS XXX1</v>
      </c>
      <c r="D22" s="233" t="s">
        <v>1562</v>
      </c>
      <c r="E22" s="183" t="s">
        <v>1464</v>
      </c>
      <c r="F22" s="193"/>
      <c r="G22" s="193"/>
    </row>
    <row r="23" spans="1:7" s="135" customFormat="1" ht="37.5" x14ac:dyDescent="0.25">
      <c r="A23" s="200">
        <f t="shared" si="1"/>
        <v>714</v>
      </c>
      <c r="B23" s="231" t="str">
        <f>Suite&amp;" Electrical Room "&amp;SWFour</f>
        <v>G104 Electrical Room XXX</v>
      </c>
      <c r="C23" s="183" t="str">
        <f>"UPS "&amp;SWFour&amp;"1"</f>
        <v>UPS XXX1</v>
      </c>
      <c r="D23" s="233" t="s">
        <v>1563</v>
      </c>
      <c r="E23" s="183" t="s">
        <v>1464</v>
      </c>
      <c r="F23" s="193"/>
      <c r="G23" s="193"/>
    </row>
    <row r="24" spans="1:7" s="135" customFormat="1" ht="37.5" x14ac:dyDescent="0.25">
      <c r="A24" s="200">
        <f t="shared" si="1"/>
        <v>715</v>
      </c>
      <c r="B24" s="231" t="str">
        <f>Suite&amp;" Electrical Room "&amp;SWFour</f>
        <v>G104 Electrical Room XXX</v>
      </c>
      <c r="C24" s="183" t="str">
        <f>"UPS "&amp;SWFour&amp;"1"</f>
        <v>UPS XXX1</v>
      </c>
      <c r="D24" s="233" t="s">
        <v>1564</v>
      </c>
      <c r="E24" s="183" t="s">
        <v>1464</v>
      </c>
      <c r="F24" s="193"/>
      <c r="G24" s="193"/>
    </row>
    <row r="25" spans="1:7" s="135" customFormat="1" ht="37.5" x14ac:dyDescent="0.25">
      <c r="A25" s="200">
        <f t="shared" si="1"/>
        <v>716</v>
      </c>
      <c r="B25" s="231" t="str">
        <f>Suite&amp;" Electrical Room "&amp;SWFour</f>
        <v>G104 Electrical Room XXX</v>
      </c>
      <c r="C25" s="183" t="str">
        <f>"UPS "&amp;SWFour&amp;"1"</f>
        <v>UPS XXX1</v>
      </c>
      <c r="D25" s="233" t="s">
        <v>1565</v>
      </c>
      <c r="E25" s="183" t="s">
        <v>1464</v>
      </c>
      <c r="F25" s="193"/>
      <c r="G25" s="193"/>
    </row>
    <row r="26" spans="1:7" s="135" customFormat="1" ht="37.5" x14ac:dyDescent="0.25">
      <c r="A26" s="200">
        <f t="shared" si="1"/>
        <v>717</v>
      </c>
      <c r="B26" s="231" t="str">
        <f>Suite&amp;" Electrical Room "&amp;SWFour</f>
        <v>G104 Electrical Room XXX</v>
      </c>
      <c r="C26" s="183" t="str">
        <f>"UPS "&amp;SWFour&amp;"1 &amp; "&amp;SWFour&amp;"2"</f>
        <v>UPS XXX1 &amp; XXX2</v>
      </c>
      <c r="D26" s="233" t="str" cm="1">
        <f t="array" ref="D26">"UPS-" &amp; SWFour &amp; "1 and UPS-" &amp; SWFour &amp; "2 will transfer to Static Bypass."</f>
        <v>UPS-XXX1 and UPS-XXX2 will transfer to Static Bypass.</v>
      </c>
      <c r="E26" s="183" t="s">
        <v>1464</v>
      </c>
      <c r="F26" s="193"/>
      <c r="G26" s="193"/>
    </row>
    <row r="27" spans="1:7" s="135" customFormat="1" ht="37.5" x14ac:dyDescent="0.25">
      <c r="A27" s="200">
        <f t="shared" si="1"/>
        <v>718</v>
      </c>
      <c r="B27" s="231" t="str">
        <f>Suite&amp;" Electrical Room "&amp;SWFour</f>
        <v>G104 Electrical Room XXX</v>
      </c>
      <c r="C27" s="183" t="str">
        <f>"UPS "&amp;SWFour</f>
        <v>UPS XXX</v>
      </c>
      <c r="D27" s="233" t="s">
        <v>1501</v>
      </c>
      <c r="E27" s="183" t="s">
        <v>1464</v>
      </c>
      <c r="F27" s="193"/>
      <c r="G27" s="193"/>
    </row>
    <row r="28" spans="1:7" s="135" customFormat="1" ht="37.5" x14ac:dyDescent="0.25">
      <c r="A28" s="200">
        <f t="shared" si="1"/>
        <v>719</v>
      </c>
      <c r="B28" s="231" t="str">
        <f>Suite&amp;" Electrical Room "&amp;SWFour</f>
        <v>G104 Electrical Room XXX</v>
      </c>
      <c r="C28" s="183" t="s">
        <v>1566</v>
      </c>
      <c r="D28" s="186" t="s">
        <v>1567</v>
      </c>
      <c r="E28" s="183" t="s">
        <v>1464</v>
      </c>
      <c r="F28" s="193"/>
      <c r="G28" s="193"/>
    </row>
    <row r="29" spans="1:7" s="135" customFormat="1" ht="37.5" x14ac:dyDescent="0.25">
      <c r="A29" s="200">
        <f t="shared" si="1"/>
        <v>720</v>
      </c>
      <c r="B29" s="231" t="str">
        <f>Suite&amp;" Electrical Room "&amp;SWFour</f>
        <v>G104 Electrical Room XXX</v>
      </c>
      <c r="C29" s="183" t="str">
        <f>"UP"&amp;SWFour</f>
        <v>UPXXX</v>
      </c>
      <c r="D29" s="233" t="str" cm="1">
        <f t="array" ref="D29">"NOTATE the kW reading at UP" &amp; SWFour &amp; " Critical Bus Panel Meter: _________"</f>
        <v>NOTATE the kW reading at UPXXX Critical Bus Panel Meter: _________</v>
      </c>
      <c r="E29" s="183" t="s">
        <v>1464</v>
      </c>
      <c r="F29" s="193"/>
      <c r="G29" s="193"/>
    </row>
    <row r="30" spans="1:7" s="135" customFormat="1" ht="37.5" x14ac:dyDescent="0.25">
      <c r="A30" s="200">
        <f t="shared" si="1"/>
        <v>721</v>
      </c>
      <c r="B30" s="231" t="str">
        <f>Suite&amp;" Electrical Room "&amp;SWFour</f>
        <v>G104 Electrical Room XXX</v>
      </c>
      <c r="C30" s="183" t="str">
        <f>"UP"&amp;SWFour</f>
        <v>UPXXX</v>
      </c>
      <c r="D30" s="233" t="str">
        <f>"VERIFY the readings in step " &amp; A12 &amp; " and " &amp; A29 &amp; " are within 3% of each other. (new kW divided by original kW must be ≤1.03 and ≥0.97)."</f>
        <v>VERIFY the readings in step 703 and 720 are within 3% of each other. (new kW divided by original kW must be ≤1.03 and ≥0.97).</v>
      </c>
      <c r="E30" s="183" t="s">
        <v>1464</v>
      </c>
      <c r="F30" s="193"/>
      <c r="G30" s="193"/>
    </row>
    <row r="31" spans="1:7" s="135" customFormat="1" x14ac:dyDescent="0.25">
      <c r="A31" s="200">
        <f t="shared" si="1"/>
        <v>722</v>
      </c>
      <c r="B31" s="711" t="s">
        <v>1502</v>
      </c>
      <c r="C31" s="711"/>
      <c r="D31" s="711"/>
      <c r="E31" s="711"/>
      <c r="F31" s="711"/>
      <c r="G31" s="711"/>
    </row>
    <row r="32" spans="1:7" s="135" customFormat="1" ht="37.5" x14ac:dyDescent="0.25">
      <c r="A32" s="200">
        <f t="shared" si="1"/>
        <v>723</v>
      </c>
      <c r="B32" s="231" t="str">
        <f>Suite&amp;" Electrical Room "&amp;SWFour</f>
        <v>G104 Electrical Room XXX</v>
      </c>
      <c r="C32" s="183" t="str">
        <f>"UP"&amp;SWFour</f>
        <v>UPXXX</v>
      </c>
      <c r="D32" s="233" t="s">
        <v>1568</v>
      </c>
      <c r="E32" s="183" t="s">
        <v>1464</v>
      </c>
      <c r="F32" s="193"/>
      <c r="G32" s="193"/>
    </row>
    <row r="33" spans="1:7" s="135" customFormat="1" ht="37.5" x14ac:dyDescent="0.25">
      <c r="A33" s="200">
        <f t="shared" si="1"/>
        <v>724</v>
      </c>
      <c r="B33" s="231" t="str">
        <f>Suite&amp;" Electrical Room "&amp;SWFour</f>
        <v>G104 Electrical Room XXX</v>
      </c>
      <c r="C33" s="183" t="str">
        <f>"UP"&amp;SWFour</f>
        <v>UPXXX</v>
      </c>
      <c r="D33" s="186" t="s">
        <v>1569</v>
      </c>
      <c r="E33" s="183" t="s">
        <v>1464</v>
      </c>
      <c r="F33" s="193"/>
      <c r="G33" s="193"/>
    </row>
    <row r="34" spans="1:7" s="135" customFormat="1" ht="37.5" x14ac:dyDescent="0.25">
      <c r="A34" s="200">
        <f t="shared" si="1"/>
        <v>725</v>
      </c>
      <c r="B34" s="231" t="str">
        <f>Suite&amp;" Electrical Room "&amp;SWFour</f>
        <v>G104 Electrical Room XXX</v>
      </c>
      <c r="C34" s="183" t="str">
        <f>"UP"&amp;SWFour</f>
        <v>UPXXX</v>
      </c>
      <c r="D34" s="186" t="s">
        <v>1570</v>
      </c>
      <c r="E34" s="183" t="s">
        <v>1464</v>
      </c>
      <c r="F34" s="193"/>
      <c r="G34" s="193"/>
    </row>
    <row r="35" spans="1:7" s="135" customFormat="1" ht="37.5" x14ac:dyDescent="0.25">
      <c r="A35" s="200">
        <f t="shared" si="1"/>
        <v>726</v>
      </c>
      <c r="B35" s="231" t="str">
        <f>Suite&amp;" Electrical Room "&amp;SWFour</f>
        <v>G104 Electrical Room XXX</v>
      </c>
      <c r="C35" s="183" t="str">
        <f>"UP"&amp;SWFour</f>
        <v>UPXXX</v>
      </c>
      <c r="D35" s="233" t="str" cm="1">
        <f t="array" ref="D35">"INSERT the interlock key into the MBUP" &amp; SWFour &amp; " breaker lock cylinder."</f>
        <v>INSERT the interlock key into the MBUPXXX breaker lock cylinder.</v>
      </c>
      <c r="E35" s="183" t="s">
        <v>1464</v>
      </c>
      <c r="F35" s="193"/>
      <c r="G35" s="193"/>
    </row>
    <row r="36" spans="1:7" s="135" customFormat="1" ht="37.5" x14ac:dyDescent="0.25">
      <c r="A36" s="200">
        <f t="shared" si="1"/>
        <v>727</v>
      </c>
      <c r="B36" s="231" t="str">
        <f>Suite&amp;" Electrical Room "&amp;SWFour</f>
        <v>G104 Electrical Room XXX</v>
      </c>
      <c r="C36" s="183" t="str">
        <f>"UP"&amp;SWFour</f>
        <v>UPXXX</v>
      </c>
      <c r="D36" s="186" t="str" cm="1">
        <f t="array" ref="D36">"ROTATE the interlock key 90 degrees to UNLOCK the MBUP" &amp; SWFour &amp; " breaker."</f>
        <v>ROTATE the interlock key 90 degrees to UNLOCK the MBUPXXX breaker.</v>
      </c>
      <c r="E36" s="183" t="s">
        <v>1464</v>
      </c>
      <c r="F36" s="193"/>
      <c r="G36" s="193"/>
    </row>
    <row r="37" spans="1:7" s="135" customFormat="1" ht="37.5" x14ac:dyDescent="0.25">
      <c r="A37" s="200">
        <f t="shared" si="1"/>
        <v>728</v>
      </c>
      <c r="B37" s="231" t="str">
        <f>Suite&amp;" Electrical Room "&amp;SWFour</f>
        <v>G104 Electrical Room XXX</v>
      </c>
      <c r="C37" s="183" t="str">
        <f>"UP"&amp;SWFour</f>
        <v>UPXXX</v>
      </c>
      <c r="D37" s="233" t="str" cm="1">
        <f t="array" ref="D37">"Close breaker MBUP" &amp; SWFour &amp; "."</f>
        <v>Close breaker MBUPXXX.</v>
      </c>
      <c r="E37" s="183" t="s">
        <v>1464</v>
      </c>
      <c r="F37" s="193"/>
      <c r="G37" s="193"/>
    </row>
    <row r="38" spans="1:7" s="135" customFormat="1" ht="37.5" x14ac:dyDescent="0.25">
      <c r="A38" s="200">
        <f t="shared" si="1"/>
        <v>729</v>
      </c>
      <c r="B38" s="231" t="str">
        <f>Suite&amp;" Electrical Room "&amp;SWFour</f>
        <v>G104 Electrical Room XXX</v>
      </c>
      <c r="C38" s="183" t="str">
        <f>"UP"&amp;SWFour</f>
        <v>UPXXX</v>
      </c>
      <c r="D38" s="186" t="str" cm="1">
        <f t="array" ref="D38">"VERIFY MBUP" &amp; SWFour &amp; " breaker flag indicates CLOSED."</f>
        <v>VERIFY MBUPXXX breaker flag indicates CLOSED.</v>
      </c>
      <c r="E38" s="183" t="s">
        <v>1464</v>
      </c>
      <c r="F38" s="193"/>
      <c r="G38" s="193"/>
    </row>
    <row r="39" spans="1:7" s="135" customFormat="1" ht="37.5" x14ac:dyDescent="0.25">
      <c r="A39" s="200">
        <f t="shared" si="1"/>
        <v>730</v>
      </c>
      <c r="B39" s="231" t="str">
        <f>Suite&amp;" Electrical Room "&amp;SWFour</f>
        <v>G104 Electrical Room XXX</v>
      </c>
      <c r="C39" s="183" t="str">
        <f>"UP"&amp;SWFour</f>
        <v>UPXXX</v>
      </c>
      <c r="D39" s="233" t="str" cm="1">
        <f t="array" ref="D39">"VERIFY breaker MBUP" &amp; SWFour &amp; " is carrying a portion of critical customer load using breaker mounted metering."</f>
        <v>VERIFY breaker MBUPXXX is carrying a portion of critical customer load using breaker mounted metering.</v>
      </c>
      <c r="E39" s="183" t="s">
        <v>1464</v>
      </c>
      <c r="F39" s="193"/>
      <c r="G39" s="193"/>
    </row>
    <row r="40" spans="1:7" s="135" customFormat="1" ht="37.5" x14ac:dyDescent="0.25">
      <c r="A40" s="200">
        <f t="shared" si="1"/>
        <v>731</v>
      </c>
      <c r="B40" s="231" t="str">
        <f>Suite&amp;" Electrical Room "&amp;SWFour</f>
        <v>G104 Electrical Room XXX</v>
      </c>
      <c r="C40" s="183" t="str">
        <f>"UP"&amp;SWFour</f>
        <v>UPXXX</v>
      </c>
      <c r="D40" s="233" t="str" cm="1">
        <f t="array" ref="D40">"VERIFY breaker MCBUP" &amp; SWFour &amp; " is carrying a portion of critical customer load using breaker mounted metering."</f>
        <v>VERIFY breaker MCBUPXXX is carrying a portion of critical customer load using breaker mounted metering.</v>
      </c>
      <c r="E40" s="183" t="s">
        <v>1464</v>
      </c>
      <c r="F40" s="193"/>
      <c r="G40" s="193"/>
    </row>
    <row r="41" spans="1:7" s="135" customFormat="1" ht="37.5" x14ac:dyDescent="0.25">
      <c r="A41" s="200">
        <f t="shared" si="1"/>
        <v>732</v>
      </c>
      <c r="B41" s="231" t="str">
        <f>Suite&amp;" Electrical Room "&amp;SWFour</f>
        <v>G104 Electrical Room XXX</v>
      </c>
      <c r="C41" s="183" t="str">
        <f>"UP"&amp;SWFour</f>
        <v>UPXXX</v>
      </c>
      <c r="D41" s="233" t="str" cm="1">
        <f t="array" ref="D41">"NOTATE the kW reading at UP" &amp; SWFour &amp; " Critical Bus Panel Meter: _________"</f>
        <v>NOTATE the kW reading at UPXXX Critical Bus Panel Meter: _________</v>
      </c>
      <c r="E41" s="183" t="s">
        <v>1464</v>
      </c>
      <c r="F41" s="193"/>
      <c r="G41" s="193"/>
    </row>
    <row r="42" spans="1:7" s="135" customFormat="1" ht="37.5" x14ac:dyDescent="0.25">
      <c r="A42" s="200">
        <f t="shared" si="1"/>
        <v>733</v>
      </c>
      <c r="B42" s="231" t="str">
        <f>Suite&amp;" Electrical Room "&amp;SWFour</f>
        <v>G104 Electrical Room XXX</v>
      </c>
      <c r="C42" s="183" t="str">
        <f>"UP"&amp;SWFour</f>
        <v>UPXXX</v>
      </c>
      <c r="D42" s="233" t="str">
        <f>"VERIFY the readings in step " &amp; A29 &amp; " and " &amp; A41 &amp; " are within 3% of each other. (new kW divided by original kW must be ≤1.03 and ≥0.97)."</f>
        <v>VERIFY the readings in step 720 and 732 are within 3% of each other. (new kW divided by original kW must be ≤1.03 and ≥0.97).</v>
      </c>
      <c r="E42" s="183" t="s">
        <v>1464</v>
      </c>
      <c r="F42" s="193"/>
      <c r="G42" s="193"/>
    </row>
    <row r="43" spans="1:7" s="135" customFormat="1" ht="37.5" x14ac:dyDescent="0.25">
      <c r="A43" s="200">
        <f t="shared" si="1"/>
        <v>734</v>
      </c>
      <c r="B43" s="231" t="str">
        <f>Suite&amp;" Electrical Room "&amp;SWFour</f>
        <v>G104 Electrical Room XXX</v>
      </c>
      <c r="C43" s="183" t="s">
        <v>1566</v>
      </c>
      <c r="D43" s="186" t="s">
        <v>1571</v>
      </c>
      <c r="E43" s="183" t="s">
        <v>1464</v>
      </c>
      <c r="F43" s="193"/>
      <c r="G43" s="193"/>
    </row>
    <row r="44" spans="1:7" s="135" customFormat="1" ht="37.5" x14ac:dyDescent="0.25">
      <c r="A44" s="200">
        <f t="shared" si="1"/>
        <v>735</v>
      </c>
      <c r="B44" s="231" t="str">
        <f>Suite&amp;" Electrical Room "&amp;SWFour</f>
        <v>G104 Electrical Room XXX</v>
      </c>
      <c r="C44" s="183" t="str">
        <f>"UP"&amp;SWFour</f>
        <v>UPXXX</v>
      </c>
      <c r="D44" s="233" t="str" cm="1">
        <f t="array" ref="D44">"Pump the MCBUP" &amp; SWFour &amp; " breaker charging handle repeatedly to compress the charging spring and charge the breaker."</f>
        <v>Pump the MCBUPXXX breaker charging handle repeatedly to compress the charging spring and charge the breaker.</v>
      </c>
      <c r="E44" s="183" t="s">
        <v>1464</v>
      </c>
      <c r="F44" s="193"/>
      <c r="G44" s="193"/>
    </row>
    <row r="45" spans="1:7" s="135" customFormat="1" ht="56.25" x14ac:dyDescent="0.25">
      <c r="A45" s="200">
        <f t="shared" si="1"/>
        <v>736</v>
      </c>
      <c r="B45" s="231" t="str">
        <f>Suite&amp;" Electrical Room "&amp;SWFour</f>
        <v>G104 Electrical Room XXX</v>
      </c>
      <c r="C45" s="183" t="str">
        <f>"UP"&amp;SWFour</f>
        <v>UPXXX</v>
      </c>
      <c r="D45" s="233" t="str" cm="1">
        <f t="array" ref="D45">"Note: If breaker MCBUP" &amp; SWFour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row>
    <row r="46" spans="1:7" s="135" customFormat="1" ht="37.5" x14ac:dyDescent="0.25">
      <c r="A46" s="200">
        <f t="shared" si="1"/>
        <v>737</v>
      </c>
      <c r="B46" s="231" t="str">
        <f>Suite&amp;" Electrical Room "&amp;SWFour</f>
        <v>G104 Electrical Room XXX</v>
      </c>
      <c r="C46" s="183" t="str">
        <f>"UP"&amp;SWFour</f>
        <v>UPXXX</v>
      </c>
      <c r="D46" s="233" t="str" cm="1">
        <f t="array" ref="D46">"OPEN breaker MCBUP" &amp; SWFour &amp; "."</f>
        <v>OPEN breaker MCBUPXXX.</v>
      </c>
      <c r="E46" s="183" t="s">
        <v>1464</v>
      </c>
      <c r="F46" s="193"/>
      <c r="G46" s="193"/>
    </row>
    <row r="47" spans="1:7" s="135" customFormat="1" ht="37.5" x14ac:dyDescent="0.25">
      <c r="A47" s="200">
        <f t="shared" si="1"/>
        <v>738</v>
      </c>
      <c r="B47" s="231" t="str">
        <f>Suite&amp;" Electrical Room "&amp;SWFour</f>
        <v>G104 Electrical Room XXX</v>
      </c>
      <c r="C47" s="183" t="str">
        <f>"UP"&amp;SWFour</f>
        <v>UPXXX</v>
      </c>
      <c r="D47" s="233" t="s">
        <v>1506</v>
      </c>
      <c r="E47" s="183" t="s">
        <v>1464</v>
      </c>
      <c r="F47" s="193"/>
      <c r="G47" s="193"/>
    </row>
    <row r="48" spans="1:7" s="135" customFormat="1" ht="37.5" x14ac:dyDescent="0.25">
      <c r="A48" s="200">
        <f t="shared" si="1"/>
        <v>739</v>
      </c>
      <c r="B48" s="231" t="str">
        <f>Suite&amp;" Electrical Room "&amp;SWFour</f>
        <v>G104 Electrical Room XXX</v>
      </c>
      <c r="C48" s="183" t="str">
        <f>"UP"&amp;SWFour</f>
        <v>UPXXX</v>
      </c>
      <c r="D48" s="186" t="str" cm="1">
        <f t="array" ref="D48">"VERIFY MCBUP" &amp; SWFour &amp; " breaker flag indicates OPEN."</f>
        <v>VERIFY MCBUPXXX breaker flag indicates OPEN.</v>
      </c>
      <c r="E48" s="183" t="s">
        <v>1464</v>
      </c>
      <c r="F48" s="193"/>
      <c r="G48" s="193"/>
    </row>
    <row r="49" spans="1:7" s="135" customFormat="1" ht="37.5" x14ac:dyDescent="0.25">
      <c r="A49" s="200">
        <f t="shared" si="1"/>
        <v>740</v>
      </c>
      <c r="B49" s="231" t="str">
        <f>Suite&amp;" Electrical Room "&amp;SWFour</f>
        <v>G104 Electrical Room XXX</v>
      </c>
      <c r="C49" s="183" t="str">
        <f>"UP"&amp;SWFour</f>
        <v>UPXXX</v>
      </c>
      <c r="D49" s="233" t="str" cm="1">
        <f t="array" ref="D49">"NOTATE the kW reading at UP" &amp; SWFour &amp; " Critical Bus Panel Meter: _________"</f>
        <v>NOTATE the kW reading at UPXXX Critical Bus Panel Meter: _________</v>
      </c>
      <c r="E49" s="183" t="s">
        <v>1464</v>
      </c>
      <c r="F49" s="193"/>
      <c r="G49" s="193"/>
    </row>
    <row r="50" spans="1:7" s="135" customFormat="1" ht="37.5" x14ac:dyDescent="0.25">
      <c r="A50" s="200">
        <f t="shared" si="1"/>
        <v>741</v>
      </c>
      <c r="B50" s="231" t="str">
        <f>Suite&amp;" Electrical Room "&amp;SWFour</f>
        <v>G104 Electrical Room XXX</v>
      </c>
      <c r="C50" s="183" t="str">
        <f>"UP"&amp;SWFour</f>
        <v>UPXXX</v>
      </c>
      <c r="D50" s="233" t="str">
        <f>"VERIFY the readings in step " &amp; A41 &amp; " and " &amp; A49 &amp; " are within 3% of each other. (new kW divided by original kW must be ≤1.03 and ≥0.97)."</f>
        <v>VERIFY the readings in step 732 and 740 are within 3% of each other. (new kW divided by original kW must be ≤1.03 and ≥0.97).</v>
      </c>
      <c r="E50" s="183" t="s">
        <v>1464</v>
      </c>
      <c r="F50" s="193"/>
      <c r="G50" s="193"/>
    </row>
    <row r="51" spans="1:7" s="135" customFormat="1" ht="37.5" x14ac:dyDescent="0.25">
      <c r="A51" s="200">
        <f t="shared" si="1"/>
        <v>742</v>
      </c>
      <c r="B51" s="231" t="str">
        <f>Suite&amp;" Electrical Room "&amp;SWFour</f>
        <v>G104 Electrical Room XXX</v>
      </c>
      <c r="C51" s="183" t="s">
        <v>1566</v>
      </c>
      <c r="D51" s="233" t="s">
        <v>1572</v>
      </c>
      <c r="E51" s="183" t="s">
        <v>1464</v>
      </c>
      <c r="F51" s="193"/>
      <c r="G51" s="193"/>
    </row>
    <row r="52" spans="1:7" s="135" customFormat="1" ht="37.5" x14ac:dyDescent="0.25">
      <c r="A52" s="200">
        <f t="shared" si="1"/>
        <v>743</v>
      </c>
      <c r="B52" s="231" t="str">
        <f>Suite&amp;" Electrical Room "&amp;SWFour</f>
        <v>G104 Electrical Room XXX</v>
      </c>
      <c r="C52" s="183" t="str">
        <f>"UP"&amp;SWFour</f>
        <v>UPXXX</v>
      </c>
      <c r="D52" s="186" t="str" cm="1">
        <f t="array" ref="D52">"ROTATE the interlock key 90 degrees to LOCK the MCBUP"&amp;SWFour&amp;" breaker."</f>
        <v>ROTATE the interlock key 90 degrees to LOCK the MCBUPXXX breaker.</v>
      </c>
      <c r="E52" s="183" t="s">
        <v>1464</v>
      </c>
      <c r="F52" s="193"/>
      <c r="G52" s="193"/>
    </row>
    <row r="53" spans="1:7" s="135" customFormat="1" ht="37.5" x14ac:dyDescent="0.25">
      <c r="A53" s="200">
        <f t="shared" si="1"/>
        <v>744</v>
      </c>
      <c r="B53" s="231" t="str">
        <f>Suite&amp;" Electrical Room "&amp;SWFour</f>
        <v>G104 Electrical Room XXX</v>
      </c>
      <c r="C53" s="183" t="str">
        <f>"UP"&amp;SWFour</f>
        <v>UPXXX</v>
      </c>
      <c r="D53" s="186" t="str" cm="1">
        <f t="array" ref="D53">"REMOVE the interlock key from the MCBUP"&amp;SWFour&amp;" breaker lock cylinder."</f>
        <v>REMOVE the interlock key from the MCBUPXXX breaker lock cylinder.</v>
      </c>
      <c r="E53" s="183" t="s">
        <v>1464</v>
      </c>
      <c r="F53" s="193"/>
      <c r="G53" s="193"/>
    </row>
    <row r="54" spans="1:7" s="135" customFormat="1" ht="37.5" x14ac:dyDescent="0.25">
      <c r="A54" s="200">
        <f t="shared" si="1"/>
        <v>745</v>
      </c>
      <c r="B54" s="231" t="str">
        <f>Suite&amp;" Electrical Room "&amp;SWFour</f>
        <v>G104 Electrical Room XXX</v>
      </c>
      <c r="C54" s="183" t="str">
        <f>"UP"&amp;SWFour</f>
        <v>UPXXX</v>
      </c>
      <c r="D54" s="233" t="s">
        <v>1573</v>
      </c>
      <c r="E54" s="183" t="s">
        <v>1464</v>
      </c>
      <c r="F54" s="193"/>
      <c r="G54" s="193"/>
    </row>
    <row r="55" spans="1:7" s="135" customFormat="1" ht="37.5" x14ac:dyDescent="0.25">
      <c r="A55" s="200">
        <f t="shared" si="1"/>
        <v>746</v>
      </c>
      <c r="B55" s="231" t="str">
        <f>Suite&amp;" Electrical Room "&amp;SWFour</f>
        <v>G104 Electrical Room XXX</v>
      </c>
      <c r="C55" s="183" t="str">
        <f>"UP"&amp;SWFour</f>
        <v>UPXXX</v>
      </c>
      <c r="D55" s="186" t="s">
        <v>1574</v>
      </c>
      <c r="E55" s="183" t="s">
        <v>1464</v>
      </c>
      <c r="F55" s="193"/>
      <c r="G55" s="193"/>
    </row>
    <row r="56" spans="1:7" s="135" customFormat="1" ht="37.5" x14ac:dyDescent="0.25">
      <c r="A56" s="200">
        <f t="shared" si="1"/>
        <v>747</v>
      </c>
      <c r="B56" s="231" t="str">
        <f>Suite&amp;" Electrical Room "&amp;SWFour</f>
        <v>G104 Electrical Room XXX</v>
      </c>
      <c r="C56" s="183" t="str">
        <f>"UP"&amp;SWFour</f>
        <v>UPXXX</v>
      </c>
      <c r="D56" s="186" t="s">
        <v>1575</v>
      </c>
      <c r="E56" s="183" t="s">
        <v>1464</v>
      </c>
      <c r="F56" s="193"/>
      <c r="G56" s="193"/>
    </row>
    <row r="57" spans="1:7" s="135" customFormat="1" ht="37.5" x14ac:dyDescent="0.25">
      <c r="A57" s="200">
        <f t="shared" si="1"/>
        <v>748</v>
      </c>
      <c r="B57" s="231" t="str">
        <f>Suite&amp;" Electrical Room "&amp;SWFour</f>
        <v>G104 Electrical Room XXX</v>
      </c>
      <c r="C57" s="183" t="str">
        <f>"UP"&amp;SWFour</f>
        <v>UPXXX</v>
      </c>
      <c r="D57" s="186" t="s">
        <v>1510</v>
      </c>
      <c r="E57" s="183" t="s">
        <v>1464</v>
      </c>
      <c r="F57" s="193"/>
      <c r="G57" s="193"/>
    </row>
    <row r="58" spans="1:7" s="135" customFormat="1" x14ac:dyDescent="0.25">
      <c r="A58" s="200">
        <f t="shared" si="1"/>
        <v>749</v>
      </c>
      <c r="B58" s="711" t="str">
        <f>"Shut Down UPS System "&amp;SWFour</f>
        <v>Shut Down UPS System XXX</v>
      </c>
      <c r="C58" s="711"/>
      <c r="D58" s="711"/>
      <c r="E58" s="711"/>
      <c r="F58" s="711"/>
      <c r="G58" s="711"/>
    </row>
    <row r="59" spans="1:7" s="135" customFormat="1" ht="37.5" x14ac:dyDescent="0.25">
      <c r="A59" s="200">
        <f t="shared" si="1"/>
        <v>750</v>
      </c>
      <c r="B59" s="231" t="str">
        <f>Suite&amp;" Electrical Room "&amp;SWFour</f>
        <v>G104 Electrical Room XXX</v>
      </c>
      <c r="C59" s="183" t="str">
        <f>"UPS "&amp;SWFour&amp;"1"</f>
        <v>UPS XXX1</v>
      </c>
      <c r="D59" s="233" t="s">
        <v>1576</v>
      </c>
      <c r="E59" s="183" t="s">
        <v>1464</v>
      </c>
      <c r="F59" s="193"/>
      <c r="G59" s="193"/>
    </row>
    <row r="60" spans="1:7" s="135" customFormat="1" ht="37.5" x14ac:dyDescent="0.25">
      <c r="A60" s="200">
        <f t="shared" si="1"/>
        <v>751</v>
      </c>
      <c r="B60" s="231" t="str">
        <f>Suite&amp;" Electrical Room "&amp;SWFour</f>
        <v>G104 Electrical Room XXX</v>
      </c>
      <c r="C60" s="183" t="str">
        <f>"UPS "&amp;SWFour&amp;"1"</f>
        <v>UPS XXX1</v>
      </c>
      <c r="D60" s="233" t="s">
        <v>1577</v>
      </c>
      <c r="E60" s="183" t="s">
        <v>1464</v>
      </c>
      <c r="F60" s="193"/>
      <c r="G60" s="193"/>
    </row>
    <row r="61" spans="1:7" s="135" customFormat="1" ht="37.5" x14ac:dyDescent="0.25">
      <c r="A61" s="200">
        <f t="shared" si="1"/>
        <v>752</v>
      </c>
      <c r="B61" s="231" t="str">
        <f>Suite&amp;" Electrical Room "&amp;SWFour</f>
        <v>G104 Electrical Room XXX</v>
      </c>
      <c r="C61" s="183" t="s">
        <v>1566</v>
      </c>
      <c r="D61" s="233" t="s">
        <v>1578</v>
      </c>
      <c r="E61" s="183" t="s">
        <v>1464</v>
      </c>
      <c r="F61" s="193"/>
      <c r="G61" s="193"/>
    </row>
    <row r="62" spans="1:7" s="135" customFormat="1" ht="37.5" x14ac:dyDescent="0.25">
      <c r="A62" s="200">
        <f t="shared" si="1"/>
        <v>753</v>
      </c>
      <c r="B62" s="231" t="str">
        <f>Suite&amp;" Electrical Room "&amp;SWFour</f>
        <v>G104 Electrical Room XXX</v>
      </c>
      <c r="C62" s="183" t="str">
        <f>"UP"&amp;SWFour</f>
        <v>UPXXX</v>
      </c>
      <c r="D62" s="233" t="str" cm="1">
        <f t="array" ref="D62">"OPEN breaker DP-" &amp; SWFour &amp; "1."</f>
        <v>OPEN breaker DP-XXX1.</v>
      </c>
      <c r="E62" s="183" t="s">
        <v>1464</v>
      </c>
      <c r="F62" s="193"/>
      <c r="G62" s="193"/>
    </row>
    <row r="63" spans="1:7" s="135" customFormat="1" ht="37.5" x14ac:dyDescent="0.25">
      <c r="A63" s="200">
        <f t="shared" si="1"/>
        <v>754</v>
      </c>
      <c r="B63" s="231" t="str">
        <f>Suite&amp;" Electrical Room "&amp;SWFour</f>
        <v>G104 Electrical Room XXX</v>
      </c>
      <c r="C63" s="183" t="str">
        <f>"UP"&amp;SWFour</f>
        <v>UPXXX</v>
      </c>
      <c r="D63" s="186" t="str" cm="1">
        <f t="array" ref="D63">"Apply LOTO to breaker DP-" &amp; SWFour &amp; "1."</f>
        <v>Apply LOTO to breaker DP-XXX1.</v>
      </c>
      <c r="E63" s="183" t="s">
        <v>1464</v>
      </c>
      <c r="F63" s="193"/>
      <c r="G63" s="193"/>
    </row>
    <row r="64" spans="1:7" s="135" customFormat="1" ht="37.5" x14ac:dyDescent="0.25">
      <c r="A64" s="200">
        <f t="shared" si="1"/>
        <v>755</v>
      </c>
      <c r="B64" s="231" t="str">
        <f>Suite&amp;" Electrical Room "&amp;SWFour</f>
        <v>G104 Electrical Room XXX</v>
      </c>
      <c r="C64" s="183" t="str">
        <f>"UP"&amp;SWFour</f>
        <v>UPXXX</v>
      </c>
      <c r="D64" s="186" t="s">
        <v>1518</v>
      </c>
      <c r="E64" s="183" t="s">
        <v>1464</v>
      </c>
      <c r="F64" s="193" t="s">
        <v>1519</v>
      </c>
      <c r="G64" s="193"/>
    </row>
    <row r="65" spans="1:15" s="135" customFormat="1" ht="56.25" x14ac:dyDescent="0.25">
      <c r="A65" s="200">
        <f t="shared" si="1"/>
        <v>756</v>
      </c>
      <c r="B65" s="231" t="str">
        <f>Suite&amp;" Electrical Room "&amp;SWFour</f>
        <v>G104 Electrical Room XXX</v>
      </c>
      <c r="C65" s="183" t="str">
        <f>"UPS "&amp;SWFour&amp;"1 Battery Cabinets"</f>
        <v>UPS XXX1 Battery Cabinets</v>
      </c>
      <c r="D65" s="233" t="s">
        <v>1579</v>
      </c>
      <c r="E65" s="183" t="s">
        <v>1464</v>
      </c>
      <c r="F65" s="193" t="s">
        <v>1519</v>
      </c>
      <c r="G65" s="193"/>
    </row>
    <row r="66" spans="1:15" s="135" customFormat="1" ht="56.25" x14ac:dyDescent="0.25">
      <c r="A66" s="200">
        <f t="shared" si="1"/>
        <v>757</v>
      </c>
      <c r="B66" s="231" t="str">
        <f>Suite&amp;" Electrical Room "&amp;SWFour</f>
        <v>G104 Electrical Room XXX</v>
      </c>
      <c r="C66" s="183" t="str">
        <f>"UPS "&amp;SWFour&amp;"1 Battery Cabinets"</f>
        <v>UPS XXX1 Battery Cabinets</v>
      </c>
      <c r="D66" s="233" t="str" cm="1">
        <f t="array" ref="D66">"OPEN Battery Breaker Q7A at Cabinet " &amp; SWFour &amp; "1-1."</f>
        <v>OPEN Battery Breaker Q7A at Cabinet XXX1-1.</v>
      </c>
      <c r="E66" s="183" t="s">
        <v>1464</v>
      </c>
      <c r="F66" s="193" t="s">
        <v>1519</v>
      </c>
      <c r="G66" s="193"/>
      <c r="H66" s="163" t="s">
        <v>1580</v>
      </c>
    </row>
    <row r="67" spans="1:15" s="135" customFormat="1" ht="56.25" x14ac:dyDescent="0.25">
      <c r="A67" s="200">
        <f t="shared" si="1"/>
        <v>758</v>
      </c>
      <c r="B67" s="231" t="str">
        <f>Suite&amp;" Electrical Room "&amp;SWFour</f>
        <v>G104 Electrical Room XXX</v>
      </c>
      <c r="C67" s="183" t="str">
        <f>"UPS "&amp;SWFour&amp;"1 Battery Cabinets"</f>
        <v>UPS XXX1 Battery Cabinets</v>
      </c>
      <c r="D67" s="177" t="str" cm="1">
        <f t="array" ref="D67">"Apply LOTO to Battery Breaker Q7A at Cabinet " &amp; SWFour &amp; "1-1."</f>
        <v>Apply LOTO to Battery Breaker Q7A at Cabinet XXX1-1.</v>
      </c>
      <c r="E67" s="183" t="s">
        <v>1464</v>
      </c>
      <c r="F67" s="193" t="s">
        <v>1519</v>
      </c>
      <c r="G67" s="193"/>
      <c r="H67" s="163" t="s">
        <v>1580</v>
      </c>
    </row>
    <row r="68" spans="1:15" s="135" customFormat="1" ht="56.25" x14ac:dyDescent="0.25">
      <c r="A68" s="200">
        <f t="shared" si="1"/>
        <v>759</v>
      </c>
      <c r="B68" s="231" t="str">
        <f>Suite&amp;" Electrical Room "&amp;SWFour</f>
        <v>G104 Electrical Room XXX</v>
      </c>
      <c r="C68" s="183" t="str">
        <f>"UPS "&amp;SWFour&amp;"1 Battery Cabinets"</f>
        <v>UPS XXX1 Battery Cabinets</v>
      </c>
      <c r="D68" s="186" t="s">
        <v>1518</v>
      </c>
      <c r="E68" s="183" t="s">
        <v>1464</v>
      </c>
      <c r="F68" s="193" t="s">
        <v>1519</v>
      </c>
      <c r="G68" s="193"/>
      <c r="H68" s="163" t="s">
        <v>1580</v>
      </c>
    </row>
    <row r="69" spans="1:15" s="135" customFormat="1" ht="56.25" x14ac:dyDescent="0.25">
      <c r="A69" s="200">
        <f t="shared" si="1"/>
        <v>760</v>
      </c>
      <c r="B69" s="231" t="str">
        <f>Suite&amp;" Electrical Room "&amp;SWFour</f>
        <v>G104 Electrical Room XXX</v>
      </c>
      <c r="C69" s="183" t="str">
        <f>"UPS "&amp;SWFour&amp;"1 Battery Cabinets"</f>
        <v>UPS XXX1 Battery Cabinets</v>
      </c>
      <c r="D69" s="233" t="str" cm="1">
        <f t="array" ref="D69">"OPEN Battery Breaker Q7B at Cabinet " &amp; SWFour &amp; "1-2."</f>
        <v>OPEN Battery Breaker Q7B at Cabinet XXX1-2.</v>
      </c>
      <c r="E69" s="183" t="s">
        <v>1464</v>
      </c>
      <c r="F69" s="193" t="s">
        <v>1519</v>
      </c>
      <c r="G69" s="193"/>
      <c r="H69" s="163" t="s">
        <v>1580</v>
      </c>
      <c r="J69" s="164"/>
      <c r="K69" s="164"/>
      <c r="L69" s="164"/>
      <c r="M69" s="164"/>
      <c r="N69" s="164"/>
      <c r="O69" s="164"/>
    </row>
    <row r="70" spans="1:15" s="135" customFormat="1" ht="56.25" x14ac:dyDescent="0.25">
      <c r="A70" s="200">
        <f t="shared" si="1"/>
        <v>761</v>
      </c>
      <c r="B70" s="231" t="str">
        <f>Suite&amp;" Electrical Room "&amp;SWFour</f>
        <v>G104 Electrical Room XXX</v>
      </c>
      <c r="C70" s="183" t="str">
        <f>"UPS "&amp;SWFour&amp;"1 Battery Cabinets"</f>
        <v>UPS XXX1 Battery Cabinets</v>
      </c>
      <c r="D70" s="177" t="str" cm="1">
        <f t="array" ref="D70">"Apply LOTO to Battery Breaker Q7B at Cabinet " &amp; SWFour &amp; "1-2."</f>
        <v>Apply LOTO to Battery Breaker Q7B at Cabinet XXX1-2.</v>
      </c>
      <c r="E70" s="183" t="s">
        <v>1464</v>
      </c>
      <c r="F70" s="193" t="s">
        <v>1519</v>
      </c>
      <c r="G70" s="193"/>
      <c r="H70" s="163" t="s">
        <v>1580</v>
      </c>
    </row>
    <row r="71" spans="1:15" s="135" customFormat="1" ht="56.25" x14ac:dyDescent="0.25">
      <c r="A71" s="200">
        <f t="shared" si="1"/>
        <v>762</v>
      </c>
      <c r="B71" s="231" t="str">
        <f>Suite&amp;" Electrical Room "&amp;SWFour</f>
        <v>G104 Electrical Room XXX</v>
      </c>
      <c r="C71" s="183" t="str">
        <f>"UPS "&amp;SWFour&amp;"1 Battery Cabinets"</f>
        <v>UPS XXX1 Battery Cabinets</v>
      </c>
      <c r="D71" s="186" t="s">
        <v>1518</v>
      </c>
      <c r="E71" s="183" t="s">
        <v>1464</v>
      </c>
      <c r="F71" s="193" t="s">
        <v>1519</v>
      </c>
      <c r="G71" s="193"/>
      <c r="H71" s="163" t="s">
        <v>1580</v>
      </c>
    </row>
    <row r="72" spans="1:15" s="135" customFormat="1" ht="56.25" x14ac:dyDescent="0.25">
      <c r="A72" s="200">
        <f t="shared" si="1"/>
        <v>763</v>
      </c>
      <c r="B72" s="231" t="str">
        <f>Suite&amp;" Electrical Room "&amp;SWFour</f>
        <v>G104 Electrical Room XXX</v>
      </c>
      <c r="C72" s="183" t="str">
        <f>"UPS "&amp;SWFour&amp;"1 Battery Cabinets"</f>
        <v>UPS XXX1 Battery Cabinets</v>
      </c>
      <c r="D72" s="233" t="str" cm="1">
        <f t="array" ref="D72">"OPEN Battery Breaker Q8A at Cabinet " &amp; SWFour &amp; "1-3."</f>
        <v>OPEN Battery Breaker Q8A at Cabinet XXX1-3.</v>
      </c>
      <c r="E72" s="183" t="s">
        <v>1464</v>
      </c>
      <c r="F72" s="193" t="s">
        <v>1519</v>
      </c>
      <c r="G72" s="193"/>
      <c r="H72" s="163" t="s">
        <v>1580</v>
      </c>
    </row>
    <row r="73" spans="1:15" s="135" customFormat="1" ht="56.25" x14ac:dyDescent="0.25">
      <c r="A73" s="200">
        <f t="shared" si="1"/>
        <v>764</v>
      </c>
      <c r="B73" s="231" t="str">
        <f>Suite&amp;" Electrical Room "&amp;SWFour</f>
        <v>G104 Electrical Room XXX</v>
      </c>
      <c r="C73" s="183" t="str">
        <f>"UPS "&amp;SWFour&amp;"1 Battery Cabinets"</f>
        <v>UPS XXX1 Battery Cabinets</v>
      </c>
      <c r="D73" s="177" t="str" cm="1">
        <f t="array" ref="D73">"Apply LOTO to Battery Breaker Q8A at Cabinet " &amp; SWFour &amp; "1-3."</f>
        <v>Apply LOTO to Battery Breaker Q8A at Cabinet XXX1-3.</v>
      </c>
      <c r="E73" s="183" t="s">
        <v>1464</v>
      </c>
      <c r="F73" s="193" t="s">
        <v>1519</v>
      </c>
      <c r="G73" s="193"/>
      <c r="H73" s="163" t="s">
        <v>1580</v>
      </c>
    </row>
    <row r="74" spans="1:15" s="135" customFormat="1" ht="56.25" x14ac:dyDescent="0.25">
      <c r="A74" s="200">
        <f t="shared" si="1"/>
        <v>765</v>
      </c>
      <c r="B74" s="231" t="str">
        <f>Suite&amp;" Electrical Room "&amp;SWFour</f>
        <v>G104 Electrical Room XXX</v>
      </c>
      <c r="C74" s="183" t="str">
        <f>"UPS "&amp;SWFour&amp;"1 Battery Cabinets"</f>
        <v>UPS XXX1 Battery Cabinets</v>
      </c>
      <c r="D74" s="186" t="s">
        <v>1518</v>
      </c>
      <c r="E74" s="183" t="s">
        <v>1464</v>
      </c>
      <c r="F74" s="193" t="s">
        <v>1519</v>
      </c>
      <c r="G74" s="193"/>
      <c r="H74" s="163" t="s">
        <v>1580</v>
      </c>
    </row>
    <row r="75" spans="1:15" s="135" customFormat="1" ht="56.25" x14ac:dyDescent="0.25">
      <c r="A75" s="200">
        <f t="shared" si="1"/>
        <v>766</v>
      </c>
      <c r="B75" s="231" t="str">
        <f>Suite&amp;" Electrical Room "&amp;SWFour</f>
        <v>G104 Electrical Room XXX</v>
      </c>
      <c r="C75" s="183" t="str">
        <f>"UPS "&amp;SWFour&amp;"1 Battery Cabinets"</f>
        <v>UPS XXX1 Battery Cabinets</v>
      </c>
      <c r="D75" s="233" t="str" cm="1">
        <f t="array" ref="D75">"OPEN Battery Breaker Q8B at Cabinet " &amp; SWFour &amp; "1-4."</f>
        <v>OPEN Battery Breaker Q8B at Cabinet XXX1-4.</v>
      </c>
      <c r="E75" s="183" t="s">
        <v>1464</v>
      </c>
      <c r="F75" s="193" t="s">
        <v>1519</v>
      </c>
      <c r="G75" s="193"/>
      <c r="H75" s="163" t="s">
        <v>1580</v>
      </c>
    </row>
    <row r="76" spans="1:15" s="135" customFormat="1" ht="56.25" x14ac:dyDescent="0.25">
      <c r="A76" s="200">
        <f t="shared" si="1"/>
        <v>767</v>
      </c>
      <c r="B76" s="231" t="str">
        <f>Suite&amp;" Electrical Room "&amp;SWFour</f>
        <v>G104 Electrical Room XXX</v>
      </c>
      <c r="C76" s="183" t="str">
        <f>"UPS "&amp;SWFour&amp;"1 Battery Cabinets"</f>
        <v>UPS XXX1 Battery Cabinets</v>
      </c>
      <c r="D76" s="177" t="str" cm="1">
        <f t="array" ref="D76">"Apply LOTO to Battery Breaker Q8B at Cabinet " &amp; SWFour &amp; "1-4."</f>
        <v>Apply LOTO to Battery Breaker Q8B at Cabinet XXX1-4.</v>
      </c>
      <c r="E76" s="183" t="s">
        <v>1464</v>
      </c>
      <c r="F76" s="193" t="s">
        <v>1519</v>
      </c>
      <c r="G76" s="193"/>
      <c r="H76" s="163" t="s">
        <v>1580</v>
      </c>
    </row>
    <row r="77" spans="1:15" s="135" customFormat="1" ht="56.25" x14ac:dyDescent="0.25">
      <c r="A77" s="200">
        <f t="shared" si="1"/>
        <v>768</v>
      </c>
      <c r="B77" s="231" t="str">
        <f>Suite&amp;" Electrical Room "&amp;SWFour</f>
        <v>G104 Electrical Room XXX</v>
      </c>
      <c r="C77" s="183" t="str">
        <f>"UPS "&amp;SWFour&amp;"1 Battery Cabinets"</f>
        <v>UPS XXX1 Battery Cabinets</v>
      </c>
      <c r="D77" s="186" t="s">
        <v>1518</v>
      </c>
      <c r="E77" s="183" t="s">
        <v>1464</v>
      </c>
      <c r="F77" s="193" t="s">
        <v>1519</v>
      </c>
      <c r="G77" s="193"/>
      <c r="H77" s="163" t="s">
        <v>1580</v>
      </c>
    </row>
    <row r="78" spans="1:15" s="135" customFormat="1" ht="56.25" hidden="1" x14ac:dyDescent="0.25">
      <c r="A78" s="200">
        <f>A65+1</f>
        <v>757</v>
      </c>
      <c r="B78" s="231" t="str">
        <f>Suite&amp;" Electrical Room "&amp;SWFour</f>
        <v>G104 Electrical Room XXX</v>
      </c>
      <c r="C78" s="183" t="str">
        <f>"UPS "&amp;SWFour&amp;"1 Battery Cabinets"</f>
        <v>UPS XXX1 Battery Cabinets</v>
      </c>
      <c r="D78" s="186" t="str" cm="1">
        <f t="array" ref="D78">"OPEN Battery Breaker Q7A at Cabinet " &amp; SWFour &amp; "1-1."</f>
        <v>OPEN Battery Breaker Q7A at Cabinet XXX1-1.</v>
      </c>
      <c r="E78" s="183" t="s">
        <v>1464</v>
      </c>
      <c r="F78" s="193" t="s">
        <v>1519</v>
      </c>
      <c r="G78" s="193"/>
      <c r="H78" s="163" t="s">
        <v>1581</v>
      </c>
    </row>
    <row r="79" spans="1:15" s="135" customFormat="1" ht="56.25" hidden="1" x14ac:dyDescent="0.25">
      <c r="A79" s="200">
        <f t="shared" ref="A79:A95" si="2">A78+1</f>
        <v>758</v>
      </c>
      <c r="B79" s="231" t="str">
        <f>Suite&amp;" Electrical Room "&amp;SWFour</f>
        <v>G104 Electrical Room XXX</v>
      </c>
      <c r="C79" s="183" t="str">
        <f>"UPS "&amp;SWFour&amp;"1 Battery Cabinets"</f>
        <v>UPS XXX1 Battery Cabinets</v>
      </c>
      <c r="D79" s="177" t="str" cm="1">
        <f t="array" ref="D79">"Apply LOTO to Battery Breaker Q7A at Cabinet " &amp; SWFour &amp; "1-1."</f>
        <v>Apply LOTO to Battery Breaker Q7A at Cabinet XXX1-1.</v>
      </c>
      <c r="E79" s="183" t="s">
        <v>1464</v>
      </c>
      <c r="F79" s="193" t="s">
        <v>1519</v>
      </c>
      <c r="G79" s="193"/>
      <c r="H79" s="163" t="s">
        <v>1581</v>
      </c>
    </row>
    <row r="80" spans="1:15" s="135" customFormat="1" ht="56.25" hidden="1" x14ac:dyDescent="0.25">
      <c r="A80" s="200">
        <f t="shared" si="2"/>
        <v>759</v>
      </c>
      <c r="B80" s="231" t="str">
        <f>Suite&amp;" Electrical Room "&amp;SWFour</f>
        <v>G104 Electrical Room XXX</v>
      </c>
      <c r="C80" s="183" t="str">
        <f>"UPS "&amp;SWFour&amp;"1 Battery Cabinets"</f>
        <v>UPS XXX1 Battery Cabinets</v>
      </c>
      <c r="D80" s="186" t="s">
        <v>1518</v>
      </c>
      <c r="E80" s="183" t="s">
        <v>1464</v>
      </c>
      <c r="F80" s="193" t="s">
        <v>1519</v>
      </c>
      <c r="G80" s="193"/>
      <c r="H80" s="163" t="s">
        <v>1581</v>
      </c>
    </row>
    <row r="81" spans="1:8" s="135" customFormat="1" ht="56.25" hidden="1" x14ac:dyDescent="0.25">
      <c r="A81" s="200">
        <f t="shared" si="2"/>
        <v>760</v>
      </c>
      <c r="B81" s="231" t="str">
        <f>Suite&amp;" Electrical Room "&amp;SWFour</f>
        <v>G104 Electrical Room XXX</v>
      </c>
      <c r="C81" s="183" t="str">
        <f>"UPS "&amp;SWFour&amp;"1 Battery Cabinets"</f>
        <v>UPS XXX1 Battery Cabinets</v>
      </c>
      <c r="D81" s="186" t="str" cm="1">
        <f t="array" ref="D81">"OPEN Battery Breaker Q7B at Cabinet " &amp; SWFour &amp; "1-2."</f>
        <v>OPEN Battery Breaker Q7B at Cabinet XXX1-2.</v>
      </c>
      <c r="E81" s="183" t="s">
        <v>1464</v>
      </c>
      <c r="F81" s="193" t="s">
        <v>1519</v>
      </c>
      <c r="G81" s="193"/>
      <c r="H81" s="163" t="s">
        <v>1581</v>
      </c>
    </row>
    <row r="82" spans="1:8" s="135" customFormat="1" ht="56.25" hidden="1" x14ac:dyDescent="0.25">
      <c r="A82" s="200">
        <f t="shared" si="2"/>
        <v>761</v>
      </c>
      <c r="B82" s="231" t="str">
        <f>Suite&amp;" Electrical Room "&amp;SWFour</f>
        <v>G104 Electrical Room XXX</v>
      </c>
      <c r="C82" s="183" t="str">
        <f>"UPS "&amp;SWFour&amp;"1 Battery Cabinets"</f>
        <v>UPS XXX1 Battery Cabinets</v>
      </c>
      <c r="D82" s="177" t="str" cm="1">
        <f t="array" ref="D82">"Apply LOTO to Battery Breaker Q7B at Cabinet " &amp; SWFour &amp; "1-2."</f>
        <v>Apply LOTO to Battery Breaker Q7B at Cabinet XXX1-2.</v>
      </c>
      <c r="E82" s="183" t="s">
        <v>1464</v>
      </c>
      <c r="F82" s="193" t="s">
        <v>1519</v>
      </c>
      <c r="G82" s="193"/>
      <c r="H82" s="163" t="s">
        <v>1581</v>
      </c>
    </row>
    <row r="83" spans="1:8" s="135" customFormat="1" ht="56.25" hidden="1" x14ac:dyDescent="0.25">
      <c r="A83" s="200">
        <f t="shared" si="2"/>
        <v>762</v>
      </c>
      <c r="B83" s="231" t="str">
        <f>Suite&amp;" Electrical Room "&amp;SWFour</f>
        <v>G104 Electrical Room XXX</v>
      </c>
      <c r="C83" s="183" t="str">
        <f>"UPS "&amp;SWFour&amp;"1 Battery Cabinets"</f>
        <v>UPS XXX1 Battery Cabinets</v>
      </c>
      <c r="D83" s="186" t="s">
        <v>1518</v>
      </c>
      <c r="E83" s="183" t="s">
        <v>1464</v>
      </c>
      <c r="F83" s="193" t="s">
        <v>1519</v>
      </c>
      <c r="G83" s="193"/>
      <c r="H83" s="163" t="s">
        <v>1581</v>
      </c>
    </row>
    <row r="84" spans="1:8" s="135" customFormat="1" ht="56.25" hidden="1" x14ac:dyDescent="0.25">
      <c r="A84" s="200">
        <f t="shared" si="2"/>
        <v>763</v>
      </c>
      <c r="B84" s="231" t="str">
        <f>Suite&amp;" Electrical Room "&amp;SWFour</f>
        <v>G104 Electrical Room XXX</v>
      </c>
      <c r="C84" s="183" t="str">
        <f>"UPS "&amp;SWFour&amp;"1 Battery Cabinets"</f>
        <v>UPS XXX1 Battery Cabinets</v>
      </c>
      <c r="D84" s="186" t="str" cm="1">
        <f t="array" ref="D84">"OPEN Battery Breaker Q7C at Cabinet " &amp; SWFour &amp; "1-3."</f>
        <v>OPEN Battery Breaker Q7C at Cabinet XXX1-3.</v>
      </c>
      <c r="E84" s="183" t="s">
        <v>1464</v>
      </c>
      <c r="F84" s="193" t="s">
        <v>1519</v>
      </c>
      <c r="G84" s="193"/>
      <c r="H84" s="163" t="s">
        <v>1581</v>
      </c>
    </row>
    <row r="85" spans="1:8" s="135" customFormat="1" ht="56.25" hidden="1" x14ac:dyDescent="0.25">
      <c r="A85" s="200">
        <f t="shared" si="2"/>
        <v>764</v>
      </c>
      <c r="B85" s="231" t="str">
        <f>Suite&amp;" Electrical Room "&amp;SWFour</f>
        <v>G104 Electrical Room XXX</v>
      </c>
      <c r="C85" s="183" t="str">
        <f>"UPS "&amp;SWFour&amp;"1 Battery Cabinets"</f>
        <v>UPS XXX1 Battery Cabinets</v>
      </c>
      <c r="D85" s="177" t="str" cm="1">
        <f t="array" ref="D85">"Apply LOTO to Battery Breaker Q7C at Cabinet " &amp; SWFour &amp; "1-3."</f>
        <v>Apply LOTO to Battery Breaker Q7C at Cabinet XXX1-3.</v>
      </c>
      <c r="E85" s="183" t="s">
        <v>1464</v>
      </c>
      <c r="F85" s="193" t="s">
        <v>1519</v>
      </c>
      <c r="G85" s="193"/>
      <c r="H85" s="163" t="s">
        <v>1581</v>
      </c>
    </row>
    <row r="86" spans="1:8" s="135" customFormat="1" ht="56.25" hidden="1" x14ac:dyDescent="0.25">
      <c r="A86" s="200">
        <f t="shared" si="2"/>
        <v>765</v>
      </c>
      <c r="B86" s="231" t="str">
        <f>Suite&amp;" Electrical Room "&amp;SWFour</f>
        <v>G104 Electrical Room XXX</v>
      </c>
      <c r="C86" s="183" t="str">
        <f>"UPS "&amp;SWFour&amp;"1 Battery Cabinets"</f>
        <v>UPS XXX1 Battery Cabinets</v>
      </c>
      <c r="D86" s="186" t="s">
        <v>1518</v>
      </c>
      <c r="E86" s="183" t="s">
        <v>1464</v>
      </c>
      <c r="F86" s="193" t="s">
        <v>1519</v>
      </c>
      <c r="G86" s="193"/>
      <c r="H86" s="163" t="s">
        <v>1581</v>
      </c>
    </row>
    <row r="87" spans="1:8" s="135" customFormat="1" ht="56.25" hidden="1" x14ac:dyDescent="0.25">
      <c r="A87" s="200">
        <f t="shared" si="2"/>
        <v>766</v>
      </c>
      <c r="B87" s="231" t="str">
        <f>Suite&amp;" Electrical Room "&amp;SWFour</f>
        <v>G104 Electrical Room XXX</v>
      </c>
      <c r="C87" s="183" t="str">
        <f>"UPS "&amp;SWFour&amp;"1 Battery Cabinets"</f>
        <v>UPS XXX1 Battery Cabinets</v>
      </c>
      <c r="D87" s="186" t="str" cm="1">
        <f t="array" ref="D87">"OPEN Battery Breaker Q8A at Cabinet " &amp; SWFour &amp; "1-4."</f>
        <v>OPEN Battery Breaker Q8A at Cabinet XXX1-4.</v>
      </c>
      <c r="E87" s="183" t="s">
        <v>1464</v>
      </c>
      <c r="F87" s="193" t="s">
        <v>1519</v>
      </c>
      <c r="G87" s="193"/>
      <c r="H87" s="163" t="s">
        <v>1581</v>
      </c>
    </row>
    <row r="88" spans="1:8" s="135" customFormat="1" ht="56.25" hidden="1" x14ac:dyDescent="0.25">
      <c r="A88" s="200">
        <f t="shared" si="2"/>
        <v>767</v>
      </c>
      <c r="B88" s="231" t="str">
        <f>Suite&amp;" Electrical Room "&amp;SWFour</f>
        <v>G104 Electrical Room XXX</v>
      </c>
      <c r="C88" s="183" t="str">
        <f>"UPS "&amp;SWFour&amp;"1 Battery Cabinets"</f>
        <v>UPS XXX1 Battery Cabinets</v>
      </c>
      <c r="D88" s="177" t="str" cm="1">
        <f t="array" ref="D88">"Apply LOTO to Battery Breaker Q8A at Cabinet " &amp; SWFour &amp; "1-4."</f>
        <v>Apply LOTO to Battery Breaker Q8A at Cabinet XXX1-4.</v>
      </c>
      <c r="E88" s="183" t="s">
        <v>1464</v>
      </c>
      <c r="F88" s="193" t="s">
        <v>1519</v>
      </c>
      <c r="G88" s="193"/>
      <c r="H88" s="163" t="s">
        <v>1581</v>
      </c>
    </row>
    <row r="89" spans="1:8" s="135" customFormat="1" ht="56.25" hidden="1" x14ac:dyDescent="0.25">
      <c r="A89" s="200">
        <f t="shared" si="2"/>
        <v>768</v>
      </c>
      <c r="B89" s="231" t="str">
        <f>Suite&amp;" Electrical Room "&amp;SWFour</f>
        <v>G104 Electrical Room XXX</v>
      </c>
      <c r="C89" s="183" t="str">
        <f>"UPS "&amp;SWFour&amp;"1 Battery Cabinets"</f>
        <v>UPS XXX1 Battery Cabinets</v>
      </c>
      <c r="D89" s="186" t="s">
        <v>1518</v>
      </c>
      <c r="E89" s="183" t="s">
        <v>1464</v>
      </c>
      <c r="F89" s="193" t="s">
        <v>1519</v>
      </c>
      <c r="G89" s="193"/>
      <c r="H89" s="163" t="s">
        <v>1581</v>
      </c>
    </row>
    <row r="90" spans="1:8" s="135" customFormat="1" ht="56.25" hidden="1" x14ac:dyDescent="0.25">
      <c r="A90" s="200">
        <f t="shared" si="2"/>
        <v>769</v>
      </c>
      <c r="B90" s="231" t="str">
        <f>Suite&amp;" Electrical Room "&amp;SWFour</f>
        <v>G104 Electrical Room XXX</v>
      </c>
      <c r="C90" s="183" t="str">
        <f>"UPS "&amp;SWFour&amp;"1 Battery Cabinets"</f>
        <v>UPS XXX1 Battery Cabinets</v>
      </c>
      <c r="D90" s="186" t="str" cm="1">
        <f t="array" ref="D90">"OPEN Battery Breaker Q8B at Cabinet " &amp; SWFour &amp; "1-5."</f>
        <v>OPEN Battery Breaker Q8B at Cabinet XXX1-5.</v>
      </c>
      <c r="E90" s="183" t="s">
        <v>1464</v>
      </c>
      <c r="F90" s="193" t="s">
        <v>1519</v>
      </c>
      <c r="G90" s="193"/>
      <c r="H90" s="163" t="s">
        <v>1581</v>
      </c>
    </row>
    <row r="91" spans="1:8" s="135" customFormat="1" ht="56.25" hidden="1" x14ac:dyDescent="0.25">
      <c r="A91" s="200">
        <f t="shared" si="2"/>
        <v>770</v>
      </c>
      <c r="B91" s="231" t="str">
        <f>Suite&amp;" Electrical Room "&amp;SWFour</f>
        <v>G104 Electrical Room XXX</v>
      </c>
      <c r="C91" s="183" t="str">
        <f>"UPS "&amp;SWFour&amp;"1 Battery Cabinets"</f>
        <v>UPS XXX1 Battery Cabinets</v>
      </c>
      <c r="D91" s="186" t="str" cm="1">
        <f t="array" ref="D91">"Apply LOTO to Battery Breaker Q8B at Cabinet " &amp; SWFour &amp; "1-5."</f>
        <v>Apply LOTO to Battery Breaker Q8B at Cabinet XXX1-5.</v>
      </c>
      <c r="E91" s="183" t="s">
        <v>1464</v>
      </c>
      <c r="F91" s="193" t="s">
        <v>1519</v>
      </c>
      <c r="G91" s="193"/>
      <c r="H91" s="163" t="s">
        <v>1581</v>
      </c>
    </row>
    <row r="92" spans="1:8" s="135" customFormat="1" ht="56.25" hidden="1" x14ac:dyDescent="0.25">
      <c r="A92" s="200">
        <f t="shared" si="2"/>
        <v>771</v>
      </c>
      <c r="B92" s="231" t="str">
        <f>Suite&amp;" Electrical Room "&amp;SWFour</f>
        <v>G104 Electrical Room XXX</v>
      </c>
      <c r="C92" s="183" t="str">
        <f>"UPS "&amp;SWFour&amp;"1 Battery Cabinets"</f>
        <v>UPS XXX1 Battery Cabinets</v>
      </c>
      <c r="D92" s="186" t="s">
        <v>1518</v>
      </c>
      <c r="E92" s="183" t="s">
        <v>1464</v>
      </c>
      <c r="F92" s="193" t="s">
        <v>1519</v>
      </c>
      <c r="G92" s="193"/>
      <c r="H92" s="163" t="s">
        <v>1581</v>
      </c>
    </row>
    <row r="93" spans="1:8" s="135" customFormat="1" ht="56.25" hidden="1" x14ac:dyDescent="0.25">
      <c r="A93" s="200">
        <f t="shared" si="2"/>
        <v>772</v>
      </c>
      <c r="B93" s="231" t="str">
        <f>Suite&amp;" Electrical Room "&amp;SWFour</f>
        <v>G104 Electrical Room XXX</v>
      </c>
      <c r="C93" s="183" t="str">
        <f>"UPS "&amp;SWFour&amp;"1 Battery Cabinets"</f>
        <v>UPS XXX1 Battery Cabinets</v>
      </c>
      <c r="D93" s="186" t="str" cm="1">
        <f t="array" ref="D93">"OPEN Battery Breaker Q8C at Cabinet " &amp; SWFour &amp; "1-6."</f>
        <v>OPEN Battery Breaker Q8C at Cabinet XXX1-6.</v>
      </c>
      <c r="E93" s="183" t="s">
        <v>1464</v>
      </c>
      <c r="F93" s="193" t="s">
        <v>1519</v>
      </c>
      <c r="G93" s="193"/>
      <c r="H93" s="163" t="s">
        <v>1581</v>
      </c>
    </row>
    <row r="94" spans="1:8" s="135" customFormat="1" ht="56.25" hidden="1" x14ac:dyDescent="0.25">
      <c r="A94" s="200">
        <f t="shared" si="2"/>
        <v>773</v>
      </c>
      <c r="B94" s="231" t="str">
        <f>Suite&amp;" Electrical Room "&amp;SWFour</f>
        <v>G104 Electrical Room XXX</v>
      </c>
      <c r="C94" s="183" t="str">
        <f>"UPS "&amp;SWFour&amp;"1 Battery Cabinets"</f>
        <v>UPS XXX1 Battery Cabinets</v>
      </c>
      <c r="D94" s="177" t="str" cm="1">
        <f t="array" ref="D94">"Apply LOTO to Battery Breaker Q8C at Cabinet " &amp; SWFour &amp; "1-6."</f>
        <v>Apply LOTO to Battery Breaker Q8C at Cabinet XXX1-6.</v>
      </c>
      <c r="E94" s="183" t="s">
        <v>1464</v>
      </c>
      <c r="F94" s="193" t="s">
        <v>1519</v>
      </c>
      <c r="G94" s="193"/>
      <c r="H94" s="163" t="s">
        <v>1581</v>
      </c>
    </row>
    <row r="95" spans="1:8" s="135" customFormat="1" ht="56.25" hidden="1" x14ac:dyDescent="0.25">
      <c r="A95" s="200">
        <f t="shared" si="2"/>
        <v>774</v>
      </c>
      <c r="B95" s="231" t="str">
        <f>Suite&amp;" Electrical Room "&amp;SWFour</f>
        <v>G104 Electrical Room XXX</v>
      </c>
      <c r="C95" s="183" t="str">
        <f>"UPS "&amp;SWFour&amp;"1 Battery Cabinets"</f>
        <v>UPS XXX1 Battery Cabinets</v>
      </c>
      <c r="D95" s="186" t="s">
        <v>1518</v>
      </c>
      <c r="E95" s="183" t="s">
        <v>1464</v>
      </c>
      <c r="F95" s="193" t="s">
        <v>1519</v>
      </c>
      <c r="G95" s="193"/>
      <c r="H95" s="163" t="s">
        <v>1581</v>
      </c>
    </row>
    <row r="96" spans="1:8" s="135" customFormat="1" ht="37.5" x14ac:dyDescent="0.25">
      <c r="A96" s="200">
        <f>IF(NumberOfICDs=4, A77+1, A95+1)</f>
        <v>775</v>
      </c>
      <c r="B96" s="231" t="str">
        <f>Suite&amp;" Electrical Room "&amp;SWFour</f>
        <v>G104 Electrical Room XXX</v>
      </c>
      <c r="C96" s="183" t="str">
        <f>"SW"&amp;SWFour</f>
        <v>SWXXX</v>
      </c>
      <c r="D96" s="186" t="str" cm="1">
        <f t="array" ref="D96">"OPEN breaker UPS-" &amp; SWFour &amp; "1."</f>
        <v>OPEN breaker UPS-XXX1.</v>
      </c>
      <c r="E96" s="183" t="s">
        <v>1464</v>
      </c>
      <c r="F96" s="193" t="s">
        <v>1519</v>
      </c>
      <c r="G96" s="193"/>
    </row>
    <row r="97" spans="1:15" s="135" customFormat="1" ht="37.5" x14ac:dyDescent="0.25">
      <c r="A97" s="200">
        <f t="shared" ref="A97:A118" si="3">A96+1</f>
        <v>776</v>
      </c>
      <c r="B97" s="231" t="str">
        <f>Suite&amp;" Electrical Room "&amp;SWFour</f>
        <v>G104 Electrical Room XXX</v>
      </c>
      <c r="C97" s="183" t="str">
        <f>"SW"&amp;SWFour</f>
        <v>SWXXX</v>
      </c>
      <c r="D97" s="186" t="str" cm="1">
        <f t="array" ref="D97">"Apply LOTO to breaker UPS-" &amp; SWFour &amp; "1."</f>
        <v>Apply LOTO to breaker UPS-XXX1.</v>
      </c>
      <c r="E97" s="183" t="s">
        <v>1464</v>
      </c>
      <c r="F97" s="193"/>
      <c r="G97" s="193"/>
    </row>
    <row r="98" spans="1:15" s="135" customFormat="1" ht="37.5" x14ac:dyDescent="0.25">
      <c r="A98" s="200">
        <f t="shared" si="3"/>
        <v>777</v>
      </c>
      <c r="B98" s="231" t="str">
        <f>Suite&amp;" Electrical Room "&amp;SWFour</f>
        <v>G104 Electrical Room XXX</v>
      </c>
      <c r="C98" s="183" t="str">
        <f>"SW"&amp;SWFour</f>
        <v>SWXXX</v>
      </c>
      <c r="D98" s="186" t="s">
        <v>1518</v>
      </c>
      <c r="E98" s="183" t="s">
        <v>1464</v>
      </c>
      <c r="F98" s="193"/>
      <c r="G98" s="193"/>
    </row>
    <row r="99" spans="1:15" s="135" customFormat="1" ht="37.5" x14ac:dyDescent="0.25">
      <c r="A99" s="200">
        <f t="shared" si="3"/>
        <v>778</v>
      </c>
      <c r="B99" s="231" t="str">
        <f>Suite&amp;" Electrical Room "&amp;SWFour</f>
        <v>G104 Electrical Room XXX</v>
      </c>
      <c r="C99" s="183" t="s">
        <v>1566</v>
      </c>
      <c r="D99" s="233" t="s">
        <v>1582</v>
      </c>
      <c r="E99" s="183" t="s">
        <v>1464</v>
      </c>
      <c r="F99" s="193" t="s">
        <v>1519</v>
      </c>
      <c r="G99" s="193"/>
    </row>
    <row r="100" spans="1:15" s="135" customFormat="1" ht="37.5" x14ac:dyDescent="0.25">
      <c r="A100" s="200">
        <f t="shared" si="3"/>
        <v>779</v>
      </c>
      <c r="B100" s="231" t="str">
        <f>Suite&amp;" Electrical Room "&amp;SWFour</f>
        <v>G104 Electrical Room XXX</v>
      </c>
      <c r="C100" s="183" t="str">
        <f>"UPS "&amp;SWFour&amp;"2"</f>
        <v>UPS XXX2</v>
      </c>
      <c r="D100" s="233" t="s">
        <v>1576</v>
      </c>
      <c r="E100" s="183" t="s">
        <v>1464</v>
      </c>
      <c r="F100" s="193"/>
      <c r="G100" s="193"/>
    </row>
    <row r="101" spans="1:15" s="135" customFormat="1" ht="37.5" x14ac:dyDescent="0.25">
      <c r="A101" s="200">
        <f t="shared" si="3"/>
        <v>780</v>
      </c>
      <c r="B101" s="231" t="str">
        <f>Suite&amp;" Electrical Room "&amp;SWFour</f>
        <v>G104 Electrical Room XXX</v>
      </c>
      <c r="C101" s="183" t="str">
        <f>"UPS "&amp;SWFour&amp;"2"</f>
        <v>UPS XXX2</v>
      </c>
      <c r="D101" s="233" t="s">
        <v>1577</v>
      </c>
      <c r="E101" s="183" t="s">
        <v>1464</v>
      </c>
      <c r="F101" s="193"/>
      <c r="G101" s="193"/>
    </row>
    <row r="102" spans="1:15" s="135" customFormat="1" ht="37.5" x14ac:dyDescent="0.25">
      <c r="A102" s="200">
        <f t="shared" si="3"/>
        <v>781</v>
      </c>
      <c r="B102" s="231" t="str">
        <f>Suite&amp;" Electrical Room "&amp;SWFour</f>
        <v>G104 Electrical Room XXX</v>
      </c>
      <c r="C102" s="183" t="s">
        <v>1566</v>
      </c>
      <c r="D102" s="233" t="s">
        <v>1583</v>
      </c>
      <c r="E102" s="183" t="s">
        <v>1464</v>
      </c>
      <c r="F102" s="193"/>
      <c r="G102" s="193"/>
    </row>
    <row r="103" spans="1:15" s="135" customFormat="1" ht="37.5" x14ac:dyDescent="0.25">
      <c r="A103" s="200">
        <f t="shared" si="3"/>
        <v>782</v>
      </c>
      <c r="B103" s="231" t="str">
        <f>Suite&amp;" Electrical Room "&amp;SWFour</f>
        <v>G104 Electrical Room XXX</v>
      </c>
      <c r="C103" s="183" t="str">
        <f>"UP"&amp;SWFour</f>
        <v>UPXXX</v>
      </c>
      <c r="D103" s="233" t="str" cm="1">
        <f t="array" ref="D103">"OPEN breaker DP-" &amp; SWFour &amp; "2."</f>
        <v>OPEN breaker DP-XXX2.</v>
      </c>
      <c r="E103" s="183" t="s">
        <v>1464</v>
      </c>
      <c r="F103" s="193"/>
      <c r="G103" s="193"/>
    </row>
    <row r="104" spans="1:15" s="135" customFormat="1" ht="37.5" x14ac:dyDescent="0.25">
      <c r="A104" s="200">
        <f t="shared" si="3"/>
        <v>783</v>
      </c>
      <c r="B104" s="231" t="str">
        <f>Suite&amp;" Electrical Room "&amp;SWFour</f>
        <v>G104 Electrical Room XXX</v>
      </c>
      <c r="C104" s="183" t="str">
        <f>"UP"&amp;SWFour</f>
        <v>UPXXX</v>
      </c>
      <c r="D104" s="186" t="str" cm="1">
        <f t="array" ref="D104">"Apply LOTO to breaker DP-" &amp; SWFour &amp; "2."</f>
        <v>Apply LOTO to breaker DP-XXX2.</v>
      </c>
      <c r="E104" s="183" t="s">
        <v>1464</v>
      </c>
      <c r="F104" s="193"/>
      <c r="G104" s="193"/>
    </row>
    <row r="105" spans="1:15" s="135" customFormat="1" ht="37.5" x14ac:dyDescent="0.25">
      <c r="A105" s="200">
        <f t="shared" si="3"/>
        <v>784</v>
      </c>
      <c r="B105" s="231" t="str">
        <f>Suite&amp;" Electrical Room "&amp;SWFour</f>
        <v>G104 Electrical Room XXX</v>
      </c>
      <c r="C105" s="183" t="str">
        <f>"UP"&amp;SWFour</f>
        <v>UPXXX</v>
      </c>
      <c r="D105" s="186" t="s">
        <v>1518</v>
      </c>
      <c r="E105" s="183" t="s">
        <v>1464</v>
      </c>
      <c r="F105" s="193"/>
      <c r="G105" s="193"/>
    </row>
    <row r="106" spans="1:15" s="135" customFormat="1" ht="56.25" x14ac:dyDescent="0.25">
      <c r="A106" s="200">
        <f t="shared" si="3"/>
        <v>785</v>
      </c>
      <c r="B106" s="231" t="str">
        <f>Suite&amp;" Electrical Room "&amp;SWFour</f>
        <v>G104 Electrical Room XXX</v>
      </c>
      <c r="C106" s="183" t="str">
        <f>"UPS "&amp;SWFour&amp;"2 Battery Cabinets"</f>
        <v>UPS XXX2 Battery Cabinets</v>
      </c>
      <c r="D106" s="233" t="s">
        <v>1579</v>
      </c>
      <c r="E106" s="183" t="s">
        <v>1464</v>
      </c>
      <c r="F106" s="193"/>
      <c r="G106" s="193"/>
    </row>
    <row r="107" spans="1:15" s="135" customFormat="1" ht="56.25" x14ac:dyDescent="0.25">
      <c r="A107" s="200">
        <f t="shared" si="3"/>
        <v>786</v>
      </c>
      <c r="B107" s="231" t="str">
        <f>Suite&amp;" Electrical Room "&amp;SWFour</f>
        <v>G104 Electrical Room XXX</v>
      </c>
      <c r="C107" s="183" t="str">
        <f>"UPS "&amp;SWFour&amp;"2 Battery Cabinets"</f>
        <v>UPS XXX2 Battery Cabinets</v>
      </c>
      <c r="D107" s="233" t="str" cm="1">
        <f t="array" ref="D107">"OPEN Battery Breaker Q7A at Cabinet " &amp; SWFour &amp; "2-1."</f>
        <v>OPEN Battery Breaker Q7A at Cabinet XXX2-1.</v>
      </c>
      <c r="E107" s="183" t="s">
        <v>1464</v>
      </c>
      <c r="F107" s="193" t="s">
        <v>1519</v>
      </c>
      <c r="G107" s="193"/>
      <c r="H107" s="163" t="s">
        <v>1580</v>
      </c>
    </row>
    <row r="108" spans="1:15" s="135" customFormat="1" ht="56.25" x14ac:dyDescent="0.25">
      <c r="A108" s="200">
        <f t="shared" si="3"/>
        <v>787</v>
      </c>
      <c r="B108" s="231" t="str">
        <f>Suite&amp;" Electrical Room "&amp;SWFour</f>
        <v>G104 Electrical Room XXX</v>
      </c>
      <c r="C108" s="183" t="str">
        <f>"UPS "&amp;SWFour&amp;"2 Battery Cabinets"</f>
        <v>UPS XXX2 Battery Cabinets</v>
      </c>
      <c r="D108" s="177" t="str" cm="1">
        <f t="array" ref="D108">"Apply LOTO to Battery Breaker Q7A at Cabinet " &amp; SWFour &amp; "2-1."</f>
        <v>Apply LOTO to Battery Breaker Q7A at Cabinet XXX2-1.</v>
      </c>
      <c r="E108" s="183" t="s">
        <v>1464</v>
      </c>
      <c r="F108" s="193" t="s">
        <v>1519</v>
      </c>
      <c r="G108" s="193"/>
      <c r="H108" s="163" t="s">
        <v>1580</v>
      </c>
    </row>
    <row r="109" spans="1:15" s="135" customFormat="1" ht="56.25" x14ac:dyDescent="0.25">
      <c r="A109" s="200">
        <f t="shared" si="3"/>
        <v>788</v>
      </c>
      <c r="B109" s="231" t="str">
        <f>Suite&amp;" Electrical Room "&amp;SWFour</f>
        <v>G104 Electrical Room XXX</v>
      </c>
      <c r="C109" s="183" t="str">
        <f>"UPS "&amp;SWFour&amp;"2 Battery Cabinets"</f>
        <v>UPS XXX2 Battery Cabinets</v>
      </c>
      <c r="D109" s="186" t="s">
        <v>1518</v>
      </c>
      <c r="E109" s="183" t="s">
        <v>1464</v>
      </c>
      <c r="F109" s="193" t="s">
        <v>1519</v>
      </c>
      <c r="G109" s="193"/>
      <c r="H109" s="163" t="s">
        <v>1580</v>
      </c>
    </row>
    <row r="110" spans="1:15" s="135" customFormat="1" ht="56.25" x14ac:dyDescent="0.25">
      <c r="A110" s="200">
        <f t="shared" si="3"/>
        <v>789</v>
      </c>
      <c r="B110" s="231" t="str">
        <f>Suite&amp;" Electrical Room "&amp;SWFour</f>
        <v>G104 Electrical Room XXX</v>
      </c>
      <c r="C110" s="183" t="str">
        <f>"UPS "&amp;SWFour&amp;"2 Battery Cabinets"</f>
        <v>UPS XXX2 Battery Cabinets</v>
      </c>
      <c r="D110" s="233" t="str" cm="1">
        <f t="array" ref="D110">"OPEN Battery Breaker Q7B at Cabinet " &amp; SWFour &amp; "2-2."</f>
        <v>OPEN Battery Breaker Q7B at Cabinet XXX2-2.</v>
      </c>
      <c r="E110" s="183" t="s">
        <v>1464</v>
      </c>
      <c r="F110" s="193" t="s">
        <v>1519</v>
      </c>
      <c r="G110" s="193"/>
      <c r="H110" s="163" t="s">
        <v>1580</v>
      </c>
      <c r="J110" s="164"/>
      <c r="K110" s="164"/>
      <c r="L110" s="164"/>
      <c r="M110" s="164"/>
      <c r="N110" s="164"/>
      <c r="O110" s="164"/>
    </row>
    <row r="111" spans="1:15" s="135" customFormat="1" ht="56.25" x14ac:dyDescent="0.25">
      <c r="A111" s="200">
        <f t="shared" si="3"/>
        <v>790</v>
      </c>
      <c r="B111" s="231" t="str">
        <f>Suite&amp;" Electrical Room "&amp;SWFour</f>
        <v>G104 Electrical Room XXX</v>
      </c>
      <c r="C111" s="183" t="str">
        <f>"UPS "&amp;SWFour&amp;"2 Battery Cabinets"</f>
        <v>UPS XXX2 Battery Cabinets</v>
      </c>
      <c r="D111" s="177" t="str" cm="1">
        <f t="array" ref="D111">"Apply LOTO to Battery Breaker Q7B at Cabinet " &amp; SWFour &amp; "2-2."</f>
        <v>Apply LOTO to Battery Breaker Q7B at Cabinet XXX2-2.</v>
      </c>
      <c r="E111" s="183" t="s">
        <v>1464</v>
      </c>
      <c r="F111" s="193" t="s">
        <v>1519</v>
      </c>
      <c r="G111" s="193"/>
      <c r="H111" s="163" t="s">
        <v>1580</v>
      </c>
    </row>
    <row r="112" spans="1:15" s="135" customFormat="1" ht="56.25" x14ac:dyDescent="0.25">
      <c r="A112" s="200">
        <f t="shared" si="3"/>
        <v>791</v>
      </c>
      <c r="B112" s="231" t="str">
        <f>Suite&amp;" Electrical Room "&amp;SWFour</f>
        <v>G104 Electrical Room XXX</v>
      </c>
      <c r="C112" s="183" t="str">
        <f>"UPS "&amp;SWFour&amp;"2 Battery Cabinets"</f>
        <v>UPS XXX2 Battery Cabinets</v>
      </c>
      <c r="D112" s="186" t="s">
        <v>1518</v>
      </c>
      <c r="E112" s="183" t="s">
        <v>1464</v>
      </c>
      <c r="F112" s="193" t="s">
        <v>1519</v>
      </c>
      <c r="G112" s="193"/>
      <c r="H112" s="163" t="s">
        <v>1580</v>
      </c>
    </row>
    <row r="113" spans="1:8" s="135" customFormat="1" ht="56.25" x14ac:dyDescent="0.25">
      <c r="A113" s="200">
        <f t="shared" si="3"/>
        <v>792</v>
      </c>
      <c r="B113" s="231" t="str">
        <f>Suite&amp;" Electrical Room "&amp;SWFour</f>
        <v>G104 Electrical Room XXX</v>
      </c>
      <c r="C113" s="183" t="str">
        <f>"UPS "&amp;SWFour&amp;"2 Battery Cabinets"</f>
        <v>UPS XXX2 Battery Cabinets</v>
      </c>
      <c r="D113" s="233" t="str" cm="1">
        <f t="array" ref="D113">"OPEN Battery Breaker Q8A at Cabinet " &amp; SWFour &amp; "2-3."</f>
        <v>OPEN Battery Breaker Q8A at Cabinet XXX2-3.</v>
      </c>
      <c r="E113" s="183" t="s">
        <v>1464</v>
      </c>
      <c r="F113" s="193" t="s">
        <v>1519</v>
      </c>
      <c r="G113" s="193"/>
      <c r="H113" s="163" t="s">
        <v>1580</v>
      </c>
    </row>
    <row r="114" spans="1:8" s="135" customFormat="1" ht="56.25" x14ac:dyDescent="0.25">
      <c r="A114" s="200">
        <f t="shared" si="3"/>
        <v>793</v>
      </c>
      <c r="B114" s="231" t="str">
        <f>Suite&amp;" Electrical Room "&amp;SWFour</f>
        <v>G104 Electrical Room XXX</v>
      </c>
      <c r="C114" s="183" t="str">
        <f>"UPS "&amp;SWFour&amp;"2 Battery Cabinets"</f>
        <v>UPS XXX2 Battery Cabinets</v>
      </c>
      <c r="D114" s="177" t="str" cm="1">
        <f t="array" ref="D114">"Apply LOTO to Battery Breaker Q8A at Cabinet " &amp; SWFour &amp; "2-3."</f>
        <v>Apply LOTO to Battery Breaker Q8A at Cabinet XXX2-3.</v>
      </c>
      <c r="E114" s="183" t="s">
        <v>1464</v>
      </c>
      <c r="F114" s="193" t="s">
        <v>1519</v>
      </c>
      <c r="G114" s="193"/>
      <c r="H114" s="163" t="s">
        <v>1580</v>
      </c>
    </row>
    <row r="115" spans="1:8" s="135" customFormat="1" ht="56.25" x14ac:dyDescent="0.25">
      <c r="A115" s="200">
        <f t="shared" si="3"/>
        <v>794</v>
      </c>
      <c r="B115" s="231" t="str">
        <f>Suite&amp;" Electrical Room "&amp;SWFour</f>
        <v>G104 Electrical Room XXX</v>
      </c>
      <c r="C115" s="183" t="str">
        <f>"UPS "&amp;SWFour&amp;"2 Battery Cabinets"</f>
        <v>UPS XXX2 Battery Cabinets</v>
      </c>
      <c r="D115" s="186" t="s">
        <v>1518</v>
      </c>
      <c r="E115" s="183" t="s">
        <v>1464</v>
      </c>
      <c r="F115" s="193" t="s">
        <v>1519</v>
      </c>
      <c r="G115" s="193"/>
      <c r="H115" s="163" t="s">
        <v>1580</v>
      </c>
    </row>
    <row r="116" spans="1:8" s="135" customFormat="1" ht="56.25" x14ac:dyDescent="0.25">
      <c r="A116" s="200">
        <f t="shared" si="3"/>
        <v>795</v>
      </c>
      <c r="B116" s="231" t="str">
        <f>Suite&amp;" Electrical Room "&amp;SWFour</f>
        <v>G104 Electrical Room XXX</v>
      </c>
      <c r="C116" s="183" t="str">
        <f>"UPS "&amp;SWFour&amp;"2 Battery Cabinets"</f>
        <v>UPS XXX2 Battery Cabinets</v>
      </c>
      <c r="D116" s="233" t="str" cm="1">
        <f t="array" ref="D116">"OPEN Battery Breaker Q8B at Cabinet " &amp; SWFour &amp; "2-4."</f>
        <v>OPEN Battery Breaker Q8B at Cabinet XXX2-4.</v>
      </c>
      <c r="E116" s="183" t="s">
        <v>1464</v>
      </c>
      <c r="F116" s="193" t="s">
        <v>1519</v>
      </c>
      <c r="G116" s="193"/>
      <c r="H116" s="163" t="s">
        <v>1580</v>
      </c>
    </row>
    <row r="117" spans="1:8" s="135" customFormat="1" ht="56.25" x14ac:dyDescent="0.25">
      <c r="A117" s="200">
        <f t="shared" si="3"/>
        <v>796</v>
      </c>
      <c r="B117" s="231" t="str">
        <f>Suite&amp;" Electrical Room "&amp;SWFour</f>
        <v>G104 Electrical Room XXX</v>
      </c>
      <c r="C117" s="183" t="str">
        <f>"UPS "&amp;SWFour&amp;"2 Battery Cabinets"</f>
        <v>UPS XXX2 Battery Cabinets</v>
      </c>
      <c r="D117" s="177" t="str" cm="1">
        <f t="array" ref="D117">"Apply LOTO to Battery Breaker Q8B at Cabinet " &amp; SWFour &amp; "2-4."</f>
        <v>Apply LOTO to Battery Breaker Q8B at Cabinet XXX2-4.</v>
      </c>
      <c r="E117" s="183" t="s">
        <v>1464</v>
      </c>
      <c r="F117" s="193" t="s">
        <v>1519</v>
      </c>
      <c r="G117" s="193"/>
      <c r="H117" s="163" t="s">
        <v>1580</v>
      </c>
    </row>
    <row r="118" spans="1:8" s="135" customFormat="1" ht="56.25" x14ac:dyDescent="0.25">
      <c r="A118" s="200">
        <f t="shared" si="3"/>
        <v>797</v>
      </c>
      <c r="B118" s="231" t="str">
        <f>Suite&amp;" Electrical Room "&amp;SWFour</f>
        <v>G104 Electrical Room XXX</v>
      </c>
      <c r="C118" s="183" t="str">
        <f>"UPS "&amp;SWFour&amp;"2 Battery Cabinets"</f>
        <v>UPS XXX2 Battery Cabinets</v>
      </c>
      <c r="D118" s="186" t="s">
        <v>1518</v>
      </c>
      <c r="E118" s="183" t="s">
        <v>1464</v>
      </c>
      <c r="F118" s="193" t="s">
        <v>1519</v>
      </c>
      <c r="G118" s="193"/>
      <c r="H118" s="163" t="s">
        <v>1580</v>
      </c>
    </row>
    <row r="119" spans="1:8" s="135" customFormat="1" ht="56.25" hidden="1" x14ac:dyDescent="0.25">
      <c r="A119" s="200">
        <f>A106+1</f>
        <v>786</v>
      </c>
      <c r="B119" s="231" t="str">
        <f>Suite&amp;" Electrical Room "&amp;SWFour</f>
        <v>G104 Electrical Room XXX</v>
      </c>
      <c r="C119" s="183" t="str">
        <f>"UPS "&amp;SWFour&amp;"2 Battery Cabinets"</f>
        <v>UPS XXX2 Battery Cabinets</v>
      </c>
      <c r="D119" s="186" t="str" cm="1">
        <f t="array" ref="D119">"OPEN Battery Breaker Q7A at Cabinet " &amp; SWFour &amp; "2-1."</f>
        <v>OPEN Battery Breaker Q7A at Cabinet XXX2-1.</v>
      </c>
      <c r="E119" s="183" t="s">
        <v>1464</v>
      </c>
      <c r="F119" s="193" t="s">
        <v>1519</v>
      </c>
      <c r="G119" s="193"/>
      <c r="H119" s="163" t="s">
        <v>1581</v>
      </c>
    </row>
    <row r="120" spans="1:8" s="135" customFormat="1" ht="56.25" hidden="1" x14ac:dyDescent="0.25">
      <c r="A120" s="200">
        <f t="shared" ref="A120:A136" si="4">A119+1</f>
        <v>787</v>
      </c>
      <c r="B120" s="231" t="str">
        <f>Suite&amp;" Electrical Room "&amp;SWFour</f>
        <v>G104 Electrical Room XXX</v>
      </c>
      <c r="C120" s="183" t="str">
        <f>"UPS "&amp;SWFour&amp;"2 Battery Cabinets"</f>
        <v>UPS XXX2 Battery Cabinets</v>
      </c>
      <c r="D120" s="177" t="str" cm="1">
        <f t="array" ref="D120">"Apply LOTO to Battery Breaker Q7A at Cabinet " &amp; SWFour &amp; "2-1."</f>
        <v>Apply LOTO to Battery Breaker Q7A at Cabinet XXX2-1.</v>
      </c>
      <c r="E120" s="183" t="s">
        <v>1464</v>
      </c>
      <c r="F120" s="193" t="s">
        <v>1519</v>
      </c>
      <c r="G120" s="193"/>
      <c r="H120" s="163" t="s">
        <v>1581</v>
      </c>
    </row>
    <row r="121" spans="1:8" s="135" customFormat="1" ht="56.25" hidden="1" x14ac:dyDescent="0.25">
      <c r="A121" s="200">
        <f t="shared" si="4"/>
        <v>788</v>
      </c>
      <c r="B121" s="231" t="str">
        <f>Suite&amp;" Electrical Room "&amp;SWFour</f>
        <v>G104 Electrical Room XXX</v>
      </c>
      <c r="C121" s="183" t="str">
        <f>"UPS "&amp;SWFour&amp;"2 Battery Cabinets"</f>
        <v>UPS XXX2 Battery Cabinets</v>
      </c>
      <c r="D121" s="186" t="s">
        <v>1518</v>
      </c>
      <c r="E121" s="183" t="s">
        <v>1464</v>
      </c>
      <c r="F121" s="193" t="s">
        <v>1519</v>
      </c>
      <c r="G121" s="193"/>
      <c r="H121" s="163" t="s">
        <v>1581</v>
      </c>
    </row>
    <row r="122" spans="1:8" s="135" customFormat="1" ht="56.25" hidden="1" x14ac:dyDescent="0.25">
      <c r="A122" s="200">
        <f t="shared" si="4"/>
        <v>789</v>
      </c>
      <c r="B122" s="231" t="str">
        <f>Suite&amp;" Electrical Room "&amp;SWFour</f>
        <v>G104 Electrical Room XXX</v>
      </c>
      <c r="C122" s="183" t="str">
        <f>"UPS "&amp;SWFour&amp;"2 Battery Cabinets"</f>
        <v>UPS XXX2 Battery Cabinets</v>
      </c>
      <c r="D122" s="186" t="str" cm="1">
        <f t="array" ref="D122">"OPEN Battery Breaker Q7B at Cabinet " &amp; SWFour &amp; "2-2."</f>
        <v>OPEN Battery Breaker Q7B at Cabinet XXX2-2.</v>
      </c>
      <c r="E122" s="183" t="s">
        <v>1464</v>
      </c>
      <c r="F122" s="193" t="s">
        <v>1519</v>
      </c>
      <c r="G122" s="193"/>
      <c r="H122" s="163" t="s">
        <v>1581</v>
      </c>
    </row>
    <row r="123" spans="1:8" s="135" customFormat="1" ht="56.25" hidden="1" x14ac:dyDescent="0.25">
      <c r="A123" s="200">
        <f t="shared" si="4"/>
        <v>790</v>
      </c>
      <c r="B123" s="231" t="str">
        <f>Suite&amp;" Electrical Room "&amp;SWFour</f>
        <v>G104 Electrical Room XXX</v>
      </c>
      <c r="C123" s="183" t="str">
        <f>"UPS "&amp;SWFour&amp;"2 Battery Cabinets"</f>
        <v>UPS XXX2 Battery Cabinets</v>
      </c>
      <c r="D123" s="177" t="str" cm="1">
        <f t="array" ref="D123">"Apply LOTO to Battery Breaker Q7B at Cabinet " &amp; SWFour &amp; "2-2."</f>
        <v>Apply LOTO to Battery Breaker Q7B at Cabinet XXX2-2.</v>
      </c>
      <c r="E123" s="183" t="s">
        <v>1464</v>
      </c>
      <c r="F123" s="193" t="s">
        <v>1519</v>
      </c>
      <c r="G123" s="193"/>
      <c r="H123" s="163" t="s">
        <v>1581</v>
      </c>
    </row>
    <row r="124" spans="1:8" s="135" customFormat="1" ht="56.25" hidden="1" x14ac:dyDescent="0.25">
      <c r="A124" s="200">
        <f t="shared" si="4"/>
        <v>791</v>
      </c>
      <c r="B124" s="231" t="str">
        <f>Suite&amp;" Electrical Room "&amp;SWFour</f>
        <v>G104 Electrical Room XXX</v>
      </c>
      <c r="C124" s="183" t="str">
        <f>"UPS "&amp;SWFour&amp;"2 Battery Cabinets"</f>
        <v>UPS XXX2 Battery Cabinets</v>
      </c>
      <c r="D124" s="186" t="s">
        <v>1518</v>
      </c>
      <c r="E124" s="183" t="s">
        <v>1464</v>
      </c>
      <c r="F124" s="193" t="s">
        <v>1519</v>
      </c>
      <c r="G124" s="193"/>
      <c r="H124" s="163" t="s">
        <v>1581</v>
      </c>
    </row>
    <row r="125" spans="1:8" s="135" customFormat="1" ht="56.25" hidden="1" x14ac:dyDescent="0.25">
      <c r="A125" s="200">
        <f t="shared" si="4"/>
        <v>792</v>
      </c>
      <c r="B125" s="231" t="str">
        <f>Suite&amp;" Electrical Room "&amp;SWFour</f>
        <v>G104 Electrical Room XXX</v>
      </c>
      <c r="C125" s="183" t="str">
        <f>"UPS "&amp;SWFour&amp;"2 Battery Cabinets"</f>
        <v>UPS XXX2 Battery Cabinets</v>
      </c>
      <c r="D125" s="186" t="str" cm="1">
        <f t="array" ref="D125">"OPEN Battery Breaker Q7C at Cabinet " &amp; SWFour &amp; "2-3."</f>
        <v>OPEN Battery Breaker Q7C at Cabinet XXX2-3.</v>
      </c>
      <c r="E125" s="183" t="s">
        <v>1464</v>
      </c>
      <c r="F125" s="193" t="s">
        <v>1519</v>
      </c>
      <c r="G125" s="193"/>
      <c r="H125" s="163" t="s">
        <v>1581</v>
      </c>
    </row>
    <row r="126" spans="1:8" s="135" customFormat="1" ht="56.25" hidden="1" x14ac:dyDescent="0.25">
      <c r="A126" s="200">
        <f t="shared" si="4"/>
        <v>793</v>
      </c>
      <c r="B126" s="231" t="str">
        <f>Suite&amp;" Electrical Room "&amp;SWFour</f>
        <v>G104 Electrical Room XXX</v>
      </c>
      <c r="C126" s="183" t="str">
        <f>"UPS "&amp;SWFour&amp;"2 Battery Cabinets"</f>
        <v>UPS XXX2 Battery Cabinets</v>
      </c>
      <c r="D126" s="177" t="str" cm="1">
        <f t="array" ref="D126">"Apply LOTO to Battery Breaker Q7C at Cabinet " &amp; SWFour &amp; "2-3."</f>
        <v>Apply LOTO to Battery Breaker Q7C at Cabinet XXX2-3.</v>
      </c>
      <c r="E126" s="183" t="s">
        <v>1464</v>
      </c>
      <c r="F126" s="193" t="s">
        <v>1519</v>
      </c>
      <c r="G126" s="193"/>
      <c r="H126" s="163" t="s">
        <v>1581</v>
      </c>
    </row>
    <row r="127" spans="1:8" s="135" customFormat="1" ht="56.25" hidden="1" x14ac:dyDescent="0.25">
      <c r="A127" s="200">
        <f t="shared" si="4"/>
        <v>794</v>
      </c>
      <c r="B127" s="231" t="str">
        <f>Suite&amp;" Electrical Room "&amp;SWFour</f>
        <v>G104 Electrical Room XXX</v>
      </c>
      <c r="C127" s="183" t="str">
        <f>"UPS "&amp;SWFour&amp;"2 Battery Cabinets"</f>
        <v>UPS XXX2 Battery Cabinets</v>
      </c>
      <c r="D127" s="186" t="s">
        <v>1518</v>
      </c>
      <c r="E127" s="183" t="s">
        <v>1464</v>
      </c>
      <c r="F127" s="193" t="s">
        <v>1519</v>
      </c>
      <c r="G127" s="193"/>
      <c r="H127" s="163" t="s">
        <v>1581</v>
      </c>
    </row>
    <row r="128" spans="1:8" s="135" customFormat="1" ht="56.25" hidden="1" x14ac:dyDescent="0.25">
      <c r="A128" s="200">
        <f t="shared" si="4"/>
        <v>795</v>
      </c>
      <c r="B128" s="231" t="str">
        <f>Suite&amp;" Electrical Room "&amp;SWFour</f>
        <v>G104 Electrical Room XXX</v>
      </c>
      <c r="C128" s="183" t="str">
        <f>"UPS "&amp;SWFour&amp;"2 Battery Cabinets"</f>
        <v>UPS XXX2 Battery Cabinets</v>
      </c>
      <c r="D128" s="186" t="str" cm="1">
        <f t="array" ref="D128">"OPEN Battery Breaker Q8A at Cabinet " &amp; SWFour &amp; "2-4."</f>
        <v>OPEN Battery Breaker Q8A at Cabinet XXX2-4.</v>
      </c>
      <c r="E128" s="183" t="s">
        <v>1464</v>
      </c>
      <c r="F128" s="193" t="s">
        <v>1519</v>
      </c>
      <c r="G128" s="193"/>
      <c r="H128" s="163" t="s">
        <v>1581</v>
      </c>
    </row>
    <row r="129" spans="1:8" s="135" customFormat="1" ht="56.25" hidden="1" x14ac:dyDescent="0.25">
      <c r="A129" s="200">
        <f t="shared" si="4"/>
        <v>796</v>
      </c>
      <c r="B129" s="231" t="str">
        <f>Suite&amp;" Electrical Room "&amp;SWFour</f>
        <v>G104 Electrical Room XXX</v>
      </c>
      <c r="C129" s="183" t="str">
        <f>"UPS "&amp;SWFour&amp;"2 Battery Cabinets"</f>
        <v>UPS XXX2 Battery Cabinets</v>
      </c>
      <c r="D129" s="177" t="str" cm="1">
        <f t="array" ref="D129">"Apply LOTO to Battery Breaker Q8A at Cabinet " &amp; SWFour &amp; "2-4."</f>
        <v>Apply LOTO to Battery Breaker Q8A at Cabinet XXX2-4.</v>
      </c>
      <c r="E129" s="183" t="s">
        <v>1464</v>
      </c>
      <c r="F129" s="193" t="s">
        <v>1519</v>
      </c>
      <c r="G129" s="193"/>
      <c r="H129" s="163" t="s">
        <v>1581</v>
      </c>
    </row>
    <row r="130" spans="1:8" s="135" customFormat="1" ht="56.25" hidden="1" x14ac:dyDescent="0.25">
      <c r="A130" s="200">
        <f t="shared" si="4"/>
        <v>797</v>
      </c>
      <c r="B130" s="231" t="str">
        <f>Suite&amp;" Electrical Room "&amp;SWFour</f>
        <v>G104 Electrical Room XXX</v>
      </c>
      <c r="C130" s="183" t="str">
        <f>"UPS "&amp;SWFour&amp;"2 Battery Cabinets"</f>
        <v>UPS XXX2 Battery Cabinets</v>
      </c>
      <c r="D130" s="186" t="s">
        <v>1518</v>
      </c>
      <c r="E130" s="183" t="s">
        <v>1464</v>
      </c>
      <c r="F130" s="193" t="s">
        <v>1519</v>
      </c>
      <c r="G130" s="193"/>
      <c r="H130" s="163" t="s">
        <v>1581</v>
      </c>
    </row>
    <row r="131" spans="1:8" s="135" customFormat="1" ht="56.25" hidden="1" x14ac:dyDescent="0.25">
      <c r="A131" s="200">
        <f t="shared" si="4"/>
        <v>798</v>
      </c>
      <c r="B131" s="231" t="str">
        <f>Suite&amp;" Electrical Room "&amp;SWFour</f>
        <v>G104 Electrical Room XXX</v>
      </c>
      <c r="C131" s="183" t="str">
        <f>"UPS "&amp;SWFour&amp;"2 Battery Cabinets"</f>
        <v>UPS XXX2 Battery Cabinets</v>
      </c>
      <c r="D131" s="186" t="str" cm="1">
        <f t="array" ref="D131">"OPEN Battery Breaker Q8B at Cabinet " &amp; SWFour &amp; "2-5."</f>
        <v>OPEN Battery Breaker Q8B at Cabinet XXX2-5.</v>
      </c>
      <c r="E131" s="183" t="s">
        <v>1464</v>
      </c>
      <c r="F131" s="193" t="s">
        <v>1519</v>
      </c>
      <c r="G131" s="193"/>
      <c r="H131" s="163" t="s">
        <v>1581</v>
      </c>
    </row>
    <row r="132" spans="1:8" s="135" customFormat="1" ht="56.25" hidden="1" x14ac:dyDescent="0.25">
      <c r="A132" s="200">
        <f t="shared" si="4"/>
        <v>799</v>
      </c>
      <c r="B132" s="231" t="str">
        <f>Suite&amp;" Electrical Room "&amp;SWFour</f>
        <v>G104 Electrical Room XXX</v>
      </c>
      <c r="C132" s="183" t="str">
        <f>"UPS "&amp;SWFour&amp;"2 Battery Cabinets"</f>
        <v>UPS XXX2 Battery Cabinets</v>
      </c>
      <c r="D132" s="186" t="str" cm="1">
        <f t="array" ref="D132">"Apply LOTO to Battery Breaker Q8B at Cabinet " &amp; SWFour &amp; "2-5."</f>
        <v>Apply LOTO to Battery Breaker Q8B at Cabinet XXX2-5.</v>
      </c>
      <c r="E132" s="183" t="s">
        <v>1464</v>
      </c>
      <c r="F132" s="193" t="s">
        <v>1519</v>
      </c>
      <c r="G132" s="193"/>
      <c r="H132" s="163" t="s">
        <v>1581</v>
      </c>
    </row>
    <row r="133" spans="1:8" s="135" customFormat="1" ht="56.25" hidden="1" x14ac:dyDescent="0.25">
      <c r="A133" s="200">
        <f t="shared" si="4"/>
        <v>800</v>
      </c>
      <c r="B133" s="231" t="str">
        <f>Suite&amp;" Electrical Room "&amp;SWFour</f>
        <v>G104 Electrical Room XXX</v>
      </c>
      <c r="C133" s="183" t="str">
        <f>"UPS "&amp;SWFour&amp;"2 Battery Cabinets"</f>
        <v>UPS XXX2 Battery Cabinets</v>
      </c>
      <c r="D133" s="186" t="s">
        <v>1518</v>
      </c>
      <c r="E133" s="183" t="s">
        <v>1464</v>
      </c>
      <c r="F133" s="193" t="s">
        <v>1519</v>
      </c>
      <c r="G133" s="193"/>
      <c r="H133" s="163" t="s">
        <v>1581</v>
      </c>
    </row>
    <row r="134" spans="1:8" s="135" customFormat="1" ht="56.25" hidden="1" x14ac:dyDescent="0.25">
      <c r="A134" s="200">
        <f t="shared" si="4"/>
        <v>801</v>
      </c>
      <c r="B134" s="231" t="str">
        <f>Suite&amp;" Electrical Room "&amp;SWFour</f>
        <v>G104 Electrical Room XXX</v>
      </c>
      <c r="C134" s="183" t="str">
        <f>"UPS "&amp;SWFour&amp;"2 Battery Cabinets"</f>
        <v>UPS XXX2 Battery Cabinets</v>
      </c>
      <c r="D134" s="186" t="str" cm="1">
        <f t="array" ref="D134">"OPEN Battery Breaker Q8C at Cabinet " &amp; SWFour &amp; "2-6."</f>
        <v>OPEN Battery Breaker Q8C at Cabinet XXX2-6.</v>
      </c>
      <c r="E134" s="183" t="s">
        <v>1464</v>
      </c>
      <c r="F134" s="193" t="s">
        <v>1519</v>
      </c>
      <c r="G134" s="193"/>
      <c r="H134" s="163" t="s">
        <v>1581</v>
      </c>
    </row>
    <row r="135" spans="1:8" s="135" customFormat="1" ht="56.25" hidden="1" x14ac:dyDescent="0.25">
      <c r="A135" s="200">
        <f t="shared" si="4"/>
        <v>802</v>
      </c>
      <c r="B135" s="231" t="str">
        <f>Suite&amp;" Electrical Room "&amp;SWFour</f>
        <v>G104 Electrical Room XXX</v>
      </c>
      <c r="C135" s="183" t="str">
        <f>"UPS "&amp;SWFour&amp;"2 Battery Cabinets"</f>
        <v>UPS XXX2 Battery Cabinets</v>
      </c>
      <c r="D135" s="177" t="str" cm="1">
        <f t="array" ref="D135">"Apply LOTO to Battery Breaker Q8C at Cabinet " &amp; SWFour &amp; "2-6."</f>
        <v>Apply LOTO to Battery Breaker Q8C at Cabinet XXX2-6.</v>
      </c>
      <c r="E135" s="183" t="s">
        <v>1464</v>
      </c>
      <c r="F135" s="193" t="s">
        <v>1519</v>
      </c>
      <c r="G135" s="193"/>
      <c r="H135" s="163" t="s">
        <v>1581</v>
      </c>
    </row>
    <row r="136" spans="1:8" s="135" customFormat="1" ht="56.25" hidden="1" x14ac:dyDescent="0.25">
      <c r="A136" s="200">
        <f t="shared" si="4"/>
        <v>803</v>
      </c>
      <c r="B136" s="231" t="str">
        <f>Suite&amp;" Electrical Room "&amp;SWFour</f>
        <v>G104 Electrical Room XXX</v>
      </c>
      <c r="C136" s="183" t="str">
        <f>"UPS "&amp;SWFour&amp;"2 Battery Cabinets"</f>
        <v>UPS XXX2 Battery Cabinets</v>
      </c>
      <c r="D136" s="186" t="s">
        <v>1518</v>
      </c>
      <c r="E136" s="183" t="s">
        <v>1464</v>
      </c>
      <c r="F136" s="193" t="s">
        <v>1519</v>
      </c>
      <c r="G136" s="193"/>
      <c r="H136" s="163" t="s">
        <v>1581</v>
      </c>
    </row>
    <row r="137" spans="1:8" s="135" customFormat="1" ht="37.5" x14ac:dyDescent="0.25">
      <c r="A137" s="200">
        <f>IF(NumberOfICDs=4, A118+1, A136+1)</f>
        <v>804</v>
      </c>
      <c r="B137" s="231" t="str">
        <f>Suite&amp;" Electrical Room "&amp;SWFour</f>
        <v>G104 Electrical Room XXX</v>
      </c>
      <c r="C137" s="183" t="str">
        <f>"SW"&amp;SWFour</f>
        <v>SWXXX</v>
      </c>
      <c r="D137" s="186" t="str" cm="1">
        <f t="array" ref="D137">"OPEN breaker UPS-" &amp; SWFour &amp; "2."</f>
        <v>OPEN breaker UPS-XXX2.</v>
      </c>
      <c r="E137" s="183" t="s">
        <v>1464</v>
      </c>
      <c r="F137" s="193"/>
      <c r="G137" s="193"/>
    </row>
    <row r="138" spans="1:8" s="135" customFormat="1" ht="37.5" x14ac:dyDescent="0.25">
      <c r="A138" s="200">
        <f t="shared" ref="A138:A160" si="5">A137+1</f>
        <v>805</v>
      </c>
      <c r="B138" s="231" t="str">
        <f>Suite&amp;" Electrical Room "&amp;SWFour</f>
        <v>G104 Electrical Room XXX</v>
      </c>
      <c r="C138" s="183" t="str">
        <f>"SW"&amp;SWFour</f>
        <v>SWXXX</v>
      </c>
      <c r="D138" s="186" t="str" cm="1">
        <f t="array" ref="D138">"Apply LOTO to breaker UPS-" &amp; SWFour &amp; "2."</f>
        <v>Apply LOTO to breaker UPS-XXX2.</v>
      </c>
      <c r="E138" s="183" t="s">
        <v>1464</v>
      </c>
      <c r="F138" s="193"/>
      <c r="G138" s="193"/>
    </row>
    <row r="139" spans="1:8" s="135" customFormat="1" ht="37.5" x14ac:dyDescent="0.25">
      <c r="A139" s="200">
        <f t="shared" si="5"/>
        <v>806</v>
      </c>
      <c r="B139" s="231" t="str">
        <f>Suite&amp;" Electrical Room "&amp;SWFour</f>
        <v>G104 Electrical Room XXX</v>
      </c>
      <c r="C139" s="183" t="str">
        <f>"SW"&amp;SWFour</f>
        <v>SWXXX</v>
      </c>
      <c r="D139" s="186" t="s">
        <v>1518</v>
      </c>
      <c r="E139" s="183" t="s">
        <v>1464</v>
      </c>
      <c r="F139" s="193"/>
      <c r="G139" s="193"/>
    </row>
    <row r="140" spans="1:8" s="135" customFormat="1" ht="37.5" x14ac:dyDescent="0.25">
      <c r="A140" s="200">
        <f t="shared" si="5"/>
        <v>807</v>
      </c>
      <c r="B140" s="231" t="str">
        <f>Suite&amp;" Electrical Room "&amp;SWFour</f>
        <v>G104 Electrical Room XXX</v>
      </c>
      <c r="C140" s="183" t="str">
        <f>"SW"&amp;SWFour</f>
        <v>SWXXX</v>
      </c>
      <c r="D140" s="233" t="str" cm="1">
        <f t="array" ref="D140">"UPS SYSTEM " &amp; SWFour &amp; " is now completely offline. Critical Customer Load remains on Maintenance Bypass Source."</f>
        <v>UPS SYSTEM XXX is now completely offline. Critical Customer Load remains on Maintenance Bypass Source.</v>
      </c>
      <c r="E140" s="183" t="s">
        <v>1464</v>
      </c>
      <c r="F140" s="193"/>
      <c r="G140" s="193"/>
    </row>
    <row r="141" spans="1:8" s="135" customFormat="1" ht="37.5" x14ac:dyDescent="0.25">
      <c r="A141" s="200">
        <f t="shared" si="5"/>
        <v>808</v>
      </c>
      <c r="B141" s="231" t="str">
        <f>Suite&amp;" Electrical Room "&amp;SWFour</f>
        <v>G104 Electrical Room XXX</v>
      </c>
      <c r="C141" s="183" t="str">
        <f>"SW"&amp;SWFour</f>
        <v>SWXXX</v>
      </c>
      <c r="D141" s="233" t="s">
        <v>1584</v>
      </c>
      <c r="E141" s="183" t="s">
        <v>1464</v>
      </c>
      <c r="F141" s="193"/>
      <c r="G141" s="193"/>
    </row>
    <row r="142" spans="1:8" s="135" customFormat="1" x14ac:dyDescent="0.25">
      <c r="A142" s="200">
        <f t="shared" si="5"/>
        <v>809</v>
      </c>
      <c r="B142" s="711" t="str">
        <f>"Restart UPS System "&amp;SWFour</f>
        <v>Restart UPS System XXX</v>
      </c>
      <c r="C142" s="711"/>
      <c r="D142" s="711"/>
      <c r="E142" s="711"/>
      <c r="F142" s="711"/>
      <c r="G142" s="711"/>
    </row>
    <row r="143" spans="1:8" s="135" customFormat="1" ht="37.5" x14ac:dyDescent="0.25">
      <c r="A143" s="200">
        <f t="shared" si="5"/>
        <v>810</v>
      </c>
      <c r="B143" s="231" t="str">
        <f>Suite&amp;" Electrical Room "&amp;SWFour</f>
        <v>G104 Electrical Room XXX</v>
      </c>
      <c r="C143" s="183" t="str">
        <f>"UPS "&amp;SWFour</f>
        <v>UPS XXX</v>
      </c>
      <c r="D143" s="233" t="s">
        <v>1585</v>
      </c>
      <c r="E143" s="183" t="s">
        <v>1464</v>
      </c>
      <c r="F143" s="193"/>
      <c r="G143" s="193"/>
    </row>
    <row r="144" spans="1:8" s="135" customFormat="1" ht="37.5" x14ac:dyDescent="0.25">
      <c r="A144" s="200">
        <f t="shared" si="5"/>
        <v>811</v>
      </c>
      <c r="B144" s="231" t="str">
        <f>Suite&amp;" Electrical Room "&amp;SWFour</f>
        <v>G104 Electrical Room XXX</v>
      </c>
      <c r="C144" s="183" t="str">
        <f>"UPS "&amp;SWFour</f>
        <v>UPS XXX</v>
      </c>
      <c r="D144" s="252" t="str" cm="1">
        <f t="array" ref="D144">"By my signature below I certify that UPS-" &amp; SWFour &amp; " is ready to be returned to service."</f>
        <v>By my signature below I certify that UPS-XXX is ready to be returned to service.</v>
      </c>
      <c r="E144" s="183" t="s">
        <v>1529</v>
      </c>
      <c r="F144" s="193"/>
      <c r="G144" s="193"/>
    </row>
    <row r="145" spans="1:8" s="135" customFormat="1" ht="37.5" x14ac:dyDescent="0.25">
      <c r="A145" s="200">
        <f t="shared" si="5"/>
        <v>812</v>
      </c>
      <c r="B145" s="231" t="str">
        <f>Suite&amp;" Electrical Room "&amp;SWFour</f>
        <v>G104 Electrical Room XXX</v>
      </c>
      <c r="C145" s="183" t="str">
        <f>"UPS "&amp;SWFour</f>
        <v>UPS XXX</v>
      </c>
      <c r="D145" s="184" t="s">
        <v>1586</v>
      </c>
      <c r="E145" s="183" t="s">
        <v>1529</v>
      </c>
      <c r="F145" s="193"/>
      <c r="G145" s="193"/>
    </row>
    <row r="146" spans="1:8" s="135" customFormat="1" ht="37.5" x14ac:dyDescent="0.25">
      <c r="A146" s="200">
        <f t="shared" si="5"/>
        <v>813</v>
      </c>
      <c r="B146" s="231" t="str">
        <f>Suite&amp;" Electrical Room "&amp;SWFour</f>
        <v>G104 Electrical Room XXX</v>
      </c>
      <c r="C146" s="183" t="str">
        <f>"SW"&amp;SWFour</f>
        <v>SWXXX</v>
      </c>
      <c r="D146" s="186" t="str" cm="1">
        <f t="array" ref="D146">"Remove LOTO from breaker UPS-" &amp; SWFour &amp; "1."</f>
        <v>Remove LOTO from breaker UPS-XXX1.</v>
      </c>
      <c r="E146" s="183" t="s">
        <v>1464</v>
      </c>
      <c r="F146" s="193"/>
      <c r="G146" s="193"/>
    </row>
    <row r="147" spans="1:8" s="135" customFormat="1" ht="37.5" x14ac:dyDescent="0.25">
      <c r="A147" s="200">
        <f t="shared" si="5"/>
        <v>814</v>
      </c>
      <c r="B147" s="231" t="str">
        <f>Suite&amp;" Electrical Room "&amp;SWFour</f>
        <v>G104 Electrical Room XXX</v>
      </c>
      <c r="C147" s="183" t="str">
        <f>"SW"&amp;SWFour</f>
        <v>SWXXX</v>
      </c>
      <c r="D147" s="186" t="s">
        <v>1518</v>
      </c>
      <c r="E147" s="183" t="s">
        <v>1464</v>
      </c>
      <c r="F147" s="193"/>
      <c r="G147" s="193"/>
    </row>
    <row r="148" spans="1:8" s="135" customFormat="1" ht="37.5" x14ac:dyDescent="0.25">
      <c r="A148" s="200">
        <f t="shared" si="5"/>
        <v>815</v>
      </c>
      <c r="B148" s="231" t="str">
        <f>Suite&amp;" Electrical Room "&amp;SWFour</f>
        <v>G104 Electrical Room XXX</v>
      </c>
      <c r="C148" s="183" t="str">
        <f>"SW"&amp;SWFour</f>
        <v>SWXXX</v>
      </c>
      <c r="D148" s="186" t="str" cm="1">
        <f t="array" ref="D148">"CLOSE breaker UPS-" &amp; SWFour &amp; "1."</f>
        <v>CLOSE breaker UPS-XXX1.</v>
      </c>
      <c r="E148" s="183" t="s">
        <v>1464</v>
      </c>
      <c r="F148" s="193"/>
      <c r="G148" s="193"/>
    </row>
    <row r="149" spans="1:8" s="135" customFormat="1" ht="37.5" x14ac:dyDescent="0.25">
      <c r="A149" s="200">
        <f t="shared" si="5"/>
        <v>816</v>
      </c>
      <c r="B149" s="231" t="str">
        <f>Suite&amp;" Electrical Room "&amp;SWFour</f>
        <v>G104 Electrical Room XXX</v>
      </c>
      <c r="C149" s="183" t="str">
        <f>"SW"&amp;SWFour</f>
        <v>SWXXX</v>
      </c>
      <c r="D149" s="186" t="str" cm="1">
        <f t="array" ref="D149">"Remove LOTO from breaker UPS-" &amp; SWFour &amp; "2."</f>
        <v>Remove LOTO from breaker UPS-XXX2.</v>
      </c>
      <c r="E149" s="183" t="s">
        <v>1464</v>
      </c>
      <c r="F149" s="193"/>
      <c r="G149" s="193"/>
    </row>
    <row r="150" spans="1:8" s="135" customFormat="1" ht="37.5" x14ac:dyDescent="0.25">
      <c r="A150" s="200">
        <f t="shared" si="5"/>
        <v>817</v>
      </c>
      <c r="B150" s="231" t="str">
        <f>Suite&amp;" Electrical Room "&amp;SWFour</f>
        <v>G104 Electrical Room XXX</v>
      </c>
      <c r="C150" s="183" t="str">
        <f>"SW"&amp;SWFour</f>
        <v>SWXXX</v>
      </c>
      <c r="D150" s="186" t="s">
        <v>1518</v>
      </c>
      <c r="E150" s="183" t="s">
        <v>1464</v>
      </c>
      <c r="F150" s="193"/>
      <c r="G150" s="193"/>
    </row>
    <row r="151" spans="1:8" s="135" customFormat="1" ht="37.5" x14ac:dyDescent="0.25">
      <c r="A151" s="200">
        <f t="shared" si="5"/>
        <v>818</v>
      </c>
      <c r="B151" s="231" t="str">
        <f>Suite&amp;" Electrical Room "&amp;SWFour</f>
        <v>G104 Electrical Room XXX</v>
      </c>
      <c r="C151" s="183" t="str">
        <f>"SW"&amp;SWFour</f>
        <v>SWXXX</v>
      </c>
      <c r="D151" s="186" t="str" cm="1">
        <f t="array" ref="D151">"CLOSE breaker UPS-" &amp; SWFour &amp; "2."</f>
        <v>CLOSE breaker UPS-XXX2.</v>
      </c>
      <c r="E151" s="183" t="s">
        <v>1464</v>
      </c>
      <c r="F151" s="193"/>
      <c r="G151" s="193"/>
    </row>
    <row r="152" spans="1:8" s="135" customFormat="1" ht="56.25" x14ac:dyDescent="0.25">
      <c r="A152" s="200">
        <f t="shared" si="5"/>
        <v>819</v>
      </c>
      <c r="B152" s="231" t="str">
        <f>Suite&amp;" Electrical Room "&amp;SWFour</f>
        <v>G104 Electrical Room XXX</v>
      </c>
      <c r="C152" s="183" t="str">
        <f>"UPS "&amp;SWFour&amp;"1 &amp; "&amp;SWFour&amp;"2"</f>
        <v>UPS XXX1 &amp; XXX2</v>
      </c>
      <c r="D152" s="233" t="s">
        <v>1587</v>
      </c>
      <c r="E152" s="183" t="s">
        <v>1464</v>
      </c>
      <c r="F152" s="193"/>
      <c r="G152" s="193"/>
    </row>
    <row r="153" spans="1:8" s="135" customFormat="1" ht="56.25" x14ac:dyDescent="0.25">
      <c r="A153" s="200">
        <f t="shared" si="5"/>
        <v>820</v>
      </c>
      <c r="B153" s="231" t="str">
        <f>Suite&amp;" Electrical Room "&amp;SWFour</f>
        <v>G104 Electrical Room XXX</v>
      </c>
      <c r="C153" s="183" t="str">
        <f>"UPS "&amp;SWFour&amp;"1 Battery Cabinets"</f>
        <v>UPS XXX1 Battery Cabinets</v>
      </c>
      <c r="D153" s="177" t="str" cm="1">
        <f t="array" ref="D153">"Remove LOTO from Battery Breaker Q7A at Cabinet " &amp; SWFour &amp; "1-1."</f>
        <v>Remove LOTO from Battery Breaker Q7A at Cabinet XXX1-1.</v>
      </c>
      <c r="E153" s="183" t="s">
        <v>1464</v>
      </c>
      <c r="F153" s="193"/>
      <c r="G153" s="193"/>
      <c r="H153" s="163" t="s">
        <v>1580</v>
      </c>
    </row>
    <row r="154" spans="1:8" s="135" customFormat="1" ht="56.25" x14ac:dyDescent="0.25">
      <c r="A154" s="200">
        <f t="shared" si="5"/>
        <v>821</v>
      </c>
      <c r="B154" s="231" t="str">
        <f>Suite&amp;" Electrical Room "&amp;SWFour</f>
        <v>G104 Electrical Room XXX</v>
      </c>
      <c r="C154" s="183" t="str">
        <f>"UPS "&amp;SWFour&amp;"1 Battery Cabinets"</f>
        <v>UPS XXX1 Battery Cabinets</v>
      </c>
      <c r="D154" s="186" t="s">
        <v>1518</v>
      </c>
      <c r="E154" s="183" t="s">
        <v>1464</v>
      </c>
      <c r="F154" s="193"/>
      <c r="G154" s="193"/>
      <c r="H154" s="163" t="s">
        <v>1580</v>
      </c>
    </row>
    <row r="155" spans="1:8" s="135" customFormat="1" ht="56.25" x14ac:dyDescent="0.25">
      <c r="A155" s="200">
        <f t="shared" si="5"/>
        <v>822</v>
      </c>
      <c r="B155" s="231" t="str">
        <f>Suite&amp;" Electrical Room "&amp;SWFour</f>
        <v>G104 Electrical Room XXX</v>
      </c>
      <c r="C155" s="183" t="str">
        <f>"UPS "&amp;SWFour&amp;"1 Battery Cabinets"</f>
        <v>UPS XXX1 Battery Cabinets</v>
      </c>
      <c r="D155" s="177" t="str" cm="1">
        <f t="array" ref="D155">"Remove LOTO from Battery Breaker Q7B at Cabinet " &amp; SWFour &amp; "1-2."</f>
        <v>Remove LOTO from Battery Breaker Q7B at Cabinet XXX1-2.</v>
      </c>
      <c r="E155" s="183" t="s">
        <v>1464</v>
      </c>
      <c r="F155" s="193"/>
      <c r="G155" s="193"/>
      <c r="H155" s="163" t="s">
        <v>1580</v>
      </c>
    </row>
    <row r="156" spans="1:8" s="135" customFormat="1" ht="56.25" x14ac:dyDescent="0.25">
      <c r="A156" s="200">
        <f t="shared" si="5"/>
        <v>823</v>
      </c>
      <c r="B156" s="231" t="str">
        <f>Suite&amp;" Electrical Room "&amp;SWFour</f>
        <v>G104 Electrical Room XXX</v>
      </c>
      <c r="C156" s="183" t="str">
        <f>"UPS "&amp;SWFour&amp;"1 Battery Cabinets"</f>
        <v>UPS XXX1 Battery Cabinets</v>
      </c>
      <c r="D156" s="186" t="s">
        <v>1518</v>
      </c>
      <c r="E156" s="183" t="s">
        <v>1464</v>
      </c>
      <c r="F156" s="193"/>
      <c r="G156" s="193"/>
      <c r="H156" s="163" t="s">
        <v>1580</v>
      </c>
    </row>
    <row r="157" spans="1:8" s="135" customFormat="1" ht="56.25" x14ac:dyDescent="0.25">
      <c r="A157" s="200">
        <f t="shared" si="5"/>
        <v>824</v>
      </c>
      <c r="B157" s="231" t="str">
        <f>Suite&amp;" Electrical Room "&amp;SWFour</f>
        <v>G104 Electrical Room XXX</v>
      </c>
      <c r="C157" s="183" t="str">
        <f>"UPS "&amp;SWFour&amp;"1 Battery Cabinets"</f>
        <v>UPS XXX1 Battery Cabinets</v>
      </c>
      <c r="D157" s="177" t="str" cm="1">
        <f t="array" ref="D157">"Remove LOTO from Battery Breaker Q8A at Cabinet " &amp; SWFour &amp; "1-3."</f>
        <v>Remove LOTO from Battery Breaker Q8A at Cabinet XXX1-3.</v>
      </c>
      <c r="E157" s="183" t="s">
        <v>1464</v>
      </c>
      <c r="F157" s="193"/>
      <c r="G157" s="193"/>
      <c r="H157" s="163" t="s">
        <v>1580</v>
      </c>
    </row>
    <row r="158" spans="1:8" s="135" customFormat="1" ht="56.25" x14ac:dyDescent="0.25">
      <c r="A158" s="200">
        <f t="shared" si="5"/>
        <v>825</v>
      </c>
      <c r="B158" s="231" t="str">
        <f>Suite&amp;" Electrical Room "&amp;SWFour</f>
        <v>G104 Electrical Room XXX</v>
      </c>
      <c r="C158" s="183" t="str">
        <f>"UPS "&amp;SWFour&amp;"1 Battery Cabinets"</f>
        <v>UPS XXX1 Battery Cabinets</v>
      </c>
      <c r="D158" s="186" t="s">
        <v>1518</v>
      </c>
      <c r="E158" s="183" t="s">
        <v>1464</v>
      </c>
      <c r="F158" s="193"/>
      <c r="G158" s="193"/>
      <c r="H158" s="163" t="s">
        <v>1580</v>
      </c>
    </row>
    <row r="159" spans="1:8" s="135" customFormat="1" ht="56.25" x14ac:dyDescent="0.25">
      <c r="A159" s="200">
        <f t="shared" si="5"/>
        <v>826</v>
      </c>
      <c r="B159" s="231" t="str">
        <f>Suite&amp;" Electrical Room "&amp;SWFour</f>
        <v>G104 Electrical Room XXX</v>
      </c>
      <c r="C159" s="183" t="str">
        <f>"UPS "&amp;SWFour&amp;"1 Battery Cabinets"</f>
        <v>UPS XXX1 Battery Cabinets</v>
      </c>
      <c r="D159" s="177" t="str" cm="1">
        <f t="array" ref="D159">"Remove LOTO from Battery Breaker Q8B at Cabinet " &amp; SWFour &amp; "1-4."</f>
        <v>Remove LOTO from Battery Breaker Q8B at Cabinet XXX1-4.</v>
      </c>
      <c r="E159" s="183" t="s">
        <v>1464</v>
      </c>
      <c r="F159" s="193"/>
      <c r="G159" s="193"/>
      <c r="H159" s="163" t="s">
        <v>1580</v>
      </c>
    </row>
    <row r="160" spans="1:8" s="135" customFormat="1" ht="56.25" x14ac:dyDescent="0.25">
      <c r="A160" s="200">
        <f t="shared" si="5"/>
        <v>827</v>
      </c>
      <c r="B160" s="231" t="str">
        <f>Suite&amp;" Electrical Room "&amp;SWFour</f>
        <v>G104 Electrical Room XXX</v>
      </c>
      <c r="C160" s="183" t="str">
        <f>"UPS "&amp;SWFour&amp;"1 Battery Cabinets"</f>
        <v>UPS XXX1 Battery Cabinets</v>
      </c>
      <c r="D160" s="186" t="s">
        <v>1518</v>
      </c>
      <c r="E160" s="183" t="s">
        <v>1464</v>
      </c>
      <c r="F160" s="193"/>
      <c r="G160" s="193"/>
      <c r="H160" s="163" t="s">
        <v>1580</v>
      </c>
    </row>
    <row r="161" spans="1:8" s="135" customFormat="1" ht="56.25" hidden="1" x14ac:dyDescent="0.25">
      <c r="A161" s="200">
        <f>A152+1</f>
        <v>820</v>
      </c>
      <c r="B161" s="231" t="str">
        <f>Suite&amp;" Electrical Room "&amp;SWFour</f>
        <v>G104 Electrical Room XXX</v>
      </c>
      <c r="C161" s="183" t="str">
        <f>"UPS "&amp;SWFour&amp;"1 Battery Cabinets"</f>
        <v>UPS XXX1 Battery Cabinets</v>
      </c>
      <c r="D161" s="177" t="str" cm="1">
        <f t="array" ref="D161">"Remove LOTO from Battery Breaker Q7A at Cabinet " &amp; SWFour &amp; "1-1."</f>
        <v>Remove LOTO from Battery Breaker Q7A at Cabinet XXX1-1.</v>
      </c>
      <c r="E161" s="183" t="s">
        <v>1464</v>
      </c>
      <c r="F161" s="193"/>
      <c r="G161" s="193"/>
      <c r="H161" s="163" t="s">
        <v>1581</v>
      </c>
    </row>
    <row r="162" spans="1:8" s="135" customFormat="1" ht="56.25" hidden="1" x14ac:dyDescent="0.25">
      <c r="A162" s="200">
        <f t="shared" ref="A162:A172" si="6">A161+1</f>
        <v>821</v>
      </c>
      <c r="B162" s="231" t="str">
        <f>Suite&amp;" Electrical Room "&amp;SWFour</f>
        <v>G104 Electrical Room XXX</v>
      </c>
      <c r="C162" s="183" t="str">
        <f>"UPS "&amp;SWFour&amp;"1 Battery Cabinets"</f>
        <v>UPS XXX1 Battery Cabinets</v>
      </c>
      <c r="D162" s="186" t="s">
        <v>1518</v>
      </c>
      <c r="E162" s="183" t="s">
        <v>1464</v>
      </c>
      <c r="F162" s="193"/>
      <c r="G162" s="193"/>
      <c r="H162" s="163" t="s">
        <v>1581</v>
      </c>
    </row>
    <row r="163" spans="1:8" s="135" customFormat="1" ht="56.25" hidden="1" x14ac:dyDescent="0.25">
      <c r="A163" s="200">
        <f t="shared" si="6"/>
        <v>822</v>
      </c>
      <c r="B163" s="231" t="str">
        <f>Suite&amp;" Electrical Room "&amp;SWFour</f>
        <v>G104 Electrical Room XXX</v>
      </c>
      <c r="C163" s="183" t="str">
        <f>"UPS "&amp;SWFour&amp;"1 Battery Cabinets"</f>
        <v>UPS XXX1 Battery Cabinets</v>
      </c>
      <c r="D163" s="177" t="str" cm="1">
        <f t="array" ref="D163">"Remove LOTO from Battery Breaker Q7B at Cabinet " &amp; SWFour &amp; "1-2."</f>
        <v>Remove LOTO from Battery Breaker Q7B at Cabinet XXX1-2.</v>
      </c>
      <c r="E163" s="183" t="s">
        <v>1464</v>
      </c>
      <c r="F163" s="193"/>
      <c r="G163" s="193"/>
      <c r="H163" s="163" t="s">
        <v>1581</v>
      </c>
    </row>
    <row r="164" spans="1:8" s="135" customFormat="1" ht="56.25" hidden="1" x14ac:dyDescent="0.25">
      <c r="A164" s="200">
        <f t="shared" si="6"/>
        <v>823</v>
      </c>
      <c r="B164" s="231" t="str">
        <f>Suite&amp;" Electrical Room "&amp;SWFour</f>
        <v>G104 Electrical Room XXX</v>
      </c>
      <c r="C164" s="183" t="str">
        <f>"UPS "&amp;SWFour&amp;"1 Battery Cabinets"</f>
        <v>UPS XXX1 Battery Cabinets</v>
      </c>
      <c r="D164" s="186" t="s">
        <v>1518</v>
      </c>
      <c r="E164" s="183" t="s">
        <v>1464</v>
      </c>
      <c r="F164" s="193"/>
      <c r="G164" s="193"/>
      <c r="H164" s="163" t="s">
        <v>1581</v>
      </c>
    </row>
    <row r="165" spans="1:8" s="135" customFormat="1" ht="56.25" hidden="1" x14ac:dyDescent="0.25">
      <c r="A165" s="200">
        <f t="shared" si="6"/>
        <v>824</v>
      </c>
      <c r="B165" s="231" t="str">
        <f>Suite&amp;" Electrical Room "&amp;SWFour</f>
        <v>G104 Electrical Room XXX</v>
      </c>
      <c r="C165" s="183" t="str">
        <f>"UPS "&amp;SWFour&amp;"1 Battery Cabinets"</f>
        <v>UPS XXX1 Battery Cabinets</v>
      </c>
      <c r="D165" s="177" t="str" cm="1">
        <f t="array" ref="D165">"Remove LOTO from Battery Breaker Q7C at Cabinet " &amp; SWFour &amp; "1-3."</f>
        <v>Remove LOTO from Battery Breaker Q7C at Cabinet XXX1-3.</v>
      </c>
      <c r="E165" s="183" t="s">
        <v>1464</v>
      </c>
      <c r="F165" s="193"/>
      <c r="G165" s="193"/>
      <c r="H165" s="163" t="s">
        <v>1581</v>
      </c>
    </row>
    <row r="166" spans="1:8" s="135" customFormat="1" ht="56.25" hidden="1" x14ac:dyDescent="0.25">
      <c r="A166" s="200">
        <f t="shared" si="6"/>
        <v>825</v>
      </c>
      <c r="B166" s="231" t="str">
        <f>Suite&amp;" Electrical Room "&amp;SWFour</f>
        <v>G104 Electrical Room XXX</v>
      </c>
      <c r="C166" s="183" t="str">
        <f>"UPS "&amp;SWFour&amp;"1 Battery Cabinets"</f>
        <v>UPS XXX1 Battery Cabinets</v>
      </c>
      <c r="D166" s="186" t="s">
        <v>1518</v>
      </c>
      <c r="E166" s="183" t="s">
        <v>1464</v>
      </c>
      <c r="F166" s="193"/>
      <c r="G166" s="193"/>
      <c r="H166" s="163" t="s">
        <v>1581</v>
      </c>
    </row>
    <row r="167" spans="1:8" s="135" customFormat="1" ht="56.25" hidden="1" x14ac:dyDescent="0.25">
      <c r="A167" s="200">
        <f t="shared" si="6"/>
        <v>826</v>
      </c>
      <c r="B167" s="231" t="str">
        <f>Suite&amp;" Electrical Room "&amp;SWFour</f>
        <v>G104 Electrical Room XXX</v>
      </c>
      <c r="C167" s="183" t="str">
        <f>"UPS "&amp;SWFour&amp;"1 Battery Cabinets"</f>
        <v>UPS XXX1 Battery Cabinets</v>
      </c>
      <c r="D167" s="177" t="str" cm="1">
        <f t="array" ref="D167">"Remove LOTO from Battery Breaker Q8A at Cabinet " &amp; SWFour &amp; "1-4."</f>
        <v>Remove LOTO from Battery Breaker Q8A at Cabinet XXX1-4.</v>
      </c>
      <c r="E167" s="183" t="s">
        <v>1464</v>
      </c>
      <c r="F167" s="193"/>
      <c r="G167" s="193"/>
      <c r="H167" s="163" t="s">
        <v>1581</v>
      </c>
    </row>
    <row r="168" spans="1:8" s="135" customFormat="1" ht="56.25" hidden="1" x14ac:dyDescent="0.25">
      <c r="A168" s="200">
        <f t="shared" si="6"/>
        <v>827</v>
      </c>
      <c r="B168" s="231" t="str">
        <f>Suite&amp;" Electrical Room "&amp;SWFour</f>
        <v>G104 Electrical Room XXX</v>
      </c>
      <c r="C168" s="183" t="str">
        <f>"UPS "&amp;SWFour&amp;"1 Battery Cabinets"</f>
        <v>UPS XXX1 Battery Cabinets</v>
      </c>
      <c r="D168" s="186" t="s">
        <v>1518</v>
      </c>
      <c r="E168" s="183" t="s">
        <v>1464</v>
      </c>
      <c r="F168" s="193"/>
      <c r="G168" s="193"/>
      <c r="H168" s="163" t="s">
        <v>1581</v>
      </c>
    </row>
    <row r="169" spans="1:8" s="135" customFormat="1" ht="56.25" hidden="1" x14ac:dyDescent="0.25">
      <c r="A169" s="200">
        <f t="shared" si="6"/>
        <v>828</v>
      </c>
      <c r="B169" s="231" t="str">
        <f>Suite&amp;" Electrical Room "&amp;SWFour</f>
        <v>G104 Electrical Room XXX</v>
      </c>
      <c r="C169" s="183" t="str">
        <f>"UPS "&amp;SWFour&amp;"1 Battery Cabinets"</f>
        <v>UPS XXX1 Battery Cabinets</v>
      </c>
      <c r="D169" s="177" t="str" cm="1">
        <f t="array" ref="D169">"Remove LOTO from Battery Breaker Q8B at Cabinet " &amp; SWFour &amp; "1-5."</f>
        <v>Remove LOTO from Battery Breaker Q8B at Cabinet XXX1-5.</v>
      </c>
      <c r="E169" s="183" t="s">
        <v>1464</v>
      </c>
      <c r="F169" s="193"/>
      <c r="G169" s="193"/>
      <c r="H169" s="163" t="s">
        <v>1581</v>
      </c>
    </row>
    <row r="170" spans="1:8" s="135" customFormat="1" ht="56.25" hidden="1" x14ac:dyDescent="0.25">
      <c r="A170" s="200">
        <f t="shared" si="6"/>
        <v>829</v>
      </c>
      <c r="B170" s="231" t="str">
        <f>Suite&amp;" Electrical Room "&amp;SWFour</f>
        <v>G104 Electrical Room XXX</v>
      </c>
      <c r="C170" s="183" t="str">
        <f>"UPS "&amp;SWFour&amp;"1 Battery Cabinets"</f>
        <v>UPS XXX1 Battery Cabinets</v>
      </c>
      <c r="D170" s="186" t="s">
        <v>1518</v>
      </c>
      <c r="E170" s="183" t="s">
        <v>1464</v>
      </c>
      <c r="F170" s="193"/>
      <c r="G170" s="193"/>
      <c r="H170" s="163" t="s">
        <v>1581</v>
      </c>
    </row>
    <row r="171" spans="1:8" s="135" customFormat="1" ht="56.25" hidden="1" x14ac:dyDescent="0.25">
      <c r="A171" s="200">
        <f t="shared" si="6"/>
        <v>830</v>
      </c>
      <c r="B171" s="231" t="str">
        <f>Suite&amp;" Electrical Room "&amp;SWFour</f>
        <v>G104 Electrical Room XXX</v>
      </c>
      <c r="C171" s="183" t="str">
        <f>"UPS "&amp;SWFour&amp;"1 Battery Cabinets"</f>
        <v>UPS XXX1 Battery Cabinets</v>
      </c>
      <c r="D171" s="177" t="str" cm="1">
        <f t="array" ref="D171">"Remove LOTO from Battery Breaker Q8C at Cabinet " &amp; SWFour &amp; "1-6."</f>
        <v>Remove LOTO from Battery Breaker Q8C at Cabinet XXX1-6.</v>
      </c>
      <c r="E171" s="183" t="s">
        <v>1464</v>
      </c>
      <c r="F171" s="193"/>
      <c r="G171" s="193"/>
      <c r="H171" s="163" t="s">
        <v>1581</v>
      </c>
    </row>
    <row r="172" spans="1:8" s="135" customFormat="1" ht="56.25" hidden="1" x14ac:dyDescent="0.25">
      <c r="A172" s="200">
        <f t="shared" si="6"/>
        <v>831</v>
      </c>
      <c r="B172" s="231" t="str">
        <f>Suite&amp;" Electrical Room "&amp;SWFour</f>
        <v>G104 Electrical Room XXX</v>
      </c>
      <c r="C172" s="183" t="str">
        <f>"UPS "&amp;SWFour&amp;"1 Battery Cabinets"</f>
        <v>UPS XXX1 Battery Cabinets</v>
      </c>
      <c r="D172" s="186" t="s">
        <v>1518</v>
      </c>
      <c r="E172" s="183" t="s">
        <v>1464</v>
      </c>
      <c r="F172" s="193"/>
      <c r="G172" s="193"/>
      <c r="H172" s="163" t="s">
        <v>1581</v>
      </c>
    </row>
    <row r="173" spans="1:8" s="135" customFormat="1" ht="56.25" x14ac:dyDescent="0.25">
      <c r="A173" s="200">
        <f>A160+1</f>
        <v>828</v>
      </c>
      <c r="B173" s="231" t="str">
        <f>Suite&amp;" Electrical Room "&amp;SWFour</f>
        <v>G104 Electrical Room XXX</v>
      </c>
      <c r="C173" s="183" t="str">
        <f>"UPS "&amp;SWFour&amp;"1 Battery Cabinets"</f>
        <v>UPS XXX1 Battery Cabinets</v>
      </c>
      <c r="D173" s="177" t="str" cm="1">
        <f t="array" ref="D173">"Remove LOTO from Battery Breaker Q7A at Cabinet " &amp; SWFour &amp; "2-1."</f>
        <v>Remove LOTO from Battery Breaker Q7A at Cabinet XXX2-1.</v>
      </c>
      <c r="E173" s="183" t="s">
        <v>1464</v>
      </c>
      <c r="F173" s="193"/>
      <c r="G173" s="193"/>
      <c r="H173" s="163" t="s">
        <v>1580</v>
      </c>
    </row>
    <row r="174" spans="1:8" s="135" customFormat="1" ht="56.25" x14ac:dyDescent="0.25">
      <c r="A174" s="200">
        <f t="shared" ref="A174:A180" si="7">A173+1</f>
        <v>829</v>
      </c>
      <c r="B174" s="231" t="str">
        <f>Suite&amp;" Electrical Room "&amp;SWFour</f>
        <v>G104 Electrical Room XXX</v>
      </c>
      <c r="C174" s="183" t="str">
        <f>"UPS "&amp;SWFour&amp;"1 Battery Cabinets"</f>
        <v>UPS XXX1 Battery Cabinets</v>
      </c>
      <c r="D174" s="186" t="s">
        <v>1518</v>
      </c>
      <c r="E174" s="183" t="s">
        <v>1464</v>
      </c>
      <c r="F174" s="193"/>
      <c r="G174" s="193"/>
      <c r="H174" s="163" t="s">
        <v>1580</v>
      </c>
    </row>
    <row r="175" spans="1:8" s="135" customFormat="1" ht="56.25" x14ac:dyDescent="0.25">
      <c r="A175" s="200">
        <f t="shared" si="7"/>
        <v>830</v>
      </c>
      <c r="B175" s="231" t="str">
        <f>Suite&amp;" Electrical Room "&amp;SWFour</f>
        <v>G104 Electrical Room XXX</v>
      </c>
      <c r="C175" s="183" t="str">
        <f>"UPS "&amp;SWFour&amp;"1 Battery Cabinets"</f>
        <v>UPS XXX1 Battery Cabinets</v>
      </c>
      <c r="D175" s="177" t="str" cm="1">
        <f t="array" ref="D175">"Remove LOTO from Battery Breaker Q7B at Cabinet " &amp; SWFour &amp; "2-2."</f>
        <v>Remove LOTO from Battery Breaker Q7B at Cabinet XXX2-2.</v>
      </c>
      <c r="E175" s="183" t="s">
        <v>1464</v>
      </c>
      <c r="F175" s="193"/>
      <c r="G175" s="193"/>
      <c r="H175" s="163" t="s">
        <v>1580</v>
      </c>
    </row>
    <row r="176" spans="1:8" s="135" customFormat="1" ht="56.25" x14ac:dyDescent="0.25">
      <c r="A176" s="200">
        <f t="shared" si="7"/>
        <v>831</v>
      </c>
      <c r="B176" s="231" t="str">
        <f>Suite&amp;" Electrical Room "&amp;SWFour</f>
        <v>G104 Electrical Room XXX</v>
      </c>
      <c r="C176" s="183" t="str">
        <f>"UPS "&amp;SWFour&amp;"1 Battery Cabinets"</f>
        <v>UPS XXX1 Battery Cabinets</v>
      </c>
      <c r="D176" s="186" t="s">
        <v>1518</v>
      </c>
      <c r="E176" s="183" t="s">
        <v>1464</v>
      </c>
      <c r="F176" s="193"/>
      <c r="G176" s="193"/>
      <c r="H176" s="163" t="s">
        <v>1580</v>
      </c>
    </row>
    <row r="177" spans="1:8" s="135" customFormat="1" ht="56.25" x14ac:dyDescent="0.25">
      <c r="A177" s="200">
        <f t="shared" si="7"/>
        <v>832</v>
      </c>
      <c r="B177" s="231" t="str">
        <f>Suite&amp;" Electrical Room "&amp;SWFour</f>
        <v>G104 Electrical Room XXX</v>
      </c>
      <c r="C177" s="183" t="str">
        <f>"UPS "&amp;SWFour&amp;"1 Battery Cabinets"</f>
        <v>UPS XXX1 Battery Cabinets</v>
      </c>
      <c r="D177" s="177" t="str" cm="1">
        <f t="array" ref="D177">"Remove LOTO from Battery Breaker Q8A at Cabinet " &amp; SWFour &amp; "2-3."</f>
        <v>Remove LOTO from Battery Breaker Q8A at Cabinet XXX2-3.</v>
      </c>
      <c r="E177" s="183" t="s">
        <v>1464</v>
      </c>
      <c r="F177" s="193"/>
      <c r="G177" s="193"/>
      <c r="H177" s="163" t="s">
        <v>1580</v>
      </c>
    </row>
    <row r="178" spans="1:8" s="135" customFormat="1" ht="56.25" x14ac:dyDescent="0.25">
      <c r="A178" s="200">
        <f t="shared" si="7"/>
        <v>833</v>
      </c>
      <c r="B178" s="231" t="str">
        <f>Suite&amp;" Electrical Room "&amp;SWFour</f>
        <v>G104 Electrical Room XXX</v>
      </c>
      <c r="C178" s="183" t="str">
        <f>"UPS "&amp;SWFour&amp;"1 Battery Cabinets"</f>
        <v>UPS XXX1 Battery Cabinets</v>
      </c>
      <c r="D178" s="186" t="s">
        <v>1518</v>
      </c>
      <c r="E178" s="183" t="s">
        <v>1464</v>
      </c>
      <c r="F178" s="193"/>
      <c r="G178" s="193"/>
      <c r="H178" s="163" t="s">
        <v>1580</v>
      </c>
    </row>
    <row r="179" spans="1:8" s="135" customFormat="1" ht="56.25" x14ac:dyDescent="0.25">
      <c r="A179" s="200">
        <f t="shared" si="7"/>
        <v>834</v>
      </c>
      <c r="B179" s="231" t="str">
        <f>Suite&amp;" Electrical Room "&amp;SWFour</f>
        <v>G104 Electrical Room XXX</v>
      </c>
      <c r="C179" s="183" t="str">
        <f>"UPS "&amp;SWFour&amp;"1 Battery Cabinets"</f>
        <v>UPS XXX1 Battery Cabinets</v>
      </c>
      <c r="D179" s="177" t="str" cm="1">
        <f t="array" ref="D179">"Remove LOTO from Battery Breaker Q8B at Cabinet " &amp; SWFour &amp; "2-4."</f>
        <v>Remove LOTO from Battery Breaker Q8B at Cabinet XXX2-4.</v>
      </c>
      <c r="E179" s="183" t="s">
        <v>1464</v>
      </c>
      <c r="F179" s="193"/>
      <c r="G179" s="193"/>
      <c r="H179" s="163" t="s">
        <v>1580</v>
      </c>
    </row>
    <row r="180" spans="1:8" s="135" customFormat="1" ht="56.25" x14ac:dyDescent="0.25">
      <c r="A180" s="200">
        <f t="shared" si="7"/>
        <v>835</v>
      </c>
      <c r="B180" s="231" t="str">
        <f>Suite&amp;" Electrical Room "&amp;SWFour</f>
        <v>G104 Electrical Room XXX</v>
      </c>
      <c r="C180" s="183" t="str">
        <f>"UPS "&amp;SWFour&amp;"1 Battery Cabinets"</f>
        <v>UPS XXX1 Battery Cabinets</v>
      </c>
      <c r="D180" s="186" t="s">
        <v>1518</v>
      </c>
      <c r="E180" s="183" t="s">
        <v>1464</v>
      </c>
      <c r="F180" s="193"/>
      <c r="G180" s="193"/>
      <c r="H180" s="163" t="s">
        <v>1580</v>
      </c>
    </row>
    <row r="181" spans="1:8" s="135" customFormat="1" ht="56.25" hidden="1" x14ac:dyDescent="0.25">
      <c r="A181" s="200">
        <f>A172+1</f>
        <v>832</v>
      </c>
      <c r="B181" s="231" t="str">
        <f>Suite&amp;" Electrical Room "&amp;SWFour</f>
        <v>G104 Electrical Room XXX</v>
      </c>
      <c r="C181" s="183" t="str">
        <f>"UPS "&amp;SWFour&amp;"1 Battery Cabinets"</f>
        <v>UPS XXX1 Battery Cabinets</v>
      </c>
      <c r="D181" s="177" t="str" cm="1">
        <f t="array" ref="D181">"Remove LOTO from Battery Breaker Q7A at Cabinet " &amp; SWFour &amp; "2-1."</f>
        <v>Remove LOTO from Battery Breaker Q7A at Cabinet XXX2-1.</v>
      </c>
      <c r="E181" s="183" t="s">
        <v>1464</v>
      </c>
      <c r="F181" s="193"/>
      <c r="G181" s="193"/>
      <c r="H181" s="163" t="s">
        <v>1581</v>
      </c>
    </row>
    <row r="182" spans="1:8" s="135" customFormat="1" ht="56.25" hidden="1" x14ac:dyDescent="0.25">
      <c r="A182" s="200">
        <f t="shared" ref="A182:A205" si="8">A181+1</f>
        <v>833</v>
      </c>
      <c r="B182" s="231" t="str">
        <f>Suite&amp;" Electrical Room "&amp;SWFour</f>
        <v>G104 Electrical Room XXX</v>
      </c>
      <c r="C182" s="183" t="str">
        <f>"UPS "&amp;SWFour&amp;"1 Battery Cabinets"</f>
        <v>UPS XXX1 Battery Cabinets</v>
      </c>
      <c r="D182" s="186" t="s">
        <v>1518</v>
      </c>
      <c r="E182" s="183" t="s">
        <v>1464</v>
      </c>
      <c r="F182" s="193"/>
      <c r="G182" s="193"/>
      <c r="H182" s="163" t="s">
        <v>1581</v>
      </c>
    </row>
    <row r="183" spans="1:8" s="135" customFormat="1" ht="56.25" hidden="1" x14ac:dyDescent="0.25">
      <c r="A183" s="200">
        <f t="shared" si="8"/>
        <v>834</v>
      </c>
      <c r="B183" s="231" t="str">
        <f>Suite&amp;" Electrical Room "&amp;SWFour</f>
        <v>G104 Electrical Room XXX</v>
      </c>
      <c r="C183" s="183" t="str">
        <f>"UPS "&amp;SWFour&amp;"1 Battery Cabinets"</f>
        <v>UPS XXX1 Battery Cabinets</v>
      </c>
      <c r="D183" s="177" t="str" cm="1">
        <f t="array" ref="D183">"Remove LOTO from Battery Breaker Q7B at Cabinet " &amp; SWFour &amp; "2-2."</f>
        <v>Remove LOTO from Battery Breaker Q7B at Cabinet XXX2-2.</v>
      </c>
      <c r="E183" s="183" t="s">
        <v>1464</v>
      </c>
      <c r="F183" s="193"/>
      <c r="G183" s="193"/>
      <c r="H183" s="163" t="s">
        <v>1581</v>
      </c>
    </row>
    <row r="184" spans="1:8" s="135" customFormat="1" ht="56.25" hidden="1" x14ac:dyDescent="0.25">
      <c r="A184" s="200">
        <f t="shared" si="8"/>
        <v>835</v>
      </c>
      <c r="B184" s="231" t="str">
        <f>Suite&amp;" Electrical Room "&amp;SWFour</f>
        <v>G104 Electrical Room XXX</v>
      </c>
      <c r="C184" s="183" t="str">
        <f>"UPS "&amp;SWFour&amp;"1 Battery Cabinets"</f>
        <v>UPS XXX1 Battery Cabinets</v>
      </c>
      <c r="D184" s="186" t="s">
        <v>1518</v>
      </c>
      <c r="E184" s="183" t="s">
        <v>1464</v>
      </c>
      <c r="F184" s="193"/>
      <c r="G184" s="193"/>
      <c r="H184" s="163" t="s">
        <v>1581</v>
      </c>
    </row>
    <row r="185" spans="1:8" s="135" customFormat="1" ht="56.25" hidden="1" x14ac:dyDescent="0.25">
      <c r="A185" s="200">
        <f t="shared" si="8"/>
        <v>836</v>
      </c>
      <c r="B185" s="231" t="str">
        <f>Suite&amp;" Electrical Room "&amp;SWFour</f>
        <v>G104 Electrical Room XXX</v>
      </c>
      <c r="C185" s="183" t="str">
        <f>"UPS "&amp;SWFour&amp;"1 Battery Cabinets"</f>
        <v>UPS XXX1 Battery Cabinets</v>
      </c>
      <c r="D185" s="177" t="str" cm="1">
        <f t="array" ref="D185">"Remove LOTO from Battery Breaker Q7C at Cabinet " &amp; SWFour &amp; "2-3."</f>
        <v>Remove LOTO from Battery Breaker Q7C at Cabinet XXX2-3.</v>
      </c>
      <c r="E185" s="183" t="s">
        <v>1464</v>
      </c>
      <c r="F185" s="193"/>
      <c r="G185" s="193"/>
      <c r="H185" s="163" t="s">
        <v>1581</v>
      </c>
    </row>
    <row r="186" spans="1:8" s="135" customFormat="1" ht="56.25" hidden="1" x14ac:dyDescent="0.25">
      <c r="A186" s="200">
        <f t="shared" si="8"/>
        <v>837</v>
      </c>
      <c r="B186" s="231" t="str">
        <f>Suite&amp;" Electrical Room "&amp;SWFour</f>
        <v>G104 Electrical Room XXX</v>
      </c>
      <c r="C186" s="183" t="str">
        <f>"UPS "&amp;SWFour&amp;"1 Battery Cabinets"</f>
        <v>UPS XXX1 Battery Cabinets</v>
      </c>
      <c r="D186" s="186" t="s">
        <v>1518</v>
      </c>
      <c r="E186" s="183" t="s">
        <v>1464</v>
      </c>
      <c r="F186" s="193"/>
      <c r="G186" s="193"/>
      <c r="H186" s="163" t="s">
        <v>1581</v>
      </c>
    </row>
    <row r="187" spans="1:8" s="135" customFormat="1" ht="56.25" hidden="1" x14ac:dyDescent="0.25">
      <c r="A187" s="200">
        <f t="shared" si="8"/>
        <v>838</v>
      </c>
      <c r="B187" s="231" t="str">
        <f>Suite&amp;" Electrical Room "&amp;SWFour</f>
        <v>G104 Electrical Room XXX</v>
      </c>
      <c r="C187" s="183" t="str">
        <f>"UPS "&amp;SWFour&amp;"1 Battery Cabinets"</f>
        <v>UPS XXX1 Battery Cabinets</v>
      </c>
      <c r="D187" s="177" t="str" cm="1">
        <f t="array" ref="D187">"Remove LOTO from Battery Breaker Q8A at Cabinet " &amp; SWFour &amp; "2-4."</f>
        <v>Remove LOTO from Battery Breaker Q8A at Cabinet XXX2-4.</v>
      </c>
      <c r="E187" s="183" t="s">
        <v>1464</v>
      </c>
      <c r="F187" s="193"/>
      <c r="G187" s="193"/>
      <c r="H187" s="163" t="s">
        <v>1581</v>
      </c>
    </row>
    <row r="188" spans="1:8" s="135" customFormat="1" ht="56.25" hidden="1" x14ac:dyDescent="0.25">
      <c r="A188" s="200">
        <f t="shared" si="8"/>
        <v>839</v>
      </c>
      <c r="B188" s="231" t="str">
        <f>Suite&amp;" Electrical Room "&amp;SWFour</f>
        <v>G104 Electrical Room XXX</v>
      </c>
      <c r="C188" s="183" t="str">
        <f>"UPS "&amp;SWFour&amp;"1 Battery Cabinets"</f>
        <v>UPS XXX1 Battery Cabinets</v>
      </c>
      <c r="D188" s="186" t="s">
        <v>1518</v>
      </c>
      <c r="E188" s="183" t="s">
        <v>1464</v>
      </c>
      <c r="F188" s="193"/>
      <c r="G188" s="193"/>
      <c r="H188" s="163" t="s">
        <v>1581</v>
      </c>
    </row>
    <row r="189" spans="1:8" s="135" customFormat="1" ht="56.25" hidden="1" x14ac:dyDescent="0.25">
      <c r="A189" s="200">
        <f t="shared" si="8"/>
        <v>840</v>
      </c>
      <c r="B189" s="231" t="str">
        <f>Suite&amp;" Electrical Room "&amp;SWFour</f>
        <v>G104 Electrical Room XXX</v>
      </c>
      <c r="C189" s="183" t="str">
        <f>"UPS "&amp;SWFour&amp;"1 Battery Cabinets"</f>
        <v>UPS XXX1 Battery Cabinets</v>
      </c>
      <c r="D189" s="177" t="str" cm="1">
        <f t="array" ref="D189">"Remove LOTO from Battery Breaker Q8B at Cabinet " &amp; SWFour &amp; "2-5."</f>
        <v>Remove LOTO from Battery Breaker Q8B at Cabinet XXX2-5.</v>
      </c>
      <c r="E189" s="183" t="s">
        <v>1464</v>
      </c>
      <c r="F189" s="193"/>
      <c r="G189" s="193"/>
      <c r="H189" s="163" t="s">
        <v>1581</v>
      </c>
    </row>
    <row r="190" spans="1:8" s="135" customFormat="1" ht="56.25" hidden="1" x14ac:dyDescent="0.25">
      <c r="A190" s="200">
        <f t="shared" si="8"/>
        <v>841</v>
      </c>
      <c r="B190" s="231" t="str">
        <f>Suite&amp;" Electrical Room "&amp;SWFour</f>
        <v>G104 Electrical Room XXX</v>
      </c>
      <c r="C190" s="183" t="str">
        <f>"UPS "&amp;SWFour&amp;"1 Battery Cabinets"</f>
        <v>UPS XXX1 Battery Cabinets</v>
      </c>
      <c r="D190" s="186" t="s">
        <v>1518</v>
      </c>
      <c r="E190" s="183" t="s">
        <v>1464</v>
      </c>
      <c r="F190" s="193"/>
      <c r="G190" s="193"/>
      <c r="H190" s="163" t="s">
        <v>1581</v>
      </c>
    </row>
    <row r="191" spans="1:8" s="135" customFormat="1" ht="56.25" hidden="1" x14ac:dyDescent="0.25">
      <c r="A191" s="200">
        <f t="shared" si="8"/>
        <v>842</v>
      </c>
      <c r="B191" s="231" t="str">
        <f>Suite&amp;" Electrical Room "&amp;SWFour</f>
        <v>G104 Electrical Room XXX</v>
      </c>
      <c r="C191" s="183" t="str">
        <f>"UPS "&amp;SWFour&amp;"1 Battery Cabinets"</f>
        <v>UPS XXX1 Battery Cabinets</v>
      </c>
      <c r="D191" s="177" t="str" cm="1">
        <f t="array" ref="D191">"Remove LOTO from Battery Breaker Q8C at Cabinet " &amp; SWFour &amp; "2-6."</f>
        <v>Remove LOTO from Battery Breaker Q8C at Cabinet XXX2-6.</v>
      </c>
      <c r="E191" s="183" t="s">
        <v>1464</v>
      </c>
      <c r="F191" s="193"/>
      <c r="G191" s="193"/>
      <c r="H191" s="163" t="s">
        <v>1581</v>
      </c>
    </row>
    <row r="192" spans="1:8" s="135" customFormat="1" ht="56.25" hidden="1" x14ac:dyDescent="0.25">
      <c r="A192" s="200">
        <f t="shared" si="8"/>
        <v>843</v>
      </c>
      <c r="B192" s="231" t="str">
        <f>Suite&amp;" Electrical Room "&amp;SWFour</f>
        <v>G104 Electrical Room XXX</v>
      </c>
      <c r="C192" s="183" t="str">
        <f>"UPS "&amp;SWFour&amp;"1 Battery Cabinets"</f>
        <v>UPS XXX1 Battery Cabinets</v>
      </c>
      <c r="D192" s="186" t="s">
        <v>1518</v>
      </c>
      <c r="E192" s="183" t="s">
        <v>1464</v>
      </c>
      <c r="F192" s="193"/>
      <c r="G192" s="193"/>
      <c r="H192" s="163" t="s">
        <v>1581</v>
      </c>
    </row>
    <row r="193" spans="1:15" s="135" customFormat="1" ht="37.5" x14ac:dyDescent="0.25">
      <c r="A193" s="200">
        <f>IF(NumberOfICDs=4, A180+1, A192+1)</f>
        <v>844</v>
      </c>
      <c r="B193" s="231" t="str">
        <f>Suite&amp;" Electrical Room "&amp;SWFour</f>
        <v>G104 Electrical Room XXX</v>
      </c>
      <c r="C193" s="183" t="s">
        <v>1566</v>
      </c>
      <c r="D193" s="233" t="s">
        <v>1588</v>
      </c>
      <c r="E193" s="183" t="s">
        <v>1464</v>
      </c>
      <c r="F193" s="193"/>
      <c r="G193" s="193"/>
    </row>
    <row r="194" spans="1:15" s="135" customFormat="1" ht="37.5" x14ac:dyDescent="0.25">
      <c r="A194" s="200">
        <f t="shared" si="8"/>
        <v>845</v>
      </c>
      <c r="B194" s="231" t="str">
        <f>Suite&amp;" Electrical Room "&amp;SWFour</f>
        <v>G104 Electrical Room XXX</v>
      </c>
      <c r="C194" s="183" t="str">
        <f>"UPS "&amp;SWFour&amp;"1"</f>
        <v>UPS XXX1</v>
      </c>
      <c r="D194" s="233" t="str" cm="1">
        <f t="array" ref="D194">"TOUCH the UPS-" &amp; SWFour &amp; "1 module graphic on the UPS display."</f>
        <v>TOUCH the UPS-XXX1 module graphic on the UPS display.</v>
      </c>
      <c r="E194" s="183" t="s">
        <v>1464</v>
      </c>
      <c r="F194" s="193"/>
      <c r="G194" s="193"/>
    </row>
    <row r="195" spans="1:15" s="135" customFormat="1" ht="37.5" x14ac:dyDescent="0.25">
      <c r="A195" s="200">
        <f t="shared" si="8"/>
        <v>846</v>
      </c>
      <c r="B195" s="231" t="str">
        <f>Suite&amp;" Electrical Room "&amp;SWFour</f>
        <v>G104 Electrical Room XXX</v>
      </c>
      <c r="C195" s="183" t="str">
        <f>"UPS "&amp;SWFour&amp;"1"</f>
        <v>UPS XXX1</v>
      </c>
      <c r="D195" s="233" t="s">
        <v>1560</v>
      </c>
      <c r="E195" s="183" t="s">
        <v>1464</v>
      </c>
      <c r="F195" s="193"/>
      <c r="G195" s="193"/>
    </row>
    <row r="196" spans="1:15" s="135" customFormat="1" ht="37.5" x14ac:dyDescent="0.25">
      <c r="A196" s="200">
        <f t="shared" si="8"/>
        <v>847</v>
      </c>
      <c r="B196" s="231" t="str">
        <f>Suite&amp;" Electrical Room "&amp;SWFour</f>
        <v>G104 Electrical Room XXX</v>
      </c>
      <c r="C196" s="183" t="str">
        <f>"UPS "&amp;SWFour&amp;"1"</f>
        <v>UPS XXX1</v>
      </c>
      <c r="D196" s="233" t="s">
        <v>1589</v>
      </c>
      <c r="E196" s="183" t="s">
        <v>1464</v>
      </c>
      <c r="F196" s="193"/>
      <c r="G196" s="193"/>
    </row>
    <row r="197" spans="1:15" s="135" customFormat="1" ht="37.5" x14ac:dyDescent="0.25">
      <c r="A197" s="200">
        <f t="shared" si="8"/>
        <v>848</v>
      </c>
      <c r="B197" s="231" t="str">
        <f>Suite&amp;" Electrical Room "&amp;SWFour</f>
        <v>G104 Electrical Room XXX</v>
      </c>
      <c r="C197" s="183" t="str">
        <f>"UPS "&amp;SWFour&amp;"1"</f>
        <v>UPS XXX1</v>
      </c>
      <c r="D197" s="233" t="s">
        <v>1562</v>
      </c>
      <c r="E197" s="183" t="s">
        <v>1464</v>
      </c>
      <c r="F197" s="193"/>
      <c r="G197" s="193"/>
    </row>
    <row r="198" spans="1:15" s="135" customFormat="1" ht="37.5" x14ac:dyDescent="0.25">
      <c r="A198" s="200">
        <f t="shared" si="8"/>
        <v>849</v>
      </c>
      <c r="B198" s="231" t="str">
        <f>Suite&amp;" Electrical Room "&amp;SWFour</f>
        <v>G104 Electrical Room XXX</v>
      </c>
      <c r="C198" s="183" t="str">
        <f>"UPS "&amp;SWFour&amp;"1"</f>
        <v>UPS XXX1</v>
      </c>
      <c r="D198" s="233" t="s">
        <v>1563</v>
      </c>
      <c r="E198" s="183" t="s">
        <v>1464</v>
      </c>
      <c r="F198" s="193"/>
      <c r="G198" s="193"/>
    </row>
    <row r="199" spans="1:15" s="135" customFormat="1" ht="37.5" x14ac:dyDescent="0.25">
      <c r="A199" s="200">
        <f t="shared" si="8"/>
        <v>850</v>
      </c>
      <c r="B199" s="231" t="str">
        <f>Suite&amp;" Electrical Room "&amp;SWFour</f>
        <v>G104 Electrical Room XXX</v>
      </c>
      <c r="C199" s="183" t="str">
        <f>"UPS "&amp;SWFour&amp;"1"</f>
        <v>UPS XXX1</v>
      </c>
      <c r="D199" s="233" t="s">
        <v>1564</v>
      </c>
      <c r="E199" s="183" t="s">
        <v>1464</v>
      </c>
      <c r="F199" s="193"/>
      <c r="G199" s="193"/>
    </row>
    <row r="200" spans="1:15" s="135" customFormat="1" ht="168.75" hidden="1" x14ac:dyDescent="0.25">
      <c r="A200" s="200">
        <f t="shared" si="8"/>
        <v>851</v>
      </c>
      <c r="B200" s="231" t="str">
        <f>Suite&amp;" Electrical Room "&amp;SWFour</f>
        <v>G104 Electrical Room XXX</v>
      </c>
      <c r="C200" s="183" t="str">
        <f>"UPS "&amp;SWFour&amp;"1 Battery Cabinets"</f>
        <v>UPS XXX1 Battery Cabinets</v>
      </c>
      <c r="D200" s="233" t="s">
        <v>1590</v>
      </c>
      <c r="E200" s="183" t="s">
        <v>1464</v>
      </c>
      <c r="F200" s="193"/>
      <c r="G200" s="193"/>
      <c r="H200" s="163" t="s">
        <v>1591</v>
      </c>
    </row>
    <row r="201" spans="1:15" s="135" customFormat="1" ht="187.5" x14ac:dyDescent="0.25">
      <c r="A201" s="200">
        <f>A199+1</f>
        <v>851</v>
      </c>
      <c r="B201" s="231" t="str">
        <f>Suite&amp;" Electrical Room "&amp;SWFour</f>
        <v>G104 Electrical Room XXX</v>
      </c>
      <c r="C201" s="183" t="str">
        <f>"UPS "&amp;SWFour&amp;"1 Battery Cabinets"</f>
        <v>UPS XXX1 Battery Cabinets</v>
      </c>
      <c r="D201" s="233" t="s">
        <v>1592</v>
      </c>
      <c r="E201" s="183" t="s">
        <v>1464</v>
      </c>
      <c r="F201" s="193"/>
      <c r="G201" s="193"/>
      <c r="H201" s="163" t="s">
        <v>1593</v>
      </c>
    </row>
    <row r="202" spans="1:15" s="135" customFormat="1" ht="37.5" x14ac:dyDescent="0.25">
      <c r="A202" s="200">
        <f t="shared" si="8"/>
        <v>852</v>
      </c>
      <c r="B202" s="231" t="str">
        <f>Suite&amp;" Electrical Room "&amp;SWFour</f>
        <v>G104 Electrical Room XXX</v>
      </c>
      <c r="C202" s="183" t="str">
        <f>"UPS "&amp;SWFour&amp;"1"</f>
        <v>UPS XXX1</v>
      </c>
      <c r="D202" s="233" t="s">
        <v>1594</v>
      </c>
      <c r="E202" s="183" t="s">
        <v>1464</v>
      </c>
      <c r="F202" s="193"/>
      <c r="G202" s="193"/>
      <c r="H202" s="163"/>
    </row>
    <row r="203" spans="1:15" s="135" customFormat="1" ht="56.25" x14ac:dyDescent="0.25">
      <c r="A203" s="200">
        <f t="shared" si="8"/>
        <v>853</v>
      </c>
      <c r="B203" s="231" t="str">
        <f>Suite&amp;" Electrical Room "&amp;SWFour</f>
        <v>G104 Electrical Room XXX</v>
      </c>
      <c r="C203" s="183" t="str">
        <f>"UPS "&amp;SWFour&amp;"1 Battery Cabinets"</f>
        <v>UPS XXX1 Battery Cabinets</v>
      </c>
      <c r="D203" s="233" t="s">
        <v>1595</v>
      </c>
      <c r="E203" s="183" t="s">
        <v>1464</v>
      </c>
      <c r="F203" s="193"/>
      <c r="G203" s="193"/>
      <c r="H203" s="163"/>
    </row>
    <row r="204" spans="1:15" s="135" customFormat="1" ht="56.25" x14ac:dyDescent="0.25">
      <c r="A204" s="200">
        <f t="shared" si="8"/>
        <v>854</v>
      </c>
      <c r="B204" s="231" t="str">
        <f>Suite&amp;" Electrical Room "&amp;SWFour</f>
        <v>G104 Electrical Room XXX</v>
      </c>
      <c r="C204" s="183" t="str">
        <f>"UPS "&amp;SWFour&amp;"1 Battery Cabinets"</f>
        <v>UPS XXX1 Battery Cabinets</v>
      </c>
      <c r="D204" s="233" t="s">
        <v>1596</v>
      </c>
      <c r="E204" s="183" t="s">
        <v>1464</v>
      </c>
      <c r="F204" s="193"/>
      <c r="G204" s="193"/>
      <c r="H204" s="163" t="s">
        <v>1593</v>
      </c>
    </row>
    <row r="205" spans="1:15" s="135" customFormat="1" ht="56.25" x14ac:dyDescent="0.25">
      <c r="A205" s="200">
        <f t="shared" si="8"/>
        <v>855</v>
      </c>
      <c r="B205" s="231" t="str">
        <f>Suite&amp;" Electrical Room "&amp;SWFour</f>
        <v>G104 Electrical Room XXX</v>
      </c>
      <c r="C205" s="183" t="str">
        <f>"UPS "&amp;SWFour&amp;"1 Battery Cabinets"</f>
        <v>UPS XXX1 Battery Cabinets</v>
      </c>
      <c r="D205" s="186" t="s">
        <v>1597</v>
      </c>
      <c r="E205" s="183" t="s">
        <v>1464</v>
      </c>
      <c r="F205" s="193"/>
      <c r="G205" s="193"/>
      <c r="H205" s="163" t="s">
        <v>1593</v>
      </c>
    </row>
    <row r="206" spans="1:15" s="135" customFormat="1" ht="56.25" x14ac:dyDescent="0.25">
      <c r="A206" s="200" cm="1">
        <f t="array" ref="A206">IF(AND(Suite="H206", SWFour="D"), A205+1, A203+1)</f>
        <v>854</v>
      </c>
      <c r="B206" s="231" t="str">
        <f>Suite&amp;" Electrical Room "&amp;SWFour</f>
        <v>G104 Electrical Room XXX</v>
      </c>
      <c r="C206" s="183" t="str">
        <f>"UPS "&amp;SWFour&amp;"1 Battery Cabinets"</f>
        <v>UPS XXX1 Battery Cabinets</v>
      </c>
      <c r="D206" s="233" t="str" cm="1">
        <f t="array" ref="D206">"Close Battery Breaker Q8B at Cabinet " &amp; SWFour &amp; "1-4."</f>
        <v>Close Battery Breaker Q8B at Cabinet XXX1-4.</v>
      </c>
      <c r="E206" s="183" t="s">
        <v>1464</v>
      </c>
      <c r="F206" s="193"/>
      <c r="G206" s="193"/>
      <c r="H206" s="163" t="s">
        <v>1580</v>
      </c>
    </row>
    <row r="207" spans="1:15" s="135" customFormat="1" ht="56.25" x14ac:dyDescent="0.25">
      <c r="A207" s="200">
        <f t="shared" ref="A207:A209" si="9">A206+1</f>
        <v>855</v>
      </c>
      <c r="B207" s="231" t="str">
        <f>Suite&amp;" Electrical Room "&amp;SWFour</f>
        <v>G104 Electrical Room XXX</v>
      </c>
      <c r="C207" s="183" t="str">
        <f>"UPS "&amp;SWFour&amp;"1 Battery Cabinets"</f>
        <v>UPS XXX1 Battery Cabinets</v>
      </c>
      <c r="D207" s="233" t="str" cm="1">
        <f t="array" ref="D207">"Close Battery Breaker Q7B at Cabinet " &amp; SWFour &amp; "1-2."</f>
        <v>Close Battery Breaker Q7B at Cabinet XXX1-2.</v>
      </c>
      <c r="E207" s="183" t="s">
        <v>1464</v>
      </c>
      <c r="F207" s="193"/>
      <c r="G207" s="193"/>
      <c r="H207" s="163" t="s">
        <v>1580</v>
      </c>
      <c r="J207" s="164"/>
      <c r="K207" s="164"/>
      <c r="L207" s="164"/>
      <c r="M207" s="164"/>
      <c r="N207" s="164"/>
      <c r="O207" s="164"/>
    </row>
    <row r="208" spans="1:15" s="135" customFormat="1" ht="56.25" x14ac:dyDescent="0.25">
      <c r="A208" s="200">
        <f t="shared" si="9"/>
        <v>856</v>
      </c>
      <c r="B208" s="231" t="str">
        <f>Suite&amp;" Electrical Room "&amp;SWFour</f>
        <v>G104 Electrical Room XXX</v>
      </c>
      <c r="C208" s="183" t="str">
        <f>"UPS "&amp;SWFour&amp;"1 Battery Cabinets"</f>
        <v>UPS XXX1 Battery Cabinets</v>
      </c>
      <c r="D208" s="233" t="str" cm="1">
        <f t="array" ref="D208">"Close Battery Breaker Q7A at Cabinet " &amp; SWFour &amp; "1-1."</f>
        <v>Close Battery Breaker Q7A at Cabinet XXX1-1.</v>
      </c>
      <c r="E208" s="183" t="s">
        <v>1464</v>
      </c>
      <c r="F208" s="193"/>
      <c r="G208" s="193"/>
      <c r="H208" s="163" t="s">
        <v>1580</v>
      </c>
      <c r="J208" s="164"/>
      <c r="K208" s="164"/>
      <c r="L208" s="164"/>
      <c r="M208" s="164"/>
      <c r="N208" s="164"/>
      <c r="O208" s="164"/>
    </row>
    <row r="209" spans="1:8" s="135" customFormat="1" ht="56.25" x14ac:dyDescent="0.25">
      <c r="A209" s="200">
        <f t="shared" si="9"/>
        <v>857</v>
      </c>
      <c r="B209" s="231" t="str">
        <f>Suite&amp;" Electrical Room "&amp;SWFour</f>
        <v>G104 Electrical Room XXX</v>
      </c>
      <c r="C209" s="183" t="str">
        <f>"UPS "&amp;SWFour&amp;"1 Battery Cabinets"</f>
        <v>UPS XXX1 Battery Cabinets</v>
      </c>
      <c r="D209" s="233" t="str" cm="1">
        <f t="array" ref="D209">"Close Battery Breaker Q8A at Cabinet " &amp; SWFour &amp; "1-3."</f>
        <v>Close Battery Breaker Q8A at Cabinet XXX1-3.</v>
      </c>
      <c r="E209" s="183" t="s">
        <v>1464</v>
      </c>
      <c r="F209" s="193"/>
      <c r="G209" s="193"/>
      <c r="H209" s="163" t="s">
        <v>1580</v>
      </c>
    </row>
    <row r="210" spans="1:8" s="135" customFormat="1" ht="56.25" hidden="1" x14ac:dyDescent="0.25">
      <c r="A210" s="200" cm="1">
        <f t="array" ref="A210">IF(AND(Suite="H206", SWFour="D"), A205+1, A203+1)</f>
        <v>854</v>
      </c>
      <c r="B210" s="231" t="str">
        <f>Suite&amp;" Electrical Room "&amp;SWFour</f>
        <v>G104 Electrical Room XXX</v>
      </c>
      <c r="C210" s="183" t="str">
        <f>"UPS "&amp;SWFour&amp;"1 Battery Cabinets"</f>
        <v>UPS XXX1 Battery Cabinets</v>
      </c>
      <c r="D210" s="186" t="str" cm="1">
        <f t="array" ref="D210">"Close Battery Breaker Q7C at Cabinet " &amp; SWFour &amp; "1-3."</f>
        <v>Close Battery Breaker Q7C at Cabinet XXX1-3.</v>
      </c>
      <c r="E210" s="183" t="s">
        <v>1464</v>
      </c>
      <c r="F210" s="193"/>
      <c r="G210" s="193"/>
      <c r="H210" s="163" t="s">
        <v>1581</v>
      </c>
    </row>
    <row r="211" spans="1:8" s="135" customFormat="1" ht="56.25" hidden="1" x14ac:dyDescent="0.25">
      <c r="A211" s="200">
        <f t="shared" ref="A211:A215" si="10">A210+1</f>
        <v>855</v>
      </c>
      <c r="B211" s="231" t="str">
        <f>Suite&amp;" Electrical Room "&amp;SWFour</f>
        <v>G104 Electrical Room XXX</v>
      </c>
      <c r="C211" s="183" t="str">
        <f>"UPS "&amp;SWFour&amp;"1 Battery Cabinets"</f>
        <v>UPS XXX1 Battery Cabinets</v>
      </c>
      <c r="D211" s="186" t="str" cm="1">
        <f t="array" ref="D211">"Close Battery Breaker Q8A at Cabinet " &amp; SWFour &amp; "1-4."</f>
        <v>Close Battery Breaker Q8A at Cabinet XXX1-4.</v>
      </c>
      <c r="E211" s="183" t="s">
        <v>1464</v>
      </c>
      <c r="F211" s="193"/>
      <c r="G211" s="193"/>
      <c r="H211" s="163" t="s">
        <v>1581</v>
      </c>
    </row>
    <row r="212" spans="1:8" s="135" customFormat="1" ht="56.25" hidden="1" x14ac:dyDescent="0.25">
      <c r="A212" s="200">
        <f t="shared" si="10"/>
        <v>856</v>
      </c>
      <c r="B212" s="231" t="str">
        <f>Suite&amp;" Electrical Room "&amp;SWFour</f>
        <v>G104 Electrical Room XXX</v>
      </c>
      <c r="C212" s="183" t="str">
        <f>"UPS "&amp;SWFour&amp;"1 Battery Cabinets"</f>
        <v>UPS XXX1 Battery Cabinets</v>
      </c>
      <c r="D212" s="186" t="str" cm="1">
        <f t="array" ref="D212">"Close Battery Breaker Q8B at Cabinet " &amp; SWFour &amp; "1-5."</f>
        <v>Close Battery Breaker Q8B at Cabinet XXX1-5.</v>
      </c>
      <c r="E212" s="183" t="s">
        <v>1464</v>
      </c>
      <c r="F212" s="193"/>
      <c r="G212" s="193"/>
      <c r="H212" s="163" t="s">
        <v>1581</v>
      </c>
    </row>
    <row r="213" spans="1:8" s="135" customFormat="1" ht="56.25" hidden="1" x14ac:dyDescent="0.25">
      <c r="A213" s="200">
        <f t="shared" si="10"/>
        <v>857</v>
      </c>
      <c r="B213" s="231" t="str">
        <f>Suite&amp;" Electrical Room "&amp;SWFour</f>
        <v>G104 Electrical Room XXX</v>
      </c>
      <c r="C213" s="183" t="str">
        <f>"UPS "&amp;SWFour&amp;"1 Battery Cabinets"</f>
        <v>UPS XXX1 Battery Cabinets</v>
      </c>
      <c r="D213" s="186" t="str" cm="1">
        <f t="array" ref="D213">"Close Battery Breaker Q8C at Cabinet " &amp; SWFour &amp; "1-6."</f>
        <v>Close Battery Breaker Q8C at Cabinet XXX1-6.</v>
      </c>
      <c r="E213" s="183" t="s">
        <v>1464</v>
      </c>
      <c r="F213" s="193"/>
      <c r="G213" s="193"/>
      <c r="H213" s="163" t="s">
        <v>1581</v>
      </c>
    </row>
    <row r="214" spans="1:8" s="135" customFormat="1" ht="56.25" hidden="1" x14ac:dyDescent="0.25">
      <c r="A214" s="200">
        <f t="shared" si="10"/>
        <v>858</v>
      </c>
      <c r="B214" s="231" t="str">
        <f>Suite&amp;" Electrical Room "&amp;SWFour</f>
        <v>G104 Electrical Room XXX</v>
      </c>
      <c r="C214" s="183" t="str">
        <f>"UPS "&amp;SWFour&amp;"1 Battery Cabinets"</f>
        <v>UPS XXX1 Battery Cabinets</v>
      </c>
      <c r="D214" s="186" t="str" cm="1">
        <f t="array" ref="D214">"Close Battery Breaker Q7A at Cabinet " &amp; SWFour &amp; "1-1."</f>
        <v>Close Battery Breaker Q7A at Cabinet XXX1-1.</v>
      </c>
      <c r="E214" s="183" t="s">
        <v>1464</v>
      </c>
      <c r="F214" s="193"/>
      <c r="G214" s="193"/>
      <c r="H214" s="163" t="s">
        <v>1581</v>
      </c>
    </row>
    <row r="215" spans="1:8" s="135" customFormat="1" ht="56.25" hidden="1" x14ac:dyDescent="0.25">
      <c r="A215" s="200">
        <f t="shared" si="10"/>
        <v>859</v>
      </c>
      <c r="B215" s="231" t="str">
        <f>Suite&amp;" Electrical Room "&amp;SWFour</f>
        <v>G104 Electrical Room XXX</v>
      </c>
      <c r="C215" s="183" t="str">
        <f>"UPS "&amp;SWFour&amp;"1 Battery Cabinets"</f>
        <v>UPS XXX1 Battery Cabinets</v>
      </c>
      <c r="D215" s="186" t="str" cm="1">
        <f t="array" ref="D215">"Close Battery Breaker Q7B at Cabinet " &amp; SWFour &amp; "1-2."</f>
        <v>Close Battery Breaker Q7B at Cabinet XXX1-2.</v>
      </c>
      <c r="E215" s="183" t="s">
        <v>1464</v>
      </c>
      <c r="F215" s="193"/>
      <c r="G215" s="193"/>
      <c r="H215" s="163" t="s">
        <v>1581</v>
      </c>
    </row>
    <row r="216" spans="1:8" s="135" customFormat="1" ht="37.5" x14ac:dyDescent="0.25">
      <c r="A216" s="200">
        <f>IF(NumberOfICDs=4, A209+1, A215+1)</f>
        <v>860</v>
      </c>
      <c r="B216" s="231" t="str">
        <f>Suite&amp;" Electrical Room "&amp;SWFour</f>
        <v>G104 Electrical Room XXX</v>
      </c>
      <c r="C216" s="183" t="str">
        <f>"UP"&amp;SWFour</f>
        <v>UPXXX</v>
      </c>
      <c r="D216" s="177" t="str" cm="1">
        <f t="array" ref="D216">"Remove LOTO from breaker DP-" &amp; SWFour &amp; "1."</f>
        <v>Remove LOTO from breaker DP-XXX1.</v>
      </c>
      <c r="E216" s="183" t="s">
        <v>1464</v>
      </c>
      <c r="F216" s="193"/>
      <c r="G216" s="193"/>
    </row>
    <row r="217" spans="1:8" s="135" customFormat="1" ht="37.5" x14ac:dyDescent="0.25">
      <c r="A217" s="200">
        <f t="shared" ref="A217:A232" si="11">A216+1</f>
        <v>861</v>
      </c>
      <c r="B217" s="231" t="str">
        <f>Suite&amp;" Electrical Room "&amp;SWFour</f>
        <v>G104 Electrical Room XXX</v>
      </c>
      <c r="C217" s="183" t="str">
        <f>"UP"&amp;SWFour</f>
        <v>UPXXX</v>
      </c>
      <c r="D217" s="186" t="s">
        <v>1518</v>
      </c>
      <c r="E217" s="183" t="s">
        <v>1464</v>
      </c>
      <c r="F217" s="193"/>
      <c r="G217" s="193"/>
    </row>
    <row r="218" spans="1:8" s="135" customFormat="1" ht="37.5" x14ac:dyDescent="0.25">
      <c r="A218" s="200">
        <f t="shared" si="11"/>
        <v>862</v>
      </c>
      <c r="B218" s="231" t="str">
        <f>Suite&amp;" Electrical Room "&amp;SWFour</f>
        <v>G104 Electrical Room XXX</v>
      </c>
      <c r="C218" s="183" t="str">
        <f>"UP"&amp;SWFour</f>
        <v>UPXXX</v>
      </c>
      <c r="D218" s="233" t="str" cm="1">
        <f t="array" ref="D218">"Close breaker DP-" &amp; SWFour &amp; "1."</f>
        <v>Close breaker DP-XXX1.</v>
      </c>
      <c r="E218" s="183" t="s">
        <v>1464</v>
      </c>
      <c r="F218" s="193"/>
      <c r="G218" s="193"/>
    </row>
    <row r="219" spans="1:8" s="135" customFormat="1" ht="37.5" x14ac:dyDescent="0.25">
      <c r="A219" s="200">
        <f t="shared" si="11"/>
        <v>863</v>
      </c>
      <c r="B219" s="231" t="str">
        <f>Suite&amp;" Electrical Room "&amp;SWFour</f>
        <v>G104 Electrical Room XXX</v>
      </c>
      <c r="C219" s="183" t="str">
        <f>"UPS "&amp;SWFour&amp;"1"</f>
        <v>UPS XXX1</v>
      </c>
      <c r="D219" s="233" t="s">
        <v>1598</v>
      </c>
      <c r="E219" s="183" t="s">
        <v>1464</v>
      </c>
      <c r="F219" s="193"/>
      <c r="G219" s="193"/>
    </row>
    <row r="220" spans="1:8" s="135" customFormat="1" ht="37.5" x14ac:dyDescent="0.25">
      <c r="A220" s="200">
        <f t="shared" si="11"/>
        <v>864</v>
      </c>
      <c r="B220" s="231" t="str">
        <f>Suite&amp;" Electrical Room "&amp;SWFour</f>
        <v>G104 Electrical Room XXX</v>
      </c>
      <c r="C220" s="183" t="s">
        <v>1566</v>
      </c>
      <c r="D220" s="233" t="s">
        <v>1599</v>
      </c>
      <c r="E220" s="183" t="s">
        <v>1464</v>
      </c>
      <c r="F220" s="193"/>
      <c r="G220" s="193"/>
    </row>
    <row r="221" spans="1:8" s="135" customFormat="1" ht="37.5" x14ac:dyDescent="0.25">
      <c r="A221" s="200">
        <f t="shared" si="11"/>
        <v>865</v>
      </c>
      <c r="B221" s="231" t="str">
        <f>Suite&amp;" Electrical Room "&amp;SWFour</f>
        <v>G104 Electrical Room XXX</v>
      </c>
      <c r="C221" s="183" t="str">
        <f>"UPS "&amp;SWFour&amp;"2"</f>
        <v>UPS XXX2</v>
      </c>
      <c r="D221" s="233" t="str" cm="1">
        <f t="array" ref="D221">"TOUCH the UPS-" &amp; SWFour &amp; "2 module graphic on the UPS display."</f>
        <v>TOUCH the UPS-XXX2 module graphic on the UPS display.</v>
      </c>
      <c r="E221" s="183" t="s">
        <v>1464</v>
      </c>
      <c r="F221" s="193"/>
      <c r="G221" s="193"/>
    </row>
    <row r="222" spans="1:8" s="135" customFormat="1" ht="37.5" x14ac:dyDescent="0.25">
      <c r="A222" s="200">
        <f t="shared" si="11"/>
        <v>866</v>
      </c>
      <c r="B222" s="231" t="str">
        <f>Suite&amp;" Electrical Room "&amp;SWFour</f>
        <v>G104 Electrical Room XXX</v>
      </c>
      <c r="C222" s="183" t="str">
        <f>"UPS "&amp;SWFour&amp;"2"</f>
        <v>UPS XXX2</v>
      </c>
      <c r="D222" s="233" t="s">
        <v>1560</v>
      </c>
      <c r="E222" s="183" t="s">
        <v>1464</v>
      </c>
      <c r="F222" s="193"/>
      <c r="G222" s="193"/>
    </row>
    <row r="223" spans="1:8" s="135" customFormat="1" ht="37.5" x14ac:dyDescent="0.25">
      <c r="A223" s="200">
        <f t="shared" si="11"/>
        <v>867</v>
      </c>
      <c r="B223" s="231" t="str">
        <f>Suite&amp;" Electrical Room "&amp;SWFour</f>
        <v>G104 Electrical Room XXX</v>
      </c>
      <c r="C223" s="183" t="str">
        <f>"UPS "&amp;SWFour&amp;"2"</f>
        <v>UPS XXX2</v>
      </c>
      <c r="D223" s="233" t="s">
        <v>1589</v>
      </c>
      <c r="E223" s="183" t="s">
        <v>1464</v>
      </c>
      <c r="F223" s="193"/>
      <c r="G223" s="193"/>
    </row>
    <row r="224" spans="1:8" s="135" customFormat="1" ht="37.5" x14ac:dyDescent="0.25">
      <c r="A224" s="200">
        <f t="shared" si="11"/>
        <v>868</v>
      </c>
      <c r="B224" s="231" t="str">
        <f>Suite&amp;" Electrical Room "&amp;SWFour</f>
        <v>G104 Electrical Room XXX</v>
      </c>
      <c r="C224" s="183" t="str">
        <f>"UPS "&amp;SWFour&amp;"2"</f>
        <v>UPS XXX2</v>
      </c>
      <c r="D224" s="233" t="s">
        <v>1562</v>
      </c>
      <c r="E224" s="183" t="s">
        <v>1464</v>
      </c>
      <c r="F224" s="193"/>
      <c r="G224" s="193"/>
    </row>
    <row r="225" spans="1:15" s="135" customFormat="1" ht="37.5" x14ac:dyDescent="0.25">
      <c r="A225" s="200">
        <f t="shared" si="11"/>
        <v>869</v>
      </c>
      <c r="B225" s="231" t="str">
        <f>Suite&amp;" Electrical Room "&amp;SWFour</f>
        <v>G104 Electrical Room XXX</v>
      </c>
      <c r="C225" s="183" t="str">
        <f>"UPS "&amp;SWFour&amp;"2"</f>
        <v>UPS XXX2</v>
      </c>
      <c r="D225" s="233" t="s">
        <v>1563</v>
      </c>
      <c r="E225" s="183" t="s">
        <v>1464</v>
      </c>
      <c r="F225" s="193"/>
      <c r="G225" s="193"/>
    </row>
    <row r="226" spans="1:15" s="135" customFormat="1" ht="37.5" x14ac:dyDescent="0.25">
      <c r="A226" s="200">
        <f t="shared" si="11"/>
        <v>870</v>
      </c>
      <c r="B226" s="231" t="str">
        <f>Suite&amp;" Electrical Room "&amp;SWFour</f>
        <v>G104 Electrical Room XXX</v>
      </c>
      <c r="C226" s="183" t="str">
        <f>"UPS "&amp;SWFour&amp;"2"</f>
        <v>UPS XXX2</v>
      </c>
      <c r="D226" s="233" t="s">
        <v>1564</v>
      </c>
      <c r="E226" s="183" t="s">
        <v>1464</v>
      </c>
      <c r="F226" s="193"/>
      <c r="G226" s="193"/>
    </row>
    <row r="227" spans="1:15" s="135" customFormat="1" ht="168.75" hidden="1" x14ac:dyDescent="0.25">
      <c r="A227" s="200">
        <f t="shared" si="11"/>
        <v>871</v>
      </c>
      <c r="B227" s="231" t="str">
        <f>Suite&amp;" Electrical Room "&amp;SWFour</f>
        <v>G104 Electrical Room XXX</v>
      </c>
      <c r="C227" s="183" t="str">
        <f>"UPS "&amp;SWFour&amp;"2 Battery Cabinets"</f>
        <v>UPS XXX2 Battery Cabinets</v>
      </c>
      <c r="D227" s="233" t="s">
        <v>1590</v>
      </c>
      <c r="E227" s="183" t="s">
        <v>1464</v>
      </c>
      <c r="F227" s="193"/>
      <c r="G227" s="193"/>
      <c r="H227" s="163" t="s">
        <v>1591</v>
      </c>
    </row>
    <row r="228" spans="1:15" s="135" customFormat="1" ht="187.5" x14ac:dyDescent="0.25">
      <c r="A228" s="200">
        <f>A226+1</f>
        <v>871</v>
      </c>
      <c r="B228" s="231" t="str">
        <f>Suite&amp;" Electrical Room "&amp;SWFour</f>
        <v>G104 Electrical Room XXX</v>
      </c>
      <c r="C228" s="183" t="str">
        <f>"UPS "&amp;SWFour&amp;"2 Battery Cabinets"</f>
        <v>UPS XXX2 Battery Cabinets</v>
      </c>
      <c r="D228" s="233" t="s">
        <v>1592</v>
      </c>
      <c r="E228" s="183" t="s">
        <v>1464</v>
      </c>
      <c r="F228" s="193"/>
      <c r="G228" s="193"/>
      <c r="H228" s="163" t="s">
        <v>1593</v>
      </c>
    </row>
    <row r="229" spans="1:15" s="135" customFormat="1" ht="37.5" x14ac:dyDescent="0.25">
      <c r="A229" s="200">
        <f t="shared" si="11"/>
        <v>872</v>
      </c>
      <c r="B229" s="231" t="str">
        <f>Suite&amp;" Electrical Room "&amp;SWFour</f>
        <v>G104 Electrical Room XXX</v>
      </c>
      <c r="C229" s="183" t="str">
        <f>"UPS "&amp;SWFour&amp;"2"</f>
        <v>UPS XXX2</v>
      </c>
      <c r="D229" s="233" t="s">
        <v>1594</v>
      </c>
      <c r="E229" s="183" t="s">
        <v>1464</v>
      </c>
      <c r="F229" s="193"/>
      <c r="G229" s="193"/>
      <c r="H229" s="163"/>
    </row>
    <row r="230" spans="1:15" s="135" customFormat="1" ht="56.25" x14ac:dyDescent="0.25">
      <c r="A230" s="200">
        <f t="shared" si="11"/>
        <v>873</v>
      </c>
      <c r="B230" s="231" t="str">
        <f>Suite&amp;" Electrical Room "&amp;SWFour</f>
        <v>G104 Electrical Room XXX</v>
      </c>
      <c r="C230" s="183" t="str">
        <f>"UPS "&amp;SWFour&amp;"2 Battery Cabinets"</f>
        <v>UPS XXX2 Battery Cabinets</v>
      </c>
      <c r="D230" s="233" t="s">
        <v>1579</v>
      </c>
      <c r="E230" s="183" t="s">
        <v>1464</v>
      </c>
      <c r="F230" s="193"/>
      <c r="G230" s="193"/>
      <c r="H230" s="163"/>
    </row>
    <row r="231" spans="1:15" s="135" customFormat="1" ht="56.25" x14ac:dyDescent="0.25">
      <c r="A231" s="200">
        <f t="shared" si="11"/>
        <v>874</v>
      </c>
      <c r="B231" s="231" t="str">
        <f>Suite&amp;" Electrical Room "&amp;SWFour</f>
        <v>G104 Electrical Room XXX</v>
      </c>
      <c r="C231" s="183" t="str">
        <f>"UPS "&amp;SWFour&amp;"2 Battery Cabinets"</f>
        <v>UPS XXX2 Battery Cabinets</v>
      </c>
      <c r="D231" s="233" t="s">
        <v>1596</v>
      </c>
      <c r="E231" s="183" t="s">
        <v>1464</v>
      </c>
      <c r="F231" s="193"/>
      <c r="G231" s="193"/>
      <c r="H231" s="163" t="s">
        <v>1593</v>
      </c>
    </row>
    <row r="232" spans="1:15" s="135" customFormat="1" ht="56.25" x14ac:dyDescent="0.25">
      <c r="A232" s="200">
        <f t="shared" si="11"/>
        <v>875</v>
      </c>
      <c r="B232" s="231" t="str">
        <f>Suite&amp;" Electrical Room "&amp;SWFour</f>
        <v>G104 Electrical Room XXX</v>
      </c>
      <c r="C232" s="183" t="str">
        <f>"UPS "&amp;SWFour&amp;"2 Battery Cabinets"</f>
        <v>UPS XXX2 Battery Cabinets</v>
      </c>
      <c r="D232" s="186" t="s">
        <v>1600</v>
      </c>
      <c r="E232" s="183" t="s">
        <v>1464</v>
      </c>
      <c r="F232" s="193"/>
      <c r="G232" s="193"/>
      <c r="H232" s="163" t="s">
        <v>1593</v>
      </c>
    </row>
    <row r="233" spans="1:15" s="135" customFormat="1" ht="56.25" x14ac:dyDescent="0.25">
      <c r="A233" s="200" cm="1">
        <f t="array" ref="A233">IF(AND(Suite="H206", SWFour="D"), A232+1, A230+1)</f>
        <v>874</v>
      </c>
      <c r="B233" s="231" t="str">
        <f>Suite&amp;" Electrical Room "&amp;SWFour</f>
        <v>G104 Electrical Room XXX</v>
      </c>
      <c r="C233" s="183" t="str">
        <f>"UPS "&amp;SWFour&amp;"2 Battery Cabinets"</f>
        <v>UPS XXX2 Battery Cabinets</v>
      </c>
      <c r="D233" s="233" t="str" cm="1">
        <f t="array" ref="D233">"Close Battery Breaker Q7A at Cabinet " &amp; SWFour &amp; "2-1."</f>
        <v>Close Battery Breaker Q7A at Cabinet XXX2-1.</v>
      </c>
      <c r="E233" s="183" t="s">
        <v>1464</v>
      </c>
      <c r="F233" s="193"/>
      <c r="G233" s="193"/>
      <c r="H233" s="163" t="s">
        <v>1580</v>
      </c>
    </row>
    <row r="234" spans="1:15" s="135" customFormat="1" ht="56.25" x14ac:dyDescent="0.25">
      <c r="A234" s="200">
        <f t="shared" ref="A234:A236" si="12">A233+1</f>
        <v>875</v>
      </c>
      <c r="B234" s="231" t="str">
        <f>Suite&amp;" Electrical Room "&amp;SWFour</f>
        <v>G104 Electrical Room XXX</v>
      </c>
      <c r="C234" s="183" t="str">
        <f>"UPS "&amp;SWFour&amp;"2 Battery Cabinets"</f>
        <v>UPS XXX2 Battery Cabinets</v>
      </c>
      <c r="D234" s="233" t="str" cm="1">
        <f t="array" ref="D234">"Close Battery Breaker Q8A at Cabinet " &amp; SWFour &amp; "2-3."</f>
        <v>Close Battery Breaker Q8A at Cabinet XXX2-3.</v>
      </c>
      <c r="E234" s="183" t="s">
        <v>1464</v>
      </c>
      <c r="F234" s="193"/>
      <c r="G234" s="193"/>
      <c r="H234" s="163" t="s">
        <v>1580</v>
      </c>
      <c r="J234" s="164"/>
      <c r="K234" s="164"/>
      <c r="L234" s="164"/>
      <c r="M234" s="164"/>
      <c r="N234" s="164"/>
      <c r="O234" s="164"/>
    </row>
    <row r="235" spans="1:15" s="135" customFormat="1" ht="56.25" x14ac:dyDescent="0.25">
      <c r="A235" s="200">
        <f t="shared" si="12"/>
        <v>876</v>
      </c>
      <c r="B235" s="231" t="str">
        <f>Suite&amp;" Electrical Room "&amp;SWFour</f>
        <v>G104 Electrical Room XXX</v>
      </c>
      <c r="C235" s="183" t="str">
        <f>"UPS "&amp;SWFour&amp;"2 Battery Cabinets"</f>
        <v>UPS XXX2 Battery Cabinets</v>
      </c>
      <c r="D235" s="233" t="str" cm="1">
        <f t="array" ref="D235">"Close Battery Breaker Q8B at Cabinet " &amp; SWFour &amp; "2-4."</f>
        <v>Close Battery Breaker Q8B at Cabinet XXX2-4.</v>
      </c>
      <c r="E235" s="183" t="s">
        <v>1464</v>
      </c>
      <c r="F235" s="193"/>
      <c r="G235" s="193"/>
      <c r="H235" s="163" t="s">
        <v>1580</v>
      </c>
      <c r="J235" s="164"/>
      <c r="K235" s="164"/>
      <c r="L235" s="164"/>
      <c r="M235" s="164"/>
      <c r="N235" s="164"/>
      <c r="O235" s="164"/>
    </row>
    <row r="236" spans="1:15" s="135" customFormat="1" ht="56.25" x14ac:dyDescent="0.25">
      <c r="A236" s="200">
        <f t="shared" si="12"/>
        <v>877</v>
      </c>
      <c r="B236" s="231" t="str">
        <f>Suite&amp;" Electrical Room "&amp;SWFour</f>
        <v>G104 Electrical Room XXX</v>
      </c>
      <c r="C236" s="183" t="str">
        <f>"UPS "&amp;SWFour&amp;"2 Battery Cabinets"</f>
        <v>UPS XXX2 Battery Cabinets</v>
      </c>
      <c r="D236" s="233" t="str" cm="1">
        <f t="array" ref="D236">"Close Battery Breaker Q7B at Cabinet " &amp; SWFour &amp; "2-2."</f>
        <v>Close Battery Breaker Q7B at Cabinet XXX2-2.</v>
      </c>
      <c r="E236" s="183" t="s">
        <v>1464</v>
      </c>
      <c r="F236" s="193"/>
      <c r="G236" s="193"/>
      <c r="H236" s="163" t="s">
        <v>1580</v>
      </c>
    </row>
    <row r="237" spans="1:15" s="135" customFormat="1" ht="56.25" hidden="1" x14ac:dyDescent="0.25">
      <c r="A237" s="200">
        <f>A230+1</f>
        <v>874</v>
      </c>
      <c r="B237" s="231" t="str">
        <f>Suite&amp;" Electrical Room "&amp;SWFour</f>
        <v>G104 Electrical Room XXX</v>
      </c>
      <c r="C237" s="183" t="str">
        <f>"UPS "&amp;SWFour&amp;"2 Battery Cabinets"</f>
        <v>UPS XXX2 Battery Cabinets</v>
      </c>
      <c r="D237" s="186" t="str" cm="1">
        <f t="array" ref="D237">"Close Battery Breaker Q7C at Cabinet " &amp; SWFour &amp; "2-3."</f>
        <v>Close Battery Breaker Q7C at Cabinet XXX2-3.</v>
      </c>
      <c r="E237" s="183" t="s">
        <v>1464</v>
      </c>
      <c r="F237" s="193"/>
      <c r="G237" s="193"/>
      <c r="H237" s="163" t="s">
        <v>1581</v>
      </c>
    </row>
    <row r="238" spans="1:15" s="135" customFormat="1" ht="56.25" hidden="1" x14ac:dyDescent="0.25">
      <c r="A238" s="200">
        <f t="shared" ref="A238:A242" si="13">A237+1</f>
        <v>875</v>
      </c>
      <c r="B238" s="231" t="str">
        <f>Suite&amp;" Electrical Room "&amp;SWFour</f>
        <v>G104 Electrical Room XXX</v>
      </c>
      <c r="C238" s="183" t="str">
        <f>"UPS "&amp;SWFour&amp;"2 Battery Cabinets"</f>
        <v>UPS XXX2 Battery Cabinets</v>
      </c>
      <c r="D238" s="186" t="str" cm="1">
        <f t="array" ref="D238">"Close Battery Breaker Q8A at Cabinet " &amp; SWFour &amp; "2-4."</f>
        <v>Close Battery Breaker Q8A at Cabinet XXX2-4.</v>
      </c>
      <c r="E238" s="183" t="s">
        <v>1464</v>
      </c>
      <c r="F238" s="193"/>
      <c r="G238" s="193"/>
      <c r="H238" s="163" t="s">
        <v>1581</v>
      </c>
    </row>
    <row r="239" spans="1:15" s="135" customFormat="1" ht="56.25" hidden="1" x14ac:dyDescent="0.25">
      <c r="A239" s="200">
        <f t="shared" si="13"/>
        <v>876</v>
      </c>
      <c r="B239" s="231" t="str">
        <f>Suite&amp;" Electrical Room "&amp;SWFour</f>
        <v>G104 Electrical Room XXX</v>
      </c>
      <c r="C239" s="183" t="str">
        <f>"UPS "&amp;SWFour&amp;"2 Battery Cabinets"</f>
        <v>UPS XXX2 Battery Cabinets</v>
      </c>
      <c r="D239" s="186" t="str" cm="1">
        <f t="array" ref="D239">"Close Battery Breaker Q8B at Cabinet " &amp; SWFour &amp; "2-5."</f>
        <v>Close Battery Breaker Q8B at Cabinet XXX2-5.</v>
      </c>
      <c r="E239" s="183" t="s">
        <v>1464</v>
      </c>
      <c r="F239" s="193"/>
      <c r="G239" s="193"/>
      <c r="H239" s="163" t="s">
        <v>1581</v>
      </c>
    </row>
    <row r="240" spans="1:15" s="135" customFormat="1" ht="56.25" hidden="1" x14ac:dyDescent="0.25">
      <c r="A240" s="200">
        <f t="shared" si="13"/>
        <v>877</v>
      </c>
      <c r="B240" s="231" t="str">
        <f>Suite&amp;" Electrical Room "&amp;SWFour</f>
        <v>G104 Electrical Room XXX</v>
      </c>
      <c r="C240" s="183" t="str">
        <f>"UPS "&amp;SWFour&amp;"2 Battery Cabinets"</f>
        <v>UPS XXX2 Battery Cabinets</v>
      </c>
      <c r="D240" s="186" t="str" cm="1">
        <f t="array" ref="D240">"Close Battery Breaker Q8C at Cabinet " &amp; SWFour &amp; "2-6."</f>
        <v>Close Battery Breaker Q8C at Cabinet XXX2-6.</v>
      </c>
      <c r="E240" s="183" t="s">
        <v>1464</v>
      </c>
      <c r="F240" s="193"/>
      <c r="G240" s="193"/>
      <c r="H240" s="163" t="s">
        <v>1581</v>
      </c>
    </row>
    <row r="241" spans="1:8" s="135" customFormat="1" ht="56.25" hidden="1" x14ac:dyDescent="0.25">
      <c r="A241" s="200">
        <f t="shared" si="13"/>
        <v>878</v>
      </c>
      <c r="B241" s="231" t="str">
        <f>Suite&amp;" Electrical Room "&amp;SWFour</f>
        <v>G104 Electrical Room XXX</v>
      </c>
      <c r="C241" s="183" t="str">
        <f>"UPS "&amp;SWFour&amp;"2 Battery Cabinets"</f>
        <v>UPS XXX2 Battery Cabinets</v>
      </c>
      <c r="D241" s="186" t="str" cm="1">
        <f t="array" ref="D241">"Close Battery Breaker Q7A at Cabinet " &amp; SWFour &amp; "2-1."</f>
        <v>Close Battery Breaker Q7A at Cabinet XXX2-1.</v>
      </c>
      <c r="E241" s="183" t="s">
        <v>1464</v>
      </c>
      <c r="F241" s="193"/>
      <c r="G241" s="193"/>
      <c r="H241" s="163" t="s">
        <v>1581</v>
      </c>
    </row>
    <row r="242" spans="1:8" s="135" customFormat="1" ht="56.25" hidden="1" x14ac:dyDescent="0.25">
      <c r="A242" s="200">
        <f t="shared" si="13"/>
        <v>879</v>
      </c>
      <c r="B242" s="231" t="str">
        <f>Suite&amp;" Electrical Room "&amp;SWFour</f>
        <v>G104 Electrical Room XXX</v>
      </c>
      <c r="C242" s="183" t="str">
        <f>"UPS "&amp;SWFour&amp;"2 Battery Cabinets"</f>
        <v>UPS XXX2 Battery Cabinets</v>
      </c>
      <c r="D242" s="186" t="str" cm="1">
        <f t="array" ref="D242">"Close Battery Breaker Q7B at Cabinet " &amp; SWFour &amp; "2-2."</f>
        <v>Close Battery Breaker Q7B at Cabinet XXX2-2.</v>
      </c>
      <c r="E242" s="183" t="s">
        <v>1464</v>
      </c>
      <c r="F242" s="193"/>
      <c r="G242" s="193"/>
      <c r="H242" s="163" t="s">
        <v>1581</v>
      </c>
    </row>
    <row r="243" spans="1:8" s="135" customFormat="1" ht="37.5" x14ac:dyDescent="0.25">
      <c r="A243" s="200">
        <f>IF(NumberOfICDs=4, A236+1, A242+1)</f>
        <v>880</v>
      </c>
      <c r="B243" s="231" t="str">
        <f>Suite&amp;" Electrical Room "&amp;SWFour</f>
        <v>G104 Electrical Room XXX</v>
      </c>
      <c r="C243" s="183" t="str">
        <f>"UP"&amp;SWFour</f>
        <v>UPXXX</v>
      </c>
      <c r="D243" s="177" t="str" cm="1">
        <f t="array" ref="D243">"Remove LOTO from breaker DP-" &amp; SWFour &amp; "2."</f>
        <v>Remove LOTO from breaker DP-XXX2.</v>
      </c>
      <c r="E243" s="183" t="s">
        <v>1464</v>
      </c>
      <c r="F243" s="193"/>
      <c r="G243" s="193"/>
      <c r="H243" s="163"/>
    </row>
    <row r="244" spans="1:8" s="135" customFormat="1" ht="37.5" x14ac:dyDescent="0.25">
      <c r="A244" s="200">
        <f t="shared" ref="A244:A250" si="14">A243+1</f>
        <v>881</v>
      </c>
      <c r="B244" s="231" t="str">
        <f>Suite&amp;" Electrical Room "&amp;SWFour</f>
        <v>G104 Electrical Room XXX</v>
      </c>
      <c r="C244" s="183" t="str">
        <f>"UP"&amp;SWFour</f>
        <v>UPXXX</v>
      </c>
      <c r="D244" s="186" t="s">
        <v>1518</v>
      </c>
      <c r="E244" s="183" t="s">
        <v>1464</v>
      </c>
      <c r="F244" s="193"/>
      <c r="G244" s="193"/>
    </row>
    <row r="245" spans="1:8" s="135" customFormat="1" ht="37.5" x14ac:dyDescent="0.25">
      <c r="A245" s="200">
        <f t="shared" si="14"/>
        <v>882</v>
      </c>
      <c r="B245" s="231" t="str">
        <f>Suite&amp;" Electrical Room "&amp;SWFour</f>
        <v>G104 Electrical Room XXX</v>
      </c>
      <c r="C245" s="183" t="str">
        <f>"UP"&amp;SWFour</f>
        <v>UPXXX</v>
      </c>
      <c r="D245" s="233" t="str" cm="1">
        <f t="array" ref="D245">"Close breaker DP-" &amp; SWFour &amp; "2."</f>
        <v>Close breaker DP-XXX2.</v>
      </c>
      <c r="E245" s="183" t="s">
        <v>1464</v>
      </c>
      <c r="F245" s="193"/>
      <c r="G245" s="193"/>
    </row>
    <row r="246" spans="1:8" s="135" customFormat="1" ht="37.5" x14ac:dyDescent="0.25">
      <c r="A246" s="200">
        <f t="shared" si="14"/>
        <v>883</v>
      </c>
      <c r="B246" s="231" t="str">
        <f>Suite&amp;" Electrical Room "&amp;SWFour</f>
        <v>G104 Electrical Room XXX</v>
      </c>
      <c r="C246" s="183" t="str">
        <f>"UPS "&amp;SWFour&amp;"2"</f>
        <v>UPS XXX2</v>
      </c>
      <c r="D246" s="233" t="s">
        <v>1598</v>
      </c>
      <c r="E246" s="183" t="s">
        <v>1464</v>
      </c>
      <c r="F246" s="193"/>
      <c r="G246" s="193"/>
      <c r="H246" s="163"/>
    </row>
    <row r="247" spans="1:8" s="135" customFormat="1" ht="37.5" x14ac:dyDescent="0.25">
      <c r="A247" s="200">
        <f t="shared" si="14"/>
        <v>884</v>
      </c>
      <c r="B247" s="231" t="str">
        <f>Suite&amp;" Electrical Room "&amp;SWFour</f>
        <v>G104 Electrical Room XXX</v>
      </c>
      <c r="C247" s="183" t="s">
        <v>1566</v>
      </c>
      <c r="D247" s="233" t="s">
        <v>1601</v>
      </c>
      <c r="E247" s="183" t="s">
        <v>1464</v>
      </c>
      <c r="F247" s="193"/>
      <c r="G247" s="193"/>
      <c r="H247" s="163"/>
    </row>
    <row r="248" spans="1:8" s="135" customFormat="1" ht="37.5" x14ac:dyDescent="0.25">
      <c r="A248" s="200">
        <f t="shared" si="14"/>
        <v>885</v>
      </c>
      <c r="B248" s="231" t="str">
        <f>Suite&amp;" Electrical Room "&amp;SWFour</f>
        <v>G104 Electrical Room XXX</v>
      </c>
      <c r="C248" s="183" t="str">
        <f>"UPS "&amp;SWFour</f>
        <v>UPS XXX</v>
      </c>
      <c r="D248" s="233" t="str" cm="1">
        <f t="array" ref="D248">"UPS SYSTEM " &amp; SWFour &amp; " is now online and ready to accept load. Critical Customer Load remains on Maintenance Bypass Source."</f>
        <v>UPS SYSTEM XXX is now online and ready to accept load. Critical Customer Load remains on Maintenance Bypass Source.</v>
      </c>
      <c r="E248" s="183" t="s">
        <v>1464</v>
      </c>
      <c r="F248" s="193"/>
      <c r="G248" s="193"/>
      <c r="H248" s="163"/>
    </row>
    <row r="249" spans="1:8" s="135" customFormat="1" x14ac:dyDescent="0.25">
      <c r="A249" s="200">
        <f t="shared" si="14"/>
        <v>886</v>
      </c>
      <c r="B249" s="711" t="s">
        <v>1602</v>
      </c>
      <c r="C249" s="711"/>
      <c r="D249" s="711"/>
      <c r="E249" s="711"/>
      <c r="F249" s="711"/>
      <c r="G249" s="711"/>
      <c r="H249" s="163"/>
    </row>
    <row r="250" spans="1:8" s="135" customFormat="1" ht="37.5" x14ac:dyDescent="0.25">
      <c r="A250" s="200">
        <f t="shared" si="14"/>
        <v>887</v>
      </c>
      <c r="B250" s="231" t="str">
        <f>Suite&amp;" Electrical Room A"</f>
        <v>G104 Electrical Room A</v>
      </c>
      <c r="C250" s="183" t="str">
        <f>"UP"&amp;SWFour</f>
        <v>UPXXX</v>
      </c>
      <c r="D250" s="233" t="str" cm="1">
        <f t="array" ref="D250">"NOTATE the kW reading at UP" &amp; SWFour &amp; " Critical Bus Panel Meter: _________"</f>
        <v>NOTATE the kW reading at UPXXX Critical Bus Panel Meter: _________</v>
      </c>
      <c r="E250" s="183" t="s">
        <v>1464</v>
      </c>
      <c r="F250" s="193"/>
      <c r="G250" s="193"/>
      <c r="H250" s="163"/>
    </row>
    <row r="251" spans="1:8" s="135" customFormat="1" ht="37.5" x14ac:dyDescent="0.25">
      <c r="A251" s="200">
        <f>A250+1</f>
        <v>888</v>
      </c>
      <c r="B251" s="231" t="str">
        <f>Suite&amp;" Electrical Room "&amp;SWFour</f>
        <v>G104 Electrical Room XXX</v>
      </c>
      <c r="C251" s="183" t="str">
        <f>"UPS "&amp;SWFour&amp;"1"</f>
        <v>UPS XXX1</v>
      </c>
      <c r="D251" s="233" t="s">
        <v>1603</v>
      </c>
      <c r="E251" s="183" t="s">
        <v>1464</v>
      </c>
      <c r="F251" s="193"/>
      <c r="G251" s="193"/>
      <c r="H251" s="163"/>
    </row>
    <row r="252" spans="1:8" s="135" customFormat="1" ht="37.5" x14ac:dyDescent="0.25">
      <c r="A252" s="200">
        <f t="shared" ref="A252:A291" si="15">A251+1</f>
        <v>889</v>
      </c>
      <c r="B252" s="231" t="str">
        <f>Suite&amp;" Electrical Room "&amp;SWFour</f>
        <v>G104 Electrical Room XXX</v>
      </c>
      <c r="C252" s="183" t="str">
        <f>"UPS "&amp;SWFour&amp;"1"</f>
        <v>UPS XXX1</v>
      </c>
      <c r="D252" s="233" t="s">
        <v>1604</v>
      </c>
      <c r="E252" s="183" t="s">
        <v>1464</v>
      </c>
      <c r="F252" s="193"/>
      <c r="G252" s="193"/>
      <c r="H252" s="163"/>
    </row>
    <row r="253" spans="1:8" s="135" customFormat="1" ht="37.5" x14ac:dyDescent="0.25">
      <c r="A253" s="200">
        <f t="shared" si="15"/>
        <v>890</v>
      </c>
      <c r="B253" s="231" t="str">
        <f>Suite&amp;" Electrical Room "&amp;SWFour</f>
        <v>G104 Electrical Room XXX</v>
      </c>
      <c r="C253" s="183" t="str">
        <f>"UPS "&amp;SWFour&amp;"1"</f>
        <v>UPS XXX1</v>
      </c>
      <c r="D253" s="233" t="s">
        <v>1605</v>
      </c>
      <c r="E253" s="183" t="s">
        <v>1464</v>
      </c>
      <c r="F253" s="193"/>
      <c r="G253" s="193"/>
      <c r="H253" s="163"/>
    </row>
    <row r="254" spans="1:8" s="135" customFormat="1" ht="37.5" x14ac:dyDescent="0.25">
      <c r="A254" s="200">
        <f t="shared" si="15"/>
        <v>891</v>
      </c>
      <c r="B254" s="231" t="str">
        <f>Suite&amp;" Electrical Room "&amp;SWFour</f>
        <v>G104 Electrical Room XXX</v>
      </c>
      <c r="C254" s="183" t="s">
        <v>1566</v>
      </c>
      <c r="D254" s="233" t="s">
        <v>1606</v>
      </c>
      <c r="E254" s="183" t="s">
        <v>1464</v>
      </c>
      <c r="F254" s="193"/>
      <c r="G254" s="193"/>
      <c r="H254" s="163"/>
    </row>
    <row r="255" spans="1:8" s="135" customFormat="1" ht="56.25" x14ac:dyDescent="0.25">
      <c r="A255" s="200">
        <f t="shared" si="15"/>
        <v>892</v>
      </c>
      <c r="B255" s="231" t="str">
        <f>Suite&amp;" Electrical Room "&amp;SWFour</f>
        <v>G104 Electrical Room XXX</v>
      </c>
      <c r="C255" s="183" t="str">
        <f>"UPS "&amp;SWFour</f>
        <v>UPS XXX</v>
      </c>
      <c r="D255" s="233" t="str" cm="1">
        <f t="array" ref="D255">"UPS SYSTEM "&amp;SWFour&amp;" is now online and applying utility voltage to the line side of the MCBUP"&amp;SWFour&amp;" breaker via static bypass. Critical Customer Load remains on Maintenance Bypass Source."</f>
        <v>UPS SYSTEM XXX is now online and applying utility voltage to the line side of the MCBUPXXX breaker via static bypass. Critical Customer Load remains on Maintenance Bypass Source.</v>
      </c>
      <c r="E255" s="183" t="s">
        <v>1464</v>
      </c>
      <c r="F255" s="193"/>
      <c r="G255" s="193"/>
      <c r="H255" s="163"/>
    </row>
    <row r="256" spans="1:8" s="135" customFormat="1" ht="37.5" x14ac:dyDescent="0.25">
      <c r="A256" s="200">
        <f t="shared" si="15"/>
        <v>893</v>
      </c>
      <c r="B256" s="231" t="str">
        <f>Suite&amp;" Electrical Room "&amp;SWFour</f>
        <v>G104 Electrical Room XXX</v>
      </c>
      <c r="C256" s="183" t="str">
        <f>"UP"&amp;SWFour</f>
        <v>UPXXX</v>
      </c>
      <c r="D256" s="233" t="s">
        <v>1568</v>
      </c>
      <c r="E256" s="183" t="s">
        <v>1464</v>
      </c>
      <c r="F256" s="193"/>
      <c r="G256" s="193"/>
      <c r="H256" s="163"/>
    </row>
    <row r="257" spans="1:8" s="135" customFormat="1" ht="37.5" x14ac:dyDescent="0.25">
      <c r="A257" s="200">
        <f t="shared" si="15"/>
        <v>894</v>
      </c>
      <c r="B257" s="231" t="str">
        <f>Suite&amp;" Electrical Room "&amp;SWFour</f>
        <v>G104 Electrical Room XXX</v>
      </c>
      <c r="C257" s="183" t="str">
        <f>"UP"&amp;SWFour</f>
        <v>UPXXX</v>
      </c>
      <c r="D257" s="186" t="s">
        <v>1569</v>
      </c>
      <c r="E257" s="183" t="s">
        <v>1464</v>
      </c>
      <c r="F257" s="193"/>
      <c r="G257" s="193"/>
      <c r="H257" s="163"/>
    </row>
    <row r="258" spans="1:8" s="135" customFormat="1" ht="37.5" x14ac:dyDescent="0.25">
      <c r="A258" s="200">
        <f t="shared" si="15"/>
        <v>895</v>
      </c>
      <c r="B258" s="231" t="str">
        <f>Suite&amp;" Electrical Room "&amp;SWFour</f>
        <v>G104 Electrical Room XXX</v>
      </c>
      <c r="C258" s="183" t="str">
        <f>"UP"&amp;SWFour</f>
        <v>UPXXX</v>
      </c>
      <c r="D258" s="186" t="s">
        <v>1570</v>
      </c>
      <c r="E258" s="183" t="s">
        <v>1464</v>
      </c>
      <c r="F258" s="193"/>
      <c r="G258" s="193"/>
      <c r="H258" s="163"/>
    </row>
    <row r="259" spans="1:8" s="135" customFormat="1" ht="37.5" x14ac:dyDescent="0.25">
      <c r="A259" s="200">
        <f t="shared" si="15"/>
        <v>896</v>
      </c>
      <c r="B259" s="231" t="str">
        <f>Suite&amp;" Electrical Room "&amp;SWFour</f>
        <v>G104 Electrical Room XXX</v>
      </c>
      <c r="C259" s="183" t="str">
        <f>"UP"&amp;SWFour</f>
        <v>UPXXX</v>
      </c>
      <c r="D259" s="233" t="str" cm="1">
        <f t="array" ref="D259">"INSERT the interlock key into the MCBUP" &amp; SWFour &amp; " breaker lock cylinder."</f>
        <v>INSERT the interlock key into the MCBUPXXX breaker lock cylinder.</v>
      </c>
      <c r="E259" s="183" t="s">
        <v>1464</v>
      </c>
      <c r="F259" s="193"/>
      <c r="G259" s="193"/>
      <c r="H259" s="163"/>
    </row>
    <row r="260" spans="1:8" s="135" customFormat="1" ht="37.5" x14ac:dyDescent="0.25">
      <c r="A260" s="200">
        <f t="shared" si="15"/>
        <v>897</v>
      </c>
      <c r="B260" s="231" t="str">
        <f>Suite&amp;" Electrical Room "&amp;SWFour</f>
        <v>G104 Electrical Room XXX</v>
      </c>
      <c r="C260" s="183" t="str">
        <f>"UP"&amp;SWFour</f>
        <v>UPXXX</v>
      </c>
      <c r="D260" s="186" t="str" cm="1">
        <f t="array" ref="D260">"ROTATE the interlock key 90 degrees to UNLOCK the MCBUP" &amp; SWFour &amp; " breaker."</f>
        <v>ROTATE the interlock key 90 degrees to UNLOCK the MCBUPXXX breaker.</v>
      </c>
      <c r="E260" s="183" t="s">
        <v>1464</v>
      </c>
      <c r="F260" s="193"/>
      <c r="G260" s="193"/>
    </row>
    <row r="261" spans="1:8" s="135" customFormat="1" ht="37.5" x14ac:dyDescent="0.25">
      <c r="A261" s="200">
        <f t="shared" si="15"/>
        <v>898</v>
      </c>
      <c r="B261" s="231" t="str">
        <f>Suite&amp;" Electrical Room "&amp;SWFour</f>
        <v>G104 Electrical Room XXX</v>
      </c>
      <c r="C261" s="183" t="str">
        <f>"UP"&amp;SWFour</f>
        <v>UPXXX</v>
      </c>
      <c r="D261" s="233" t="str" cm="1">
        <f t="array" ref="D261">"Close breaker MCBUP"&amp;SWFour&amp;"."</f>
        <v>Close breaker MCBUPXXX.</v>
      </c>
      <c r="E261" s="183" t="s">
        <v>1464</v>
      </c>
      <c r="F261" s="193"/>
      <c r="G261" s="193"/>
    </row>
    <row r="262" spans="1:8" s="135" customFormat="1" ht="37.5" x14ac:dyDescent="0.25">
      <c r="A262" s="200">
        <f t="shared" si="15"/>
        <v>899</v>
      </c>
      <c r="B262" s="231" t="str">
        <f>Suite&amp;" Electrical Room "&amp;SWFour</f>
        <v>G104 Electrical Room XXX</v>
      </c>
      <c r="C262" s="183" t="str">
        <f>"UP"&amp;SWFour</f>
        <v>UPXXX</v>
      </c>
      <c r="D262" s="186" t="str" cm="1">
        <f t="array" ref="D262">"VERIFY MCBUP" &amp; SWFour &amp; " breaker flag indicates CLOSED."</f>
        <v>VERIFY MCBUPXXX breaker flag indicates CLOSED.</v>
      </c>
      <c r="E262" s="183" t="s">
        <v>1464</v>
      </c>
      <c r="F262" s="193"/>
      <c r="G262" s="193"/>
    </row>
    <row r="263" spans="1:8" s="135" customFormat="1" ht="37.5" x14ac:dyDescent="0.25">
      <c r="A263" s="200">
        <f t="shared" si="15"/>
        <v>900</v>
      </c>
      <c r="B263" s="231" t="str">
        <f>Suite&amp;" Electrical Room "&amp;SWFour</f>
        <v>G104 Electrical Room XXX</v>
      </c>
      <c r="C263" s="183" t="str">
        <f>"UP"&amp;SWFour</f>
        <v>UPXXX</v>
      </c>
      <c r="D263" s="233" t="str" cm="1">
        <f t="array" ref="D263">"VERIFY breaker MCBUP"&amp;SWFour&amp;" is carrying a portion of critical customer load using breaker mounted metering."</f>
        <v>VERIFY breaker MCBUPXXX is carrying a portion of critical customer load using breaker mounted metering.</v>
      </c>
      <c r="E263" s="183" t="s">
        <v>1464</v>
      </c>
      <c r="F263" s="193"/>
      <c r="G263" s="193"/>
    </row>
    <row r="264" spans="1:8" s="135" customFormat="1" ht="37.5" x14ac:dyDescent="0.25">
      <c r="A264" s="200">
        <f t="shared" si="15"/>
        <v>901</v>
      </c>
      <c r="B264" s="231" t="str">
        <f>Suite&amp;" Electrical Room "&amp;SWFour</f>
        <v>G104 Electrical Room XXX</v>
      </c>
      <c r="C264" s="183" t="str">
        <f>"UP"&amp;SWFour</f>
        <v>UPXXX</v>
      </c>
      <c r="D264" s="233" t="str" cm="1">
        <f t="array" ref="D264">"VERIFY breaker MBUP"&amp;SWFour&amp;" is carrying a portion of critical customer load using breaker mounted metering."</f>
        <v>VERIFY breaker MBUPXXX is carrying a portion of critical customer load using breaker mounted metering.</v>
      </c>
      <c r="E264" s="183" t="s">
        <v>1464</v>
      </c>
      <c r="F264" s="193"/>
      <c r="G264" s="193"/>
    </row>
    <row r="265" spans="1:8" s="135" customFormat="1" ht="37.5" x14ac:dyDescent="0.25">
      <c r="A265" s="200">
        <f t="shared" si="15"/>
        <v>902</v>
      </c>
      <c r="B265" s="231" t="str">
        <f>Suite&amp;" Electrical Room "&amp;SWFour</f>
        <v>G104 Electrical Room XXX</v>
      </c>
      <c r="C265" s="183" t="str">
        <f>"UP"&amp;SWFour</f>
        <v>UPXXX</v>
      </c>
      <c r="D265" s="233" t="str" cm="1">
        <f t="array" ref="D265">"NOTATE the kW reading at UP" &amp; SWFour &amp; " Critical Bus Panel Meter: _________"</f>
        <v>NOTATE the kW reading at UPXXX Critical Bus Panel Meter: _________</v>
      </c>
      <c r="E265" s="183" t="s">
        <v>1464</v>
      </c>
      <c r="F265" s="193"/>
      <c r="G265" s="193"/>
    </row>
    <row r="266" spans="1:8" s="135" customFormat="1" ht="37.5" x14ac:dyDescent="0.25">
      <c r="A266" s="200">
        <f t="shared" si="15"/>
        <v>903</v>
      </c>
      <c r="B266" s="231" t="str">
        <f>Suite&amp;" Electrical Room "&amp;SWFour</f>
        <v>G104 Electrical Room XXX</v>
      </c>
      <c r="C266" s="183" t="str">
        <f>"UP"&amp;SWFour</f>
        <v>UPXXX</v>
      </c>
      <c r="D266" s="233" t="str">
        <f>"VERIFY the readings in step " &amp; A250 &amp; " and " &amp; A265 &amp; " are within 3% of each other. (new kW divided by original kW must be ≤1.03 and ≥0.97)."</f>
        <v>VERIFY the readings in step 887 and 902 are within 3% of each other. (new kW divided by original kW must be ≤1.03 and ≥0.97).</v>
      </c>
      <c r="E266" s="183" t="s">
        <v>1464</v>
      </c>
      <c r="F266" s="193"/>
      <c r="G266" s="193"/>
    </row>
    <row r="267" spans="1:8" s="135" customFormat="1" ht="37.5" x14ac:dyDescent="0.25">
      <c r="A267" s="200">
        <f t="shared" si="15"/>
        <v>904</v>
      </c>
      <c r="B267" s="231" t="str">
        <f>Suite&amp;" Electrical Room "&amp;SWFour</f>
        <v>G104 Electrical Room XXX</v>
      </c>
      <c r="C267" s="183" t="s">
        <v>1566</v>
      </c>
      <c r="D267" s="233" t="s">
        <v>1607</v>
      </c>
      <c r="E267" s="183" t="s">
        <v>1464</v>
      </c>
      <c r="F267" s="193"/>
      <c r="G267" s="193"/>
    </row>
    <row r="268" spans="1:8" s="135" customFormat="1" ht="37.5" x14ac:dyDescent="0.25">
      <c r="A268" s="200">
        <f t="shared" si="15"/>
        <v>905</v>
      </c>
      <c r="B268" s="231" t="str">
        <f>Suite&amp;" Electrical Room "&amp;SWFour</f>
        <v>G104 Electrical Room XXX</v>
      </c>
      <c r="C268" s="183" t="str">
        <f>"UP"&amp;SWFour</f>
        <v>UPXXX</v>
      </c>
      <c r="D268" s="233" t="str" cm="1">
        <f t="array" ref="D268">"OPEN breaker MBUP"&amp;SWFour&amp;"."</f>
        <v>OPEN breaker MBUPXXX.</v>
      </c>
      <c r="E268" s="183" t="s">
        <v>1464</v>
      </c>
      <c r="F268" s="193"/>
      <c r="G268" s="193"/>
    </row>
    <row r="269" spans="1:8" s="135" customFormat="1" ht="37.5" x14ac:dyDescent="0.25">
      <c r="A269" s="200">
        <f t="shared" si="15"/>
        <v>906</v>
      </c>
      <c r="B269" s="231" t="str">
        <f>Suite&amp;" Electrical Room "&amp;SWFour</f>
        <v>G104 Electrical Room XXX</v>
      </c>
      <c r="C269" s="183" t="str">
        <f>"UP"&amp;SWFour</f>
        <v>UPXXX</v>
      </c>
      <c r="D269" s="233" t="s">
        <v>1501</v>
      </c>
      <c r="E269" s="183" t="s">
        <v>1464</v>
      </c>
      <c r="F269" s="193"/>
      <c r="G269" s="193"/>
    </row>
    <row r="270" spans="1:8" s="135" customFormat="1" ht="37.5" x14ac:dyDescent="0.25">
      <c r="A270" s="200">
        <f t="shared" si="15"/>
        <v>907</v>
      </c>
      <c r="B270" s="231" t="str">
        <f>Suite&amp;" Electrical Room "&amp;SWFour</f>
        <v>G104 Electrical Room XXX</v>
      </c>
      <c r="C270" s="183" t="str">
        <f>"UP"&amp;SWFour</f>
        <v>UPXXX</v>
      </c>
      <c r="D270" s="186" t="str" cm="1">
        <f t="array" ref="D270">"VERIFY MBUP" &amp; SWFour &amp; " breaker flag indicates OPEN."</f>
        <v>VERIFY MBUPXXX breaker flag indicates OPEN.</v>
      </c>
      <c r="E270" s="183" t="s">
        <v>1464</v>
      </c>
      <c r="F270" s="193"/>
      <c r="G270" s="193"/>
    </row>
    <row r="271" spans="1:8" s="135" customFormat="1" ht="37.5" x14ac:dyDescent="0.25">
      <c r="A271" s="200">
        <f t="shared" si="15"/>
        <v>908</v>
      </c>
      <c r="B271" s="231" t="str">
        <f>Suite&amp;" Electrical Room "&amp;SWFour</f>
        <v>G104 Electrical Room XXX</v>
      </c>
      <c r="C271" s="183" t="str">
        <f>"UP"&amp;SWFour</f>
        <v>UPXXX</v>
      </c>
      <c r="D271" s="233" t="str" cm="1">
        <f t="array" ref="D271">"NOTATE the kW reading at UP" &amp; SWFour &amp; " Critical Bus Panel Meter: _________"</f>
        <v>NOTATE the kW reading at UPXXX Critical Bus Panel Meter: _________</v>
      </c>
      <c r="E271" s="183" t="s">
        <v>1464</v>
      </c>
      <c r="F271" s="193"/>
      <c r="G271" s="193"/>
    </row>
    <row r="272" spans="1:8" s="135" customFormat="1" ht="37.5" x14ac:dyDescent="0.25">
      <c r="A272" s="200">
        <f t="shared" si="15"/>
        <v>909</v>
      </c>
      <c r="B272" s="231" t="str">
        <f>Suite&amp;" Electrical Room "&amp;SWFour</f>
        <v>G104 Electrical Room XXX</v>
      </c>
      <c r="C272" s="183" t="str">
        <f>"UP"&amp;SWFour</f>
        <v>UPXXX</v>
      </c>
      <c r="D272" s="233" t="str">
        <f>"VERIFY the readings in step " &amp; A265 &amp; " and " &amp; A271 &amp; " are within 3% of each other. (new kW divided by original kW must be ≤1.03 and ≥0.97)."</f>
        <v>VERIFY the readings in step 902 and 908 are within 3% of each other. (new kW divided by original kW must be ≤1.03 and ≥0.97).</v>
      </c>
      <c r="E272" s="183" t="s">
        <v>1464</v>
      </c>
      <c r="F272" s="193"/>
      <c r="G272" s="193"/>
    </row>
    <row r="273" spans="1:7" s="135" customFormat="1" ht="37.5" x14ac:dyDescent="0.25">
      <c r="A273" s="200">
        <f t="shared" si="15"/>
        <v>910</v>
      </c>
      <c r="B273" s="231" t="str">
        <f>Suite&amp;" Electrical Room "&amp;SWFour</f>
        <v>G104 Electrical Room XXX</v>
      </c>
      <c r="C273" s="183" t="s">
        <v>1566</v>
      </c>
      <c r="D273" s="233" t="s">
        <v>1608</v>
      </c>
      <c r="E273" s="183" t="s">
        <v>1464</v>
      </c>
      <c r="F273" s="193"/>
      <c r="G273" s="193"/>
    </row>
    <row r="274" spans="1:7" s="135" customFormat="1" ht="37.5" x14ac:dyDescent="0.25">
      <c r="A274" s="200">
        <f t="shared" si="15"/>
        <v>911</v>
      </c>
      <c r="B274" s="231" t="str">
        <f>Suite&amp;" Electrical Room "&amp;SWFour</f>
        <v>G104 Electrical Room XXX</v>
      </c>
      <c r="C274" s="183" t="str">
        <f>"UP"&amp;SWFour</f>
        <v>UPXXX</v>
      </c>
      <c r="D274" s="186" t="str" cm="1">
        <f t="array" ref="D274">"ROTATE the interlock key 90 degrees to LOCK the MBUP"&amp;SWFour&amp;" breaker."</f>
        <v>ROTATE the interlock key 90 degrees to LOCK the MBUPXXX breaker.</v>
      </c>
      <c r="E274" s="183" t="s">
        <v>1464</v>
      </c>
      <c r="F274" s="193"/>
      <c r="G274" s="193"/>
    </row>
    <row r="275" spans="1:7" s="135" customFormat="1" ht="37.5" x14ac:dyDescent="0.25">
      <c r="A275" s="200">
        <f t="shared" si="15"/>
        <v>912</v>
      </c>
      <c r="B275" s="231" t="str">
        <f>Suite&amp;" Electrical Room "&amp;SWFour</f>
        <v>G104 Electrical Room XXX</v>
      </c>
      <c r="C275" s="183" t="str">
        <f>"UP"&amp;SWFour</f>
        <v>UPXXX</v>
      </c>
      <c r="D275" s="186" t="str" cm="1">
        <f t="array" ref="D275">"REMOVE the interlock key from the MBUP"&amp;SWFour&amp;" breaker lock cylinder."</f>
        <v>REMOVE the interlock key from the MBUPXXX breaker lock cylinder.</v>
      </c>
      <c r="E275" s="183" t="s">
        <v>1464</v>
      </c>
      <c r="F275" s="193"/>
      <c r="G275" s="193"/>
    </row>
    <row r="276" spans="1:7" s="135" customFormat="1" ht="37.5" x14ac:dyDescent="0.25">
      <c r="A276" s="200">
        <f t="shared" si="15"/>
        <v>913</v>
      </c>
      <c r="B276" s="231" t="str">
        <f>Suite&amp;" Electrical Room "&amp;SWFour</f>
        <v>G104 Electrical Room XXX</v>
      </c>
      <c r="C276" s="183" t="str">
        <f>"UP"&amp;SWFour</f>
        <v>UPXXX</v>
      </c>
      <c r="D276" s="233" t="s">
        <v>1573</v>
      </c>
      <c r="E276" s="183" t="s">
        <v>1464</v>
      </c>
      <c r="F276" s="193"/>
      <c r="G276" s="193"/>
    </row>
    <row r="277" spans="1:7" s="135" customFormat="1" ht="37.5" x14ac:dyDescent="0.25">
      <c r="A277" s="200">
        <f t="shared" si="15"/>
        <v>914</v>
      </c>
      <c r="B277" s="231" t="str">
        <f>Suite&amp;" Electrical Room "&amp;SWFour</f>
        <v>G104 Electrical Room XXX</v>
      </c>
      <c r="C277" s="183" t="str">
        <f>"UP"&amp;SWFour</f>
        <v>UPXXX</v>
      </c>
      <c r="D277" s="186" t="s">
        <v>1574</v>
      </c>
      <c r="E277" s="183" t="s">
        <v>1464</v>
      </c>
      <c r="F277" s="193"/>
      <c r="G277" s="193"/>
    </row>
    <row r="278" spans="1:7" s="135" customFormat="1" ht="37.5" x14ac:dyDescent="0.25">
      <c r="A278" s="200">
        <f t="shared" si="15"/>
        <v>915</v>
      </c>
      <c r="B278" s="231" t="str">
        <f>Suite&amp;" Electrical Room "&amp;SWFour</f>
        <v>G104 Electrical Room XXX</v>
      </c>
      <c r="C278" s="183" t="str">
        <f>"UP"&amp;SWFour</f>
        <v>UPXXX</v>
      </c>
      <c r="D278" s="186" t="s">
        <v>1575</v>
      </c>
      <c r="E278" s="183" t="s">
        <v>1464</v>
      </c>
      <c r="F278" s="193"/>
      <c r="G278" s="193"/>
    </row>
    <row r="279" spans="1:7" s="135" customFormat="1" ht="37.5" x14ac:dyDescent="0.25">
      <c r="A279" s="200">
        <f t="shared" si="15"/>
        <v>916</v>
      </c>
      <c r="B279" s="231" t="str">
        <f>Suite&amp;" Electrical Room "&amp;SWFour</f>
        <v>G104 Electrical Room XXX</v>
      </c>
      <c r="C279" s="183" t="str">
        <f>"UP"&amp;SWFour</f>
        <v>UPXXX</v>
      </c>
      <c r="D279" s="186" t="s">
        <v>1510</v>
      </c>
      <c r="E279" s="183" t="s">
        <v>1464</v>
      </c>
      <c r="F279" s="193"/>
      <c r="G279" s="193"/>
    </row>
    <row r="280" spans="1:7" s="135" customFormat="1" x14ac:dyDescent="0.25">
      <c r="A280" s="200">
        <f t="shared" si="15"/>
        <v>917</v>
      </c>
      <c r="B280" s="711" t="str">
        <f>"Transfer UPS System "&amp;SWFour&amp;" to Inverter Service"</f>
        <v>Transfer UPS System XXX to Inverter Service</v>
      </c>
      <c r="C280" s="711"/>
      <c r="D280" s="711"/>
      <c r="E280" s="711"/>
      <c r="F280" s="711"/>
      <c r="G280" s="711"/>
    </row>
    <row r="281" spans="1:7" s="135" customFormat="1" ht="37.5" x14ac:dyDescent="0.25">
      <c r="A281" s="200">
        <f t="shared" si="15"/>
        <v>918</v>
      </c>
      <c r="B281" s="231" t="str">
        <f>Suite&amp;" Electrical Room "&amp;SWFour</f>
        <v>G104 Electrical Room XXX</v>
      </c>
      <c r="C281" s="183" t="str">
        <f>"UPS "&amp;SWFour&amp;"1"</f>
        <v>UPS XXX1</v>
      </c>
      <c r="D281" s="233" t="str" cm="1">
        <f t="array" ref="D281">"TOUCH the UPS-" &amp; SWFour &amp; "1 module graphic on the UPS display."</f>
        <v>TOUCH the UPS-XXX1 module graphic on the UPS display.</v>
      </c>
      <c r="E281" s="183" t="s">
        <v>1464</v>
      </c>
      <c r="F281" s="193"/>
      <c r="G281" s="193"/>
    </row>
    <row r="282" spans="1:7" s="135" customFormat="1" ht="37.5" x14ac:dyDescent="0.25">
      <c r="A282" s="200">
        <f t="shared" si="15"/>
        <v>919</v>
      </c>
      <c r="B282" s="231" t="str">
        <f>Suite&amp;" Electrical Room "&amp;SWFour</f>
        <v>G104 Electrical Room XXX</v>
      </c>
      <c r="C282" s="183" t="str">
        <f>"UPS "&amp;SWFour&amp;"1"</f>
        <v>UPS XXX1</v>
      </c>
      <c r="D282" s="233" t="s">
        <v>1560</v>
      </c>
      <c r="E282" s="183" t="s">
        <v>1464</v>
      </c>
      <c r="F282" s="193"/>
      <c r="G282" s="193"/>
    </row>
    <row r="283" spans="1:7" s="135" customFormat="1" ht="37.5" x14ac:dyDescent="0.25">
      <c r="A283" s="200">
        <f t="shared" si="15"/>
        <v>920</v>
      </c>
      <c r="B283" s="231" t="str">
        <f>Suite&amp;" Electrical Room "&amp;SWFour</f>
        <v>G104 Electrical Room XXX</v>
      </c>
      <c r="C283" s="183" t="str">
        <f>"UPS "&amp;SWFour&amp;"1"</f>
        <v>UPS XXX1</v>
      </c>
      <c r="D283" s="233" t="s">
        <v>1609</v>
      </c>
      <c r="E283" s="183" t="s">
        <v>1464</v>
      </c>
      <c r="F283" s="193"/>
      <c r="G283" s="193"/>
    </row>
    <row r="284" spans="1:7" s="135" customFormat="1" ht="37.5" x14ac:dyDescent="0.25">
      <c r="A284" s="200">
        <f t="shared" si="15"/>
        <v>921</v>
      </c>
      <c r="B284" s="231" t="str">
        <f>Suite&amp;" Electrical Room "&amp;SWFour</f>
        <v>G104 Electrical Room XXX</v>
      </c>
      <c r="C284" s="183" t="str">
        <f>"UPS "&amp;SWFour&amp;"1"</f>
        <v>UPS XXX1</v>
      </c>
      <c r="D284" s="233" t="s">
        <v>1610</v>
      </c>
      <c r="E284" s="183" t="s">
        <v>1464</v>
      </c>
      <c r="F284" s="193"/>
      <c r="G284" s="193"/>
    </row>
    <row r="285" spans="1:7" s="135" customFormat="1" ht="37.5" x14ac:dyDescent="0.25">
      <c r="A285" s="200">
        <f t="shared" si="15"/>
        <v>922</v>
      </c>
      <c r="B285" s="231" t="str">
        <f>Suite&amp;" Electrical Room "&amp;SWFour</f>
        <v>G104 Electrical Room XXX</v>
      </c>
      <c r="C285" s="183" t="str">
        <f>"UPS "&amp;SWFour</f>
        <v>UPS XXX</v>
      </c>
      <c r="D285" s="233" t="s">
        <v>1557</v>
      </c>
      <c r="E285" s="183" t="s">
        <v>1464</v>
      </c>
      <c r="F285" s="193"/>
      <c r="G285" s="193"/>
    </row>
    <row r="286" spans="1:7" s="135" customFormat="1" ht="37.5" x14ac:dyDescent="0.25">
      <c r="A286" s="200">
        <f t="shared" si="15"/>
        <v>923</v>
      </c>
      <c r="B286" s="231" t="str">
        <f>Suite&amp;" Electrical Room "&amp;SWFour</f>
        <v>G104 Electrical Room XXX</v>
      </c>
      <c r="C286" s="183" t="str">
        <f>"UPS "&amp;SWFour&amp;"1"</f>
        <v>UPS XXX1</v>
      </c>
      <c r="D286" s="233" t="s">
        <v>1611</v>
      </c>
      <c r="E286" s="183" t="s">
        <v>1464</v>
      </c>
      <c r="F286" s="193"/>
      <c r="G286" s="193"/>
    </row>
    <row r="287" spans="1:7" s="135" customFormat="1" ht="37.5" x14ac:dyDescent="0.25">
      <c r="A287" s="200">
        <f t="shared" si="15"/>
        <v>924</v>
      </c>
      <c r="B287" s="231" t="str">
        <f>Suite&amp;" Electrical Room "&amp;SWFour</f>
        <v>G104 Electrical Room XXX</v>
      </c>
      <c r="C287" s="183" t="str">
        <f>"UPS "&amp;SWFour&amp;"2"</f>
        <v>UPS XXX2</v>
      </c>
      <c r="D287" s="233" t="s">
        <v>1611</v>
      </c>
      <c r="E287" s="183" t="s">
        <v>1464</v>
      </c>
      <c r="F287" s="193"/>
      <c r="G287" s="193"/>
    </row>
    <row r="288" spans="1:7" s="135" customFormat="1" ht="37.5" x14ac:dyDescent="0.25">
      <c r="A288" s="200">
        <f t="shared" si="15"/>
        <v>925</v>
      </c>
      <c r="B288" s="231" t="str">
        <f>Suite&amp;" Electrical Room "&amp;SWFour</f>
        <v>G104 Electrical Room XXX</v>
      </c>
      <c r="C288" s="183" t="s">
        <v>1566</v>
      </c>
      <c r="D288" s="233" t="s">
        <v>1612</v>
      </c>
      <c r="E288" s="183" t="s">
        <v>1464</v>
      </c>
      <c r="F288" s="193"/>
      <c r="G288" s="193"/>
    </row>
    <row r="289" spans="1:7" s="135" customFormat="1" ht="37.5" x14ac:dyDescent="0.25">
      <c r="A289" s="200">
        <f t="shared" si="15"/>
        <v>926</v>
      </c>
      <c r="B289" s="231" t="str">
        <f>Suite&amp;" Electrical Room "&amp;SWFour</f>
        <v>G104 Electrical Room XXX</v>
      </c>
      <c r="C289" s="183" t="str">
        <f>"UP"&amp;SWFour</f>
        <v>UPXXX</v>
      </c>
      <c r="D289" s="233" t="str" cm="1">
        <f t="array" ref="D289">"NOTATE the kW reading at UP" &amp; SWFour &amp; " Critical Bus Panel Meter: _________"</f>
        <v>NOTATE the kW reading at UPXXX Critical Bus Panel Meter: _________</v>
      </c>
      <c r="E289" s="183" t="s">
        <v>1464</v>
      </c>
      <c r="F289" s="193"/>
      <c r="G289" s="193"/>
    </row>
    <row r="290" spans="1:7" s="165" customFormat="1" ht="37.5" x14ac:dyDescent="0.25">
      <c r="A290" s="200">
        <f t="shared" si="15"/>
        <v>927</v>
      </c>
      <c r="B290" s="231" t="str">
        <f>Suite&amp;" Electrical Room "&amp;SWFour</f>
        <v>G104 Electrical Room XXX</v>
      </c>
      <c r="C290" s="183" t="str">
        <f>"UP"&amp;SWFour</f>
        <v>UPXXX</v>
      </c>
      <c r="D290" s="233" t="str">
        <f>"VERIFY the readings in step " &amp; A271 &amp; " and " &amp; A289 &amp; " are within 3% of each other. (new kW divided by original kW must be ≤1.03 and ≥0.97)."</f>
        <v>VERIFY the readings in step 908 and 926 are within 3% of each other. (new kW divided by original kW must be ≤1.03 and ≥0.97).</v>
      </c>
      <c r="E290" s="183" t="s">
        <v>1464</v>
      </c>
      <c r="F290" s="193"/>
      <c r="G290" s="193"/>
    </row>
    <row r="291" spans="1:7" s="165" customFormat="1" ht="37.5" x14ac:dyDescent="0.25">
      <c r="A291" s="200">
        <f t="shared" si="15"/>
        <v>928</v>
      </c>
      <c r="B291" s="183" t="s">
        <v>1462</v>
      </c>
      <c r="C291" s="183" t="s">
        <v>84</v>
      </c>
      <c r="D291" s="252" t="str">
        <f>"Contact the engineer stationed on base to verify no abnormal conditions exist on the suite " &amp; Suite &amp; " electrical systems."</f>
        <v>Contact the engineer stationed on base to verify no abnormal conditions exist on the suite G104 electrical systems.</v>
      </c>
      <c r="E291" s="183" t="s">
        <v>1464</v>
      </c>
      <c r="F291" s="193"/>
      <c r="G291" s="193"/>
    </row>
    <row r="292" spans="1:7" x14ac:dyDescent="0.3">
      <c r="A292" s="253"/>
    </row>
    <row r="304" spans="1:7" x14ac:dyDescent="0.3">
      <c r="A304" s="255"/>
    </row>
    <row r="305" spans="1:1" x14ac:dyDescent="0.3">
      <c r="A305" s="255"/>
    </row>
    <row r="306" spans="1:1" x14ac:dyDescent="0.3">
      <c r="A306" s="255"/>
    </row>
    <row r="307" spans="1:1" x14ac:dyDescent="0.3">
      <c r="A307" s="255"/>
    </row>
    <row r="308" spans="1:1" x14ac:dyDescent="0.3">
      <c r="A308" s="255"/>
    </row>
    <row r="309" spans="1:1" x14ac:dyDescent="0.3">
      <c r="A309" s="255"/>
    </row>
    <row r="310" spans="1:1" x14ac:dyDescent="0.3">
      <c r="A310" s="255"/>
    </row>
    <row r="311" spans="1:1" x14ac:dyDescent="0.3">
      <c r="A311" s="255"/>
    </row>
  </sheetData>
  <sheetProtection formatCells="0" formatColumns="0" formatRows="0" insertRows="0" deleteRows="0" sort="0" autoFilter="0"/>
  <mergeCells count="12">
    <mergeCell ref="A2:B2"/>
    <mergeCell ref="C2:G2"/>
    <mergeCell ref="B249:G249"/>
    <mergeCell ref="B280:G280"/>
    <mergeCell ref="A4:C4"/>
    <mergeCell ref="B6:G6"/>
    <mergeCell ref="B8:G8"/>
    <mergeCell ref="B16:G16"/>
    <mergeCell ref="B18:G18"/>
    <mergeCell ref="B31:G31"/>
    <mergeCell ref="B58:G58"/>
    <mergeCell ref="B142:G14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7E875-D557-45EE-BEBF-99124D6A389B}">
  <sheetPr codeName="NX_A">
    <pageSetUpPr fitToPage="1"/>
  </sheetPr>
  <dimension ref="A1:K216"/>
  <sheetViews>
    <sheetView view="pageBreakPreview" topLeftCell="A190" zoomScale="90" zoomScaleNormal="100" zoomScaleSheetLayoutView="90" workbookViewId="0">
      <selection activeCell="A215" sqref="A215"/>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11" width="8.7109375" style="150" customWidth="1"/>
    <col min="12" max="16384" width="8.7109375" style="150"/>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149"/>
      <c r="I4" s="149"/>
    </row>
    <row r="5" spans="1:9" ht="37.5" x14ac:dyDescent="0.25">
      <c r="A5" s="378" t="s">
        <v>1455</v>
      </c>
      <c r="B5" s="379" t="s">
        <v>8</v>
      </c>
      <c r="C5" s="379" t="s">
        <v>1456</v>
      </c>
      <c r="D5" s="378" t="s">
        <v>1457</v>
      </c>
      <c r="E5" s="379" t="s">
        <v>1458</v>
      </c>
      <c r="F5" s="379" t="s">
        <v>1459</v>
      </c>
      <c r="G5" s="378" t="s">
        <v>1460</v>
      </c>
    </row>
    <row r="6" spans="1:9" x14ac:dyDescent="0.25">
      <c r="A6" s="200">
        <v>1</v>
      </c>
      <c r="B6" s="712" t="s">
        <v>1461</v>
      </c>
      <c r="C6" s="712"/>
      <c r="D6" s="712"/>
      <c r="E6" s="712"/>
      <c r="F6" s="712"/>
      <c r="G6" s="712"/>
    </row>
    <row r="7" spans="1:9" ht="37.5" x14ac:dyDescent="0.25">
      <c r="A7" s="200">
        <f>A6+1</f>
        <v>2</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x14ac:dyDescent="0.25">
      <c r="A8" s="200">
        <f>A7+1</f>
        <v>3</v>
      </c>
      <c r="B8" s="712" t="s">
        <v>1465</v>
      </c>
      <c r="C8" s="712"/>
      <c r="D8" s="712"/>
      <c r="E8" s="712"/>
      <c r="F8" s="712"/>
      <c r="G8" s="712"/>
    </row>
    <row r="9" spans="1:9" ht="56.25" x14ac:dyDescent="0.25">
      <c r="A9" s="200">
        <f t="shared" ref="A9:A88" si="0">A8+1</f>
        <v>4</v>
      </c>
      <c r="B9" s="231" t="str">
        <f>Suite&amp;" Electrical Rooms "&amp;SWOne&amp;" &amp; "&amp;SWTwo</f>
        <v>G104 Electrical Rooms XXX &amp; XXX</v>
      </c>
      <c r="C9" s="183" t="str">
        <f>"UPS "&amp;SWOne&amp;" &amp; "&amp;SWTwo</f>
        <v>UPS XXX &amp; XXX</v>
      </c>
      <c r="D9" s="187" t="s">
        <v>1613</v>
      </c>
      <c r="E9" s="183" t="s">
        <v>1464</v>
      </c>
      <c r="F9" s="193"/>
      <c r="G9" s="193"/>
    </row>
    <row r="10" spans="1:9" customFormat="1" ht="37.5" x14ac:dyDescent="0.25">
      <c r="A10" s="519">
        <f t="shared" si="0"/>
        <v>5</v>
      </c>
      <c r="B10" s="500" t="str">
        <f>Suite&amp;" Electrical Room A"</f>
        <v>G104 Electrical Room A</v>
      </c>
      <c r="C10" s="499" t="s">
        <v>1466</v>
      </c>
      <c r="D10" s="191" t="s">
        <v>1467</v>
      </c>
      <c r="E10" s="499" t="s">
        <v>1464</v>
      </c>
      <c r="F10" s="500"/>
      <c r="G10" s="519"/>
    </row>
    <row r="11" spans="1:9" customFormat="1" ht="37.5" x14ac:dyDescent="0.25">
      <c r="A11" s="519">
        <f t="shared" si="0"/>
        <v>6</v>
      </c>
      <c r="B11" s="500" t="str">
        <f>Suite&amp;" Electrical Room A"</f>
        <v>G104 Electrical Room A</v>
      </c>
      <c r="C11" s="499" t="s">
        <v>1468</v>
      </c>
      <c r="D11" s="191" t="s">
        <v>1469</v>
      </c>
      <c r="E11" s="499" t="s">
        <v>1464</v>
      </c>
      <c r="F11" s="500"/>
      <c r="G11" s="519"/>
    </row>
    <row r="12" spans="1:9" ht="37.5" x14ac:dyDescent="0.25">
      <c r="A12" s="519">
        <f t="shared" si="0"/>
        <v>7</v>
      </c>
      <c r="B12" s="231" t="str">
        <f>Suite&amp;" Electrical Room "&amp;SWOne</f>
        <v>G104 Electrical Room XXX</v>
      </c>
      <c r="C12" s="183" t="str">
        <f>"UP"&amp;SWOne</f>
        <v>UPXXX</v>
      </c>
      <c r="D12" s="186" t="s">
        <v>2101</v>
      </c>
      <c r="E12" s="183" t="s">
        <v>1464</v>
      </c>
      <c r="F12" s="193"/>
      <c r="G12" s="193"/>
    </row>
    <row r="13" spans="1:9" customFormat="1" ht="37.5" x14ac:dyDescent="0.25">
      <c r="A13" s="519">
        <f t="shared" ref="A13:A24" si="1">A12+1</f>
        <v>8</v>
      </c>
      <c r="B13" s="500" t="str">
        <f>Suite&amp;" Electrical Room B"</f>
        <v>G104 Electrical Room B</v>
      </c>
      <c r="C13" s="499" t="s">
        <v>1472</v>
      </c>
      <c r="D13" s="191" t="s">
        <v>1473</v>
      </c>
      <c r="E13" s="499" t="s">
        <v>1464</v>
      </c>
      <c r="F13" s="500"/>
      <c r="G13" s="519"/>
    </row>
    <row r="14" spans="1:9" customFormat="1" ht="37.5" x14ac:dyDescent="0.25">
      <c r="A14" s="519">
        <f t="shared" si="1"/>
        <v>9</v>
      </c>
      <c r="B14" s="500" t="str">
        <f>Suite&amp;" Electrical Room B"</f>
        <v>G104 Electrical Room B</v>
      </c>
      <c r="C14" s="499" t="s">
        <v>1474</v>
      </c>
      <c r="D14" s="191" t="s">
        <v>1475</v>
      </c>
      <c r="E14" s="499" t="s">
        <v>1464</v>
      </c>
      <c r="F14" s="500"/>
      <c r="G14" s="519"/>
    </row>
    <row r="15" spans="1:9" customFormat="1" ht="37.5" x14ac:dyDescent="0.25">
      <c r="A15" s="519">
        <f t="shared" si="1"/>
        <v>10</v>
      </c>
      <c r="B15" s="500" t="str">
        <f>Suite&amp;" Electrical Room B"</f>
        <v>G104 Electrical Room B</v>
      </c>
      <c r="C15" s="499" t="s">
        <v>1476</v>
      </c>
      <c r="D15" s="191" t="s">
        <v>1477</v>
      </c>
      <c r="E15" s="499" t="s">
        <v>1464</v>
      </c>
      <c r="F15" s="500"/>
      <c r="G15" s="519"/>
    </row>
    <row r="16" spans="1:9" customFormat="1" ht="37.5" hidden="1" x14ac:dyDescent="0.25">
      <c r="A16" s="519">
        <f t="shared" si="1"/>
        <v>11</v>
      </c>
      <c r="B16" s="500" t="str">
        <f>Suite&amp;" Electrical Room C"</f>
        <v>G104 Electrical Room C</v>
      </c>
      <c r="C16" s="499" t="s">
        <v>1478</v>
      </c>
      <c r="D16" s="191" t="s">
        <v>1479</v>
      </c>
      <c r="E16" s="499" t="s">
        <v>1464</v>
      </c>
      <c r="F16" s="500"/>
      <c r="G16" s="519"/>
    </row>
    <row r="17" spans="1:11" customFormat="1" ht="37.5" hidden="1" x14ac:dyDescent="0.25">
      <c r="A17" s="519">
        <f t="shared" si="1"/>
        <v>12</v>
      </c>
      <c r="B17" s="500" t="str">
        <f>Suite&amp;" Electrical Room C"</f>
        <v>G104 Electrical Room C</v>
      </c>
      <c r="C17" s="499" t="s">
        <v>1480</v>
      </c>
      <c r="D17" s="191" t="s">
        <v>1481</v>
      </c>
      <c r="E17" s="499" t="s">
        <v>1464</v>
      </c>
      <c r="F17" s="500"/>
      <c r="G17" s="519"/>
    </row>
    <row r="18" spans="1:11" customFormat="1" ht="37.5" hidden="1" x14ac:dyDescent="0.25">
      <c r="A18" s="519">
        <f t="shared" si="1"/>
        <v>13</v>
      </c>
      <c r="B18" s="500" t="str">
        <f>Suite&amp;" Electrical Room C"</f>
        <v>G104 Electrical Room C</v>
      </c>
      <c r="C18" s="499" t="s">
        <v>1482</v>
      </c>
      <c r="D18" s="191" t="s">
        <v>1483</v>
      </c>
      <c r="E18" s="499" t="s">
        <v>1464</v>
      </c>
      <c r="F18" s="500"/>
      <c r="G18" s="519"/>
    </row>
    <row r="19" spans="1:11" customFormat="1" ht="37.5" hidden="1" x14ac:dyDescent="0.25">
      <c r="A19" s="519">
        <f t="shared" si="1"/>
        <v>14</v>
      </c>
      <c r="B19" s="500" t="str">
        <f>Suite&amp;" Electrical Room D"</f>
        <v>G104 Electrical Room D</v>
      </c>
      <c r="C19" s="499" t="s">
        <v>1484</v>
      </c>
      <c r="D19" s="191" t="s">
        <v>1485</v>
      </c>
      <c r="E19" s="499" t="s">
        <v>1464</v>
      </c>
      <c r="F19" s="500"/>
      <c r="G19" s="519"/>
      <c r="K19" s="523"/>
    </row>
    <row r="20" spans="1:11" customFormat="1" ht="37.5" hidden="1" x14ac:dyDescent="0.25">
      <c r="A20" s="519">
        <f t="shared" si="1"/>
        <v>15</v>
      </c>
      <c r="B20" s="500" t="str">
        <f>Suite&amp;" Electrical Room D"</f>
        <v>G104 Electrical Room D</v>
      </c>
      <c r="C20" s="499" t="s">
        <v>1486</v>
      </c>
      <c r="D20" s="191" t="s">
        <v>1487</v>
      </c>
      <c r="E20" s="499" t="s">
        <v>1464</v>
      </c>
      <c r="F20" s="500"/>
      <c r="G20" s="519"/>
      <c r="K20" s="4"/>
    </row>
    <row r="21" spans="1:11" customFormat="1" ht="37.5" hidden="1" x14ac:dyDescent="0.25">
      <c r="A21" s="519">
        <f t="shared" si="1"/>
        <v>16</v>
      </c>
      <c r="B21" s="500" t="str">
        <f>Suite&amp;" Electrical Room D"</f>
        <v>G104 Electrical Room D</v>
      </c>
      <c r="C21" s="499" t="s">
        <v>1488</v>
      </c>
      <c r="D21" s="191" t="s">
        <v>1489</v>
      </c>
      <c r="E21" s="499" t="s">
        <v>1464</v>
      </c>
      <c r="F21" s="500"/>
      <c r="G21" s="519"/>
      <c r="K21" s="4"/>
    </row>
    <row r="22" spans="1:11" customFormat="1" ht="37.5" hidden="1" x14ac:dyDescent="0.25">
      <c r="A22" s="519">
        <f t="shared" si="1"/>
        <v>17</v>
      </c>
      <c r="B22" s="500" t="str">
        <f>Suite&amp;" Electrical Room F"</f>
        <v>G104 Electrical Room F</v>
      </c>
      <c r="C22" s="499" t="s">
        <v>1490</v>
      </c>
      <c r="D22" s="191" t="s">
        <v>1491</v>
      </c>
      <c r="E22" s="499" t="s">
        <v>1464</v>
      </c>
      <c r="F22" s="500"/>
      <c r="G22" s="519"/>
      <c r="K22" s="4"/>
    </row>
    <row r="23" spans="1:11" customFormat="1" ht="37.5" hidden="1" x14ac:dyDescent="0.25">
      <c r="A23" s="519">
        <f t="shared" si="1"/>
        <v>18</v>
      </c>
      <c r="B23" s="500" t="str">
        <f>Suite&amp;" Electrical Room F"</f>
        <v>G104 Electrical Room F</v>
      </c>
      <c r="C23" s="499" t="s">
        <v>1492</v>
      </c>
      <c r="D23" s="191" t="s">
        <v>1493</v>
      </c>
      <c r="E23" s="499" t="s">
        <v>1464</v>
      </c>
      <c r="F23" s="500"/>
      <c r="G23" s="519"/>
      <c r="K23" s="524"/>
    </row>
    <row r="24" spans="1:11" customFormat="1" ht="37.5" hidden="1" x14ac:dyDescent="0.25">
      <c r="A24" s="519">
        <f t="shared" si="1"/>
        <v>19</v>
      </c>
      <c r="B24" s="500" t="str">
        <f>Suite&amp;" Electrical Room F"</f>
        <v>G104 Electrical Room F</v>
      </c>
      <c r="C24" s="499" t="s">
        <v>1494</v>
      </c>
      <c r="D24" s="191" t="s">
        <v>1495</v>
      </c>
      <c r="E24" s="499" t="s">
        <v>1464</v>
      </c>
      <c r="F24" s="500"/>
      <c r="G24" s="519"/>
      <c r="K24" s="4"/>
    </row>
    <row r="25" spans="1:11" customFormat="1" ht="56.25" x14ac:dyDescent="0.25">
      <c r="A25" s="200">
        <f>A15+1</f>
        <v>11</v>
      </c>
      <c r="B25" s="500" t="str" cm="1">
        <f t="array" ref="B25">Suite &amp; " Electrical Rooms"</f>
        <v>G104 Electrical Rooms</v>
      </c>
      <c r="C25" s="499" t="str" cm="1">
        <f t="array" ref="C25">Suite &amp; " UPS System"</f>
        <v>G104 UPS System</v>
      </c>
      <c r="D25" s="190" t="s">
        <v>4621</v>
      </c>
      <c r="E25" s="499" t="s">
        <v>1464</v>
      </c>
      <c r="F25" s="500"/>
      <c r="G25" s="519"/>
      <c r="K25" s="4"/>
    </row>
    <row r="26" spans="1:11" customFormat="1" ht="37.5" x14ac:dyDescent="0.25">
      <c r="A26" s="519">
        <f>A25+1</f>
        <v>12</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11" ht="56.25" x14ac:dyDescent="0.25">
      <c r="A27" s="519">
        <f>A26+1</f>
        <v>13</v>
      </c>
      <c r="B27" s="231" t="str">
        <f>Suite&amp;" Electrical Rooms "&amp;SWOne&amp;" &amp; "&amp;SWTwo</f>
        <v>G104 Electrical Rooms XXX &amp; XXX</v>
      </c>
      <c r="C27" s="183" t="str">
        <f>"UPS "&amp;SWOne&amp;" &amp; "&amp;SWTwo</f>
        <v>UPS XXX &amp; XXX</v>
      </c>
      <c r="D27" s="186" t="s">
        <v>1559</v>
      </c>
      <c r="E27" s="183" t="s">
        <v>1464</v>
      </c>
      <c r="F27" s="193"/>
      <c r="G27" s="193"/>
    </row>
    <row r="28" spans="1:11" x14ac:dyDescent="0.25">
      <c r="A28" s="200">
        <f t="shared" si="0"/>
        <v>14</v>
      </c>
      <c r="B28" s="712" t="s">
        <v>1615</v>
      </c>
      <c r="C28" s="712"/>
      <c r="D28" s="712"/>
      <c r="E28" s="712"/>
      <c r="F28" s="712"/>
      <c r="G28" s="712"/>
    </row>
    <row r="29" spans="1:11" ht="37.5" x14ac:dyDescent="0.25">
      <c r="A29" s="200">
        <f t="shared" si="0"/>
        <v>15</v>
      </c>
      <c r="B29" s="231" t="str">
        <f>Suite&amp;" Electrical Room "&amp;SWOne</f>
        <v>G104 Electrical Room XXX</v>
      </c>
      <c r="C29" s="183" t="str">
        <f>"UP"&amp;SWOne</f>
        <v>UPXXX</v>
      </c>
      <c r="D29" s="233" t="s">
        <v>1616</v>
      </c>
      <c r="E29" s="183" t="s">
        <v>1464</v>
      </c>
      <c r="F29" s="193"/>
      <c r="G29" s="193"/>
    </row>
    <row r="30" spans="1:11" x14ac:dyDescent="0.25">
      <c r="A30" s="200">
        <f t="shared" si="0"/>
        <v>16</v>
      </c>
      <c r="B30" s="714" t="s">
        <v>1617</v>
      </c>
      <c r="C30" s="714"/>
      <c r="D30" s="714"/>
      <c r="E30" s="714"/>
      <c r="F30" s="714"/>
      <c r="G30" s="714"/>
    </row>
    <row r="31" spans="1:11" ht="37.5" x14ac:dyDescent="0.25">
      <c r="A31" s="200">
        <f t="shared" si="0"/>
        <v>17</v>
      </c>
      <c r="B31" s="231" t="str">
        <f>Suite&amp;" Electrical Room "&amp;SWOne</f>
        <v>G104 Electrical Room XXX</v>
      </c>
      <c r="C31" s="183" t="str">
        <f>"UPS "&amp;SWOne&amp;"1"</f>
        <v>UPS XXX1</v>
      </c>
      <c r="D31" s="187" t="s">
        <v>1618</v>
      </c>
      <c r="E31" s="183" t="s">
        <v>1464</v>
      </c>
      <c r="F31" s="193"/>
      <c r="G31" s="193"/>
    </row>
    <row r="32" spans="1:11" ht="37.5" x14ac:dyDescent="0.25">
      <c r="A32" s="200">
        <f t="shared" si="0"/>
        <v>18</v>
      </c>
      <c r="B32" s="231" t="str">
        <f>Suite&amp;" Electrical Room "&amp;SWOne</f>
        <v>G104 Electrical Room XXX</v>
      </c>
      <c r="C32" s="183" t="str">
        <f>"UPS "&amp;SWOne&amp;"1"</f>
        <v>UPS XXX1</v>
      </c>
      <c r="D32" s="187" t="s">
        <v>1619</v>
      </c>
      <c r="E32" s="183" t="s">
        <v>1464</v>
      </c>
      <c r="F32" s="193"/>
      <c r="G32" s="193"/>
    </row>
    <row r="33" spans="1:7" ht="37.5" x14ac:dyDescent="0.25">
      <c r="A33" s="200">
        <f t="shared" si="0"/>
        <v>19</v>
      </c>
      <c r="B33" s="231" t="str">
        <f>Suite&amp;" Electrical Room "&amp;SWOne</f>
        <v>G104 Electrical Room XXX</v>
      </c>
      <c r="C33" s="183" t="str">
        <f>"UPS "&amp;SWOne&amp;"1"</f>
        <v>UPS XXX1</v>
      </c>
      <c r="D33" s="186" t="s">
        <v>1620</v>
      </c>
      <c r="E33" s="183" t="s">
        <v>1464</v>
      </c>
      <c r="F33" s="193"/>
      <c r="G33" s="193"/>
    </row>
    <row r="34" spans="1:7" ht="37.5" x14ac:dyDescent="0.25">
      <c r="A34" s="200">
        <f t="shared" si="0"/>
        <v>20</v>
      </c>
      <c r="B34" s="231" t="str">
        <f>Suite&amp;" Electrical Room "&amp;SWOne</f>
        <v>G104 Electrical Room XXX</v>
      </c>
      <c r="C34" s="183" t="str">
        <f>"UPS "&amp;SWOne&amp;"1"</f>
        <v>UPS XXX1</v>
      </c>
      <c r="D34" s="187" t="s">
        <v>1621</v>
      </c>
      <c r="E34" s="183" t="s">
        <v>1464</v>
      </c>
      <c r="F34" s="193"/>
      <c r="G34" s="193"/>
    </row>
    <row r="35" spans="1:7" ht="56.25" x14ac:dyDescent="0.25">
      <c r="A35" s="200">
        <f t="shared" si="0"/>
        <v>21</v>
      </c>
      <c r="B35" s="231" t="str">
        <f>Suite&amp;" Electrical Room "&amp;SWOne</f>
        <v>G104 Electrical Room XXX</v>
      </c>
      <c r="C35" s="183" t="str">
        <f>"UPS "&amp;SWOne&amp;"1"</f>
        <v>UPS XXX1</v>
      </c>
      <c r="D35" s="186" t="s">
        <v>1622</v>
      </c>
      <c r="E35" s="183" t="s">
        <v>1464</v>
      </c>
      <c r="F35" s="193"/>
      <c r="G35" s="193"/>
    </row>
    <row r="36" spans="1:7" ht="37.5" x14ac:dyDescent="0.25">
      <c r="A36" s="200">
        <f t="shared" si="0"/>
        <v>22</v>
      </c>
      <c r="B36" s="231" t="str">
        <f>Suite&amp;" Electrical Room "&amp;SWOne</f>
        <v>G104 Electrical Room XXX</v>
      </c>
      <c r="C36" s="183" t="str">
        <f>"UPS "&amp;SWOne&amp;"2"</f>
        <v>UPS XXX2</v>
      </c>
      <c r="D36" s="187" t="s">
        <v>1623</v>
      </c>
      <c r="E36" s="183" t="s">
        <v>1464</v>
      </c>
      <c r="F36" s="193"/>
      <c r="G36" s="193"/>
    </row>
    <row r="37" spans="1:7" ht="37.5" x14ac:dyDescent="0.25">
      <c r="A37" s="200">
        <f t="shared" si="0"/>
        <v>23</v>
      </c>
      <c r="B37" s="231" t="str">
        <f>Suite&amp;" Electrical Room "&amp;SWOne</f>
        <v>G104 Electrical Room XXX</v>
      </c>
      <c r="C37" s="183" t="str">
        <f>"UPS "&amp;SWOne&amp;"2"</f>
        <v>UPS XXX2</v>
      </c>
      <c r="D37" s="186" t="s">
        <v>1620</v>
      </c>
      <c r="E37" s="183" t="s">
        <v>1464</v>
      </c>
      <c r="F37" s="193"/>
      <c r="G37" s="193"/>
    </row>
    <row r="38" spans="1:7" ht="37.5" x14ac:dyDescent="0.25">
      <c r="A38" s="200">
        <f t="shared" si="0"/>
        <v>24</v>
      </c>
      <c r="B38" s="231" t="str">
        <f>Suite&amp;" Electrical Room "&amp;SWOne</f>
        <v>G104 Electrical Room XXX</v>
      </c>
      <c r="C38" s="183" t="str">
        <f>"UPS "&amp;SWOne&amp;"2"</f>
        <v>UPS XXX2</v>
      </c>
      <c r="D38" s="187" t="s">
        <v>1621</v>
      </c>
      <c r="E38" s="183" t="s">
        <v>1464</v>
      </c>
      <c r="F38" s="193"/>
      <c r="G38" s="193"/>
    </row>
    <row r="39" spans="1:7" ht="37.5" x14ac:dyDescent="0.25">
      <c r="A39" s="200">
        <f t="shared" si="0"/>
        <v>25</v>
      </c>
      <c r="B39" s="231" t="str">
        <f>Suite&amp;" Electrical Room "&amp;SWOne</f>
        <v>G104 Electrical Room XXX</v>
      </c>
      <c r="C39" s="183" t="str">
        <f>"UPS "&amp;SWOne&amp;"2"</f>
        <v>UPS XXX2</v>
      </c>
      <c r="D39" s="204" t="s">
        <v>1624</v>
      </c>
      <c r="E39" s="183" t="s">
        <v>1464</v>
      </c>
      <c r="F39" s="193"/>
      <c r="G39" s="193"/>
    </row>
    <row r="40" spans="1:7" ht="56.25" x14ac:dyDescent="0.25">
      <c r="A40" s="200">
        <f t="shared" si="0"/>
        <v>26</v>
      </c>
      <c r="B40" s="231" t="str">
        <f>Suite&amp;" Electrical Room "&amp;SWOne</f>
        <v>G104 Electrical Room XXX</v>
      </c>
      <c r="C40" s="183" t="str">
        <f>"UPS "&amp;SWOne&amp;"2"</f>
        <v>UPS XXX2</v>
      </c>
      <c r="D40" s="186" t="s">
        <v>1622</v>
      </c>
      <c r="E40" s="183" t="s">
        <v>1464</v>
      </c>
      <c r="F40" s="193"/>
      <c r="G40" s="193"/>
    </row>
    <row r="41" spans="1:7" ht="37.5" x14ac:dyDescent="0.25">
      <c r="A41" s="200">
        <f t="shared" si="0"/>
        <v>27</v>
      </c>
      <c r="B41" s="231" t="str">
        <f>Suite&amp;" Electrical Room "&amp;SWOne</f>
        <v>G104 Electrical Room XXX</v>
      </c>
      <c r="C41" s="183" t="str">
        <f>"UPS "&amp;SWOne&amp;"2"</f>
        <v>UPS XXX2</v>
      </c>
      <c r="D41" s="187" t="s">
        <v>1625</v>
      </c>
      <c r="E41" s="183" t="s">
        <v>1464</v>
      </c>
      <c r="F41" s="193"/>
      <c r="G41" s="193"/>
    </row>
    <row r="42" spans="1:7" ht="37.5" x14ac:dyDescent="0.25">
      <c r="A42" s="200">
        <f t="shared" si="0"/>
        <v>28</v>
      </c>
      <c r="B42" s="231" t="str">
        <f>Suite&amp;" Electrical Room "&amp;SWOne</f>
        <v>G104 Electrical Room XXX</v>
      </c>
      <c r="C42" s="183" t="str">
        <f>"UPS "&amp;SWOne</f>
        <v>UPS XXX</v>
      </c>
      <c r="D42" s="204" t="s">
        <v>1501</v>
      </c>
      <c r="E42" s="183" t="s">
        <v>1464</v>
      </c>
      <c r="F42" s="193"/>
      <c r="G42" s="193"/>
    </row>
    <row r="43" spans="1:7" ht="37.5" x14ac:dyDescent="0.25">
      <c r="A43" s="200">
        <f t="shared" si="0"/>
        <v>29</v>
      </c>
      <c r="B43" s="231" t="str">
        <f>Suite&amp;" Electrical Room "&amp;SWOne</f>
        <v>G104 Electrical Room XXX</v>
      </c>
      <c r="C43" s="183" t="str">
        <f>"UP"&amp;SWOne</f>
        <v>UPXXX</v>
      </c>
      <c r="D43" s="235" t="s">
        <v>1626</v>
      </c>
      <c r="E43" s="183" t="s">
        <v>1464</v>
      </c>
      <c r="F43" s="193"/>
      <c r="G43" s="193"/>
    </row>
    <row r="44" spans="1:7" ht="37.5" x14ac:dyDescent="0.25">
      <c r="A44" s="200">
        <f t="shared" si="0"/>
        <v>30</v>
      </c>
      <c r="B44" s="231" t="str">
        <f>Suite&amp;" Electrical Room "&amp;SWOne</f>
        <v>G104 Electrical Room XXX</v>
      </c>
      <c r="C44" s="183" t="str">
        <f>"UP"&amp;SWOne</f>
        <v>UPXXX</v>
      </c>
      <c r="D44" s="186" t="str">
        <f>"VERIFY the readings in step " &amp; A12 &amp; " and " &amp; A43 &amp; " are within 3% of each other. (new kW divided by original kW must be ≤1.03 and ≥0.97)."</f>
        <v>VERIFY the readings in step 7 and 29 are within 3% of each other. (new kW divided by original kW must be ≤1.03 and ≥0.97).</v>
      </c>
      <c r="E44" s="183" t="s">
        <v>1464</v>
      </c>
      <c r="F44" s="193"/>
      <c r="G44" s="193"/>
    </row>
    <row r="45" spans="1:7" x14ac:dyDescent="0.25">
      <c r="A45" s="200">
        <f t="shared" si="0"/>
        <v>31</v>
      </c>
      <c r="B45" s="714" t="s">
        <v>1502</v>
      </c>
      <c r="C45" s="714"/>
      <c r="D45" s="714"/>
      <c r="E45" s="714"/>
      <c r="F45" s="714"/>
      <c r="G45" s="714"/>
    </row>
    <row r="46" spans="1:7" ht="37.5" x14ac:dyDescent="0.25">
      <c r="A46" s="200">
        <f t="shared" si="0"/>
        <v>32</v>
      </c>
      <c r="B46" s="231" t="str">
        <f>Suite&amp;" Electrical Room "&amp;SWOne</f>
        <v>G104 Electrical Room XXX</v>
      </c>
      <c r="C46" s="183" t="str">
        <f>"UP"&amp;SWOne</f>
        <v>UPXXX</v>
      </c>
      <c r="D46" s="235" t="s">
        <v>1627</v>
      </c>
      <c r="E46" s="183" t="s">
        <v>1464</v>
      </c>
      <c r="F46" s="193"/>
      <c r="G46" s="193"/>
    </row>
    <row r="47" spans="1:7" ht="37.5" x14ac:dyDescent="0.25">
      <c r="A47" s="200">
        <f t="shared" si="0"/>
        <v>33</v>
      </c>
      <c r="B47" s="231" t="str">
        <f>Suite&amp;" Electrical Room "&amp;SWOne</f>
        <v>G104 Electrical Room XXX</v>
      </c>
      <c r="C47" s="183" t="str">
        <f>"UP"&amp;SWOne</f>
        <v>UPXXX</v>
      </c>
      <c r="D47" s="187" t="s">
        <v>1628</v>
      </c>
      <c r="E47" s="183" t="s">
        <v>1464</v>
      </c>
      <c r="F47" s="193"/>
      <c r="G47" s="193"/>
    </row>
    <row r="48" spans="1:7" ht="37.5" x14ac:dyDescent="0.25">
      <c r="A48" s="200">
        <f t="shared" si="0"/>
        <v>34</v>
      </c>
      <c r="B48" s="231" t="str">
        <f>Suite&amp;" Electrical Room "&amp;SWOne</f>
        <v>G104 Electrical Room XXX</v>
      </c>
      <c r="C48" s="183" t="str">
        <f>"UP"&amp;SWOne</f>
        <v>UPXXX</v>
      </c>
      <c r="D48" s="187" t="s">
        <v>1629</v>
      </c>
      <c r="E48" s="183" t="s">
        <v>1464</v>
      </c>
      <c r="F48" s="193"/>
      <c r="G48" s="193"/>
    </row>
    <row r="49" spans="1:7" ht="37.5" x14ac:dyDescent="0.25">
      <c r="A49" s="200">
        <f t="shared" si="0"/>
        <v>35</v>
      </c>
      <c r="B49" s="231" t="str">
        <f>Suite&amp;" Electrical Room "&amp;SWOne</f>
        <v>G104 Electrical Room XXX</v>
      </c>
      <c r="C49" s="183" t="str">
        <f>"UP"&amp;SWOne</f>
        <v>UPXXX</v>
      </c>
      <c r="D49" s="235" t="s">
        <v>1630</v>
      </c>
      <c r="E49" s="183" t="s">
        <v>1464</v>
      </c>
      <c r="F49" s="193"/>
      <c r="G49" s="193"/>
    </row>
    <row r="50" spans="1:7" ht="37.5" x14ac:dyDescent="0.25">
      <c r="A50" s="200">
        <f t="shared" si="0"/>
        <v>36</v>
      </c>
      <c r="B50" s="231" t="str">
        <f>Suite&amp;" Electrical Room "&amp;SWOne</f>
        <v>G104 Electrical Room XXX</v>
      </c>
      <c r="C50" s="183" t="str">
        <f>"UP"&amp;SWOne</f>
        <v>UPXXX</v>
      </c>
      <c r="D50" s="187" t="s">
        <v>1631</v>
      </c>
      <c r="E50" s="183" t="s">
        <v>1464</v>
      </c>
      <c r="F50" s="193"/>
      <c r="G50" s="193"/>
    </row>
    <row r="51" spans="1:7" ht="37.5" x14ac:dyDescent="0.25">
      <c r="A51" s="200">
        <f t="shared" si="0"/>
        <v>37</v>
      </c>
      <c r="B51" s="231" t="str">
        <f>Suite&amp;" Electrical Room "&amp;SWOne</f>
        <v>G104 Electrical Room XXX</v>
      </c>
      <c r="C51" s="183" t="str">
        <f>"UP"&amp;SWOne</f>
        <v>UPXXX</v>
      </c>
      <c r="D51" s="187" t="s">
        <v>1632</v>
      </c>
      <c r="E51" s="183" t="s">
        <v>1464</v>
      </c>
      <c r="F51" s="193"/>
      <c r="G51" s="193"/>
    </row>
    <row r="52" spans="1:7" ht="37.5" x14ac:dyDescent="0.25">
      <c r="A52" s="200">
        <f t="shared" si="0"/>
        <v>38</v>
      </c>
      <c r="B52" s="231" t="str">
        <f>Suite&amp;" Electrical Room "&amp;SWOne</f>
        <v>G104 Electrical Room XXX</v>
      </c>
      <c r="C52" s="183" t="str">
        <f>"UP"&amp;SWOne</f>
        <v>UPXXX</v>
      </c>
      <c r="D52" s="187" t="s">
        <v>1633</v>
      </c>
      <c r="E52" s="183" t="s">
        <v>1464</v>
      </c>
      <c r="F52" s="193"/>
      <c r="G52" s="193"/>
    </row>
    <row r="53" spans="1:7" ht="37.5" x14ac:dyDescent="0.25">
      <c r="A53" s="200">
        <f t="shared" si="0"/>
        <v>39</v>
      </c>
      <c r="B53" s="231" t="str">
        <f>Suite&amp;" Electrical Room "&amp;SWOne</f>
        <v>G104 Electrical Room XXX</v>
      </c>
      <c r="C53" s="183" t="str">
        <f>"UP"&amp;SWOne</f>
        <v>UPXXX</v>
      </c>
      <c r="D53" s="187" t="s">
        <v>1634</v>
      </c>
      <c r="E53" s="183" t="s">
        <v>1464</v>
      </c>
      <c r="F53" s="193"/>
      <c r="G53" s="193"/>
    </row>
    <row r="54" spans="1:7" ht="37.5" x14ac:dyDescent="0.25">
      <c r="A54" s="200">
        <f t="shared" si="0"/>
        <v>40</v>
      </c>
      <c r="B54" s="231" t="str">
        <f>Suite&amp;" Electrical Room "&amp;SWOne</f>
        <v>G104 Electrical Room XXX</v>
      </c>
      <c r="C54" s="183" t="str">
        <f>"UP"&amp;SWOne</f>
        <v>UPXXX</v>
      </c>
      <c r="D54" s="187" t="s">
        <v>1635</v>
      </c>
      <c r="E54" s="183" t="s">
        <v>1464</v>
      </c>
      <c r="F54" s="193"/>
      <c r="G54" s="193"/>
    </row>
    <row r="55" spans="1:7" ht="37.5" x14ac:dyDescent="0.25">
      <c r="A55" s="200">
        <f t="shared" si="0"/>
        <v>41</v>
      </c>
      <c r="B55" s="231" t="str">
        <f>Suite&amp;" Electrical Room "&amp;SWOne</f>
        <v>G104 Electrical Room XXX</v>
      </c>
      <c r="C55" s="183" t="str">
        <f>"UP"&amp;SWOne</f>
        <v>UPXXX</v>
      </c>
      <c r="D55" s="187" t="s">
        <v>1636</v>
      </c>
      <c r="E55" s="183" t="s">
        <v>1464</v>
      </c>
      <c r="F55" s="193"/>
      <c r="G55" s="193"/>
    </row>
    <row r="56" spans="1:7" ht="37.5" x14ac:dyDescent="0.25">
      <c r="A56" s="200">
        <f t="shared" si="0"/>
        <v>42</v>
      </c>
      <c r="B56" s="231" t="str">
        <f>Suite&amp;" Electrical Room "&amp;SWOne</f>
        <v>G104 Electrical Room XXX</v>
      </c>
      <c r="C56" s="183" t="str">
        <f>"UP"&amp;SWOne</f>
        <v>UPXXX</v>
      </c>
      <c r="D56" s="233" t="s">
        <v>1637</v>
      </c>
      <c r="E56" s="183" t="s">
        <v>1464</v>
      </c>
      <c r="F56" s="193"/>
      <c r="G56" s="193"/>
    </row>
    <row r="57" spans="1:7" ht="56.25" x14ac:dyDescent="0.25">
      <c r="A57" s="200">
        <f t="shared" si="0"/>
        <v>43</v>
      </c>
      <c r="B57" s="231" t="str">
        <f>Suite&amp;" Electrical Room "&amp;SWOne</f>
        <v>G104 Electrical Room XXX</v>
      </c>
      <c r="C57" s="183" t="str">
        <f>"UP"&amp;SWOne</f>
        <v>UPXXX</v>
      </c>
      <c r="D57" s="186" t="s">
        <v>1638</v>
      </c>
      <c r="E57" s="183" t="s">
        <v>1464</v>
      </c>
      <c r="F57" s="193"/>
      <c r="G57" s="193"/>
    </row>
    <row r="58" spans="1:7" ht="37.5" x14ac:dyDescent="0.25">
      <c r="A58" s="200">
        <f t="shared" si="0"/>
        <v>44</v>
      </c>
      <c r="B58" s="231" t="str">
        <f>Suite&amp;" Electrical Room "&amp;SWOne</f>
        <v>G104 Electrical Room XXX</v>
      </c>
      <c r="C58" s="183" t="str">
        <f>"UP"&amp;SWOne</f>
        <v>UPXXX</v>
      </c>
      <c r="D58" s="187" t="s">
        <v>1639</v>
      </c>
      <c r="E58" s="183" t="s">
        <v>1464</v>
      </c>
      <c r="F58" s="193"/>
      <c r="G58" s="193"/>
    </row>
    <row r="59" spans="1:7" ht="37.5" x14ac:dyDescent="0.25">
      <c r="A59" s="200">
        <f t="shared" si="0"/>
        <v>45</v>
      </c>
      <c r="B59" s="231" t="str">
        <f>Suite&amp;" Electrical Room "&amp;SWOne</f>
        <v>G104 Electrical Room XXX</v>
      </c>
      <c r="C59" s="183" t="str">
        <f>"UP"&amp;SWOne</f>
        <v>UPXXX</v>
      </c>
      <c r="D59" s="187" t="s">
        <v>1640</v>
      </c>
      <c r="E59" s="183" t="s">
        <v>1464</v>
      </c>
      <c r="F59" s="193"/>
      <c r="G59" s="193"/>
    </row>
    <row r="60" spans="1:7" ht="37.5" x14ac:dyDescent="0.25">
      <c r="A60" s="200">
        <f t="shared" si="0"/>
        <v>46</v>
      </c>
      <c r="B60" s="231" t="str">
        <f>Suite&amp;" Electrical Room "&amp;SWOne</f>
        <v>G104 Electrical Room XXX</v>
      </c>
      <c r="C60" s="183" t="str">
        <f>"UP"&amp;SWOne</f>
        <v>UPXXX</v>
      </c>
      <c r="D60" s="204" t="s">
        <v>1506</v>
      </c>
      <c r="E60" s="183" t="s">
        <v>1464</v>
      </c>
      <c r="F60" s="193"/>
      <c r="G60" s="193"/>
    </row>
    <row r="61" spans="1:7" ht="37.5" x14ac:dyDescent="0.25">
      <c r="A61" s="200">
        <f t="shared" si="0"/>
        <v>47</v>
      </c>
      <c r="B61" s="231" t="str">
        <f>Suite&amp;" Electrical Room "&amp;SWOne</f>
        <v>G104 Electrical Room XXX</v>
      </c>
      <c r="C61" s="183" t="str">
        <f>"UP"&amp;SWOne</f>
        <v>UPXXX</v>
      </c>
      <c r="D61" s="235" t="s">
        <v>1626</v>
      </c>
      <c r="E61" s="183" t="s">
        <v>1464</v>
      </c>
      <c r="F61" s="193"/>
      <c r="G61" s="193"/>
    </row>
    <row r="62" spans="1:7" ht="37.5" x14ac:dyDescent="0.25">
      <c r="A62" s="200">
        <f t="shared" si="0"/>
        <v>48</v>
      </c>
      <c r="B62" s="231" t="str">
        <f>Suite&amp;" Electrical Room "&amp;SWOne</f>
        <v>G104 Electrical Room XXX</v>
      </c>
      <c r="C62" s="183" t="str">
        <f>"UP"&amp;SWOne</f>
        <v>UPXXX</v>
      </c>
      <c r="D62" s="186" t="str">
        <f>"VERIFY the readings in step " &amp; A43 &amp; " and " &amp; A61 &amp; " are within 3% of each other. (new kW divided by original kW must be ≤1.03 and ≥0.97)."</f>
        <v>VERIFY the readings in step 29 and 47 are within 3% of each other. (new kW divided by original kW must be ≤1.03 and ≥0.97).</v>
      </c>
      <c r="E62" s="183" t="s">
        <v>1464</v>
      </c>
      <c r="F62" s="193"/>
      <c r="G62" s="193"/>
    </row>
    <row r="63" spans="1:7" ht="37.5" x14ac:dyDescent="0.25">
      <c r="A63" s="200">
        <f t="shared" si="0"/>
        <v>49</v>
      </c>
      <c r="B63" s="231" t="str">
        <f>Suite&amp;" Electrical Room "&amp;SWOne</f>
        <v>G104 Electrical Room XXX</v>
      </c>
      <c r="C63" s="183" t="str">
        <f>"UP"&amp;SWOne</f>
        <v>UPXXX</v>
      </c>
      <c r="D63" s="187" t="s">
        <v>1641</v>
      </c>
      <c r="E63" s="183" t="s">
        <v>1464</v>
      </c>
      <c r="F63" s="193"/>
      <c r="G63" s="193"/>
    </row>
    <row r="64" spans="1:7" ht="37.5" x14ac:dyDescent="0.25">
      <c r="A64" s="200">
        <f t="shared" si="0"/>
        <v>50</v>
      </c>
      <c r="B64" s="231" t="str">
        <f>Suite&amp;" Electrical Room "&amp;SWOne</f>
        <v>G104 Electrical Room XXX</v>
      </c>
      <c r="C64" s="183" t="str">
        <f>"UP"&amp;SWOne</f>
        <v>UPXXX</v>
      </c>
      <c r="D64" s="187" t="s">
        <v>1642</v>
      </c>
      <c r="E64" s="183" t="s">
        <v>1464</v>
      </c>
      <c r="F64" s="193"/>
      <c r="G64" s="193"/>
    </row>
    <row r="65" spans="1:7" ht="37.5" x14ac:dyDescent="0.25">
      <c r="A65" s="200">
        <f t="shared" si="0"/>
        <v>51</v>
      </c>
      <c r="B65" s="231" t="str">
        <f>Suite&amp;" Electrical Room "&amp;SWOne</f>
        <v>G104 Electrical Room XXX</v>
      </c>
      <c r="C65" s="183" t="str">
        <f>"UP"&amp;SWOne</f>
        <v>UPXXX</v>
      </c>
      <c r="D65" s="235" t="s">
        <v>1643</v>
      </c>
      <c r="E65" s="183" t="s">
        <v>1464</v>
      </c>
      <c r="F65" s="193"/>
      <c r="G65" s="193"/>
    </row>
    <row r="66" spans="1:7" ht="37.5" x14ac:dyDescent="0.25">
      <c r="A66" s="200">
        <f t="shared" si="0"/>
        <v>52</v>
      </c>
      <c r="B66" s="231" t="str">
        <f>Suite&amp;" Electrical Room "&amp;SWOne</f>
        <v>G104 Electrical Room XXX</v>
      </c>
      <c r="C66" s="183" t="str">
        <f>"UP"&amp;SWOne</f>
        <v>UPXXX</v>
      </c>
      <c r="D66" s="187" t="s">
        <v>1644</v>
      </c>
      <c r="E66" s="183" t="s">
        <v>1464</v>
      </c>
      <c r="F66" s="193"/>
      <c r="G66" s="193"/>
    </row>
    <row r="67" spans="1:7" ht="37.5" x14ac:dyDescent="0.25">
      <c r="A67" s="200">
        <f t="shared" si="0"/>
        <v>53</v>
      </c>
      <c r="B67" s="231" t="str">
        <f>Suite&amp;" Electrical Room "&amp;SWOne</f>
        <v>G104 Electrical Room XXX</v>
      </c>
      <c r="C67" s="183" t="str">
        <f>"UP"&amp;SWOne</f>
        <v>UPXXX</v>
      </c>
      <c r="D67" s="187" t="s">
        <v>1645</v>
      </c>
      <c r="E67" s="183" t="s">
        <v>1464</v>
      </c>
      <c r="F67" s="193"/>
      <c r="G67" s="193"/>
    </row>
    <row r="68" spans="1:7" ht="37.5" x14ac:dyDescent="0.25">
      <c r="A68" s="200">
        <f t="shared" si="0"/>
        <v>54</v>
      </c>
      <c r="B68" s="231" t="str">
        <f>Suite&amp;" Electrical Room "&amp;SWOne</f>
        <v>G104 Electrical Room XXX</v>
      </c>
      <c r="C68" s="183" t="str">
        <f>"UP"&amp;SWOne</f>
        <v>UPXXX</v>
      </c>
      <c r="D68" s="204" t="s">
        <v>1646</v>
      </c>
      <c r="E68" s="183" t="s">
        <v>1464</v>
      </c>
      <c r="F68" s="193"/>
      <c r="G68" s="193"/>
    </row>
    <row r="69" spans="1:7" x14ac:dyDescent="0.25">
      <c r="A69" s="200">
        <f t="shared" si="0"/>
        <v>55</v>
      </c>
      <c r="B69" s="714" t="s">
        <v>1647</v>
      </c>
      <c r="C69" s="714"/>
      <c r="D69" s="714"/>
      <c r="E69" s="714"/>
      <c r="F69" s="714"/>
      <c r="G69" s="714"/>
    </row>
    <row r="70" spans="1:7" ht="37.5" x14ac:dyDescent="0.25">
      <c r="A70" s="200">
        <f t="shared" si="0"/>
        <v>56</v>
      </c>
      <c r="B70" s="231" t="str">
        <f>Suite&amp;" Electrical Room "&amp;SWOne</f>
        <v>G104 Electrical Room XXX</v>
      </c>
      <c r="C70" s="183" t="str">
        <f>"UP"&amp;SWOne</f>
        <v>UPXXX</v>
      </c>
      <c r="D70" s="187" t="s">
        <v>1648</v>
      </c>
      <c r="E70" s="183" t="s">
        <v>1464</v>
      </c>
      <c r="F70" s="193"/>
      <c r="G70" s="193"/>
    </row>
    <row r="71" spans="1:7" ht="37.5" x14ac:dyDescent="0.25">
      <c r="A71" s="200">
        <f t="shared" si="0"/>
        <v>57</v>
      </c>
      <c r="B71" s="231" t="str">
        <f>Suite&amp;" Electrical Room "&amp;SWOne</f>
        <v>G104 Electrical Room XXX</v>
      </c>
      <c r="C71" s="183" t="str">
        <f>"UP"&amp;SWOne</f>
        <v>UPXXX</v>
      </c>
      <c r="D71" s="187" t="s">
        <v>1649</v>
      </c>
      <c r="E71" s="183" t="s">
        <v>1464</v>
      </c>
      <c r="F71" s="193"/>
      <c r="G71" s="193"/>
    </row>
    <row r="72" spans="1:7" ht="37.5" x14ac:dyDescent="0.25">
      <c r="A72" s="200">
        <f t="shared" si="0"/>
        <v>58</v>
      </c>
      <c r="B72" s="231" t="str">
        <f>Suite&amp;" Electrical Room "&amp;SWOne</f>
        <v>G104 Electrical Room XXX</v>
      </c>
      <c r="C72" s="183" t="str">
        <f>"UP"&amp;SWOne</f>
        <v>UPXXX</v>
      </c>
      <c r="D72" s="186" t="s">
        <v>1518</v>
      </c>
      <c r="E72" s="183" t="s">
        <v>1464</v>
      </c>
      <c r="F72" s="193"/>
      <c r="G72" s="193"/>
    </row>
    <row r="73" spans="1:7" ht="37.5" x14ac:dyDescent="0.25">
      <c r="A73" s="200">
        <f t="shared" si="0"/>
        <v>59</v>
      </c>
      <c r="B73" s="231" t="str">
        <f>Suite&amp;" Electrical Room "&amp;SWOne</f>
        <v>G104 Electrical Room XXX</v>
      </c>
      <c r="C73" s="183" t="str">
        <f>"UPS "&amp;SWOne&amp;"1"</f>
        <v>UPS XXX1</v>
      </c>
      <c r="D73" s="186" t="s">
        <v>1650</v>
      </c>
      <c r="E73" s="183" t="s">
        <v>1464</v>
      </c>
      <c r="F73" s="193"/>
      <c r="G73" s="193"/>
    </row>
    <row r="74" spans="1:7" ht="37.5" x14ac:dyDescent="0.25">
      <c r="A74" s="200">
        <f t="shared" si="0"/>
        <v>60</v>
      </c>
      <c r="B74" s="231" t="str">
        <f>Suite&amp;" Electrical Room "&amp;SWOne</f>
        <v>G104 Electrical Room XXX</v>
      </c>
      <c r="C74" s="183" t="str">
        <f>"UP"&amp;SWOne</f>
        <v>UPXXX</v>
      </c>
      <c r="D74" s="187" t="s">
        <v>1651</v>
      </c>
      <c r="E74" s="183" t="s">
        <v>1464</v>
      </c>
      <c r="F74" s="193"/>
      <c r="G74" s="193"/>
    </row>
    <row r="75" spans="1:7" ht="37.5" x14ac:dyDescent="0.25">
      <c r="A75" s="200">
        <f t="shared" si="0"/>
        <v>61</v>
      </c>
      <c r="B75" s="231" t="str">
        <f>Suite&amp;" Electrical Room "&amp;SWOne</f>
        <v>G104 Electrical Room XXX</v>
      </c>
      <c r="C75" s="183" t="str">
        <f>"UP"&amp;SWOne</f>
        <v>UPXXX</v>
      </c>
      <c r="D75" s="187" t="s">
        <v>1652</v>
      </c>
      <c r="E75" s="183" t="s">
        <v>1464</v>
      </c>
      <c r="F75" s="193"/>
      <c r="G75" s="193"/>
    </row>
    <row r="76" spans="1:7" ht="37.5" x14ac:dyDescent="0.25">
      <c r="A76" s="200">
        <f t="shared" si="0"/>
        <v>62</v>
      </c>
      <c r="B76" s="231" t="str">
        <f>Suite&amp;" Electrical Room "&amp;SWOne</f>
        <v>G104 Electrical Room XXX</v>
      </c>
      <c r="C76" s="183" t="str">
        <f>"UP"&amp;SWOne</f>
        <v>UPXXX</v>
      </c>
      <c r="D76" s="186" t="s">
        <v>1518</v>
      </c>
      <c r="E76" s="183" t="s">
        <v>1464</v>
      </c>
      <c r="F76" s="193"/>
      <c r="G76" s="193"/>
    </row>
    <row r="77" spans="1:7" ht="37.5" x14ac:dyDescent="0.25">
      <c r="A77" s="200">
        <f t="shared" si="0"/>
        <v>63</v>
      </c>
      <c r="B77" s="231" t="str">
        <f>Suite&amp;" Electrical Room "&amp;SWOne</f>
        <v>G104 Electrical Room XXX</v>
      </c>
      <c r="C77" s="183" t="str">
        <f>"UPS "&amp;SWOne&amp;"2"</f>
        <v>UPS XXX2</v>
      </c>
      <c r="D77" s="186" t="s">
        <v>1650</v>
      </c>
      <c r="E77" s="183" t="s">
        <v>1464</v>
      </c>
      <c r="F77" s="193"/>
      <c r="G77" s="193"/>
    </row>
    <row r="78" spans="1:7" ht="56.25" x14ac:dyDescent="0.25">
      <c r="A78" s="200">
        <f t="shared" si="0"/>
        <v>64</v>
      </c>
      <c r="B78" s="231" t="str">
        <f>Suite&amp;" Electrical Room "&amp;SWOne</f>
        <v>G104 Electrical Room XXX</v>
      </c>
      <c r="C78" s="183" t="str">
        <f>"UPS "&amp;SWOne&amp;" Battery Cabinets"</f>
        <v>UPS XXX Battery Cabinets</v>
      </c>
      <c r="D78" s="187" t="s">
        <v>1653</v>
      </c>
      <c r="E78" s="183" t="s">
        <v>1464</v>
      </c>
      <c r="F78" s="193"/>
      <c r="G78" s="193"/>
    </row>
    <row r="79" spans="1:7" ht="56.25" x14ac:dyDescent="0.25">
      <c r="A79" s="200">
        <f t="shared" si="0"/>
        <v>65</v>
      </c>
      <c r="B79" s="231" t="str">
        <f>Suite&amp;" Electrical Room "&amp;SWOne</f>
        <v>G104 Electrical Room XXX</v>
      </c>
      <c r="C79" s="183" t="str">
        <f>"UPS "&amp;SWOne&amp;" Battery Cabinets"</f>
        <v>UPS XXX Battery Cabinets</v>
      </c>
      <c r="D79" s="187" t="s">
        <v>1654</v>
      </c>
      <c r="E79" s="183" t="s">
        <v>1464</v>
      </c>
      <c r="F79" s="193"/>
      <c r="G79" s="193"/>
    </row>
    <row r="80" spans="1:7" ht="56.25" x14ac:dyDescent="0.25">
      <c r="A80" s="200">
        <f t="shared" si="0"/>
        <v>66</v>
      </c>
      <c r="B80" s="231" t="str">
        <f>Suite&amp;" Electrical Room "&amp;SWOne</f>
        <v>G104 Electrical Room XXX</v>
      </c>
      <c r="C80" s="183" t="str">
        <f>"UPS "&amp;SWOne&amp;" Battery Cabinets"</f>
        <v>UPS XXX Battery Cabinets</v>
      </c>
      <c r="D80" s="186" t="s">
        <v>1518</v>
      </c>
      <c r="E80" s="183" t="s">
        <v>1464</v>
      </c>
      <c r="F80" s="193"/>
      <c r="G80" s="193"/>
    </row>
    <row r="81" spans="1:7" ht="56.25" x14ac:dyDescent="0.25">
      <c r="A81" s="200">
        <f t="shared" si="0"/>
        <v>67</v>
      </c>
      <c r="B81" s="231" t="str">
        <f>Suite&amp;" Electrical Room "&amp;SWOne</f>
        <v>G104 Electrical Room XXX</v>
      </c>
      <c r="C81" s="183" t="str">
        <f>"UPS "&amp;SWOne&amp;" Battery Cabinets"</f>
        <v>UPS XXX Battery Cabinets</v>
      </c>
      <c r="D81" s="187" t="s">
        <v>1655</v>
      </c>
      <c r="E81" s="183" t="s">
        <v>1464</v>
      </c>
      <c r="F81" s="193"/>
      <c r="G81" s="193"/>
    </row>
    <row r="82" spans="1:7" ht="56.25" x14ac:dyDescent="0.25">
      <c r="A82" s="200">
        <f t="shared" si="0"/>
        <v>68</v>
      </c>
      <c r="B82" s="231" t="str">
        <f>Suite&amp;" Electrical Room "&amp;SWOne</f>
        <v>G104 Electrical Room XXX</v>
      </c>
      <c r="C82" s="183" t="str">
        <f>"UPS "&amp;SWOne&amp;" Battery Cabinets"</f>
        <v>UPS XXX Battery Cabinets</v>
      </c>
      <c r="D82" s="187" t="s">
        <v>1656</v>
      </c>
      <c r="E82" s="183" t="s">
        <v>1464</v>
      </c>
      <c r="F82" s="193"/>
      <c r="G82" s="193"/>
    </row>
    <row r="83" spans="1:7" ht="56.25" x14ac:dyDescent="0.25">
      <c r="A83" s="200">
        <f t="shared" si="0"/>
        <v>69</v>
      </c>
      <c r="B83" s="231" t="str">
        <f>Suite&amp;" Electrical Room "&amp;SWOne</f>
        <v>G104 Electrical Room XXX</v>
      </c>
      <c r="C83" s="183" t="str">
        <f>"UPS "&amp;SWOne&amp;" Battery Cabinets"</f>
        <v>UPS XXX Battery Cabinets</v>
      </c>
      <c r="D83" s="186" t="s">
        <v>1518</v>
      </c>
      <c r="E83" s="183" t="s">
        <v>1464</v>
      </c>
      <c r="F83" s="193"/>
      <c r="G83" s="193"/>
    </row>
    <row r="84" spans="1:7" ht="56.25" x14ac:dyDescent="0.25">
      <c r="A84" s="200">
        <f t="shared" si="0"/>
        <v>70</v>
      </c>
      <c r="B84" s="231" t="str">
        <f>Suite&amp;" Electrical Room "&amp;SWOne</f>
        <v>G104 Electrical Room XXX</v>
      </c>
      <c r="C84" s="183" t="str">
        <f>"UPS "&amp;SWOne&amp;" Battery Cabinets"</f>
        <v>UPS XXX Battery Cabinets</v>
      </c>
      <c r="D84" s="187" t="s">
        <v>1657</v>
      </c>
      <c r="E84" s="183" t="s">
        <v>1464</v>
      </c>
      <c r="F84" s="193"/>
      <c r="G84" s="193"/>
    </row>
    <row r="85" spans="1:7" ht="56.25" x14ac:dyDescent="0.25">
      <c r="A85" s="200">
        <f t="shared" si="0"/>
        <v>71</v>
      </c>
      <c r="B85" s="231" t="str">
        <f>Suite&amp;" Electrical Room "&amp;SWOne</f>
        <v>G104 Electrical Room XXX</v>
      </c>
      <c r="C85" s="183" t="str">
        <f>"UPS "&amp;SWOne&amp;" Battery Cabinets"</f>
        <v>UPS XXX Battery Cabinets</v>
      </c>
      <c r="D85" s="187" t="s">
        <v>1658</v>
      </c>
      <c r="E85" s="183" t="s">
        <v>1464</v>
      </c>
      <c r="F85" s="193"/>
      <c r="G85" s="193"/>
    </row>
    <row r="86" spans="1:7" ht="56.25" x14ac:dyDescent="0.25">
      <c r="A86" s="200">
        <f t="shared" si="0"/>
        <v>72</v>
      </c>
      <c r="B86" s="231" t="str">
        <f>Suite&amp;" Electrical Room "&amp;SWOne</f>
        <v>G104 Electrical Room XXX</v>
      </c>
      <c r="C86" s="183" t="str">
        <f>"UPS "&amp;SWOne&amp;" Battery Cabinets"</f>
        <v>UPS XXX Battery Cabinets</v>
      </c>
      <c r="D86" s="186" t="s">
        <v>1518</v>
      </c>
      <c r="E86" s="183" t="s">
        <v>1464</v>
      </c>
      <c r="F86" s="193"/>
      <c r="G86" s="193"/>
    </row>
    <row r="87" spans="1:7" ht="56.25" x14ac:dyDescent="0.25">
      <c r="A87" s="200">
        <f t="shared" si="0"/>
        <v>73</v>
      </c>
      <c r="B87" s="231" t="str">
        <f>Suite&amp;" Electrical Room "&amp;SWOne</f>
        <v>G104 Electrical Room XXX</v>
      </c>
      <c r="C87" s="183" t="str">
        <f>"UPS "&amp;SWOne&amp;" Battery Cabinets"</f>
        <v>UPS XXX Battery Cabinets</v>
      </c>
      <c r="D87" s="186" t="s">
        <v>1659</v>
      </c>
      <c r="E87" s="183" t="s">
        <v>1464</v>
      </c>
      <c r="F87" s="193"/>
      <c r="G87" s="193"/>
    </row>
    <row r="88" spans="1:7" ht="56.25" x14ac:dyDescent="0.25">
      <c r="A88" s="200">
        <f t="shared" si="0"/>
        <v>74</v>
      </c>
      <c r="B88" s="231" t="str">
        <f>Suite&amp;" Electrical Room "&amp;SWOne</f>
        <v>G104 Electrical Room XXX</v>
      </c>
      <c r="C88" s="183" t="str">
        <f>"UPS "&amp;SWOne&amp;" Battery Cabinets"</f>
        <v>UPS XXX Battery Cabinets</v>
      </c>
      <c r="D88" s="187" t="s">
        <v>1660</v>
      </c>
      <c r="E88" s="183" t="s">
        <v>1464</v>
      </c>
      <c r="F88" s="193"/>
      <c r="G88" s="193"/>
    </row>
    <row r="89" spans="1:7" ht="56.25" x14ac:dyDescent="0.25">
      <c r="A89" s="200">
        <f t="shared" ref="A89:A154" si="2">A88+1</f>
        <v>75</v>
      </c>
      <c r="B89" s="231" t="str">
        <f>Suite&amp;" Electrical Room "&amp;SWOne</f>
        <v>G104 Electrical Room XXX</v>
      </c>
      <c r="C89" s="183" t="str">
        <f>"UPS "&amp;SWOne&amp;" Battery Cabinets"</f>
        <v>UPS XXX Battery Cabinets</v>
      </c>
      <c r="D89" s="187" t="s">
        <v>1661</v>
      </c>
      <c r="E89" s="183" t="s">
        <v>1464</v>
      </c>
      <c r="F89" s="193"/>
      <c r="G89" s="193"/>
    </row>
    <row r="90" spans="1:7" ht="56.25" x14ac:dyDescent="0.25">
      <c r="A90" s="200">
        <f t="shared" si="2"/>
        <v>76</v>
      </c>
      <c r="B90" s="231" t="str">
        <f>Suite&amp;" Electrical Room "&amp;SWOne</f>
        <v>G104 Electrical Room XXX</v>
      </c>
      <c r="C90" s="183" t="str">
        <f>"UPS "&amp;SWOne&amp;" Battery Cabinets"</f>
        <v>UPS XXX Battery Cabinets</v>
      </c>
      <c r="D90" s="186" t="s">
        <v>1518</v>
      </c>
      <c r="E90" s="183" t="s">
        <v>1464</v>
      </c>
      <c r="F90" s="193"/>
      <c r="G90" s="193"/>
    </row>
    <row r="91" spans="1:7" ht="56.25" x14ac:dyDescent="0.25">
      <c r="A91" s="200">
        <f t="shared" si="2"/>
        <v>77</v>
      </c>
      <c r="B91" s="231" t="str">
        <f>Suite&amp;" Electrical Room "&amp;SWOne</f>
        <v>G104 Electrical Room XXX</v>
      </c>
      <c r="C91" s="183" t="str">
        <f>"UPS "&amp;SWOne&amp;" Battery Cabinets"</f>
        <v>UPS XXX Battery Cabinets</v>
      </c>
      <c r="D91" s="187" t="s">
        <v>1662</v>
      </c>
      <c r="E91" s="183" t="s">
        <v>1464</v>
      </c>
      <c r="F91" s="193"/>
      <c r="G91" s="193"/>
    </row>
    <row r="92" spans="1:7" ht="56.25" x14ac:dyDescent="0.25">
      <c r="A92" s="200">
        <f t="shared" si="2"/>
        <v>78</v>
      </c>
      <c r="B92" s="231" t="str">
        <f>Suite&amp;" Electrical Room "&amp;SWOne</f>
        <v>G104 Electrical Room XXX</v>
      </c>
      <c r="C92" s="183" t="str">
        <f>"UPS "&amp;SWOne&amp;" Battery Cabinets"</f>
        <v>UPS XXX Battery Cabinets</v>
      </c>
      <c r="D92" s="187" t="s">
        <v>1663</v>
      </c>
      <c r="E92" s="183" t="s">
        <v>1464</v>
      </c>
      <c r="F92" s="193"/>
      <c r="G92" s="193"/>
    </row>
    <row r="93" spans="1:7" ht="56.25" x14ac:dyDescent="0.25">
      <c r="A93" s="200">
        <f t="shared" si="2"/>
        <v>79</v>
      </c>
      <c r="B93" s="231" t="str">
        <f>Suite&amp;" Electrical Room "&amp;SWOne</f>
        <v>G104 Electrical Room XXX</v>
      </c>
      <c r="C93" s="183" t="str">
        <f>"UPS "&amp;SWOne&amp;" Battery Cabinets"</f>
        <v>UPS XXX Battery Cabinets</v>
      </c>
      <c r="D93" s="186" t="s">
        <v>1518</v>
      </c>
      <c r="E93" s="183" t="s">
        <v>1464</v>
      </c>
      <c r="F93" s="193"/>
      <c r="G93" s="193"/>
    </row>
    <row r="94" spans="1:7" ht="56.25" x14ac:dyDescent="0.25">
      <c r="A94" s="200">
        <f t="shared" si="2"/>
        <v>80</v>
      </c>
      <c r="B94" s="231" t="str">
        <f>Suite&amp;" Electrical Room "&amp;SWOne</f>
        <v>G104 Electrical Room XXX</v>
      </c>
      <c r="C94" s="183" t="str">
        <f>"UPS "&amp;SWOne&amp;" Battery Cabinets"</f>
        <v>UPS XXX Battery Cabinets</v>
      </c>
      <c r="D94" s="187" t="s">
        <v>1664</v>
      </c>
      <c r="E94" s="183" t="s">
        <v>1464</v>
      </c>
      <c r="F94" s="193"/>
      <c r="G94" s="193"/>
    </row>
    <row r="95" spans="1:7" ht="56.25" x14ac:dyDescent="0.25">
      <c r="A95" s="200">
        <f t="shared" si="2"/>
        <v>81</v>
      </c>
      <c r="B95" s="231" t="str">
        <f>Suite&amp;" Electrical Room "&amp;SWOne</f>
        <v>G104 Electrical Room XXX</v>
      </c>
      <c r="C95" s="183" t="str">
        <f>"UPS "&amp;SWOne&amp;" Battery Cabinets"</f>
        <v>UPS XXX Battery Cabinets</v>
      </c>
      <c r="D95" s="187" t="s">
        <v>1665</v>
      </c>
      <c r="E95" s="183" t="s">
        <v>1464</v>
      </c>
      <c r="F95" s="193"/>
      <c r="G95" s="193"/>
    </row>
    <row r="96" spans="1:7" ht="56.25" x14ac:dyDescent="0.25">
      <c r="A96" s="200">
        <f t="shared" si="2"/>
        <v>82</v>
      </c>
      <c r="B96" s="231" t="str">
        <f>Suite&amp;" Electrical Room "&amp;SWOne</f>
        <v>G104 Electrical Room XXX</v>
      </c>
      <c r="C96" s="183" t="str">
        <f>"UPS "&amp;SWOne&amp;" Battery Cabinets"</f>
        <v>UPS XXX Battery Cabinets</v>
      </c>
      <c r="D96" s="186" t="s">
        <v>1518</v>
      </c>
      <c r="E96" s="183" t="s">
        <v>1464</v>
      </c>
      <c r="F96" s="193"/>
      <c r="G96" s="193"/>
    </row>
    <row r="97" spans="1:7" ht="37.5" x14ac:dyDescent="0.25">
      <c r="A97" s="200">
        <f t="shared" si="2"/>
        <v>83</v>
      </c>
      <c r="B97" s="231" t="str">
        <f>Suite&amp;" Electrical Room "&amp;SWOne</f>
        <v>G104 Electrical Room XXX</v>
      </c>
      <c r="C97" s="183" t="str">
        <f>"UPS "&amp;SWOne&amp;"2"</f>
        <v>UPS XXX2</v>
      </c>
      <c r="D97" s="186" t="s">
        <v>1659</v>
      </c>
      <c r="E97" s="183" t="s">
        <v>1464</v>
      </c>
      <c r="F97" s="193"/>
      <c r="G97" s="193"/>
    </row>
    <row r="98" spans="1:7" ht="39.75" x14ac:dyDescent="0.25">
      <c r="A98" s="200">
        <f t="shared" si="2"/>
        <v>84</v>
      </c>
      <c r="B98" s="231" t="str">
        <f>Suite&amp;" Electrical Room "&amp;SWOne</f>
        <v>G104 Electrical Room XXX</v>
      </c>
      <c r="C98" s="183" t="str">
        <f>"UPS "&amp;SWOne&amp;"1"</f>
        <v>UPS XXX1</v>
      </c>
      <c r="D98" s="187" t="s">
        <v>1666</v>
      </c>
      <c r="E98" s="183" t="s">
        <v>1464</v>
      </c>
      <c r="F98" s="193"/>
      <c r="G98" s="193"/>
    </row>
    <row r="99" spans="1:7" ht="37.5" x14ac:dyDescent="0.25">
      <c r="A99" s="200">
        <f t="shared" si="2"/>
        <v>85</v>
      </c>
      <c r="B99" s="231" t="str">
        <f>Suite&amp;" Electrical Room "&amp;SWOne</f>
        <v>G104 Electrical Room XXX</v>
      </c>
      <c r="C99" s="183" t="str">
        <f>"UPS "&amp;SWOne&amp;"1"</f>
        <v>UPS XXX1</v>
      </c>
      <c r="D99" s="186" t="s">
        <v>1667</v>
      </c>
      <c r="E99" s="183" t="s">
        <v>1464</v>
      </c>
      <c r="F99" s="193"/>
      <c r="G99" s="193"/>
    </row>
    <row r="100" spans="1:7" ht="39.75" x14ac:dyDescent="0.25">
      <c r="A100" s="200">
        <f t="shared" si="2"/>
        <v>86</v>
      </c>
      <c r="B100" s="231" t="str">
        <f>Suite&amp;" Electrical Room "&amp;SWOne</f>
        <v>G104 Electrical Room XXX</v>
      </c>
      <c r="C100" s="183" t="str">
        <f>"UPS "&amp;SWOne&amp;"2"</f>
        <v>UPS XXX2</v>
      </c>
      <c r="D100" s="187" t="s">
        <v>1666</v>
      </c>
      <c r="E100" s="183" t="s">
        <v>1464</v>
      </c>
      <c r="F100" s="193"/>
      <c r="G100" s="193"/>
    </row>
    <row r="101" spans="1:7" ht="37.5" x14ac:dyDescent="0.25">
      <c r="A101" s="200">
        <f t="shared" si="2"/>
        <v>87</v>
      </c>
      <c r="B101" s="231" t="str">
        <f>Suite&amp;" Electrical Room "&amp;SWOne</f>
        <v>G104 Electrical Room XXX</v>
      </c>
      <c r="C101" s="183" t="str">
        <f>"UPS "&amp;SWOne&amp;"2"</f>
        <v>UPS XXX2</v>
      </c>
      <c r="D101" s="186" t="s">
        <v>1667</v>
      </c>
      <c r="E101" s="183" t="s">
        <v>1464</v>
      </c>
      <c r="F101" s="193"/>
      <c r="G101" s="193"/>
    </row>
    <row r="102" spans="1:7" ht="37.5" x14ac:dyDescent="0.25">
      <c r="A102" s="200">
        <f t="shared" si="2"/>
        <v>88</v>
      </c>
      <c r="B102" s="231" t="str">
        <f>Suite&amp;" Electrical Room "&amp;SWOne</f>
        <v>G104 Electrical Room XXX</v>
      </c>
      <c r="C102" s="183" t="str">
        <f>"SW"&amp;SWOne</f>
        <v>SWXXX</v>
      </c>
      <c r="D102" s="187" t="s">
        <v>1668</v>
      </c>
      <c r="E102" s="183" t="s">
        <v>1464</v>
      </c>
      <c r="F102" s="193"/>
      <c r="G102" s="193"/>
    </row>
    <row r="103" spans="1:7" ht="37.5" x14ac:dyDescent="0.25">
      <c r="A103" s="200">
        <f t="shared" si="2"/>
        <v>89</v>
      </c>
      <c r="B103" s="231" t="str">
        <f>Suite&amp;" Electrical Room "&amp;SWOne</f>
        <v>G104 Electrical Room XXX</v>
      </c>
      <c r="C103" s="183" t="str">
        <f>"SW"&amp;SWOne</f>
        <v>SWXXX</v>
      </c>
      <c r="D103" s="187" t="s">
        <v>1669</v>
      </c>
      <c r="E103" s="183" t="s">
        <v>1464</v>
      </c>
      <c r="F103" s="193"/>
      <c r="G103" s="193"/>
    </row>
    <row r="104" spans="1:7" ht="37.5" x14ac:dyDescent="0.25">
      <c r="A104" s="200">
        <f t="shared" si="2"/>
        <v>90</v>
      </c>
      <c r="B104" s="231" t="str">
        <f>Suite&amp;" Electrical Room "&amp;SWOne</f>
        <v>G104 Electrical Room XXX</v>
      </c>
      <c r="C104" s="183" t="str">
        <f>"SW"&amp;SWOne</f>
        <v>SWXXX</v>
      </c>
      <c r="D104" s="186" t="s">
        <v>1518</v>
      </c>
      <c r="E104" s="183" t="s">
        <v>1464</v>
      </c>
      <c r="F104" s="193"/>
      <c r="G104" s="193"/>
    </row>
    <row r="105" spans="1:7" ht="37.5" x14ac:dyDescent="0.25">
      <c r="A105" s="200">
        <f t="shared" si="2"/>
        <v>91</v>
      </c>
      <c r="B105" s="231" t="str">
        <f>Suite&amp;" Electrical Room "&amp;SWOne</f>
        <v>G104 Electrical Room XXX</v>
      </c>
      <c r="C105" s="183" t="str">
        <f>"SW"&amp;SWOne</f>
        <v>SWXXX</v>
      </c>
      <c r="D105" s="187" t="s">
        <v>1670</v>
      </c>
      <c r="E105" s="183" t="s">
        <v>1464</v>
      </c>
      <c r="F105" s="193"/>
      <c r="G105" s="193"/>
    </row>
    <row r="106" spans="1:7" ht="37.5" x14ac:dyDescent="0.25">
      <c r="A106" s="200">
        <f t="shared" si="2"/>
        <v>92</v>
      </c>
      <c r="B106" s="231" t="str">
        <f>Suite&amp;" Electrical Room "&amp;SWOne</f>
        <v>G104 Electrical Room XXX</v>
      </c>
      <c r="C106" s="183" t="str">
        <f>"SW"&amp;SWOne</f>
        <v>SWXXX</v>
      </c>
      <c r="D106" s="187" t="s">
        <v>1671</v>
      </c>
      <c r="E106" s="183" t="s">
        <v>1464</v>
      </c>
      <c r="F106" s="193"/>
      <c r="G106" s="193"/>
    </row>
    <row r="107" spans="1:7" ht="37.5" x14ac:dyDescent="0.25">
      <c r="A107" s="200">
        <f t="shared" si="2"/>
        <v>93</v>
      </c>
      <c r="B107" s="231" t="str">
        <f>Suite&amp;" Electrical Room "&amp;SWOne</f>
        <v>G104 Electrical Room XXX</v>
      </c>
      <c r="C107" s="183" t="str">
        <f>"SW"&amp;SWOne</f>
        <v>SWXXX</v>
      </c>
      <c r="D107" s="186" t="s">
        <v>1518</v>
      </c>
      <c r="E107" s="183" t="s">
        <v>1464</v>
      </c>
      <c r="F107" s="193"/>
      <c r="G107" s="193"/>
    </row>
    <row r="108" spans="1:7" ht="37.5" x14ac:dyDescent="0.25">
      <c r="A108" s="200">
        <f t="shared" si="2"/>
        <v>94</v>
      </c>
      <c r="B108" s="231" t="str">
        <f>Suite&amp;" Electrical Room "&amp;SWOne</f>
        <v>G104 Electrical Room XXX</v>
      </c>
      <c r="C108" s="183" t="str">
        <f>"SW"&amp;SWOne</f>
        <v>SWXXX</v>
      </c>
      <c r="D108" s="204" t="s">
        <v>1672</v>
      </c>
      <c r="E108" s="183" t="s">
        <v>1464</v>
      </c>
      <c r="F108" s="193"/>
      <c r="G108" s="193"/>
    </row>
    <row r="109" spans="1:7" ht="37.5" x14ac:dyDescent="0.25">
      <c r="A109" s="200">
        <f t="shared" si="2"/>
        <v>95</v>
      </c>
      <c r="B109" s="231" t="str">
        <f>Suite&amp;" Electrical Room "&amp;SWOne</f>
        <v>G104 Electrical Room XXX</v>
      </c>
      <c r="C109" s="183" t="str">
        <f>"SW"&amp;SWOne</f>
        <v>SWXXX</v>
      </c>
      <c r="D109" s="186" t="s">
        <v>1584</v>
      </c>
      <c r="E109" s="183" t="s">
        <v>1464</v>
      </c>
      <c r="F109" s="193"/>
      <c r="G109" s="193"/>
    </row>
    <row r="110" spans="1:7" x14ac:dyDescent="0.25">
      <c r="A110" s="200">
        <f t="shared" si="2"/>
        <v>96</v>
      </c>
      <c r="B110" s="714" t="s">
        <v>1673</v>
      </c>
      <c r="C110" s="714"/>
      <c r="D110" s="714"/>
      <c r="E110" s="714"/>
      <c r="F110" s="714"/>
      <c r="G110" s="714"/>
    </row>
    <row r="111" spans="1:7" ht="37.5" x14ac:dyDescent="0.25">
      <c r="A111" s="200">
        <f t="shared" si="2"/>
        <v>97</v>
      </c>
      <c r="B111" s="475" t="str">
        <f>Suite&amp;" Electrical Room "&amp;SWOne</f>
        <v>G104 Electrical Room XXX</v>
      </c>
      <c r="C111" s="388" t="str">
        <f>"UPS "&amp;SWOne</f>
        <v>UPS XXX</v>
      </c>
      <c r="D111" s="190" t="s">
        <v>1674</v>
      </c>
      <c r="E111" s="388" t="s">
        <v>1464</v>
      </c>
      <c r="F111" s="193"/>
      <c r="G111" s="193"/>
    </row>
    <row r="112" spans="1:7" ht="37.5" x14ac:dyDescent="0.25">
      <c r="A112" s="200">
        <f t="shared" si="2"/>
        <v>98</v>
      </c>
      <c r="B112" s="475" t="str">
        <f>Suite&amp;" Electrical Room "&amp;SWOne</f>
        <v>G104 Electrical Room XXX</v>
      </c>
      <c r="C112" s="388" t="str">
        <f>"UPS "&amp;SWOne</f>
        <v>UPS XXX</v>
      </c>
      <c r="D112" s="190" t="str" cm="1">
        <f t="array" ref="D112">"By my signature below I certify that UPS-" &amp; SWOne &amp; "1 and UPS-" &amp; SWOne &amp; "2 are ready to be returned to service."</f>
        <v>By my signature below I certify that UPS-XXX1 and UPS-XXX2 are ready to be returned to service.</v>
      </c>
      <c r="E112" s="388" t="s">
        <v>1529</v>
      </c>
      <c r="F112" s="193"/>
      <c r="G112" s="193"/>
    </row>
    <row r="113" spans="1:7" ht="37.5" x14ac:dyDescent="0.25">
      <c r="A113" s="200">
        <f t="shared" si="2"/>
        <v>99</v>
      </c>
      <c r="B113" s="475" t="str">
        <f>Suite&amp;" Electrical Room "&amp;SWOne</f>
        <v>G104 Electrical Room XXX</v>
      </c>
      <c r="C113" s="388" t="str">
        <f>"UPS "&amp;SWOne</f>
        <v>UPS XXX</v>
      </c>
      <c r="D113" s="191" t="s">
        <v>1675</v>
      </c>
      <c r="E113" s="388" t="s">
        <v>1529</v>
      </c>
      <c r="F113" s="193"/>
      <c r="G113" s="193"/>
    </row>
    <row r="114" spans="1:7" ht="37.5" x14ac:dyDescent="0.25">
      <c r="A114" s="200">
        <f t="shared" si="2"/>
        <v>100</v>
      </c>
      <c r="B114" s="231" t="str">
        <f>Suite&amp;" Electrical Room "&amp;SWOne</f>
        <v>G104 Electrical Room XXX</v>
      </c>
      <c r="C114" s="183" t="str">
        <f>"UP"&amp;SWOne</f>
        <v>UPXXX</v>
      </c>
      <c r="D114" s="187" t="s">
        <v>1676</v>
      </c>
      <c r="E114" s="183" t="s">
        <v>1464</v>
      </c>
      <c r="F114" s="193"/>
      <c r="G114" s="193"/>
    </row>
    <row r="115" spans="1:7" ht="37.5" x14ac:dyDescent="0.25">
      <c r="A115" s="200">
        <f t="shared" si="2"/>
        <v>101</v>
      </c>
      <c r="B115" s="231" t="str">
        <f>Suite&amp;" Electrical Room "&amp;SWOne</f>
        <v>G104 Electrical Room XXX</v>
      </c>
      <c r="C115" s="183" t="str">
        <f>"UP"&amp;SWOne</f>
        <v>UPXXX</v>
      </c>
      <c r="D115" s="186" t="s">
        <v>1518</v>
      </c>
      <c r="E115" s="183" t="s">
        <v>1464</v>
      </c>
      <c r="F115" s="193"/>
      <c r="G115" s="193"/>
    </row>
    <row r="116" spans="1:7" ht="37.5" x14ac:dyDescent="0.25">
      <c r="A116" s="200">
        <f t="shared" si="2"/>
        <v>102</v>
      </c>
      <c r="B116" s="231" t="str">
        <f>Suite&amp;" Electrical Room "&amp;SWOne</f>
        <v>G104 Electrical Room XXX</v>
      </c>
      <c r="C116" s="183" t="str">
        <f>"UP"&amp;SWOne</f>
        <v>UPXXX</v>
      </c>
      <c r="D116" s="187" t="s">
        <v>1677</v>
      </c>
      <c r="E116" s="183" t="s">
        <v>1464</v>
      </c>
      <c r="F116" s="193"/>
      <c r="G116" s="193"/>
    </row>
    <row r="117" spans="1:7" ht="37.5" x14ac:dyDescent="0.25">
      <c r="A117" s="200">
        <f t="shared" si="2"/>
        <v>103</v>
      </c>
      <c r="B117" s="231" t="str">
        <f>Suite&amp;" Electrical Room "&amp;SWOne</f>
        <v>G104 Electrical Room XXX</v>
      </c>
      <c r="C117" s="183" t="str">
        <f>"UP"&amp;SWOne</f>
        <v>UPXXX</v>
      </c>
      <c r="D117" s="186" t="s">
        <v>1518</v>
      </c>
      <c r="E117" s="183" t="s">
        <v>1464</v>
      </c>
      <c r="F117" s="193"/>
      <c r="G117" s="193"/>
    </row>
    <row r="118" spans="1:7" ht="56.25" x14ac:dyDescent="0.25">
      <c r="A118" s="200">
        <f t="shared" si="2"/>
        <v>104</v>
      </c>
      <c r="B118" s="231" t="str">
        <f>Suite&amp;" Electrical Room "&amp;SWOne</f>
        <v>G104 Electrical Room XXX</v>
      </c>
      <c r="C118" s="183" t="str">
        <f>"UPS "&amp;SWOne&amp;" Battery Cabinets"</f>
        <v>UPS XXX Battery Cabinets</v>
      </c>
      <c r="D118" s="187" t="s">
        <v>1678</v>
      </c>
      <c r="E118" s="183" t="s">
        <v>1464</v>
      </c>
      <c r="F118" s="193"/>
      <c r="G118" s="193"/>
    </row>
    <row r="119" spans="1:7" ht="56.25" x14ac:dyDescent="0.25">
      <c r="A119" s="200">
        <f t="shared" si="2"/>
        <v>105</v>
      </c>
      <c r="B119" s="231" t="str">
        <f>Suite&amp;" Electrical Room "&amp;SWOne</f>
        <v>G104 Electrical Room XXX</v>
      </c>
      <c r="C119" s="183" t="str">
        <f>"UPS "&amp;SWOne&amp;" Battery Cabinets"</f>
        <v>UPS XXX Battery Cabinets</v>
      </c>
      <c r="D119" s="186" t="s">
        <v>1518</v>
      </c>
      <c r="E119" s="183" t="s">
        <v>1464</v>
      </c>
      <c r="F119" s="193"/>
      <c r="G119" s="193"/>
    </row>
    <row r="120" spans="1:7" ht="56.25" x14ac:dyDescent="0.25">
      <c r="A120" s="200">
        <f t="shared" si="2"/>
        <v>106</v>
      </c>
      <c r="B120" s="231" t="str">
        <f>Suite&amp;" Electrical Room "&amp;SWOne</f>
        <v>G104 Electrical Room XXX</v>
      </c>
      <c r="C120" s="183" t="str">
        <f>"UPS "&amp;SWOne&amp;" Battery Cabinets"</f>
        <v>UPS XXX Battery Cabinets</v>
      </c>
      <c r="D120" s="187" t="s">
        <v>1679</v>
      </c>
      <c r="E120" s="183" t="s">
        <v>1464</v>
      </c>
      <c r="F120" s="193"/>
      <c r="G120" s="193"/>
    </row>
    <row r="121" spans="1:7" ht="56.25" x14ac:dyDescent="0.25">
      <c r="A121" s="200">
        <f t="shared" si="2"/>
        <v>107</v>
      </c>
      <c r="B121" s="231" t="str">
        <f>Suite&amp;" Electrical Room "&amp;SWOne</f>
        <v>G104 Electrical Room XXX</v>
      </c>
      <c r="C121" s="183" t="str">
        <f>"UPS "&amp;SWOne&amp;" Battery Cabinets"</f>
        <v>UPS XXX Battery Cabinets</v>
      </c>
      <c r="D121" s="186" t="s">
        <v>1518</v>
      </c>
      <c r="E121" s="183" t="s">
        <v>1464</v>
      </c>
      <c r="F121" s="193"/>
      <c r="G121" s="193"/>
    </row>
    <row r="122" spans="1:7" ht="56.25" x14ac:dyDescent="0.25">
      <c r="A122" s="200">
        <f t="shared" si="2"/>
        <v>108</v>
      </c>
      <c r="B122" s="231" t="str">
        <f>Suite&amp;" Electrical Room "&amp;SWOne</f>
        <v>G104 Electrical Room XXX</v>
      </c>
      <c r="C122" s="183" t="str">
        <f>"UPS "&amp;SWOne&amp;" Battery Cabinets"</f>
        <v>UPS XXX Battery Cabinets</v>
      </c>
      <c r="D122" s="187" t="s">
        <v>1680</v>
      </c>
      <c r="E122" s="183" t="s">
        <v>1464</v>
      </c>
      <c r="F122" s="193"/>
      <c r="G122" s="193"/>
    </row>
    <row r="123" spans="1:7" ht="56.25" x14ac:dyDescent="0.25">
      <c r="A123" s="200">
        <f t="shared" si="2"/>
        <v>109</v>
      </c>
      <c r="B123" s="231" t="str">
        <f>Suite&amp;" Electrical Room "&amp;SWOne</f>
        <v>G104 Electrical Room XXX</v>
      </c>
      <c r="C123" s="183" t="str">
        <f>"UPS "&amp;SWOne&amp;" Battery Cabinets"</f>
        <v>UPS XXX Battery Cabinets</v>
      </c>
      <c r="D123" s="186" t="s">
        <v>1518</v>
      </c>
      <c r="E123" s="183" t="s">
        <v>1464</v>
      </c>
      <c r="F123" s="193"/>
      <c r="G123" s="193"/>
    </row>
    <row r="124" spans="1:7" ht="56.25" x14ac:dyDescent="0.25">
      <c r="A124" s="200">
        <f t="shared" si="2"/>
        <v>110</v>
      </c>
      <c r="B124" s="231" t="str">
        <f>Suite&amp;" Electrical Room "&amp;SWOne</f>
        <v>G104 Electrical Room XXX</v>
      </c>
      <c r="C124" s="183" t="str">
        <f>"UPS "&amp;SWOne&amp;" Battery Cabinets"</f>
        <v>UPS XXX Battery Cabinets</v>
      </c>
      <c r="D124" s="187" t="s">
        <v>1681</v>
      </c>
      <c r="E124" s="183" t="s">
        <v>1464</v>
      </c>
      <c r="F124" s="193"/>
      <c r="G124" s="193"/>
    </row>
    <row r="125" spans="1:7" ht="56.25" x14ac:dyDescent="0.25">
      <c r="A125" s="200">
        <f t="shared" si="2"/>
        <v>111</v>
      </c>
      <c r="B125" s="231" t="str">
        <f>Suite&amp;" Electrical Room "&amp;SWOne</f>
        <v>G104 Electrical Room XXX</v>
      </c>
      <c r="C125" s="183" t="str">
        <f>"UPS "&amp;SWOne&amp;" Battery Cabinets"</f>
        <v>UPS XXX Battery Cabinets</v>
      </c>
      <c r="D125" s="186" t="s">
        <v>1518</v>
      </c>
      <c r="E125" s="183" t="s">
        <v>1464</v>
      </c>
      <c r="F125" s="193"/>
      <c r="G125" s="193"/>
    </row>
    <row r="126" spans="1:7" ht="56.25" x14ac:dyDescent="0.25">
      <c r="A126" s="200">
        <f t="shared" si="2"/>
        <v>112</v>
      </c>
      <c r="B126" s="231" t="str">
        <f>Suite&amp;" Electrical Room "&amp;SWOne</f>
        <v>G104 Electrical Room XXX</v>
      </c>
      <c r="C126" s="183" t="str">
        <f>"UPS "&amp;SWOne&amp;" Battery Cabinets"</f>
        <v>UPS XXX Battery Cabinets</v>
      </c>
      <c r="D126" s="187" t="s">
        <v>1682</v>
      </c>
      <c r="E126" s="183" t="s">
        <v>1464</v>
      </c>
      <c r="F126" s="193"/>
      <c r="G126" s="193"/>
    </row>
    <row r="127" spans="1:7" ht="56.25" x14ac:dyDescent="0.25">
      <c r="A127" s="200">
        <f t="shared" si="2"/>
        <v>113</v>
      </c>
      <c r="B127" s="231" t="str">
        <f>Suite&amp;" Electrical Room "&amp;SWOne</f>
        <v>G104 Electrical Room XXX</v>
      </c>
      <c r="C127" s="183" t="str">
        <f>"UPS "&amp;SWOne&amp;" Battery Cabinets"</f>
        <v>UPS XXX Battery Cabinets</v>
      </c>
      <c r="D127" s="186" t="s">
        <v>1518</v>
      </c>
      <c r="E127" s="183" t="s">
        <v>1464</v>
      </c>
      <c r="F127" s="193"/>
      <c r="G127" s="193"/>
    </row>
    <row r="128" spans="1:7" ht="56.25" x14ac:dyDescent="0.25">
      <c r="A128" s="200">
        <f t="shared" si="2"/>
        <v>114</v>
      </c>
      <c r="B128" s="231" t="str">
        <f>Suite&amp;" Electrical Room "&amp;SWOne</f>
        <v>G104 Electrical Room XXX</v>
      </c>
      <c r="C128" s="183" t="str">
        <f>"UPS "&amp;SWOne&amp;" Battery Cabinets"</f>
        <v>UPS XXX Battery Cabinets</v>
      </c>
      <c r="D128" s="187" t="s">
        <v>1683</v>
      </c>
      <c r="E128" s="183" t="s">
        <v>1464</v>
      </c>
      <c r="F128" s="193"/>
      <c r="G128" s="193"/>
    </row>
    <row r="129" spans="1:7" ht="56.25" x14ac:dyDescent="0.25">
      <c r="A129" s="200">
        <f t="shared" si="2"/>
        <v>115</v>
      </c>
      <c r="B129" s="231" t="str">
        <f>Suite&amp;" Electrical Room "&amp;SWOne</f>
        <v>G104 Electrical Room XXX</v>
      </c>
      <c r="C129" s="183" t="str">
        <f>"UPS "&amp;SWOne&amp;" Battery Cabinets"</f>
        <v>UPS XXX Battery Cabinets</v>
      </c>
      <c r="D129" s="186" t="s">
        <v>1518</v>
      </c>
      <c r="E129" s="183" t="s">
        <v>1464</v>
      </c>
      <c r="F129" s="193"/>
      <c r="G129" s="193"/>
    </row>
    <row r="130" spans="1:7" ht="37.5" x14ac:dyDescent="0.25">
      <c r="A130" s="200">
        <f t="shared" si="2"/>
        <v>116</v>
      </c>
      <c r="B130" s="231" t="str">
        <f>Suite&amp;" Electrical Room "&amp;SWOne</f>
        <v>G104 Electrical Room XXX</v>
      </c>
      <c r="C130" s="183" t="str">
        <f>"SW"&amp;SWOne</f>
        <v>SWXXX</v>
      </c>
      <c r="D130" s="187" t="s">
        <v>1684</v>
      </c>
      <c r="E130" s="183" t="s">
        <v>1464</v>
      </c>
      <c r="F130" s="193"/>
      <c r="G130" s="193"/>
    </row>
    <row r="131" spans="1:7" ht="37.5" x14ac:dyDescent="0.25">
      <c r="A131" s="200">
        <f t="shared" si="2"/>
        <v>117</v>
      </c>
      <c r="B131" s="231" t="str">
        <f>Suite&amp;" Electrical Room "&amp;SWOne</f>
        <v>G104 Electrical Room XXX</v>
      </c>
      <c r="C131" s="183" t="str">
        <f>"SW"&amp;SWOne</f>
        <v>SWXXX</v>
      </c>
      <c r="D131" s="186" t="s">
        <v>1518</v>
      </c>
      <c r="E131" s="183" t="s">
        <v>1464</v>
      </c>
      <c r="F131" s="193"/>
      <c r="G131" s="193"/>
    </row>
    <row r="132" spans="1:7" ht="37.5" x14ac:dyDescent="0.25">
      <c r="A132" s="200">
        <f t="shared" si="2"/>
        <v>118</v>
      </c>
      <c r="B132" s="231" t="str">
        <f>Suite&amp;" Electrical Room "&amp;SWOne</f>
        <v>G104 Electrical Room XXX</v>
      </c>
      <c r="C132" s="183" t="str">
        <f>"SW"&amp;SWOne</f>
        <v>SWXXX</v>
      </c>
      <c r="D132" s="187" t="s">
        <v>1685</v>
      </c>
      <c r="E132" s="183" t="s">
        <v>1464</v>
      </c>
      <c r="F132" s="193"/>
      <c r="G132" s="193"/>
    </row>
    <row r="133" spans="1:7" ht="37.5" x14ac:dyDescent="0.25">
      <c r="A133" s="200">
        <f t="shared" si="2"/>
        <v>119</v>
      </c>
      <c r="B133" s="231" t="str">
        <f>Suite&amp;" Electrical Room "&amp;SWOne</f>
        <v>G104 Electrical Room XXX</v>
      </c>
      <c r="C133" s="183" t="str">
        <f>"SW"&amp;SWOne</f>
        <v>SWXXX</v>
      </c>
      <c r="D133" s="186" t="s">
        <v>1518</v>
      </c>
      <c r="E133" s="183" t="s">
        <v>1464</v>
      </c>
      <c r="F133" s="193"/>
      <c r="G133" s="193"/>
    </row>
    <row r="134" spans="1:7" ht="37.5" x14ac:dyDescent="0.25">
      <c r="A134" s="200">
        <f t="shared" si="2"/>
        <v>120</v>
      </c>
      <c r="B134" s="231" t="str">
        <f>Suite&amp;" Electrical Room "&amp;SWOne</f>
        <v>G104 Electrical Room XXX</v>
      </c>
      <c r="C134" s="183" t="str">
        <f>"SW"&amp;SWOne</f>
        <v>SWXXX</v>
      </c>
      <c r="D134" s="187" t="s">
        <v>1686</v>
      </c>
      <c r="E134" s="183" t="s">
        <v>1464</v>
      </c>
      <c r="F134" s="193"/>
      <c r="G134" s="193"/>
    </row>
    <row r="135" spans="1:7" ht="37.5" x14ac:dyDescent="0.25">
      <c r="A135" s="200">
        <f t="shared" si="2"/>
        <v>121</v>
      </c>
      <c r="B135" s="231" t="str">
        <f>Suite&amp;" Electrical Room "&amp;SWOne</f>
        <v>G104 Electrical Room XXX</v>
      </c>
      <c r="C135" s="183" t="str">
        <f>"SW"&amp;SWOne</f>
        <v>SWXXX</v>
      </c>
      <c r="D135" s="187" t="s">
        <v>1687</v>
      </c>
      <c r="E135" s="183" t="s">
        <v>1464</v>
      </c>
      <c r="F135" s="193"/>
      <c r="G135" s="193"/>
    </row>
    <row r="136" spans="1:7" ht="56.25" x14ac:dyDescent="0.25">
      <c r="A136" s="200">
        <f t="shared" si="2"/>
        <v>122</v>
      </c>
      <c r="B136" s="231" t="str">
        <f>Suite&amp;" Electrical Room "&amp;SWOne</f>
        <v>G104 Electrical Room XXX</v>
      </c>
      <c r="C136" s="183" t="str">
        <f>"UPS "&amp;SWOne</f>
        <v>UPS XXX</v>
      </c>
      <c r="D136" s="187" t="s">
        <v>1688</v>
      </c>
      <c r="E136" s="183" t="s">
        <v>1464</v>
      </c>
      <c r="F136" s="193"/>
      <c r="G136" s="193"/>
    </row>
    <row r="137" spans="1:7" ht="37.5" x14ac:dyDescent="0.25">
      <c r="A137" s="200">
        <f t="shared" si="2"/>
        <v>123</v>
      </c>
      <c r="B137" s="231" t="str">
        <f>Suite&amp;" Electrical Room "&amp;SWOne</f>
        <v>G104 Electrical Room XXX</v>
      </c>
      <c r="C137" s="183" t="str">
        <f>"UPS "&amp;SWOne&amp;"1"</f>
        <v>UPS XXX1</v>
      </c>
      <c r="D137" s="186" t="s">
        <v>1689</v>
      </c>
      <c r="E137" s="183" t="s">
        <v>1464</v>
      </c>
      <c r="F137" s="193"/>
      <c r="G137" s="193"/>
    </row>
    <row r="138" spans="1:7" ht="39.75" x14ac:dyDescent="0.25">
      <c r="A138" s="200">
        <f t="shared" si="2"/>
        <v>124</v>
      </c>
      <c r="B138" s="231" t="str">
        <f>Suite&amp;" Electrical Room "&amp;SWOne</f>
        <v>G104 Electrical Room XXX</v>
      </c>
      <c r="C138" s="183" t="str">
        <f>"UPS "&amp;SWOne&amp;"1"</f>
        <v>UPS XXX1</v>
      </c>
      <c r="D138" s="187" t="s">
        <v>1690</v>
      </c>
      <c r="E138" s="183" t="s">
        <v>1464</v>
      </c>
      <c r="F138" s="193"/>
      <c r="G138" s="193"/>
    </row>
    <row r="139" spans="1:7" ht="39.75" x14ac:dyDescent="0.25">
      <c r="A139" s="200">
        <f t="shared" si="2"/>
        <v>125</v>
      </c>
      <c r="B139" s="231" t="str">
        <f>Suite&amp;" Electrical Room "&amp;SWOne</f>
        <v>G104 Electrical Room XXX</v>
      </c>
      <c r="C139" s="183" t="str">
        <f>"UPS "&amp;SWOne&amp;"2"</f>
        <v>UPS XXX2</v>
      </c>
      <c r="D139" s="187" t="s">
        <v>1690</v>
      </c>
      <c r="E139" s="183" t="s">
        <v>1464</v>
      </c>
      <c r="F139" s="193"/>
      <c r="G139" s="193"/>
    </row>
    <row r="140" spans="1:7" ht="37.5" x14ac:dyDescent="0.25">
      <c r="A140" s="200">
        <f t="shared" si="2"/>
        <v>126</v>
      </c>
      <c r="B140" s="231" t="str">
        <f>Suite&amp;" Electrical Room "&amp;SWOne</f>
        <v>G104 Electrical Room XXX</v>
      </c>
      <c r="C140" s="183" t="str">
        <f>"UPS "&amp;SWOne</f>
        <v>UPS XXX</v>
      </c>
      <c r="D140" s="186" t="s">
        <v>1691</v>
      </c>
      <c r="E140" s="183" t="s">
        <v>1464</v>
      </c>
      <c r="F140" s="193"/>
      <c r="G140" s="193"/>
    </row>
    <row r="141" spans="1:7" ht="37.5" x14ac:dyDescent="0.25">
      <c r="A141" s="200">
        <f t="shared" si="2"/>
        <v>127</v>
      </c>
      <c r="B141" s="231" t="str">
        <f>Suite&amp;" Electrical Room "&amp;SWOne</f>
        <v>G104 Electrical Room XXX</v>
      </c>
      <c r="C141" s="183" t="str">
        <f>"UPS "&amp;SWOne&amp;"1"</f>
        <v>UPS XXX1</v>
      </c>
      <c r="D141" s="186" t="s">
        <v>1692</v>
      </c>
      <c r="E141" s="183" t="s">
        <v>1464</v>
      </c>
      <c r="F141" s="193"/>
      <c r="G141" s="193"/>
    </row>
    <row r="142" spans="1:7" ht="37.5" x14ac:dyDescent="0.25">
      <c r="A142" s="200">
        <f t="shared" si="2"/>
        <v>128</v>
      </c>
      <c r="B142" s="231" t="str">
        <f>Suite&amp;" Electrical Room "&amp;SWOne</f>
        <v>G104 Electrical Room XXX</v>
      </c>
      <c r="C142" s="183" t="str">
        <f>"UPS "&amp;SWOne&amp;"2"</f>
        <v>UPS XXX2</v>
      </c>
      <c r="D142" s="186" t="s">
        <v>1692</v>
      </c>
      <c r="E142" s="183" t="s">
        <v>1464</v>
      </c>
      <c r="F142" s="193"/>
      <c r="G142" s="193"/>
    </row>
    <row r="143" spans="1:7" ht="56.25" x14ac:dyDescent="0.25">
      <c r="A143" s="200">
        <f t="shared" si="2"/>
        <v>129</v>
      </c>
      <c r="B143" s="231" t="str">
        <f>Suite&amp;" Electrical Room "&amp;SWOne</f>
        <v>G104 Electrical Room XXX</v>
      </c>
      <c r="C143" s="183" t="str">
        <f>"UPS "&amp;SWOne&amp;" Battery Cabinets"</f>
        <v>UPS XXX Battery Cabinets</v>
      </c>
      <c r="D143" s="187" t="s">
        <v>1693</v>
      </c>
      <c r="E143" s="183" t="s">
        <v>1464</v>
      </c>
      <c r="F143" s="193"/>
      <c r="G143" s="193"/>
    </row>
    <row r="144" spans="1:7" ht="56.25" x14ac:dyDescent="0.25">
      <c r="A144" s="200">
        <f t="shared" si="2"/>
        <v>130</v>
      </c>
      <c r="B144" s="231" t="str">
        <f>Suite&amp;" Electrical Room "&amp;SWOne</f>
        <v>G104 Electrical Room XXX</v>
      </c>
      <c r="C144" s="183" t="str">
        <f>"UPS "&amp;SWOne&amp;" Battery Cabinets"</f>
        <v>UPS XXX Battery Cabinets</v>
      </c>
      <c r="D144" s="187" t="s">
        <v>1694</v>
      </c>
      <c r="E144" s="183" t="s">
        <v>1464</v>
      </c>
      <c r="F144" s="193"/>
      <c r="G144" s="193"/>
    </row>
    <row r="145" spans="1:7" ht="56.25" x14ac:dyDescent="0.25">
      <c r="A145" s="200">
        <f t="shared" si="2"/>
        <v>131</v>
      </c>
      <c r="B145" s="231" t="str">
        <f>Suite&amp;" Electrical Room "&amp;SWOne</f>
        <v>G104 Electrical Room XXX</v>
      </c>
      <c r="C145" s="183" t="str">
        <f>"UPS "&amp;SWOne&amp;" Battery Cabinets"</f>
        <v>UPS XXX Battery Cabinets</v>
      </c>
      <c r="D145" s="187" t="s">
        <v>1695</v>
      </c>
      <c r="E145" s="183" t="s">
        <v>1464</v>
      </c>
      <c r="F145" s="193"/>
      <c r="G145" s="193"/>
    </row>
    <row r="146" spans="1:7" ht="37.5" x14ac:dyDescent="0.25">
      <c r="A146" s="200">
        <f t="shared" si="2"/>
        <v>132</v>
      </c>
      <c r="B146" s="231" t="str">
        <f>Suite&amp;" Electrical Room "&amp;SWOne</f>
        <v>G104 Electrical Room XXX</v>
      </c>
      <c r="C146" s="183" t="str">
        <f>"UPS "&amp;SWOne&amp;"1"</f>
        <v>UPS XXX1</v>
      </c>
      <c r="D146" s="186" t="s">
        <v>1696</v>
      </c>
      <c r="E146" s="183" t="s">
        <v>1464</v>
      </c>
      <c r="F146" s="193"/>
      <c r="G146" s="193"/>
    </row>
    <row r="147" spans="1:7" ht="56.25" x14ac:dyDescent="0.25">
      <c r="A147" s="200">
        <f t="shared" si="2"/>
        <v>133</v>
      </c>
      <c r="B147" s="231" t="str">
        <f>Suite&amp;" Electrical Room "&amp;SWOne</f>
        <v>G104 Electrical Room XXX</v>
      </c>
      <c r="C147" s="183" t="str">
        <f>"UPS "&amp;SWOne&amp;" Battery Cabinets"</f>
        <v>UPS XXX Battery Cabinets</v>
      </c>
      <c r="D147" s="187" t="s">
        <v>1697</v>
      </c>
      <c r="E147" s="183" t="s">
        <v>1464</v>
      </c>
      <c r="F147" s="193"/>
      <c r="G147" s="193"/>
    </row>
    <row r="148" spans="1:7" ht="56.25" x14ac:dyDescent="0.25">
      <c r="A148" s="200">
        <f t="shared" si="2"/>
        <v>134</v>
      </c>
      <c r="B148" s="231" t="str">
        <f>Suite&amp;" Electrical Room "&amp;SWOne</f>
        <v>G104 Electrical Room XXX</v>
      </c>
      <c r="C148" s="183" t="str">
        <f>"UPS "&amp;SWOne&amp;" Battery Cabinets"</f>
        <v>UPS XXX Battery Cabinets</v>
      </c>
      <c r="D148" s="187" t="s">
        <v>1698</v>
      </c>
      <c r="E148" s="183" t="s">
        <v>1464</v>
      </c>
      <c r="F148" s="193"/>
      <c r="G148" s="193"/>
    </row>
    <row r="149" spans="1:7" ht="56.25" x14ac:dyDescent="0.25">
      <c r="A149" s="200">
        <f t="shared" si="2"/>
        <v>135</v>
      </c>
      <c r="B149" s="231" t="str">
        <f>Suite&amp;" Electrical Room "&amp;SWOne</f>
        <v>G104 Electrical Room XXX</v>
      </c>
      <c r="C149" s="183" t="str">
        <f>"UPS "&amp;SWOne&amp;" Battery Cabinets"</f>
        <v>UPS XXX Battery Cabinets</v>
      </c>
      <c r="D149" s="187" t="s">
        <v>1699</v>
      </c>
      <c r="E149" s="183" t="s">
        <v>1464</v>
      </c>
      <c r="F149" s="193"/>
      <c r="G149" s="193"/>
    </row>
    <row r="150" spans="1:7" ht="37.5" x14ac:dyDescent="0.25">
      <c r="A150" s="200">
        <f t="shared" si="2"/>
        <v>136</v>
      </c>
      <c r="B150" s="231" t="str">
        <f>Suite&amp;" Electrical Room "&amp;SWOne</f>
        <v>G104 Electrical Room XXX</v>
      </c>
      <c r="C150" s="183" t="str">
        <f>"UPS "&amp;SWOne&amp;"2"</f>
        <v>UPS XXX2</v>
      </c>
      <c r="D150" s="186" t="s">
        <v>1696</v>
      </c>
      <c r="E150" s="183" t="s">
        <v>1464</v>
      </c>
      <c r="F150" s="193"/>
      <c r="G150" s="193"/>
    </row>
    <row r="151" spans="1:7" ht="37.5" x14ac:dyDescent="0.25">
      <c r="A151" s="200">
        <f t="shared" si="2"/>
        <v>137</v>
      </c>
      <c r="B151" s="231" t="str">
        <f>Suite&amp;" Electrical Room "&amp;SWOne</f>
        <v>G104 Electrical Room XXX</v>
      </c>
      <c r="C151" s="183" t="str">
        <f>"UP"&amp;SWOne</f>
        <v>UPXXX</v>
      </c>
      <c r="D151" s="187" t="s">
        <v>1700</v>
      </c>
      <c r="E151" s="183" t="s">
        <v>1464</v>
      </c>
      <c r="F151" s="193"/>
      <c r="G151" s="193"/>
    </row>
    <row r="152" spans="1:7" ht="37.5" x14ac:dyDescent="0.25">
      <c r="A152" s="200">
        <f t="shared" si="2"/>
        <v>138</v>
      </c>
      <c r="B152" s="231" t="str">
        <f>Suite&amp;" Electrical Room "&amp;SWOne</f>
        <v>G104 Electrical Room XXX</v>
      </c>
      <c r="C152" s="183" t="str">
        <f>"UPS "&amp;SWOne&amp;"1"</f>
        <v>UPS XXX1</v>
      </c>
      <c r="D152" s="186" t="s">
        <v>1701</v>
      </c>
      <c r="E152" s="183" t="s">
        <v>1464</v>
      </c>
      <c r="F152" s="193"/>
      <c r="G152" s="193"/>
    </row>
    <row r="153" spans="1:7" ht="37.5" x14ac:dyDescent="0.25">
      <c r="A153" s="200">
        <f t="shared" si="2"/>
        <v>139</v>
      </c>
      <c r="B153" s="231" t="str">
        <f>Suite&amp;" Electrical Room "&amp;SWOne</f>
        <v>G104 Electrical Room XXX</v>
      </c>
      <c r="C153" s="183" t="str">
        <f>"UP"&amp;SWOne</f>
        <v>UPXXX</v>
      </c>
      <c r="D153" s="187" t="s">
        <v>1702</v>
      </c>
      <c r="E153" s="183" t="s">
        <v>1464</v>
      </c>
      <c r="F153" s="193"/>
      <c r="G153" s="193"/>
    </row>
    <row r="154" spans="1:7" ht="37.5" x14ac:dyDescent="0.25">
      <c r="A154" s="200">
        <f t="shared" si="2"/>
        <v>140</v>
      </c>
      <c r="B154" s="231" t="str">
        <f>Suite&amp;" Electrical Room "&amp;SWOne</f>
        <v>G104 Electrical Room XXX</v>
      </c>
      <c r="C154" s="183" t="str">
        <f>"UPS "&amp;SWOne&amp;"2"</f>
        <v>UPS XXX2</v>
      </c>
      <c r="D154" s="186" t="s">
        <v>1701</v>
      </c>
      <c r="E154" s="183" t="s">
        <v>1464</v>
      </c>
      <c r="F154" s="193"/>
      <c r="G154" s="193"/>
    </row>
    <row r="155" spans="1:7" ht="37.5" x14ac:dyDescent="0.25">
      <c r="A155" s="200">
        <f t="shared" ref="A155:A213" si="3">A154+1</f>
        <v>141</v>
      </c>
      <c r="B155" s="231" t="str">
        <f>Suite&amp;" Electrical Room "&amp;SWOne</f>
        <v>G104 Electrical Room XXX</v>
      </c>
      <c r="C155" s="183" t="str">
        <f>"UPS "&amp;SWOne</f>
        <v>UPS XXX</v>
      </c>
      <c r="D155" s="204" t="s">
        <v>1703</v>
      </c>
      <c r="E155" s="183" t="s">
        <v>1464</v>
      </c>
      <c r="F155" s="193"/>
      <c r="G155" s="193"/>
    </row>
    <row r="156" spans="1:7" x14ac:dyDescent="0.25">
      <c r="A156" s="200">
        <f t="shared" si="3"/>
        <v>142</v>
      </c>
      <c r="B156" s="714" t="s">
        <v>1602</v>
      </c>
      <c r="C156" s="714"/>
      <c r="D156" s="714"/>
      <c r="E156" s="714"/>
      <c r="F156" s="714"/>
      <c r="G156" s="714"/>
    </row>
    <row r="157" spans="1:7" ht="37.5" x14ac:dyDescent="0.25">
      <c r="A157" s="200">
        <f t="shared" si="3"/>
        <v>143</v>
      </c>
      <c r="B157" s="231" t="str">
        <f>Suite&amp;" Electrical Room "&amp;SWOne</f>
        <v>G104 Electrical Room XXX</v>
      </c>
      <c r="C157" s="183" t="str">
        <f>"UP"&amp;SWOne</f>
        <v>UPXXX</v>
      </c>
      <c r="D157" s="187" t="s">
        <v>1614</v>
      </c>
      <c r="E157" s="183" t="s">
        <v>1464</v>
      </c>
      <c r="F157" s="193"/>
      <c r="G157" s="193"/>
    </row>
    <row r="158" spans="1:7" ht="37.5" x14ac:dyDescent="0.25">
      <c r="A158" s="200">
        <f t="shared" si="3"/>
        <v>144</v>
      </c>
      <c r="B158" s="231" t="str">
        <f>Suite&amp;" Electrical Room "&amp;SWOne</f>
        <v>G104 Electrical Room XXX</v>
      </c>
      <c r="C158" s="183" t="str">
        <f>"UP"&amp;SWOne</f>
        <v>UPXXX</v>
      </c>
      <c r="D158" s="186" t="s">
        <v>1704</v>
      </c>
      <c r="E158" s="183" t="s">
        <v>1464</v>
      </c>
      <c r="F158" s="193"/>
      <c r="G158" s="193"/>
    </row>
    <row r="159" spans="1:7" ht="37.5" x14ac:dyDescent="0.25">
      <c r="A159" s="200">
        <f t="shared" si="3"/>
        <v>145</v>
      </c>
      <c r="B159" s="231" t="str">
        <f>Suite&amp;" Electrical Room "&amp;SWOne</f>
        <v>G104 Electrical Room XXX</v>
      </c>
      <c r="C159" s="183" t="str">
        <f>"UP"&amp;SWOne</f>
        <v>UPXXX</v>
      </c>
      <c r="D159" s="187" t="s">
        <v>1628</v>
      </c>
      <c r="E159" s="183" t="s">
        <v>1464</v>
      </c>
      <c r="F159" s="193"/>
      <c r="G159" s="193"/>
    </row>
    <row r="160" spans="1:7" ht="37.5" x14ac:dyDescent="0.25">
      <c r="A160" s="200">
        <f t="shared" si="3"/>
        <v>146</v>
      </c>
      <c r="B160" s="231" t="str">
        <f>Suite&amp;" Electrical Room "&amp;SWOne</f>
        <v>G104 Electrical Room XXX</v>
      </c>
      <c r="C160" s="183" t="str">
        <f>"UP"&amp;SWOne</f>
        <v>UPXXX</v>
      </c>
      <c r="D160" s="187" t="s">
        <v>1629</v>
      </c>
      <c r="E160" s="183" t="s">
        <v>1464</v>
      </c>
      <c r="F160" s="193"/>
      <c r="G160" s="193"/>
    </row>
    <row r="161" spans="1:7" ht="37.5" x14ac:dyDescent="0.25">
      <c r="A161" s="200">
        <f t="shared" si="3"/>
        <v>147</v>
      </c>
      <c r="B161" s="231" t="str">
        <f>Suite&amp;" Electrical Room "&amp;SWOne</f>
        <v>G104 Electrical Room XXX</v>
      </c>
      <c r="C161" s="183" t="str">
        <f>"UP"&amp;SWOne</f>
        <v>UPXXX</v>
      </c>
      <c r="D161" s="235" t="s">
        <v>1705</v>
      </c>
      <c r="E161" s="183" t="s">
        <v>1464</v>
      </c>
      <c r="F161" s="193"/>
      <c r="G161" s="193"/>
    </row>
    <row r="162" spans="1:7" ht="37.5" x14ac:dyDescent="0.25">
      <c r="A162" s="200">
        <f t="shared" si="3"/>
        <v>148</v>
      </c>
      <c r="B162" s="231" t="str">
        <f>Suite&amp;" Electrical Room "&amp;SWOne</f>
        <v>G104 Electrical Room XXX</v>
      </c>
      <c r="C162" s="183" t="str">
        <f>"UP"&amp;SWOne</f>
        <v>UPXXX</v>
      </c>
      <c r="D162" s="187" t="s">
        <v>1706</v>
      </c>
      <c r="E162" s="183" t="s">
        <v>1464</v>
      </c>
      <c r="F162" s="193"/>
      <c r="G162" s="193"/>
    </row>
    <row r="163" spans="1:7" ht="37.5" x14ac:dyDescent="0.25">
      <c r="A163" s="200">
        <f t="shared" si="3"/>
        <v>149</v>
      </c>
      <c r="B163" s="231" t="str">
        <f>Suite&amp;" Electrical Room "&amp;SWOne</f>
        <v>G104 Electrical Room XXX</v>
      </c>
      <c r="C163" s="183" t="str">
        <f>"UP"&amp;SWOne</f>
        <v>UPXXX</v>
      </c>
      <c r="D163" s="187" t="s">
        <v>1707</v>
      </c>
      <c r="E163" s="183" t="s">
        <v>1464</v>
      </c>
      <c r="F163" s="193"/>
      <c r="G163" s="193"/>
    </row>
    <row r="164" spans="1:7" ht="37.5" x14ac:dyDescent="0.25">
      <c r="A164" s="200">
        <f t="shared" si="3"/>
        <v>150</v>
      </c>
      <c r="B164" s="231" t="str">
        <f>Suite&amp;" Electrical Room "&amp;SWOne</f>
        <v>G104 Electrical Room XXX</v>
      </c>
      <c r="C164" s="183" t="str">
        <f>"UP"&amp;SWOne</f>
        <v>UPXXX</v>
      </c>
      <c r="D164" s="187" t="s">
        <v>1708</v>
      </c>
      <c r="E164" s="183" t="s">
        <v>1464</v>
      </c>
      <c r="F164" s="193"/>
      <c r="G164" s="193"/>
    </row>
    <row r="165" spans="1:7" ht="37.5" x14ac:dyDescent="0.25">
      <c r="A165" s="200">
        <f t="shared" si="3"/>
        <v>151</v>
      </c>
      <c r="B165" s="231" t="str">
        <f>Suite&amp;" Electrical Room "&amp;SWOne</f>
        <v>G104 Electrical Room XXX</v>
      </c>
      <c r="C165" s="183" t="str">
        <f>"UP"&amp;SWOne</f>
        <v>UPXXX</v>
      </c>
      <c r="D165" s="187" t="s">
        <v>1634</v>
      </c>
      <c r="E165" s="183" t="s">
        <v>1464</v>
      </c>
      <c r="F165" s="193"/>
      <c r="G165" s="193"/>
    </row>
    <row r="166" spans="1:7" ht="37.5" x14ac:dyDescent="0.25">
      <c r="A166" s="200">
        <f t="shared" si="3"/>
        <v>152</v>
      </c>
      <c r="B166" s="231" t="str">
        <f>Suite&amp;" Electrical Room "&amp;SWOne</f>
        <v>G104 Electrical Room XXX</v>
      </c>
      <c r="C166" s="183" t="str">
        <f>"UP"&amp;SWOne</f>
        <v>UPXXX</v>
      </c>
      <c r="D166" s="187" t="s">
        <v>1635</v>
      </c>
      <c r="E166" s="183" t="s">
        <v>1464</v>
      </c>
      <c r="F166" s="193"/>
      <c r="G166" s="193"/>
    </row>
    <row r="167" spans="1:7" ht="37.5" x14ac:dyDescent="0.25">
      <c r="A167" s="200">
        <f t="shared" si="3"/>
        <v>153</v>
      </c>
      <c r="B167" s="231" t="str">
        <f>Suite&amp;" Electrical Room "&amp;SWOne</f>
        <v>G104 Electrical Room XXX</v>
      </c>
      <c r="C167" s="183" t="str">
        <f>"UP"&amp;SWOne</f>
        <v>UPXXX</v>
      </c>
      <c r="D167" s="235" t="s">
        <v>1626</v>
      </c>
      <c r="E167" s="183" t="s">
        <v>1464</v>
      </c>
      <c r="F167" s="193"/>
      <c r="G167" s="193"/>
    </row>
    <row r="168" spans="1:7" ht="37.5" x14ac:dyDescent="0.25">
      <c r="A168" s="200">
        <f t="shared" si="3"/>
        <v>154</v>
      </c>
      <c r="B168" s="231" t="str">
        <f>Suite&amp;" Electrical Room "&amp;SWOne</f>
        <v>G104 Electrical Room XXX</v>
      </c>
      <c r="C168" s="183" t="str">
        <f>"UP"&amp;SWOne</f>
        <v>UPXXX</v>
      </c>
      <c r="D168" s="186" t="str">
        <f>"VERIFY the readings in step " &amp; A157 &amp; " and " &amp; A167 &amp; " are within 3% of each other. (new kW divided by original kW must be ≤1.03 and ≥0.97)."</f>
        <v>VERIFY the readings in step 143 and 153 are within 3% of each other. (new kW divided by original kW must be ≤1.03 and ≥0.97).</v>
      </c>
      <c r="E168" s="183" t="s">
        <v>1464</v>
      </c>
      <c r="F168" s="193"/>
      <c r="G168" s="193"/>
    </row>
    <row r="169" spans="1:7" ht="37.5" x14ac:dyDescent="0.25">
      <c r="A169" s="200">
        <f t="shared" si="3"/>
        <v>155</v>
      </c>
      <c r="B169" s="231" t="str">
        <f>Suite&amp;" Electrical Room "&amp;SWOne</f>
        <v>G104 Electrical Room XXX</v>
      </c>
      <c r="C169" s="183" t="str">
        <f>"UP"&amp;SWOne</f>
        <v>UPXXX</v>
      </c>
      <c r="D169" s="187" t="s">
        <v>1709</v>
      </c>
      <c r="E169" s="183" t="s">
        <v>1464</v>
      </c>
      <c r="F169" s="193"/>
      <c r="G169" s="193"/>
    </row>
    <row r="170" spans="1:7" ht="37.5" x14ac:dyDescent="0.25">
      <c r="A170" s="200">
        <f t="shared" si="3"/>
        <v>156</v>
      </c>
      <c r="B170" s="231" t="str">
        <f>Suite&amp;" Electrical Room "&amp;SWOne</f>
        <v>G104 Electrical Room XXX</v>
      </c>
      <c r="C170" s="183" t="str">
        <f>"UP"&amp;SWOne</f>
        <v>UPXXX</v>
      </c>
      <c r="D170" s="187" t="s">
        <v>1710</v>
      </c>
      <c r="E170" s="183" t="s">
        <v>1464</v>
      </c>
      <c r="F170" s="193"/>
      <c r="G170" s="193"/>
    </row>
    <row r="171" spans="1:7" ht="37.5" x14ac:dyDescent="0.25">
      <c r="A171" s="200">
        <f t="shared" si="3"/>
        <v>157</v>
      </c>
      <c r="B171" s="231" t="str">
        <f>Suite&amp;" Electrical Room "&amp;SWOne</f>
        <v>G104 Electrical Room XXX</v>
      </c>
      <c r="C171" s="183" t="str">
        <f>"UP"&amp;SWOne</f>
        <v>UPXXX</v>
      </c>
      <c r="D171" s="204" t="s">
        <v>1501</v>
      </c>
      <c r="E171" s="183" t="s">
        <v>1464</v>
      </c>
      <c r="F171" s="193"/>
      <c r="G171" s="193"/>
    </row>
    <row r="172" spans="1:7" ht="37.5" x14ac:dyDescent="0.25">
      <c r="A172" s="200">
        <f t="shared" si="3"/>
        <v>158</v>
      </c>
      <c r="B172" s="231" t="str">
        <f>Suite&amp;" Electrical Room "&amp;SWOne</f>
        <v>G104 Electrical Room XXX</v>
      </c>
      <c r="C172" s="183" t="str">
        <f>"UP"&amp;SWOne</f>
        <v>UPXXX</v>
      </c>
      <c r="D172" s="187" t="s">
        <v>1711</v>
      </c>
      <c r="E172" s="183" t="s">
        <v>1464</v>
      </c>
      <c r="F172" s="193"/>
      <c r="G172" s="193"/>
    </row>
    <row r="173" spans="1:7" ht="37.5" x14ac:dyDescent="0.25">
      <c r="A173" s="200">
        <f t="shared" si="3"/>
        <v>159</v>
      </c>
      <c r="B173" s="231" t="str">
        <f>Suite&amp;" Electrical Room "&amp;SWOne</f>
        <v>G104 Electrical Room XXX</v>
      </c>
      <c r="C173" s="183" t="str">
        <f>"UP"&amp;SWOne</f>
        <v>UPXXX</v>
      </c>
      <c r="D173" s="187" t="s">
        <v>1712</v>
      </c>
      <c r="E173" s="183" t="s">
        <v>1464</v>
      </c>
      <c r="F173" s="193"/>
      <c r="G173" s="193"/>
    </row>
    <row r="174" spans="1:7" ht="37.5" x14ac:dyDescent="0.25">
      <c r="A174" s="200">
        <f t="shared" si="3"/>
        <v>160</v>
      </c>
      <c r="B174" s="231" t="str">
        <f>Suite&amp;" Electrical Room "&amp;SWOne</f>
        <v>G104 Electrical Room XXX</v>
      </c>
      <c r="C174" s="183" t="str">
        <f>"UP"&amp;SWOne</f>
        <v>UPXXX</v>
      </c>
      <c r="D174" s="235" t="s">
        <v>1643</v>
      </c>
      <c r="E174" s="183" t="s">
        <v>1464</v>
      </c>
      <c r="F174" s="193"/>
      <c r="G174" s="193"/>
    </row>
    <row r="175" spans="1:7" ht="37.5" x14ac:dyDescent="0.25">
      <c r="A175" s="200">
        <f t="shared" si="3"/>
        <v>161</v>
      </c>
      <c r="B175" s="231" t="str">
        <f>Suite&amp;" Electrical Room "&amp;SWOne</f>
        <v>G104 Electrical Room XXX</v>
      </c>
      <c r="C175" s="183" t="str">
        <f>"UP"&amp;SWOne</f>
        <v>UPXXX</v>
      </c>
      <c r="D175" s="187" t="s">
        <v>1644</v>
      </c>
      <c r="E175" s="183" t="s">
        <v>1464</v>
      </c>
      <c r="F175" s="193"/>
      <c r="G175" s="193"/>
    </row>
    <row r="176" spans="1:7" ht="37.5" x14ac:dyDescent="0.25">
      <c r="A176" s="200">
        <f t="shared" si="3"/>
        <v>162</v>
      </c>
      <c r="B176" s="231" t="str">
        <f>Suite&amp;" Electrical Room "&amp;SWOne</f>
        <v>G104 Electrical Room XXX</v>
      </c>
      <c r="C176" s="183" t="str">
        <f>"UP"&amp;SWOne</f>
        <v>UPXXX</v>
      </c>
      <c r="D176" s="187" t="s">
        <v>1645</v>
      </c>
      <c r="E176" s="183" t="s">
        <v>1464</v>
      </c>
      <c r="F176" s="193"/>
      <c r="G176" s="193"/>
    </row>
    <row r="177" spans="1:7" ht="37.5" x14ac:dyDescent="0.25">
      <c r="A177" s="200">
        <f t="shared" si="3"/>
        <v>163</v>
      </c>
      <c r="B177" s="231" t="str">
        <f>Suite&amp;" Electrical Room "&amp;SWOne</f>
        <v>G104 Electrical Room XXX</v>
      </c>
      <c r="C177" s="183" t="str">
        <f>"UP"&amp;SWOne</f>
        <v>UPXXX</v>
      </c>
      <c r="D177" s="204" t="s">
        <v>1646</v>
      </c>
      <c r="E177" s="183" t="s">
        <v>1464</v>
      </c>
      <c r="F177" s="193"/>
      <c r="G177" s="193"/>
    </row>
    <row r="178" spans="1:7" x14ac:dyDescent="0.25">
      <c r="A178" s="200">
        <f t="shared" si="3"/>
        <v>164</v>
      </c>
      <c r="B178" s="714" t="s">
        <v>1713</v>
      </c>
      <c r="C178" s="714"/>
      <c r="D178" s="714"/>
      <c r="E178" s="714"/>
      <c r="F178" s="714"/>
      <c r="G178" s="714"/>
    </row>
    <row r="179" spans="1:7" ht="37.5" x14ac:dyDescent="0.25">
      <c r="A179" s="200">
        <f t="shared" si="3"/>
        <v>165</v>
      </c>
      <c r="B179" s="231" t="str">
        <f>Suite&amp;" Electrical Room "&amp;SWOne</f>
        <v>G104 Electrical Room XXX</v>
      </c>
      <c r="C179" s="183" t="str">
        <f>"UPS "&amp;SWOne&amp;"1"</f>
        <v>UPS XXX1</v>
      </c>
      <c r="D179" s="187" t="s">
        <v>1714</v>
      </c>
      <c r="E179" s="183" t="s">
        <v>1464</v>
      </c>
      <c r="F179" s="193"/>
      <c r="G179" s="193"/>
    </row>
    <row r="180" spans="1:7" ht="37.5" x14ac:dyDescent="0.25">
      <c r="A180" s="200">
        <f t="shared" si="3"/>
        <v>166</v>
      </c>
      <c r="B180" s="231" t="str">
        <f>Suite&amp;" Electrical Room "&amp;SWOne</f>
        <v>G104 Electrical Room XXX</v>
      </c>
      <c r="C180" s="183" t="str">
        <f>"UPS "&amp;SWOne&amp;"1"</f>
        <v>UPS XXX1</v>
      </c>
      <c r="D180" s="186" t="s">
        <v>1715</v>
      </c>
      <c r="E180" s="183" t="s">
        <v>1464</v>
      </c>
      <c r="F180" s="193"/>
      <c r="G180" s="193"/>
    </row>
    <row r="181" spans="1:7" ht="37.5" x14ac:dyDescent="0.25">
      <c r="A181" s="200">
        <f t="shared" si="3"/>
        <v>167</v>
      </c>
      <c r="B181" s="231" t="str">
        <f>Suite&amp;" Electrical Room "&amp;SWOne</f>
        <v>G104 Electrical Room XXX</v>
      </c>
      <c r="C181" s="183" t="str">
        <f>"UPS "&amp;SWOne&amp;"1"</f>
        <v>UPS XXX1</v>
      </c>
      <c r="D181" s="187" t="s">
        <v>1716</v>
      </c>
      <c r="E181" s="183" t="s">
        <v>1464</v>
      </c>
      <c r="F181" s="193"/>
      <c r="G181" s="193"/>
    </row>
    <row r="182" spans="1:7" ht="37.5" x14ac:dyDescent="0.25">
      <c r="A182" s="200">
        <f t="shared" si="3"/>
        <v>168</v>
      </c>
      <c r="B182" s="231" t="str">
        <f>Suite&amp;" Electrical Room "&amp;SWOne</f>
        <v>G104 Electrical Room XXX</v>
      </c>
      <c r="C182" s="183" t="str">
        <f>"UPS "&amp;SWOne&amp;"2"</f>
        <v>UPS XXX2</v>
      </c>
      <c r="D182" s="187" t="s">
        <v>1714</v>
      </c>
      <c r="E182" s="183" t="s">
        <v>1464</v>
      </c>
      <c r="F182" s="193"/>
      <c r="G182" s="193"/>
    </row>
    <row r="183" spans="1:7" ht="37.5" x14ac:dyDescent="0.25">
      <c r="A183" s="200">
        <f t="shared" si="3"/>
        <v>169</v>
      </c>
      <c r="B183" s="231" t="str">
        <f>Suite&amp;" Electrical Room "&amp;SWOne</f>
        <v>G104 Electrical Room XXX</v>
      </c>
      <c r="C183" s="183" t="str">
        <f>"UPS "&amp;SWOne&amp;"2"</f>
        <v>UPS XXX2</v>
      </c>
      <c r="D183" s="186" t="s">
        <v>1715</v>
      </c>
      <c r="E183" s="183" t="s">
        <v>1464</v>
      </c>
      <c r="F183" s="193"/>
      <c r="G183" s="193"/>
    </row>
    <row r="184" spans="1:7" ht="37.5" x14ac:dyDescent="0.25">
      <c r="A184" s="200">
        <f t="shared" si="3"/>
        <v>170</v>
      </c>
      <c r="B184" s="231" t="str">
        <f>Suite&amp;" Electrical Room "&amp;SWOne</f>
        <v>G104 Electrical Room XXX</v>
      </c>
      <c r="C184" s="183" t="str">
        <f>"UPS "&amp;SWOne&amp;"2"</f>
        <v>UPS XXX2</v>
      </c>
      <c r="D184" s="187" t="s">
        <v>1716</v>
      </c>
      <c r="E184" s="183" t="s">
        <v>1464</v>
      </c>
      <c r="F184" s="193"/>
      <c r="G184" s="193"/>
    </row>
    <row r="185" spans="1:7" ht="37.5" x14ac:dyDescent="0.25">
      <c r="A185" s="200">
        <f t="shared" si="3"/>
        <v>171</v>
      </c>
      <c r="B185" s="231" t="str">
        <f>Suite&amp;" Electrical Room "&amp;SWOne</f>
        <v>G104 Electrical Room XXX</v>
      </c>
      <c r="C185" s="183" t="str">
        <f>"UPS "&amp;SWOne</f>
        <v>UPS XXX</v>
      </c>
      <c r="D185" s="204" t="s">
        <v>1717</v>
      </c>
      <c r="E185" s="183" t="s">
        <v>1464</v>
      </c>
      <c r="F185" s="193"/>
      <c r="G185" s="193"/>
    </row>
    <row r="186" spans="1:7" ht="37.5" x14ac:dyDescent="0.25">
      <c r="A186" s="200">
        <f t="shared" si="3"/>
        <v>172</v>
      </c>
      <c r="B186" s="231" t="str">
        <f>Suite&amp;" Electrical Room "&amp;SWOne</f>
        <v>G104 Electrical Room XXX</v>
      </c>
      <c r="C186" s="183" t="str">
        <f>"UPS "&amp;SWOne</f>
        <v>UPS XXX</v>
      </c>
      <c r="D186" s="186" t="s">
        <v>1718</v>
      </c>
      <c r="E186" s="183" t="s">
        <v>1464</v>
      </c>
      <c r="F186" s="193"/>
      <c r="G186" s="193"/>
    </row>
    <row r="187" spans="1:7" ht="37.5" x14ac:dyDescent="0.25">
      <c r="A187" s="200">
        <f t="shared" si="3"/>
        <v>173</v>
      </c>
      <c r="B187" s="231" t="str">
        <f>Suite&amp;" Electrical Room "&amp;SWOne</f>
        <v>G104 Electrical Room XXX</v>
      </c>
      <c r="C187" s="183" t="str">
        <f>"SCC "&amp;SWOne</f>
        <v>SCC XXX</v>
      </c>
      <c r="D187" s="204" t="s">
        <v>1557</v>
      </c>
      <c r="E187" s="183" t="s">
        <v>1464</v>
      </c>
      <c r="F187" s="193"/>
      <c r="G187" s="193"/>
    </row>
    <row r="188" spans="1:7" ht="37.5" x14ac:dyDescent="0.25">
      <c r="A188" s="200">
        <f t="shared" si="3"/>
        <v>174</v>
      </c>
      <c r="B188" s="231" t="str">
        <f>Suite&amp;" Electrical Room "&amp;SWOne</f>
        <v>G104 Electrical Room XXX</v>
      </c>
      <c r="C188" s="183" t="str">
        <f>"UPS "&amp;SWOne&amp;"1"</f>
        <v>UPS XXX1</v>
      </c>
      <c r="D188" s="186" t="s">
        <v>1719</v>
      </c>
      <c r="E188" s="183" t="s">
        <v>1464</v>
      </c>
      <c r="F188" s="193"/>
      <c r="G188" s="193"/>
    </row>
    <row r="189" spans="1:7" ht="37.5" x14ac:dyDescent="0.25">
      <c r="A189" s="200">
        <f t="shared" si="3"/>
        <v>175</v>
      </c>
      <c r="B189" s="231" t="str">
        <f>Suite&amp;" Electrical Room "&amp;SWOne</f>
        <v>G104 Electrical Room XXX</v>
      </c>
      <c r="C189" s="183" t="str">
        <f>"UPS "&amp;SWOne&amp;"2"</f>
        <v>UPS XXX2</v>
      </c>
      <c r="D189" s="186" t="s">
        <v>1719</v>
      </c>
      <c r="E189" s="183" t="s">
        <v>1464</v>
      </c>
      <c r="F189" s="193"/>
      <c r="G189" s="193"/>
    </row>
    <row r="190" spans="1:7" customFormat="1" ht="37.5" x14ac:dyDescent="0.25">
      <c r="A190" s="519">
        <f t="shared" si="3"/>
        <v>176</v>
      </c>
      <c r="B190" s="500" t="str">
        <f>Suite&amp;" Electrical Room A"</f>
        <v>G104 Electrical Room A</v>
      </c>
      <c r="C190" s="499" t="s">
        <v>1466</v>
      </c>
      <c r="D190" s="191" t="s">
        <v>1467</v>
      </c>
      <c r="E190" s="499" t="s">
        <v>1464</v>
      </c>
      <c r="F190" s="500"/>
      <c r="G190" s="519"/>
    </row>
    <row r="191" spans="1:7" customFormat="1" ht="37.5" x14ac:dyDescent="0.25">
      <c r="A191" s="519">
        <f t="shared" si="3"/>
        <v>177</v>
      </c>
      <c r="B191" s="500" t="str">
        <f>Suite&amp;" Electrical Room A"</f>
        <v>G104 Electrical Room A</v>
      </c>
      <c r="C191" s="499" t="s">
        <v>1466</v>
      </c>
      <c r="D191" s="233" t="str">
        <f>"Verify the readings in step " &amp; A190 &amp; " and " &amp;A10 &amp; " are within 3% of each other. (new kW divided by original kW must be ≤1.03 and ≥0.97)."</f>
        <v>Verify the readings in step 176 and 5 are within 3% of each other. (new kW divided by original kW must be ≤1.03 and ≥0.97).</v>
      </c>
      <c r="E191" s="499" t="s">
        <v>1464</v>
      </c>
      <c r="F191" s="500"/>
      <c r="G191" s="519"/>
    </row>
    <row r="192" spans="1:7" customFormat="1" ht="37.5" x14ac:dyDescent="0.25">
      <c r="A192" s="519">
        <f t="shared" si="3"/>
        <v>178</v>
      </c>
      <c r="B192" s="500" t="str">
        <f>Suite&amp;" Electrical Room A"</f>
        <v>G104 Electrical Room A</v>
      </c>
      <c r="C192" s="499" t="s">
        <v>1468</v>
      </c>
      <c r="D192" s="191" t="s">
        <v>1469</v>
      </c>
      <c r="E192" s="499" t="s">
        <v>1464</v>
      </c>
      <c r="F192" s="500"/>
      <c r="G192" s="519"/>
    </row>
    <row r="193" spans="1:7" customFormat="1" ht="37.5" x14ac:dyDescent="0.25">
      <c r="A193" s="519">
        <f t="shared" si="3"/>
        <v>179</v>
      </c>
      <c r="B193" s="500" t="str">
        <f>Suite&amp;" Electrical Room A"</f>
        <v>G104 Electrical Room A</v>
      </c>
      <c r="C193" s="499" t="s">
        <v>1468</v>
      </c>
      <c r="D193" s="233" t="str">
        <f>"Verify the readings in step " &amp; A192 &amp; " and " &amp;A11 &amp; " are within 3% of each other. (new kW divided by original kW must be ≤1.03 and ≥0.97)."</f>
        <v>Verify the readings in step 178 and 6 are within 3% of each other. (new kW divided by original kW must be ≤1.03 and ≥0.97).</v>
      </c>
      <c r="E193" s="499" t="s">
        <v>1464</v>
      </c>
      <c r="F193" s="500"/>
      <c r="G193" s="519"/>
    </row>
    <row r="194" spans="1:7" ht="37.5" x14ac:dyDescent="0.25">
      <c r="A194" s="200">
        <f>A189+1</f>
        <v>176</v>
      </c>
      <c r="B194" s="231" t="str">
        <f>Suite&amp;" Electrical Room "&amp;SWOne</f>
        <v>G104 Electrical Room XXX</v>
      </c>
      <c r="C194" s="183" t="str">
        <f>"UP"&amp;SWOne</f>
        <v>UPXXX</v>
      </c>
      <c r="D194" s="235" t="s">
        <v>1626</v>
      </c>
      <c r="E194" s="183" t="s">
        <v>1464</v>
      </c>
      <c r="F194" s="193"/>
      <c r="G194" s="193"/>
    </row>
    <row r="195" spans="1:7" ht="37.5" x14ac:dyDescent="0.25">
      <c r="A195" s="200">
        <f t="shared" si="3"/>
        <v>177</v>
      </c>
      <c r="B195" s="231" t="str">
        <f>Suite&amp;" Electrical Room "&amp;SWOne</f>
        <v>G104 Electrical Room XXX</v>
      </c>
      <c r="C195" s="183" t="str">
        <f>"UP"&amp;SWOne</f>
        <v>UPXXX</v>
      </c>
      <c r="D195" s="186" t="str">
        <f>"VERIFY the readings in step " &amp; A167 &amp; " and " &amp; A194 &amp; " are within 3% of each other. (new kW divided by original kW must be ≤1.03 and ≥0.97)."</f>
        <v>VERIFY the readings in step 153 and 176 are within 3% of each other. (new kW divided by original kW must be ≤1.03 and ≥0.97).</v>
      </c>
      <c r="E195" s="183" t="s">
        <v>1464</v>
      </c>
      <c r="F195" s="193"/>
      <c r="G195" s="193"/>
    </row>
    <row r="196" spans="1:7" customFormat="1" ht="37.5" x14ac:dyDescent="0.25">
      <c r="A196" s="519">
        <f t="shared" si="3"/>
        <v>178</v>
      </c>
      <c r="B196" s="500" t="str">
        <f>Suite&amp;" Electrical Room B"</f>
        <v>G104 Electrical Room B</v>
      </c>
      <c r="C196" s="499" t="s">
        <v>1472</v>
      </c>
      <c r="D196" s="191" t="s">
        <v>1473</v>
      </c>
      <c r="E196" s="499" t="s">
        <v>1464</v>
      </c>
      <c r="F196" s="500"/>
      <c r="G196" s="519"/>
    </row>
    <row r="197" spans="1:7" customFormat="1" ht="37.5" x14ac:dyDescent="0.25">
      <c r="A197" s="519">
        <f t="shared" si="3"/>
        <v>179</v>
      </c>
      <c r="B197" s="500" t="str">
        <f>Suite&amp;" Electrical Room B"</f>
        <v>G104 Electrical Room B</v>
      </c>
      <c r="C197" s="499" t="s">
        <v>1472</v>
      </c>
      <c r="D197" s="233" t="str">
        <f>"Verify the readings in step " &amp; A196 &amp; " and " &amp;A13 &amp; " are within 3% of each other. (new kW divided by original kW must be ≤1.03 and ≥0.97)."</f>
        <v>Verify the readings in step 178 and 8 are within 3% of each other. (new kW divided by original kW must be ≤1.03 and ≥0.97).</v>
      </c>
      <c r="E197" s="499" t="s">
        <v>1464</v>
      </c>
      <c r="F197" s="500"/>
      <c r="G197" s="519"/>
    </row>
    <row r="198" spans="1:7" customFormat="1" ht="37.5" x14ac:dyDescent="0.25">
      <c r="A198" s="519">
        <f t="shared" si="3"/>
        <v>180</v>
      </c>
      <c r="B198" s="500" t="str">
        <f>Suite&amp;" Electrical Room B"</f>
        <v>G104 Electrical Room B</v>
      </c>
      <c r="C198" s="499" t="s">
        <v>1474</v>
      </c>
      <c r="D198" s="191" t="s">
        <v>1475</v>
      </c>
      <c r="E198" s="499" t="s">
        <v>1464</v>
      </c>
      <c r="F198" s="500"/>
      <c r="G198" s="519"/>
    </row>
    <row r="199" spans="1:7" customFormat="1" ht="37.5" x14ac:dyDescent="0.25">
      <c r="A199" s="519">
        <f t="shared" si="3"/>
        <v>181</v>
      </c>
      <c r="B199" s="500" t="str">
        <f>Suite&amp;" Electrical Room B"</f>
        <v>G104 Electrical Room B</v>
      </c>
      <c r="C199" s="499" t="s">
        <v>1474</v>
      </c>
      <c r="D199" s="233" t="str">
        <f>"Verify the readings in step " &amp; A198 &amp; " and " &amp;A14 &amp; " are within 3% of each other. (new kW divided by original kW must be ≤1.03 and ≥0.97)."</f>
        <v>Verify the readings in step 180 and 9 are within 3% of each other. (new kW divided by original kW must be ≤1.03 and ≥0.97).</v>
      </c>
      <c r="E199" s="499" t="s">
        <v>1464</v>
      </c>
      <c r="F199" s="500"/>
      <c r="G199" s="519"/>
    </row>
    <row r="200" spans="1:7" customFormat="1" ht="37.5" x14ac:dyDescent="0.25">
      <c r="A200" s="519">
        <f t="shared" si="3"/>
        <v>182</v>
      </c>
      <c r="B200" s="500" t="str">
        <f>Suite&amp;" Electrical Room B"</f>
        <v>G104 Electrical Room B</v>
      </c>
      <c r="C200" s="499" t="s">
        <v>1522</v>
      </c>
      <c r="D200" s="191" t="s">
        <v>1477</v>
      </c>
      <c r="E200" s="499" t="s">
        <v>1464</v>
      </c>
      <c r="F200" s="500"/>
      <c r="G200" s="519"/>
    </row>
    <row r="201" spans="1:7" customFormat="1" ht="37.5" x14ac:dyDescent="0.25">
      <c r="A201" s="519">
        <f t="shared" si="3"/>
        <v>183</v>
      </c>
      <c r="B201" s="500" t="str">
        <f>Suite&amp;" Electrical Room B"</f>
        <v>G104 Electrical Room B</v>
      </c>
      <c r="C201" s="499" t="s">
        <v>1522</v>
      </c>
      <c r="D201" s="233" t="str">
        <f>"Verify the readings in step " &amp; A200 &amp; " and " &amp; A15 &amp; " are within 3% of each other. (new kW divided by original kW must be ≤1.03 and ≥0.97)."</f>
        <v>Verify the readings in step 182 and 10 are within 3% of each other. (new kW divided by original kW must be ≤1.03 and ≥0.97).</v>
      </c>
      <c r="E201" s="499" t="s">
        <v>1464</v>
      </c>
      <c r="F201" s="500"/>
      <c r="G201" s="519"/>
    </row>
    <row r="202" spans="1:7" customFormat="1" ht="37.5" hidden="1" x14ac:dyDescent="0.25">
      <c r="A202" s="519">
        <f t="shared" si="3"/>
        <v>184</v>
      </c>
      <c r="B202" s="500" t="str">
        <f>Suite&amp;" Electrical Room C"</f>
        <v>G104 Electrical Room C</v>
      </c>
      <c r="C202" s="499" t="s">
        <v>1478</v>
      </c>
      <c r="D202" s="191" t="s">
        <v>1479</v>
      </c>
      <c r="E202" s="499" t="s">
        <v>1464</v>
      </c>
      <c r="F202" s="500"/>
      <c r="G202" s="519"/>
    </row>
    <row r="203" spans="1:7" customFormat="1" ht="37.5" hidden="1" x14ac:dyDescent="0.25">
      <c r="A203" s="519">
        <f t="shared" si="3"/>
        <v>185</v>
      </c>
      <c r="B203" s="500" t="str">
        <f>Suite&amp;" Electrical Room C"</f>
        <v>G104 Electrical Room C</v>
      </c>
      <c r="C203" s="499" t="s">
        <v>1478</v>
      </c>
      <c r="D203" s="233" t="str">
        <f>"Verify the readings in step " &amp; A202 &amp; " and " &amp;A16 &amp; " are within 3% of each other. (new kW divided by original kW must be ≤1.03 and ≥0.97)."</f>
        <v>Verify the readings in step 184 and 11 are within 3% of each other. (new kW divided by original kW must be ≤1.03 and ≥0.97).</v>
      </c>
      <c r="E203" s="499" t="s">
        <v>1464</v>
      </c>
      <c r="F203" s="500"/>
      <c r="G203" s="519"/>
    </row>
    <row r="204" spans="1:7" customFormat="1" ht="37.5" hidden="1" x14ac:dyDescent="0.25">
      <c r="A204" s="519">
        <f t="shared" si="3"/>
        <v>186</v>
      </c>
      <c r="B204" s="500" t="str">
        <f>Suite&amp;" Electrical Room C"</f>
        <v>G104 Electrical Room C</v>
      </c>
      <c r="C204" s="499" t="s">
        <v>1480</v>
      </c>
      <c r="D204" s="191" t="s">
        <v>1481</v>
      </c>
      <c r="E204" s="499" t="s">
        <v>1464</v>
      </c>
      <c r="F204" s="500"/>
      <c r="G204" s="519"/>
    </row>
    <row r="205" spans="1:7" customFormat="1" ht="37.5" hidden="1" x14ac:dyDescent="0.25">
      <c r="A205" s="519">
        <f t="shared" si="3"/>
        <v>187</v>
      </c>
      <c r="B205" s="500" t="str">
        <f>Suite&amp;" Electrical Room C"</f>
        <v>G104 Electrical Room C</v>
      </c>
      <c r="C205" s="499" t="s">
        <v>1480</v>
      </c>
      <c r="D205" s="233" t="str">
        <f>"Verify the readings in step " &amp; A204 &amp; " and " &amp;A17 &amp; " are within 3% of each other. (new kW divided by original kW must be ≤1.03 and ≥0.97)."</f>
        <v>Verify the readings in step 186 and 12 are within 3% of each other. (new kW divided by original kW must be ≤1.03 and ≥0.97).</v>
      </c>
      <c r="E205" s="499" t="s">
        <v>1464</v>
      </c>
      <c r="F205" s="500"/>
      <c r="G205" s="519"/>
    </row>
    <row r="206" spans="1:7" customFormat="1" ht="37.5" hidden="1" x14ac:dyDescent="0.25">
      <c r="A206" s="519">
        <f t="shared" si="3"/>
        <v>188</v>
      </c>
      <c r="B206" s="500" t="str">
        <f>Suite&amp;" Electrical Room C"</f>
        <v>G104 Electrical Room C</v>
      </c>
      <c r="C206" s="499" t="s">
        <v>1523</v>
      </c>
      <c r="D206" s="191" t="s">
        <v>1483</v>
      </c>
      <c r="E206" s="499" t="s">
        <v>1464</v>
      </c>
      <c r="F206" s="500"/>
      <c r="G206" s="519"/>
    </row>
    <row r="207" spans="1:7" customFormat="1" ht="37.5" hidden="1" x14ac:dyDescent="0.25">
      <c r="A207" s="519">
        <f t="shared" si="3"/>
        <v>189</v>
      </c>
      <c r="B207" s="500" t="str">
        <f>Suite&amp;" Electrical Room C"</f>
        <v>G104 Electrical Room C</v>
      </c>
      <c r="C207" s="499" t="s">
        <v>1523</v>
      </c>
      <c r="D207" s="233" t="str">
        <f>"Verify the readings in step " &amp; A206 &amp; " and " &amp; A18 &amp; " are within 3% of each other. (new kW divided by original kW must be ≤1.03 and ≥0.97)."</f>
        <v>Verify the readings in step 188 and 13 are within 3% of each other. (new kW divided by original kW must be ≤1.03 and ≥0.97).</v>
      </c>
      <c r="E207" s="499" t="s">
        <v>1464</v>
      </c>
      <c r="F207" s="500"/>
      <c r="G207" s="519"/>
    </row>
    <row r="208" spans="1:7" customFormat="1" ht="37.5" hidden="1" x14ac:dyDescent="0.25">
      <c r="A208" s="519">
        <f t="shared" si="3"/>
        <v>190</v>
      </c>
      <c r="B208" s="500" t="str">
        <f>Suite&amp;" Electrical Room D"</f>
        <v>G104 Electrical Room D</v>
      </c>
      <c r="C208" s="499" t="s">
        <v>1484</v>
      </c>
      <c r="D208" s="191" t="s">
        <v>1485</v>
      </c>
      <c r="E208" s="499" t="s">
        <v>1464</v>
      </c>
      <c r="F208" s="500"/>
      <c r="G208" s="519"/>
    </row>
    <row r="209" spans="1:7" customFormat="1" ht="37.5" hidden="1" x14ac:dyDescent="0.25">
      <c r="A209" s="519">
        <f t="shared" si="3"/>
        <v>191</v>
      </c>
      <c r="B209" s="500" t="str">
        <f>Suite&amp;" Electrical Room D"</f>
        <v>G104 Electrical Room D</v>
      </c>
      <c r="C209" s="499" t="s">
        <v>1484</v>
      </c>
      <c r="D209" s="233" t="str">
        <f>"Verify the readings in step " &amp; A208 &amp; " and " &amp;A19 &amp; " are within 3% of each other. (new kW divided by original kW must be ≤1.03 and ≥0.97)."</f>
        <v>Verify the readings in step 190 and 14 are within 3% of each other. (new kW divided by original kW must be ≤1.03 and ≥0.97).</v>
      </c>
      <c r="E209" s="499" t="s">
        <v>1464</v>
      </c>
      <c r="F209" s="500"/>
      <c r="G209" s="519"/>
    </row>
    <row r="210" spans="1:7" customFormat="1" ht="37.5" hidden="1" x14ac:dyDescent="0.25">
      <c r="A210" s="519">
        <f t="shared" si="3"/>
        <v>192</v>
      </c>
      <c r="B210" s="500" t="str">
        <f>Suite&amp;" Electrical Room D"</f>
        <v>G104 Electrical Room D</v>
      </c>
      <c r="C210" s="499" t="s">
        <v>1486</v>
      </c>
      <c r="D210" s="191" t="s">
        <v>1487</v>
      </c>
      <c r="E210" s="499" t="s">
        <v>1464</v>
      </c>
      <c r="F210" s="500"/>
      <c r="G210" s="519"/>
    </row>
    <row r="211" spans="1:7" customFormat="1" ht="37.5" hidden="1" x14ac:dyDescent="0.25">
      <c r="A211" s="519">
        <f t="shared" si="3"/>
        <v>193</v>
      </c>
      <c r="B211" s="500" t="str">
        <f>Suite&amp;" Electrical Room D"</f>
        <v>G104 Electrical Room D</v>
      </c>
      <c r="C211" s="499" t="s">
        <v>1486</v>
      </c>
      <c r="D211" s="233" t="str">
        <f>"Verify the readings in step " &amp; A210 &amp; " and " &amp;A20 &amp; " are within 3% of each other. (new kW divided by original kW must be ≤1.03 and ≥0.97)."</f>
        <v>Verify the readings in step 192 and 15 are within 3% of each other. (new kW divided by original kW must be ≤1.03 and ≥0.97).</v>
      </c>
      <c r="E211" s="499" t="s">
        <v>1464</v>
      </c>
      <c r="F211" s="500"/>
      <c r="G211" s="519"/>
    </row>
    <row r="212" spans="1:7" customFormat="1" ht="37.5" hidden="1" x14ac:dyDescent="0.25">
      <c r="A212" s="519">
        <f t="shared" si="3"/>
        <v>194</v>
      </c>
      <c r="B212" s="500" t="str">
        <f>Suite&amp;" Electrical Room D"</f>
        <v>G104 Electrical Room D</v>
      </c>
      <c r="C212" s="499" t="s">
        <v>1524</v>
      </c>
      <c r="D212" s="191" t="s">
        <v>1489</v>
      </c>
      <c r="E212" s="499" t="s">
        <v>1464</v>
      </c>
      <c r="F212" s="500"/>
      <c r="G212" s="519"/>
    </row>
    <row r="213" spans="1:7" customFormat="1" ht="37.5" hidden="1" x14ac:dyDescent="0.25">
      <c r="A213" s="519">
        <f t="shared" si="3"/>
        <v>195</v>
      </c>
      <c r="B213" s="500" t="str">
        <f>Suite&amp;" Electrical Room D"</f>
        <v>G104 Electrical Room D</v>
      </c>
      <c r="C213" s="499" t="s">
        <v>1524</v>
      </c>
      <c r="D213" s="233" t="str">
        <f>"Verify the readings in step " &amp; A212 &amp; " and " &amp; A21 &amp; " are within 3% of each other. (new kW divided by original kW must be ≤1.03 and ≥0.97)."</f>
        <v>Verify the readings in step 194 and 16 are within 3% of each other. (new kW divided by original kW must be ≤1.03 and ≥0.97).</v>
      </c>
      <c r="E213" s="499" t="s">
        <v>1464</v>
      </c>
      <c r="F213" s="500"/>
      <c r="G213" s="519"/>
    </row>
    <row r="214" spans="1:7" ht="37.5" x14ac:dyDescent="0.25">
      <c r="A214" s="519">
        <f>A201+1</f>
        <v>184</v>
      </c>
      <c r="B214" s="183" t="s">
        <v>1462</v>
      </c>
      <c r="C214" s="183" t="s">
        <v>84</v>
      </c>
      <c r="D214" s="252" t="str">
        <f>"Contact the engineer stationed on base to verify no abnormal conditions exist on the suite " &amp; Suite &amp; " electrical systems."</f>
        <v>Contact the engineer stationed on base to verify no abnormal conditions exist on the suite G104 electrical systems.</v>
      </c>
      <c r="E214" s="183" t="s">
        <v>1464</v>
      </c>
      <c r="F214" s="193"/>
      <c r="G214" s="193"/>
    </row>
    <row r="215" spans="1:7" x14ac:dyDescent="0.3">
      <c r="A215" s="192"/>
    </row>
    <row r="216" spans="1:7" x14ac:dyDescent="0.3">
      <c r="A216" s="192"/>
    </row>
  </sheetData>
  <sheetProtection formatCells="0" formatColumns="0" formatRows="0" insertRows="0" deleteRows="0" sort="0" autoFilter="0"/>
  <mergeCells count="12">
    <mergeCell ref="B178:G178"/>
    <mergeCell ref="A2:B2"/>
    <mergeCell ref="A4:C4"/>
    <mergeCell ref="B6:G6"/>
    <mergeCell ref="B8:G8"/>
    <mergeCell ref="B28:G28"/>
    <mergeCell ref="B30:G30"/>
    <mergeCell ref="B45:G45"/>
    <mergeCell ref="B69:G69"/>
    <mergeCell ref="B110:G110"/>
    <mergeCell ref="B156:G156"/>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B5B49-021B-41E0-84E8-8FE4B778005E}">
  <sheetPr codeName="NX_B">
    <pageSetUpPr fitToPage="1"/>
  </sheetPr>
  <dimension ref="A1:I214"/>
  <sheetViews>
    <sheetView view="pageBreakPreview" zoomScale="90" zoomScaleNormal="100" zoomScaleSheetLayoutView="90" workbookViewId="0">
      <selection activeCell="A7" sqref="A7"/>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11" width="8.7109375" style="150" customWidth="1"/>
    <col min="12" max="16384" width="8.7109375" style="150"/>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149"/>
      <c r="I4" s="149"/>
    </row>
    <row r="5" spans="1:9" ht="37.5" x14ac:dyDescent="0.25">
      <c r="A5" s="378" t="s">
        <v>1455</v>
      </c>
      <c r="B5" s="379" t="s">
        <v>8</v>
      </c>
      <c r="C5" s="379" t="s">
        <v>1456</v>
      </c>
      <c r="D5" s="378" t="s">
        <v>1457</v>
      </c>
      <c r="E5" s="379" t="s">
        <v>1458</v>
      </c>
      <c r="F5" s="379" t="s">
        <v>1459</v>
      </c>
      <c r="G5" s="378" t="s">
        <v>1460</v>
      </c>
    </row>
    <row r="6" spans="1:9" ht="18" customHeight="1" x14ac:dyDescent="0.25">
      <c r="A6" s="200">
        <f>'NX-A'!A214+1</f>
        <v>185</v>
      </c>
      <c r="B6" s="712" t="s">
        <v>1461</v>
      </c>
      <c r="C6" s="712"/>
      <c r="D6" s="712"/>
      <c r="E6" s="712"/>
      <c r="F6" s="712"/>
      <c r="G6" s="712"/>
    </row>
    <row r="7" spans="1:9" ht="37.5" x14ac:dyDescent="0.25">
      <c r="A7" s="200">
        <f>A6+1</f>
        <v>186</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ht="18" customHeight="1" x14ac:dyDescent="0.25">
      <c r="A8" s="200">
        <f t="shared" ref="A8:A71" si="0">A7+1</f>
        <v>187</v>
      </c>
      <c r="B8" s="712" t="s">
        <v>1465</v>
      </c>
      <c r="C8" s="712"/>
      <c r="D8" s="712"/>
      <c r="E8" s="712"/>
      <c r="F8" s="712"/>
      <c r="G8" s="712"/>
    </row>
    <row r="9" spans="1:9" ht="56.25" x14ac:dyDescent="0.25">
      <c r="A9" s="200">
        <f t="shared" si="0"/>
        <v>188</v>
      </c>
      <c r="B9" s="231" t="str">
        <f>Suite&amp;" Electrical Rooms "&amp;SWOne&amp;" &amp; "&amp;SWTwo</f>
        <v>G104 Electrical Rooms XXX &amp; XXX</v>
      </c>
      <c r="C9" s="183" t="str">
        <f>"UPS "&amp;SWOne&amp;" &amp; "&amp;SWTwo</f>
        <v>UPS XXX &amp; XXX</v>
      </c>
      <c r="D9" s="187" t="s">
        <v>1613</v>
      </c>
      <c r="E9" s="183" t="s">
        <v>1464</v>
      </c>
      <c r="F9" s="193"/>
      <c r="G9" s="193"/>
    </row>
    <row r="10" spans="1:9" ht="37.5" x14ac:dyDescent="0.25">
      <c r="A10" s="200">
        <f t="shared" si="0"/>
        <v>189</v>
      </c>
      <c r="B10" s="500" t="str">
        <f>Suite&amp;" Electrical Room A"</f>
        <v>G104 Electrical Room A</v>
      </c>
      <c r="C10" s="499" t="s">
        <v>1466</v>
      </c>
      <c r="D10" s="191" t="s">
        <v>1467</v>
      </c>
      <c r="E10" s="499" t="s">
        <v>1464</v>
      </c>
      <c r="F10" s="500"/>
      <c r="G10" s="519"/>
    </row>
    <row r="11" spans="1:9" ht="37.5" x14ac:dyDescent="0.25">
      <c r="A11" s="200">
        <v>191</v>
      </c>
      <c r="B11" s="500" t="str">
        <f>Suite&amp;" Electrical Room A"</f>
        <v>G104 Electrical Room A</v>
      </c>
      <c r="C11" s="499" t="s">
        <v>1468</v>
      </c>
      <c r="D11" s="191" t="s">
        <v>1469</v>
      </c>
      <c r="E11" s="499" t="s">
        <v>1464</v>
      </c>
      <c r="F11" s="500"/>
      <c r="G11" s="519"/>
    </row>
    <row r="12" spans="1:9" ht="18" customHeight="1" x14ac:dyDescent="0.25">
      <c r="A12" s="200">
        <f t="shared" ref="A12" si="1">A11+1</f>
        <v>192</v>
      </c>
      <c r="B12" s="231" t="str">
        <f>Suite&amp;" Electrical Room "&amp;SWTwo</f>
        <v>G104 Electrical Room XXX</v>
      </c>
      <c r="C12" s="183" t="s">
        <v>1470</v>
      </c>
      <c r="D12" s="186" t="s">
        <v>2101</v>
      </c>
      <c r="E12" s="183" t="s">
        <v>1464</v>
      </c>
      <c r="F12" s="193"/>
      <c r="G12" s="193"/>
    </row>
    <row r="13" spans="1:9" ht="37.5" x14ac:dyDescent="0.25">
      <c r="A13" s="200">
        <f t="shared" si="0"/>
        <v>193</v>
      </c>
      <c r="B13" s="500" t="str">
        <f>Suite&amp;" Electrical Room B"</f>
        <v>G104 Electrical Room B</v>
      </c>
      <c r="C13" s="499" t="s">
        <v>1472</v>
      </c>
      <c r="D13" s="191" t="s">
        <v>1473</v>
      </c>
      <c r="E13" s="499" t="s">
        <v>1464</v>
      </c>
      <c r="F13" s="500"/>
      <c r="G13" s="519"/>
    </row>
    <row r="14" spans="1:9" ht="18" customHeight="1" x14ac:dyDescent="0.25">
      <c r="A14" s="200">
        <f t="shared" si="0"/>
        <v>194</v>
      </c>
      <c r="B14" s="500" t="str">
        <f>Suite&amp;" Electrical Room B"</f>
        <v>G104 Electrical Room B</v>
      </c>
      <c r="C14" s="499" t="s">
        <v>1474</v>
      </c>
      <c r="D14" s="191" t="s">
        <v>1475</v>
      </c>
      <c r="E14" s="499" t="s">
        <v>1464</v>
      </c>
      <c r="F14" s="500"/>
      <c r="G14" s="519"/>
    </row>
    <row r="15" spans="1:9" ht="37.5" x14ac:dyDescent="0.25">
      <c r="A15" s="200">
        <f t="shared" si="0"/>
        <v>195</v>
      </c>
      <c r="B15" s="500" t="str">
        <f>Suite&amp;" Electrical Room B"</f>
        <v>G104 Electrical Room B</v>
      </c>
      <c r="C15" s="499" t="s">
        <v>1476</v>
      </c>
      <c r="D15" s="191" t="s">
        <v>1477</v>
      </c>
      <c r="E15" s="499" t="s">
        <v>1464</v>
      </c>
      <c r="F15" s="500"/>
      <c r="G15" s="519"/>
    </row>
    <row r="16" spans="1:9" ht="37.5" hidden="1" x14ac:dyDescent="0.25">
      <c r="A16" s="200">
        <v>192</v>
      </c>
      <c r="B16" s="500" t="str">
        <f>Suite&amp;" Electrical Room C"</f>
        <v>G104 Electrical Room C</v>
      </c>
      <c r="C16" s="499" t="s">
        <v>1478</v>
      </c>
      <c r="D16" s="191" t="s">
        <v>1479</v>
      </c>
      <c r="E16" s="499" t="s">
        <v>1464</v>
      </c>
      <c r="F16" s="500"/>
      <c r="G16" s="519"/>
    </row>
    <row r="17" spans="1:7" ht="37.5" hidden="1" x14ac:dyDescent="0.25">
      <c r="A17" s="200">
        <f t="shared" ref="A17" si="2">A16+1</f>
        <v>193</v>
      </c>
      <c r="B17" s="500" t="str">
        <f>Suite&amp;" Electrical Room C"</f>
        <v>G104 Electrical Room C</v>
      </c>
      <c r="C17" s="499" t="s">
        <v>1480</v>
      </c>
      <c r="D17" s="191" t="s">
        <v>1481</v>
      </c>
      <c r="E17" s="499" t="s">
        <v>1464</v>
      </c>
      <c r="F17" s="500"/>
      <c r="G17" s="519"/>
    </row>
    <row r="18" spans="1:7" ht="37.5" hidden="1" x14ac:dyDescent="0.25">
      <c r="A18" s="200">
        <f t="shared" si="0"/>
        <v>194</v>
      </c>
      <c r="B18" s="500" t="str">
        <f>Suite&amp;" Electrical Room C"</f>
        <v>G104 Electrical Room C</v>
      </c>
      <c r="C18" s="499" t="s">
        <v>1482</v>
      </c>
      <c r="D18" s="191" t="s">
        <v>1483</v>
      </c>
      <c r="E18" s="499" t="s">
        <v>1464</v>
      </c>
      <c r="F18" s="500"/>
      <c r="G18" s="519"/>
    </row>
    <row r="19" spans="1:7" ht="37.5" hidden="1" x14ac:dyDescent="0.25">
      <c r="A19" s="200">
        <f t="shared" si="0"/>
        <v>195</v>
      </c>
      <c r="B19" s="500" t="str">
        <f>Suite&amp;" Electrical Room D"</f>
        <v>G104 Electrical Room D</v>
      </c>
      <c r="C19" s="499" t="s">
        <v>1484</v>
      </c>
      <c r="D19" s="191" t="s">
        <v>1485</v>
      </c>
      <c r="E19" s="499" t="s">
        <v>1464</v>
      </c>
      <c r="F19" s="500"/>
      <c r="G19" s="519"/>
    </row>
    <row r="20" spans="1:7" ht="37.5" hidden="1" x14ac:dyDescent="0.25">
      <c r="A20" s="200">
        <f t="shared" si="0"/>
        <v>196</v>
      </c>
      <c r="B20" s="500" t="str">
        <f>Suite&amp;" Electrical Room D"</f>
        <v>G104 Electrical Room D</v>
      </c>
      <c r="C20" s="499" t="s">
        <v>1486</v>
      </c>
      <c r="D20" s="191" t="s">
        <v>1487</v>
      </c>
      <c r="E20" s="499" t="s">
        <v>1464</v>
      </c>
      <c r="F20" s="500"/>
      <c r="G20" s="519"/>
    </row>
    <row r="21" spans="1:7" ht="37.5" hidden="1" x14ac:dyDescent="0.25">
      <c r="A21" s="200">
        <v>193</v>
      </c>
      <c r="B21" s="500" t="str">
        <f>Suite&amp;" Electrical Room D"</f>
        <v>G104 Electrical Room D</v>
      </c>
      <c r="C21" s="499" t="s">
        <v>1488</v>
      </c>
      <c r="D21" s="191" t="s">
        <v>1489</v>
      </c>
      <c r="E21" s="499" t="s">
        <v>1464</v>
      </c>
      <c r="F21" s="500"/>
      <c r="G21" s="519"/>
    </row>
    <row r="22" spans="1:7" ht="37.5" hidden="1" x14ac:dyDescent="0.25">
      <c r="A22" s="200">
        <f t="shared" ref="A22" si="3">A21+1</f>
        <v>194</v>
      </c>
      <c r="B22" s="500" t="str">
        <f>Suite&amp;" Electrical Room F"</f>
        <v>G104 Electrical Room F</v>
      </c>
      <c r="C22" s="499" t="s">
        <v>1490</v>
      </c>
      <c r="D22" s="191" t="s">
        <v>1491</v>
      </c>
      <c r="E22" s="499" t="s">
        <v>1464</v>
      </c>
      <c r="F22" s="500"/>
      <c r="G22" s="519"/>
    </row>
    <row r="23" spans="1:7" ht="37.5" hidden="1" x14ac:dyDescent="0.25">
      <c r="A23" s="200">
        <f t="shared" si="0"/>
        <v>195</v>
      </c>
      <c r="B23" s="500" t="str">
        <f>Suite&amp;" Electrical Room F"</f>
        <v>G104 Electrical Room F</v>
      </c>
      <c r="C23" s="499" t="s">
        <v>1492</v>
      </c>
      <c r="D23" s="191" t="s">
        <v>1493</v>
      </c>
      <c r="E23" s="499" t="s">
        <v>1464</v>
      </c>
      <c r="F23" s="500"/>
      <c r="G23" s="519"/>
    </row>
    <row r="24" spans="1:7" ht="37.5" hidden="1" x14ac:dyDescent="0.25">
      <c r="A24" s="200">
        <f t="shared" si="0"/>
        <v>196</v>
      </c>
      <c r="B24" s="500" t="str">
        <f>Suite&amp;" Electrical Room F"</f>
        <v>G104 Electrical Room F</v>
      </c>
      <c r="C24" s="499" t="s">
        <v>1494</v>
      </c>
      <c r="D24" s="191" t="s">
        <v>1495</v>
      </c>
      <c r="E24" s="499" t="s">
        <v>1464</v>
      </c>
      <c r="F24" s="500"/>
      <c r="G24" s="519"/>
    </row>
    <row r="25" spans="1:7" ht="56.25" x14ac:dyDescent="0.25">
      <c r="A25" s="200">
        <f>A15+1</f>
        <v>196</v>
      </c>
      <c r="B25" s="500" t="str" cm="1">
        <f t="array" ref="B25">Suite &amp; " Electrical Rooms"</f>
        <v>G104 Electrical Rooms</v>
      </c>
      <c r="C25" s="499" t="str" cm="1">
        <f t="array" ref="C25">Suite &amp; " UPS System"</f>
        <v>G104 UPS System</v>
      </c>
      <c r="D25" s="190" t="s">
        <v>4621</v>
      </c>
      <c r="E25" s="499" t="s">
        <v>1464</v>
      </c>
      <c r="F25" s="500"/>
      <c r="G25" s="519"/>
    </row>
    <row r="26" spans="1:7" ht="37.5" x14ac:dyDescent="0.25">
      <c r="A26" s="200">
        <f>A25+1</f>
        <v>197</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7" ht="56.25" x14ac:dyDescent="0.25">
      <c r="A27" s="200">
        <f t="shared" ref="A27" si="4">A26+1</f>
        <v>198</v>
      </c>
      <c r="B27" s="231" t="str">
        <f>Suite&amp;" Electrical Rooms "&amp;SWOne&amp;" &amp; "&amp;SWTwo</f>
        <v>G104 Electrical Rooms XXX &amp; XXX</v>
      </c>
      <c r="C27" s="183" t="str">
        <f>"UPS "&amp;SWOne&amp;" &amp; "&amp;SWTwo</f>
        <v>UPS XXX &amp; XXX</v>
      </c>
      <c r="D27" s="186" t="s">
        <v>1559</v>
      </c>
      <c r="E27" s="183" t="s">
        <v>1464</v>
      </c>
      <c r="F27" s="193"/>
      <c r="G27" s="193"/>
    </row>
    <row r="28" spans="1:7" x14ac:dyDescent="0.25">
      <c r="A28" s="200">
        <f t="shared" si="0"/>
        <v>199</v>
      </c>
      <c r="B28" s="712" t="s">
        <v>4759</v>
      </c>
      <c r="C28" s="712"/>
      <c r="D28" s="712"/>
      <c r="E28" s="712"/>
      <c r="F28" s="712"/>
      <c r="G28" s="712"/>
    </row>
    <row r="29" spans="1:7" ht="18" customHeight="1" x14ac:dyDescent="0.25">
      <c r="A29" s="200">
        <f t="shared" si="0"/>
        <v>200</v>
      </c>
      <c r="B29" s="231" t="str">
        <f>Suite&amp;" Electrical Room "&amp;SWTwo</f>
        <v>G104 Electrical Room XXX</v>
      </c>
      <c r="C29" s="183" t="str">
        <f>"UP"&amp;SWTwo</f>
        <v>UPXXX</v>
      </c>
      <c r="D29" s="233" t="s">
        <v>4760</v>
      </c>
      <c r="E29" s="183" t="s">
        <v>1464</v>
      </c>
      <c r="F29" s="193"/>
      <c r="G29" s="193"/>
    </row>
    <row r="30" spans="1:7" x14ac:dyDescent="0.25">
      <c r="A30" s="200">
        <f t="shared" si="0"/>
        <v>201</v>
      </c>
      <c r="B30" s="714" t="s">
        <v>4775</v>
      </c>
      <c r="C30" s="714"/>
      <c r="D30" s="714"/>
      <c r="E30" s="714"/>
      <c r="F30" s="714"/>
      <c r="G30" s="714"/>
    </row>
    <row r="31" spans="1:7" ht="37.5" x14ac:dyDescent="0.25">
      <c r="A31" s="200">
        <f t="shared" si="0"/>
        <v>202</v>
      </c>
      <c r="B31" s="231" t="str">
        <f>Suite&amp;" Electrical Room "&amp;SWTwo</f>
        <v>G104 Electrical Room XXX</v>
      </c>
      <c r="C31" s="183" t="str">
        <f>"UPS "&amp;SWTwo&amp;"1"</f>
        <v>UPS XXX1</v>
      </c>
      <c r="D31" s="187" t="s">
        <v>1618</v>
      </c>
      <c r="E31" s="183" t="s">
        <v>1464</v>
      </c>
      <c r="F31" s="193"/>
      <c r="G31" s="193"/>
    </row>
    <row r="32" spans="1:7" ht="37.5" x14ac:dyDescent="0.25">
      <c r="A32" s="200">
        <f t="shared" si="0"/>
        <v>203</v>
      </c>
      <c r="B32" s="231" t="str">
        <f>Suite&amp;" Electrical Room "&amp;SWTwo</f>
        <v>G104 Electrical Room XXX</v>
      </c>
      <c r="C32" s="183" t="str">
        <f>"UPS "&amp;SWTwo&amp;"1"</f>
        <v>UPS XXX1</v>
      </c>
      <c r="D32" s="187" t="s">
        <v>1619</v>
      </c>
      <c r="E32" s="183" t="s">
        <v>1464</v>
      </c>
      <c r="F32" s="193"/>
      <c r="G32" s="193"/>
    </row>
    <row r="33" spans="1:7" ht="37.5" x14ac:dyDescent="0.25">
      <c r="A33" s="200">
        <f t="shared" si="0"/>
        <v>204</v>
      </c>
      <c r="B33" s="231" t="str">
        <f>Suite&amp;" Electrical Room "&amp;SWTwo</f>
        <v>G104 Electrical Room XXX</v>
      </c>
      <c r="C33" s="183" t="str">
        <f>"UPS "&amp;SWTwo&amp;"1"</f>
        <v>UPS XXX1</v>
      </c>
      <c r="D33" s="186" t="s">
        <v>1620</v>
      </c>
      <c r="E33" s="183" t="s">
        <v>1464</v>
      </c>
      <c r="F33" s="193"/>
      <c r="G33" s="193"/>
    </row>
    <row r="34" spans="1:7" ht="37.5" x14ac:dyDescent="0.25">
      <c r="A34" s="200">
        <f t="shared" si="0"/>
        <v>205</v>
      </c>
      <c r="B34" s="231" t="str">
        <f>Suite&amp;" Electrical Room "&amp;SWTwo</f>
        <v>G104 Electrical Room XXX</v>
      </c>
      <c r="C34" s="183" t="str">
        <f>"UPS "&amp;SWTwo&amp;"1"</f>
        <v>UPS XXX1</v>
      </c>
      <c r="D34" s="187" t="s">
        <v>1621</v>
      </c>
      <c r="E34" s="183" t="s">
        <v>1464</v>
      </c>
      <c r="F34" s="193"/>
      <c r="G34" s="193"/>
    </row>
    <row r="35" spans="1:7" ht="56.25" x14ac:dyDescent="0.25">
      <c r="A35" s="200">
        <f t="shared" si="0"/>
        <v>206</v>
      </c>
      <c r="B35" s="231" t="str">
        <f>Suite&amp;" Electrical Room "&amp;SWTwo</f>
        <v>G104 Electrical Room XXX</v>
      </c>
      <c r="C35" s="183" t="str">
        <f>"UPS "&amp;SWTwo&amp;"1"</f>
        <v>UPS XXX1</v>
      </c>
      <c r="D35" s="186" t="s">
        <v>1622</v>
      </c>
      <c r="E35" s="183" t="s">
        <v>1464</v>
      </c>
      <c r="F35" s="193"/>
      <c r="G35" s="193"/>
    </row>
    <row r="36" spans="1:7" ht="37.5" x14ac:dyDescent="0.25">
      <c r="A36" s="200">
        <f t="shared" si="0"/>
        <v>207</v>
      </c>
      <c r="B36" s="231" t="str">
        <f>Suite&amp;" Electrical Room "&amp;SWTwo</f>
        <v>G104 Electrical Room XXX</v>
      </c>
      <c r="C36" s="183" t="str">
        <f>"UPS "&amp;SWTwo&amp;"2"</f>
        <v>UPS XXX2</v>
      </c>
      <c r="D36" s="187" t="s">
        <v>1623</v>
      </c>
      <c r="E36" s="183" t="s">
        <v>1464</v>
      </c>
      <c r="F36" s="193"/>
      <c r="G36" s="193"/>
    </row>
    <row r="37" spans="1:7" ht="37.5" x14ac:dyDescent="0.25">
      <c r="A37" s="200">
        <f t="shared" si="0"/>
        <v>208</v>
      </c>
      <c r="B37" s="231" t="str">
        <f>Suite&amp;" Electrical Room "&amp;SWTwo</f>
        <v>G104 Electrical Room XXX</v>
      </c>
      <c r="C37" s="183" t="str">
        <f>"UPS "&amp;SWTwo&amp;"2"</f>
        <v>UPS XXX2</v>
      </c>
      <c r="D37" s="186" t="s">
        <v>1620</v>
      </c>
      <c r="E37" s="183" t="s">
        <v>1464</v>
      </c>
      <c r="F37" s="193"/>
      <c r="G37" s="193"/>
    </row>
    <row r="38" spans="1:7" ht="37.5" x14ac:dyDescent="0.25">
      <c r="A38" s="200">
        <f t="shared" si="0"/>
        <v>209</v>
      </c>
      <c r="B38" s="231" t="str">
        <f>Suite&amp;" Electrical Room "&amp;SWTwo</f>
        <v>G104 Electrical Room XXX</v>
      </c>
      <c r="C38" s="183" t="str">
        <f>"UPS "&amp;SWTwo&amp;"2"</f>
        <v>UPS XXX2</v>
      </c>
      <c r="D38" s="187" t="s">
        <v>1621</v>
      </c>
      <c r="E38" s="183" t="s">
        <v>1464</v>
      </c>
      <c r="F38" s="193"/>
      <c r="G38" s="193"/>
    </row>
    <row r="39" spans="1:7" ht="37.5" x14ac:dyDescent="0.25">
      <c r="A39" s="200">
        <f t="shared" si="0"/>
        <v>210</v>
      </c>
      <c r="B39" s="231" t="str">
        <f>Suite&amp;" Electrical Room "&amp;SWTwo</f>
        <v>G104 Electrical Room XXX</v>
      </c>
      <c r="C39" s="183" t="str">
        <f>"UPS "&amp;SWTwo&amp;"2"</f>
        <v>UPS XXX2</v>
      </c>
      <c r="D39" s="204" t="s">
        <v>4737</v>
      </c>
      <c r="E39" s="183" t="s">
        <v>1464</v>
      </c>
      <c r="F39" s="193"/>
      <c r="G39" s="193"/>
    </row>
    <row r="40" spans="1:7" ht="56.25" x14ac:dyDescent="0.25">
      <c r="A40" s="200">
        <f t="shared" si="0"/>
        <v>211</v>
      </c>
      <c r="B40" s="231" t="str">
        <f>Suite&amp;" Electrical Room "&amp;SWTwo</f>
        <v>G104 Electrical Room XXX</v>
      </c>
      <c r="C40" s="183" t="str">
        <f>"UPS "&amp;SWTwo&amp;"2"</f>
        <v>UPS XXX2</v>
      </c>
      <c r="D40" s="186" t="s">
        <v>1622</v>
      </c>
      <c r="E40" s="183" t="s">
        <v>1464</v>
      </c>
      <c r="F40" s="193"/>
      <c r="G40" s="193"/>
    </row>
    <row r="41" spans="1:7" ht="37.5" x14ac:dyDescent="0.25">
      <c r="A41" s="200">
        <f t="shared" si="0"/>
        <v>212</v>
      </c>
      <c r="B41" s="231" t="str">
        <f>Suite&amp;" Electrical Room "&amp;SWTwo</f>
        <v>G104 Electrical Room XXX</v>
      </c>
      <c r="C41" s="183" t="str">
        <f>"UPS "&amp;SWTwo&amp;"2"</f>
        <v>UPS XXX2</v>
      </c>
      <c r="D41" s="187" t="s">
        <v>1625</v>
      </c>
      <c r="E41" s="183" t="s">
        <v>1464</v>
      </c>
      <c r="F41" s="193"/>
      <c r="G41" s="193"/>
    </row>
    <row r="42" spans="1:7" ht="37.5" x14ac:dyDescent="0.25">
      <c r="A42" s="200">
        <f t="shared" si="0"/>
        <v>213</v>
      </c>
      <c r="B42" s="231" t="str">
        <f>Suite&amp;" Electrical Room "&amp;SWTwo</f>
        <v>G104 Electrical Room XXX</v>
      </c>
      <c r="C42" s="183" t="str">
        <f>"UPS "&amp;SWTwo</f>
        <v>UPS XXX</v>
      </c>
      <c r="D42" s="204" t="s">
        <v>1501</v>
      </c>
      <c r="E42" s="183" t="s">
        <v>1464</v>
      </c>
      <c r="F42" s="193"/>
      <c r="G42" s="193"/>
    </row>
    <row r="43" spans="1:7" ht="37.5" x14ac:dyDescent="0.25">
      <c r="A43" s="200">
        <f t="shared" si="0"/>
        <v>214</v>
      </c>
      <c r="B43" s="231" t="str">
        <f>Suite&amp;" Electrical Room "&amp;SWTwo</f>
        <v>G104 Electrical Room XXX</v>
      </c>
      <c r="C43" s="183" t="str">
        <f>"UP"&amp;SWTwo</f>
        <v>UPXXX</v>
      </c>
      <c r="D43" s="235" t="s">
        <v>4761</v>
      </c>
      <c r="E43" s="183" t="s">
        <v>1464</v>
      </c>
      <c r="F43" s="193"/>
      <c r="G43" s="193"/>
    </row>
    <row r="44" spans="1:7" ht="37.5" x14ac:dyDescent="0.25">
      <c r="A44" s="200">
        <f t="shared" si="0"/>
        <v>215</v>
      </c>
      <c r="B44" s="231" t="str">
        <f>Suite&amp;" Electrical Room "&amp;SWTwo</f>
        <v>G104 Electrical Room XXX</v>
      </c>
      <c r="C44" s="183" t="str">
        <f>"UP"&amp;SWTwo</f>
        <v>UPXXX</v>
      </c>
      <c r="D44" s="186" t="str">
        <f>"VERIFY the readings in step " &amp; A15 &amp; " and " &amp; A43 &amp; " are within 3% of each other. (new kW divided by original kW must be ≤1.03 and ≥0.97)."</f>
        <v>VERIFY the readings in step 195 and 214 are within 3% of each other. (new kW divided by original kW must be ≤1.03 and ≥0.97).</v>
      </c>
      <c r="E44" s="183" t="s">
        <v>1464</v>
      </c>
      <c r="F44" s="193"/>
      <c r="G44" s="193"/>
    </row>
    <row r="45" spans="1:7" x14ac:dyDescent="0.25">
      <c r="A45" s="200">
        <f t="shared" si="0"/>
        <v>216</v>
      </c>
      <c r="B45" s="714" t="s">
        <v>1502</v>
      </c>
      <c r="C45" s="714"/>
      <c r="D45" s="714"/>
      <c r="E45" s="714"/>
      <c r="F45" s="714"/>
      <c r="G45" s="714"/>
    </row>
    <row r="46" spans="1:7" ht="37.5" x14ac:dyDescent="0.25">
      <c r="A46" s="200">
        <f t="shared" si="0"/>
        <v>217</v>
      </c>
      <c r="B46" s="231" t="str">
        <f>Suite&amp;" Electrical Room "&amp;SWTwo</f>
        <v>G104 Electrical Room XXX</v>
      </c>
      <c r="C46" s="183" t="str">
        <f>"UP"&amp;SWTwo</f>
        <v>UPXXX</v>
      </c>
      <c r="D46" s="235" t="s">
        <v>1627</v>
      </c>
      <c r="E46" s="183" t="s">
        <v>1464</v>
      </c>
      <c r="F46" s="193"/>
      <c r="G46" s="193"/>
    </row>
    <row r="47" spans="1:7" ht="37.5" x14ac:dyDescent="0.25">
      <c r="A47" s="200">
        <f t="shared" si="0"/>
        <v>218</v>
      </c>
      <c r="B47" s="231" t="str">
        <f>Suite&amp;" Electrical Room "&amp;SWTwo</f>
        <v>G104 Electrical Room XXX</v>
      </c>
      <c r="C47" s="183" t="str">
        <f>"UP"&amp;SWTwo</f>
        <v>UPXXX</v>
      </c>
      <c r="D47" s="187" t="s">
        <v>1628</v>
      </c>
      <c r="E47" s="183" t="s">
        <v>1464</v>
      </c>
      <c r="F47" s="193"/>
      <c r="G47" s="193"/>
    </row>
    <row r="48" spans="1:7" ht="37.5" x14ac:dyDescent="0.25">
      <c r="A48" s="200">
        <f t="shared" si="0"/>
        <v>219</v>
      </c>
      <c r="B48" s="231" t="str">
        <f>Suite&amp;" Electrical Room "&amp;SWTwo</f>
        <v>G104 Electrical Room XXX</v>
      </c>
      <c r="C48" s="183" t="str">
        <f>"UP"&amp;SWTwo</f>
        <v>UPXXX</v>
      </c>
      <c r="D48" s="187" t="s">
        <v>1629</v>
      </c>
      <c r="E48" s="183" t="s">
        <v>1464</v>
      </c>
      <c r="F48" s="193"/>
      <c r="G48" s="193"/>
    </row>
    <row r="49" spans="1:7" ht="37.5" x14ac:dyDescent="0.25">
      <c r="A49" s="200">
        <f t="shared" si="0"/>
        <v>220</v>
      </c>
      <c r="B49" s="231" t="str">
        <f>Suite&amp;" Electrical Room "&amp;SWTwo</f>
        <v>G104 Electrical Room XXX</v>
      </c>
      <c r="C49" s="183" t="str">
        <f>"UP"&amp;SWTwo</f>
        <v>UPXXX</v>
      </c>
      <c r="D49" s="235" t="s">
        <v>4762</v>
      </c>
      <c r="E49" s="183" t="s">
        <v>1464</v>
      </c>
      <c r="F49" s="193"/>
      <c r="G49" s="193"/>
    </row>
    <row r="50" spans="1:7" ht="37.5" x14ac:dyDescent="0.25">
      <c r="A50" s="200">
        <f t="shared" si="0"/>
        <v>221</v>
      </c>
      <c r="B50" s="231" t="str">
        <f>Suite&amp;" Electrical Room "&amp;SWTwo</f>
        <v>G104 Electrical Room XXX</v>
      </c>
      <c r="C50" s="183" t="str">
        <f>"UP"&amp;SWTwo</f>
        <v>UPXXX</v>
      </c>
      <c r="D50" s="187" t="s">
        <v>4763</v>
      </c>
      <c r="E50" s="183" t="s">
        <v>1464</v>
      </c>
      <c r="F50" s="193"/>
      <c r="G50" s="193"/>
    </row>
    <row r="51" spans="1:7" ht="37.5" x14ac:dyDescent="0.25">
      <c r="A51" s="200">
        <f t="shared" si="0"/>
        <v>222</v>
      </c>
      <c r="B51" s="231" t="str">
        <f>Suite&amp;" Electrical Room "&amp;SWTwo</f>
        <v>G104 Electrical Room XXX</v>
      </c>
      <c r="C51" s="183" t="str">
        <f>"UP"&amp;SWTwo</f>
        <v>UPXXX</v>
      </c>
      <c r="D51" s="187" t="s">
        <v>4764</v>
      </c>
      <c r="E51" s="183" t="s">
        <v>1464</v>
      </c>
      <c r="F51" s="193"/>
      <c r="G51" s="193"/>
    </row>
    <row r="52" spans="1:7" ht="37.5" x14ac:dyDescent="0.25">
      <c r="A52" s="200">
        <f t="shared" si="0"/>
        <v>223</v>
      </c>
      <c r="B52" s="231" t="str">
        <f>Suite&amp;" Electrical Room "&amp;SWTwo</f>
        <v>G104 Electrical Room XXX</v>
      </c>
      <c r="C52" s="183" t="str">
        <f>"UP"&amp;SWTwo</f>
        <v>UPXXX</v>
      </c>
      <c r="D52" s="187" t="s">
        <v>4765</v>
      </c>
      <c r="E52" s="183" t="s">
        <v>1464</v>
      </c>
      <c r="F52" s="193"/>
      <c r="G52" s="193"/>
    </row>
    <row r="53" spans="1:7" ht="18" customHeight="1" x14ac:dyDescent="0.25">
      <c r="A53" s="200">
        <f t="shared" si="0"/>
        <v>224</v>
      </c>
      <c r="B53" s="231" t="str">
        <f>Suite&amp;" Electrical Room "&amp;SWTwo</f>
        <v>G104 Electrical Room XXX</v>
      </c>
      <c r="C53" s="183" t="str">
        <f>"UP"&amp;SWTwo</f>
        <v>UPXXX</v>
      </c>
      <c r="D53" s="187" t="s">
        <v>4766</v>
      </c>
      <c r="E53" s="183" t="s">
        <v>1464</v>
      </c>
      <c r="F53" s="193"/>
      <c r="G53" s="193"/>
    </row>
    <row r="54" spans="1:7" ht="37.5" x14ac:dyDescent="0.25">
      <c r="A54" s="200">
        <f t="shared" si="0"/>
        <v>225</v>
      </c>
      <c r="B54" s="231" t="str">
        <f>Suite&amp;" Electrical Room "&amp;SWTwo</f>
        <v>G104 Electrical Room XXX</v>
      </c>
      <c r="C54" s="183" t="str">
        <f>"UP"&amp;SWTwo</f>
        <v>UPXXX</v>
      </c>
      <c r="D54" s="187" t="s">
        <v>4767</v>
      </c>
      <c r="E54" s="183" t="s">
        <v>1464</v>
      </c>
      <c r="F54" s="193"/>
      <c r="G54" s="193"/>
    </row>
    <row r="55" spans="1:7" ht="37.5" x14ac:dyDescent="0.25">
      <c r="A55" s="200">
        <f t="shared" si="0"/>
        <v>226</v>
      </c>
      <c r="B55" s="231" t="str">
        <f>Suite&amp;" Electrical Room "&amp;SWTwo</f>
        <v>G104 Electrical Room XXX</v>
      </c>
      <c r="C55" s="183" t="str">
        <f>"UP"&amp;SWTwo</f>
        <v>UPXXX</v>
      </c>
      <c r="D55" s="187" t="s">
        <v>4768</v>
      </c>
      <c r="E55" s="183" t="s">
        <v>1464</v>
      </c>
      <c r="F55" s="193"/>
      <c r="G55" s="193"/>
    </row>
    <row r="56" spans="1:7" ht="37.5" x14ac:dyDescent="0.25">
      <c r="A56" s="200">
        <f t="shared" si="0"/>
        <v>227</v>
      </c>
      <c r="B56" s="231" t="str">
        <f>Suite&amp;" Electrical Room "&amp;SWTwo</f>
        <v>G104 Electrical Room XXX</v>
      </c>
      <c r="C56" s="183" t="str">
        <f>"UP"&amp;SWTwo</f>
        <v>UPXXX</v>
      </c>
      <c r="D56" s="233" t="s">
        <v>4769</v>
      </c>
      <c r="E56" s="183" t="s">
        <v>1464</v>
      </c>
      <c r="F56" s="193"/>
      <c r="G56" s="193"/>
    </row>
    <row r="57" spans="1:7" ht="56.25" x14ac:dyDescent="0.25">
      <c r="A57" s="200">
        <f t="shared" si="0"/>
        <v>228</v>
      </c>
      <c r="B57" s="231" t="str">
        <f>Suite&amp;" Electrical Room "&amp;SWTwo</f>
        <v>G104 Electrical Room XXX</v>
      </c>
      <c r="C57" s="183" t="str">
        <f>"UP"&amp;SWTwo</f>
        <v>UPXXX</v>
      </c>
      <c r="D57" s="186" t="s">
        <v>4770</v>
      </c>
      <c r="E57" s="183" t="s">
        <v>1464</v>
      </c>
      <c r="F57" s="193"/>
      <c r="G57" s="193"/>
    </row>
    <row r="58" spans="1:7" ht="37.5" x14ac:dyDescent="0.25">
      <c r="A58" s="200">
        <f t="shared" si="0"/>
        <v>229</v>
      </c>
      <c r="B58" s="231" t="str">
        <f>Suite&amp;" Electrical Room "&amp;SWTwo</f>
        <v>G104 Electrical Room XXX</v>
      </c>
      <c r="C58" s="183" t="str">
        <f>"UP"&amp;SWTwo</f>
        <v>UPXXX</v>
      </c>
      <c r="D58" s="187" t="s">
        <v>4771</v>
      </c>
      <c r="E58" s="183" t="s">
        <v>1464</v>
      </c>
      <c r="F58" s="193"/>
      <c r="G58" s="193"/>
    </row>
    <row r="59" spans="1:7" ht="37.5" x14ac:dyDescent="0.25">
      <c r="A59" s="200">
        <f t="shared" si="0"/>
        <v>230</v>
      </c>
      <c r="B59" s="231" t="str">
        <f>Suite&amp;" Electrical Room "&amp;SWTwo</f>
        <v>G104 Electrical Room XXX</v>
      </c>
      <c r="C59" s="183" t="str">
        <f>"UP"&amp;SWTwo</f>
        <v>UPXXX</v>
      </c>
      <c r="D59" s="187" t="s">
        <v>4772</v>
      </c>
      <c r="E59" s="183" t="s">
        <v>1464</v>
      </c>
      <c r="F59" s="193"/>
      <c r="G59" s="193"/>
    </row>
    <row r="60" spans="1:7" ht="37.5" x14ac:dyDescent="0.25">
      <c r="A60" s="200">
        <f t="shared" si="0"/>
        <v>231</v>
      </c>
      <c r="B60" s="231" t="str">
        <f>Suite&amp;" Electrical Room "&amp;SWTwo</f>
        <v>G104 Electrical Room XXX</v>
      </c>
      <c r="C60" s="183" t="str">
        <f>"UP"&amp;SWTwo</f>
        <v>UPXXX</v>
      </c>
      <c r="D60" s="204" t="s">
        <v>1506</v>
      </c>
      <c r="E60" s="183" t="s">
        <v>1464</v>
      </c>
      <c r="F60" s="193"/>
      <c r="G60" s="193"/>
    </row>
    <row r="61" spans="1:7" ht="37.5" x14ac:dyDescent="0.25">
      <c r="A61" s="200">
        <f t="shared" si="0"/>
        <v>232</v>
      </c>
      <c r="B61" s="231" t="str">
        <f>Suite&amp;" Electrical Room "&amp;SWTwo</f>
        <v>G104 Electrical Room XXX</v>
      </c>
      <c r="C61" s="183" t="str">
        <f>"UP"&amp;SWTwo</f>
        <v>UPXXX</v>
      </c>
      <c r="D61" s="235" t="s">
        <v>4761</v>
      </c>
      <c r="E61" s="183" t="s">
        <v>1464</v>
      </c>
      <c r="F61" s="193"/>
      <c r="G61" s="193"/>
    </row>
    <row r="62" spans="1:7" ht="37.5" x14ac:dyDescent="0.25">
      <c r="A62" s="200">
        <f t="shared" si="0"/>
        <v>233</v>
      </c>
      <c r="B62" s="231" t="str">
        <f>Suite&amp;" Electrical Room "&amp;SWTwo</f>
        <v>G104 Electrical Room XXX</v>
      </c>
      <c r="C62" s="183" t="str">
        <f>"UP"&amp;SWTwo</f>
        <v>UPXXX</v>
      </c>
      <c r="D62" s="186" t="str">
        <f>"VERIFY the readings in step " &amp; A43 &amp; " and " &amp; A61 &amp; " are within 3% of each other. (new kW divided by original kW must be ≤1.03 and ≥0.97)."</f>
        <v>VERIFY the readings in step 214 and 232 are within 3% of each other. (new kW divided by original kW must be ≤1.03 and ≥0.97).</v>
      </c>
      <c r="E62" s="183" t="s">
        <v>1464</v>
      </c>
      <c r="F62" s="193"/>
      <c r="G62" s="193"/>
    </row>
    <row r="63" spans="1:7" ht="37.5" x14ac:dyDescent="0.25">
      <c r="A63" s="200">
        <f t="shared" si="0"/>
        <v>234</v>
      </c>
      <c r="B63" s="231" t="str">
        <f>Suite&amp;" Electrical Room "&amp;SWTwo</f>
        <v>G104 Electrical Room XXX</v>
      </c>
      <c r="C63" s="183" t="str">
        <f>"UP"&amp;SWTwo</f>
        <v>UPXXX</v>
      </c>
      <c r="D63" s="187" t="s">
        <v>4773</v>
      </c>
      <c r="E63" s="183" t="s">
        <v>1464</v>
      </c>
      <c r="F63" s="193"/>
      <c r="G63" s="193"/>
    </row>
    <row r="64" spans="1:7" ht="37.5" x14ac:dyDescent="0.25">
      <c r="A64" s="200">
        <f t="shared" si="0"/>
        <v>235</v>
      </c>
      <c r="B64" s="231" t="str">
        <f>Suite&amp;" Electrical Room "&amp;SWTwo</f>
        <v>G104 Electrical Room XXX</v>
      </c>
      <c r="C64" s="183" t="str">
        <f>"UP"&amp;SWTwo</f>
        <v>UPXXX</v>
      </c>
      <c r="D64" s="187" t="s">
        <v>4774</v>
      </c>
      <c r="E64" s="183" t="s">
        <v>1464</v>
      </c>
      <c r="F64" s="193"/>
      <c r="G64" s="193"/>
    </row>
    <row r="65" spans="1:7" ht="37.5" x14ac:dyDescent="0.25">
      <c r="A65" s="200">
        <f t="shared" si="0"/>
        <v>236</v>
      </c>
      <c r="B65" s="231" t="str">
        <f>Suite&amp;" Electrical Room "&amp;SWTwo</f>
        <v>G104 Electrical Room XXX</v>
      </c>
      <c r="C65" s="183" t="str">
        <f>"UP"&amp;SWTwo</f>
        <v>UPXXX</v>
      </c>
      <c r="D65" s="235" t="s">
        <v>1643</v>
      </c>
      <c r="E65" s="183" t="s">
        <v>1464</v>
      </c>
      <c r="F65" s="193"/>
      <c r="G65" s="193"/>
    </row>
    <row r="66" spans="1:7" ht="37.5" x14ac:dyDescent="0.25">
      <c r="A66" s="200">
        <f t="shared" si="0"/>
        <v>237</v>
      </c>
      <c r="B66" s="231" t="str">
        <f>Suite&amp;" Electrical Room "&amp;SWTwo</f>
        <v>G104 Electrical Room XXX</v>
      </c>
      <c r="C66" s="183" t="str">
        <f>"UP"&amp;SWTwo</f>
        <v>UPXXX</v>
      </c>
      <c r="D66" s="187" t="s">
        <v>1644</v>
      </c>
      <c r="E66" s="183" t="s">
        <v>1464</v>
      </c>
      <c r="F66" s="193"/>
      <c r="G66" s="193"/>
    </row>
    <row r="67" spans="1:7" ht="37.5" x14ac:dyDescent="0.25">
      <c r="A67" s="200">
        <f t="shared" si="0"/>
        <v>238</v>
      </c>
      <c r="B67" s="231" t="str">
        <f>Suite&amp;" Electrical Room "&amp;SWTwo</f>
        <v>G104 Electrical Room XXX</v>
      </c>
      <c r="C67" s="183" t="str">
        <f>"UP"&amp;SWTwo</f>
        <v>UPXXX</v>
      </c>
      <c r="D67" s="187" t="s">
        <v>1645</v>
      </c>
      <c r="E67" s="183" t="s">
        <v>1464</v>
      </c>
      <c r="F67" s="193"/>
      <c r="G67" s="193"/>
    </row>
    <row r="68" spans="1:7" ht="37.5" x14ac:dyDescent="0.25">
      <c r="A68" s="200">
        <f t="shared" si="0"/>
        <v>239</v>
      </c>
      <c r="B68" s="231" t="str">
        <f>Suite&amp;" Electrical Room "&amp;SWTwo</f>
        <v>G104 Electrical Room XXX</v>
      </c>
      <c r="C68" s="183" t="str">
        <f>"UP"&amp;SWTwo</f>
        <v>UPXXX</v>
      </c>
      <c r="D68" s="204" t="s">
        <v>1646</v>
      </c>
      <c r="E68" s="183" t="s">
        <v>1464</v>
      </c>
      <c r="F68" s="193"/>
      <c r="G68" s="193"/>
    </row>
    <row r="69" spans="1:7" x14ac:dyDescent="0.25">
      <c r="A69" s="200">
        <f t="shared" si="0"/>
        <v>240</v>
      </c>
      <c r="B69" s="714" t="s">
        <v>4776</v>
      </c>
      <c r="C69" s="714"/>
      <c r="D69" s="714"/>
      <c r="E69" s="714"/>
      <c r="F69" s="714"/>
      <c r="G69" s="714"/>
    </row>
    <row r="70" spans="1:7" ht="37.5" x14ac:dyDescent="0.25">
      <c r="A70" s="200">
        <f t="shared" si="0"/>
        <v>241</v>
      </c>
      <c r="B70" s="231" t="str">
        <f>Suite&amp;" Electrical Room "&amp;SWTwo</f>
        <v>G104 Electrical Room XXX</v>
      </c>
      <c r="C70" s="183" t="str">
        <f>"UP"&amp;SWTwo</f>
        <v>UPXXX</v>
      </c>
      <c r="D70" s="187" t="s">
        <v>4717</v>
      </c>
      <c r="E70" s="183" t="s">
        <v>1464</v>
      </c>
      <c r="F70" s="193"/>
      <c r="G70" s="193"/>
    </row>
    <row r="71" spans="1:7" ht="37.5" x14ac:dyDescent="0.25">
      <c r="A71" s="200">
        <f t="shared" si="0"/>
        <v>242</v>
      </c>
      <c r="B71" s="231" t="str">
        <f>Suite&amp;" Electrical Room "&amp;SWTwo</f>
        <v>G104 Electrical Room XXX</v>
      </c>
      <c r="C71" s="183" t="str">
        <f>"UP"&amp;SWTwo</f>
        <v>UPXXX</v>
      </c>
      <c r="D71" s="187" t="s">
        <v>4718</v>
      </c>
      <c r="E71" s="183" t="s">
        <v>1464</v>
      </c>
      <c r="F71" s="193"/>
      <c r="G71" s="193"/>
    </row>
    <row r="72" spans="1:7" ht="37.5" x14ac:dyDescent="0.25">
      <c r="A72" s="200">
        <f t="shared" ref="A72:A135" si="5">A71+1</f>
        <v>243</v>
      </c>
      <c r="B72" s="231" t="str">
        <f>Suite&amp;" Electrical Room "&amp;SWTwo</f>
        <v>G104 Electrical Room XXX</v>
      </c>
      <c r="C72" s="183" t="str">
        <f>"UP"&amp;SWTwo</f>
        <v>UPXXX</v>
      </c>
      <c r="D72" s="186" t="s">
        <v>1518</v>
      </c>
      <c r="E72" s="183" t="s">
        <v>1464</v>
      </c>
      <c r="F72" s="193"/>
      <c r="G72" s="193"/>
    </row>
    <row r="73" spans="1:7" ht="37.5" x14ac:dyDescent="0.25">
      <c r="A73" s="200">
        <f t="shared" si="5"/>
        <v>244</v>
      </c>
      <c r="B73" s="231" t="str">
        <f>Suite&amp;" Electrical Room "&amp;SWTwo</f>
        <v>G104 Electrical Room XXX</v>
      </c>
      <c r="C73" s="183" t="str">
        <f>"UPS "&amp;SWTwo&amp;"1"</f>
        <v>UPS XXX1</v>
      </c>
      <c r="D73" s="186" t="s">
        <v>1650</v>
      </c>
      <c r="E73" s="183" t="s">
        <v>1464</v>
      </c>
      <c r="F73" s="193"/>
      <c r="G73" s="193"/>
    </row>
    <row r="74" spans="1:7" ht="37.5" x14ac:dyDescent="0.25">
      <c r="A74" s="200">
        <f t="shared" si="5"/>
        <v>245</v>
      </c>
      <c r="B74" s="231" t="str">
        <f>Suite&amp;" Electrical Room "&amp;SWTwo</f>
        <v>G104 Electrical Room XXX</v>
      </c>
      <c r="C74" s="183" t="str">
        <f>"UP"&amp;SWTwo</f>
        <v>UPXXX</v>
      </c>
      <c r="D74" s="187" t="s">
        <v>4738</v>
      </c>
      <c r="E74" s="183" t="s">
        <v>1464</v>
      </c>
      <c r="F74" s="193"/>
      <c r="G74" s="193"/>
    </row>
    <row r="75" spans="1:7" ht="37.5" x14ac:dyDescent="0.25">
      <c r="A75" s="200">
        <f t="shared" si="5"/>
        <v>246</v>
      </c>
      <c r="B75" s="231" t="str">
        <f>Suite&amp;" Electrical Room "&amp;SWTwo</f>
        <v>G104 Electrical Room XXX</v>
      </c>
      <c r="C75" s="183" t="str">
        <f>"UP"&amp;SWTwo</f>
        <v>UPXXX</v>
      </c>
      <c r="D75" s="187" t="s">
        <v>4739</v>
      </c>
      <c r="E75" s="183" t="s">
        <v>1464</v>
      </c>
      <c r="F75" s="193"/>
      <c r="G75" s="193"/>
    </row>
    <row r="76" spans="1:7" ht="37.5" x14ac:dyDescent="0.25">
      <c r="A76" s="200">
        <f t="shared" si="5"/>
        <v>247</v>
      </c>
      <c r="B76" s="231" t="str">
        <f>Suite&amp;" Electrical Room "&amp;SWTwo</f>
        <v>G104 Electrical Room XXX</v>
      </c>
      <c r="C76" s="183" t="str">
        <f>"UP"&amp;SWTwo</f>
        <v>UPXXX</v>
      </c>
      <c r="D76" s="186" t="s">
        <v>1518</v>
      </c>
      <c r="E76" s="183" t="s">
        <v>1464</v>
      </c>
      <c r="F76" s="193"/>
      <c r="G76" s="193"/>
    </row>
    <row r="77" spans="1:7" ht="37.5" x14ac:dyDescent="0.25">
      <c r="A77" s="200">
        <f t="shared" si="5"/>
        <v>248</v>
      </c>
      <c r="B77" s="231" t="str">
        <f>Suite&amp;" Electrical Room "&amp;SWTwo</f>
        <v>G104 Electrical Room XXX</v>
      </c>
      <c r="C77" s="183" t="str">
        <f>"UPS "&amp;SWTwo&amp;"2"</f>
        <v>UPS XXX2</v>
      </c>
      <c r="D77" s="186" t="s">
        <v>1650</v>
      </c>
      <c r="E77" s="183" t="s">
        <v>1464</v>
      </c>
      <c r="F77" s="193"/>
      <c r="G77" s="193"/>
    </row>
    <row r="78" spans="1:7" ht="56.25" x14ac:dyDescent="0.25">
      <c r="A78" s="200">
        <f t="shared" si="5"/>
        <v>249</v>
      </c>
      <c r="B78" s="231" t="str">
        <f>Suite&amp;" Electrical Room "&amp;SWTwo</f>
        <v>G104 Electrical Room XXX</v>
      </c>
      <c r="C78" s="183" t="str">
        <f>"UPS "&amp;SWTwo&amp;" Battery Cabinets"</f>
        <v>UPS XXX Battery Cabinets</v>
      </c>
      <c r="D78" s="187" t="s">
        <v>4719</v>
      </c>
      <c r="E78" s="183" t="s">
        <v>1464</v>
      </c>
      <c r="F78" s="193"/>
      <c r="G78" s="193"/>
    </row>
    <row r="79" spans="1:7" ht="56.25" x14ac:dyDescent="0.25">
      <c r="A79" s="200">
        <f t="shared" si="5"/>
        <v>250</v>
      </c>
      <c r="B79" s="231" t="str">
        <f>Suite&amp;" Electrical Room "&amp;SWTwo</f>
        <v>G104 Electrical Room XXX</v>
      </c>
      <c r="C79" s="183" t="str">
        <f>"UPS "&amp;SWTwo&amp;" Battery Cabinets"</f>
        <v>UPS XXX Battery Cabinets</v>
      </c>
      <c r="D79" s="187" t="s">
        <v>4720</v>
      </c>
      <c r="E79" s="183" t="s">
        <v>1464</v>
      </c>
      <c r="F79" s="193"/>
      <c r="G79" s="193"/>
    </row>
    <row r="80" spans="1:7" ht="56.25" x14ac:dyDescent="0.25">
      <c r="A80" s="200">
        <f t="shared" si="5"/>
        <v>251</v>
      </c>
      <c r="B80" s="231" t="str">
        <f>Suite&amp;" Electrical Room "&amp;SWTwo</f>
        <v>G104 Electrical Room XXX</v>
      </c>
      <c r="C80" s="183" t="str">
        <f>"UPS "&amp;SWTwo&amp;" Battery Cabinets"</f>
        <v>UPS XXX Battery Cabinets</v>
      </c>
      <c r="D80" s="186" t="s">
        <v>1518</v>
      </c>
      <c r="E80" s="183" t="s">
        <v>1464</v>
      </c>
      <c r="F80" s="193"/>
      <c r="G80" s="193"/>
    </row>
    <row r="81" spans="1:7" ht="56.25" x14ac:dyDescent="0.25">
      <c r="A81" s="200">
        <f t="shared" si="5"/>
        <v>252</v>
      </c>
      <c r="B81" s="231" t="str">
        <f>Suite&amp;" Electrical Room "&amp;SWTwo</f>
        <v>G104 Electrical Room XXX</v>
      </c>
      <c r="C81" s="183" t="str">
        <f>"UPS "&amp;SWTwo&amp;" Battery Cabinets"</f>
        <v>UPS XXX Battery Cabinets</v>
      </c>
      <c r="D81" s="187" t="s">
        <v>4721</v>
      </c>
      <c r="E81" s="183" t="s">
        <v>1464</v>
      </c>
      <c r="F81" s="193"/>
      <c r="G81" s="193"/>
    </row>
    <row r="82" spans="1:7" ht="56.25" x14ac:dyDescent="0.25">
      <c r="A82" s="200">
        <f t="shared" si="5"/>
        <v>253</v>
      </c>
      <c r="B82" s="231" t="str">
        <f>Suite&amp;" Electrical Room "&amp;SWTwo</f>
        <v>G104 Electrical Room XXX</v>
      </c>
      <c r="C82" s="183" t="str">
        <f>"UPS "&amp;SWTwo&amp;" Battery Cabinets"</f>
        <v>UPS XXX Battery Cabinets</v>
      </c>
      <c r="D82" s="187" t="s">
        <v>4722</v>
      </c>
      <c r="E82" s="183" t="s">
        <v>1464</v>
      </c>
      <c r="F82" s="193"/>
      <c r="G82" s="193"/>
    </row>
    <row r="83" spans="1:7" ht="56.25" x14ac:dyDescent="0.25">
      <c r="A83" s="200">
        <f t="shared" si="5"/>
        <v>254</v>
      </c>
      <c r="B83" s="231" t="str">
        <f>Suite&amp;" Electrical Room "&amp;SWTwo</f>
        <v>G104 Electrical Room XXX</v>
      </c>
      <c r="C83" s="183" t="str">
        <f>"UPS "&amp;SWTwo&amp;" Battery Cabinets"</f>
        <v>UPS XXX Battery Cabinets</v>
      </c>
      <c r="D83" s="186" t="s">
        <v>1518</v>
      </c>
      <c r="E83" s="183" t="s">
        <v>1464</v>
      </c>
      <c r="F83" s="193"/>
      <c r="G83" s="193"/>
    </row>
    <row r="84" spans="1:7" ht="56.25" x14ac:dyDescent="0.25">
      <c r="A84" s="200">
        <f t="shared" si="5"/>
        <v>255</v>
      </c>
      <c r="B84" s="231" t="str">
        <f>Suite&amp;" Electrical Room "&amp;SWTwo</f>
        <v>G104 Electrical Room XXX</v>
      </c>
      <c r="C84" s="183" t="str">
        <f>"UPS "&amp;SWTwo&amp;" Battery Cabinets"</f>
        <v>UPS XXX Battery Cabinets</v>
      </c>
      <c r="D84" s="187" t="s">
        <v>4723</v>
      </c>
      <c r="E84" s="183" t="s">
        <v>1464</v>
      </c>
      <c r="F84" s="193"/>
      <c r="G84" s="193"/>
    </row>
    <row r="85" spans="1:7" ht="56.25" x14ac:dyDescent="0.25">
      <c r="A85" s="200">
        <f t="shared" si="5"/>
        <v>256</v>
      </c>
      <c r="B85" s="231" t="str">
        <f>Suite&amp;" Electrical Room "&amp;SWTwo</f>
        <v>G104 Electrical Room XXX</v>
      </c>
      <c r="C85" s="183" t="str">
        <f>"UPS "&amp;SWTwo&amp;" Battery Cabinets"</f>
        <v>UPS XXX Battery Cabinets</v>
      </c>
      <c r="D85" s="187" t="s">
        <v>4724</v>
      </c>
      <c r="E85" s="183" t="s">
        <v>1464</v>
      </c>
      <c r="F85" s="193"/>
      <c r="G85" s="193"/>
    </row>
    <row r="86" spans="1:7" ht="56.25" x14ac:dyDescent="0.25">
      <c r="A86" s="200">
        <f t="shared" si="5"/>
        <v>257</v>
      </c>
      <c r="B86" s="231" t="str">
        <f>Suite&amp;" Electrical Room "&amp;SWTwo</f>
        <v>G104 Electrical Room XXX</v>
      </c>
      <c r="C86" s="183" t="str">
        <f>"UPS "&amp;SWTwo&amp;" Battery Cabinets"</f>
        <v>UPS XXX Battery Cabinets</v>
      </c>
      <c r="D86" s="186" t="s">
        <v>1518</v>
      </c>
      <c r="E86" s="183" t="s">
        <v>1464</v>
      </c>
      <c r="F86" s="193"/>
      <c r="G86" s="193"/>
    </row>
    <row r="87" spans="1:7" ht="56.25" x14ac:dyDescent="0.25">
      <c r="A87" s="200">
        <f t="shared" si="5"/>
        <v>258</v>
      </c>
      <c r="B87" s="231" t="str">
        <f>Suite&amp;" Electrical Room "&amp;SWTwo</f>
        <v>G104 Electrical Room XXX</v>
      </c>
      <c r="C87" s="183" t="str">
        <f>"UPS "&amp;SWTwo&amp;" Battery Cabinets"</f>
        <v>UPS XXX Battery Cabinets</v>
      </c>
      <c r="D87" s="186" t="s">
        <v>1659</v>
      </c>
      <c r="E87" s="183" t="s">
        <v>1464</v>
      </c>
      <c r="F87" s="193"/>
      <c r="G87" s="193"/>
    </row>
    <row r="88" spans="1:7" ht="56.25" x14ac:dyDescent="0.25">
      <c r="A88" s="200">
        <f t="shared" si="5"/>
        <v>259</v>
      </c>
      <c r="B88" s="231" t="str">
        <f>Suite&amp;" Electrical Room "&amp;SWTwo</f>
        <v>G104 Electrical Room XXX</v>
      </c>
      <c r="C88" s="183" t="str">
        <f>"UPS "&amp;SWTwo&amp;" Battery Cabinets"</f>
        <v>UPS XXX Battery Cabinets</v>
      </c>
      <c r="D88" s="187" t="s">
        <v>4740</v>
      </c>
      <c r="E88" s="183" t="s">
        <v>1464</v>
      </c>
      <c r="F88" s="193"/>
      <c r="G88" s="193"/>
    </row>
    <row r="89" spans="1:7" ht="56.25" x14ac:dyDescent="0.25">
      <c r="A89" s="200">
        <f t="shared" si="5"/>
        <v>260</v>
      </c>
      <c r="B89" s="231" t="str">
        <f>Suite&amp;" Electrical Room "&amp;SWTwo</f>
        <v>G104 Electrical Room XXX</v>
      </c>
      <c r="C89" s="183" t="str">
        <f>"UPS "&amp;SWTwo&amp;" Battery Cabinets"</f>
        <v>UPS XXX Battery Cabinets</v>
      </c>
      <c r="D89" s="187" t="s">
        <v>4741</v>
      </c>
      <c r="E89" s="183" t="s">
        <v>1464</v>
      </c>
      <c r="F89" s="193"/>
      <c r="G89" s="193"/>
    </row>
    <row r="90" spans="1:7" ht="56.25" x14ac:dyDescent="0.25">
      <c r="A90" s="200">
        <f t="shared" si="5"/>
        <v>261</v>
      </c>
      <c r="B90" s="231" t="str">
        <f>Suite&amp;" Electrical Room "&amp;SWTwo</f>
        <v>G104 Electrical Room XXX</v>
      </c>
      <c r="C90" s="183" t="str">
        <f>"UPS "&amp;SWTwo&amp;" Battery Cabinets"</f>
        <v>UPS XXX Battery Cabinets</v>
      </c>
      <c r="D90" s="186" t="s">
        <v>1518</v>
      </c>
      <c r="E90" s="183" t="s">
        <v>1464</v>
      </c>
      <c r="F90" s="193"/>
      <c r="G90" s="193"/>
    </row>
    <row r="91" spans="1:7" ht="56.25" x14ac:dyDescent="0.25">
      <c r="A91" s="200">
        <f t="shared" si="5"/>
        <v>262</v>
      </c>
      <c r="B91" s="231" t="str">
        <f>Suite&amp;" Electrical Room "&amp;SWTwo</f>
        <v>G104 Electrical Room XXX</v>
      </c>
      <c r="C91" s="183" t="str">
        <f>"UPS "&amp;SWTwo&amp;" Battery Cabinets"</f>
        <v>UPS XXX Battery Cabinets</v>
      </c>
      <c r="D91" s="187" t="s">
        <v>4742</v>
      </c>
      <c r="E91" s="183" t="s">
        <v>1464</v>
      </c>
      <c r="F91" s="193"/>
      <c r="G91" s="193"/>
    </row>
    <row r="92" spans="1:7" ht="56.25" x14ac:dyDescent="0.25">
      <c r="A92" s="200">
        <f t="shared" si="5"/>
        <v>263</v>
      </c>
      <c r="B92" s="231" t="str">
        <f>Suite&amp;" Electrical Room "&amp;SWTwo</f>
        <v>G104 Electrical Room XXX</v>
      </c>
      <c r="C92" s="183" t="str">
        <f>"UPS "&amp;SWTwo&amp;" Battery Cabinets"</f>
        <v>UPS XXX Battery Cabinets</v>
      </c>
      <c r="D92" s="187" t="s">
        <v>4743</v>
      </c>
      <c r="E92" s="183" t="s">
        <v>1464</v>
      </c>
      <c r="F92" s="193"/>
      <c r="G92" s="193"/>
    </row>
    <row r="93" spans="1:7" ht="56.25" x14ac:dyDescent="0.25">
      <c r="A93" s="200">
        <f t="shared" si="5"/>
        <v>264</v>
      </c>
      <c r="B93" s="231" t="str">
        <f>Suite&amp;" Electrical Room "&amp;SWTwo</f>
        <v>G104 Electrical Room XXX</v>
      </c>
      <c r="C93" s="183" t="str">
        <f>"UPS "&amp;SWTwo&amp;" Battery Cabinets"</f>
        <v>UPS XXX Battery Cabinets</v>
      </c>
      <c r="D93" s="186" t="s">
        <v>1518</v>
      </c>
      <c r="E93" s="183" t="s">
        <v>1464</v>
      </c>
      <c r="F93" s="193"/>
      <c r="G93" s="193"/>
    </row>
    <row r="94" spans="1:7" ht="18" customHeight="1" x14ac:dyDescent="0.25">
      <c r="A94" s="200">
        <f t="shared" si="5"/>
        <v>265</v>
      </c>
      <c r="B94" s="231" t="str">
        <f>Suite&amp;" Electrical Room "&amp;SWTwo</f>
        <v>G104 Electrical Room XXX</v>
      </c>
      <c r="C94" s="183" t="str">
        <f>"UPS "&amp;SWTwo&amp;" Battery Cabinets"</f>
        <v>UPS XXX Battery Cabinets</v>
      </c>
      <c r="D94" s="187" t="s">
        <v>4744</v>
      </c>
      <c r="E94" s="183" t="s">
        <v>1464</v>
      </c>
      <c r="F94" s="193"/>
      <c r="G94" s="193"/>
    </row>
    <row r="95" spans="1:7" ht="56.25" x14ac:dyDescent="0.25">
      <c r="A95" s="200">
        <f t="shared" si="5"/>
        <v>266</v>
      </c>
      <c r="B95" s="231" t="str">
        <f>Suite&amp;" Electrical Room "&amp;SWTwo</f>
        <v>G104 Electrical Room XXX</v>
      </c>
      <c r="C95" s="183" t="str">
        <f>"UPS "&amp;SWTwo&amp;" Battery Cabinets"</f>
        <v>UPS XXX Battery Cabinets</v>
      </c>
      <c r="D95" s="187" t="s">
        <v>4745</v>
      </c>
      <c r="E95" s="183" t="s">
        <v>1464</v>
      </c>
      <c r="F95" s="193"/>
      <c r="G95" s="193"/>
    </row>
    <row r="96" spans="1:7" ht="56.25" x14ac:dyDescent="0.25">
      <c r="A96" s="200">
        <f t="shared" si="5"/>
        <v>267</v>
      </c>
      <c r="B96" s="231" t="str">
        <f>Suite&amp;" Electrical Room "&amp;SWTwo</f>
        <v>G104 Electrical Room XXX</v>
      </c>
      <c r="C96" s="183" t="str">
        <f>"UPS "&amp;SWTwo&amp;" Battery Cabinets"</f>
        <v>UPS XXX Battery Cabinets</v>
      </c>
      <c r="D96" s="186" t="s">
        <v>1518</v>
      </c>
      <c r="E96" s="183" t="s">
        <v>1464</v>
      </c>
      <c r="F96" s="193"/>
      <c r="G96" s="193"/>
    </row>
    <row r="97" spans="1:7" ht="37.5" x14ac:dyDescent="0.25">
      <c r="A97" s="200">
        <f t="shared" si="5"/>
        <v>268</v>
      </c>
      <c r="B97" s="231" t="str">
        <f>Suite&amp;" Electrical Room "&amp;SWTwo</f>
        <v>G104 Electrical Room XXX</v>
      </c>
      <c r="C97" s="183" t="str">
        <f>"UPS "&amp;SWTwo&amp;"2"</f>
        <v>UPS XXX2</v>
      </c>
      <c r="D97" s="186" t="s">
        <v>1659</v>
      </c>
      <c r="E97" s="183" t="s">
        <v>1464</v>
      </c>
      <c r="F97" s="193"/>
      <c r="G97" s="193"/>
    </row>
    <row r="98" spans="1:7" ht="39.75" x14ac:dyDescent="0.25">
      <c r="A98" s="200">
        <f t="shared" si="5"/>
        <v>269</v>
      </c>
      <c r="B98" s="231" t="str">
        <f>Suite&amp;" Electrical Room "&amp;SWTwo</f>
        <v>G104 Electrical Room XXX</v>
      </c>
      <c r="C98" s="183" t="str">
        <f>"UPS "&amp;SWTwo&amp;"1"</f>
        <v>UPS XXX1</v>
      </c>
      <c r="D98" s="187" t="s">
        <v>1666</v>
      </c>
      <c r="E98" s="183" t="s">
        <v>1464</v>
      </c>
      <c r="F98" s="193"/>
      <c r="G98" s="193"/>
    </row>
    <row r="99" spans="1:7" ht="37.5" x14ac:dyDescent="0.25">
      <c r="A99" s="200">
        <f t="shared" si="5"/>
        <v>270</v>
      </c>
      <c r="B99" s="231" t="str">
        <f>Suite&amp;" Electrical Room "&amp;SWTwo</f>
        <v>G104 Electrical Room XXX</v>
      </c>
      <c r="C99" s="183" t="str">
        <f>"UPS "&amp;SWTwo&amp;"1"</f>
        <v>UPS XXX1</v>
      </c>
      <c r="D99" s="186" t="s">
        <v>1667</v>
      </c>
      <c r="E99" s="183" t="s">
        <v>1464</v>
      </c>
      <c r="F99" s="193"/>
      <c r="G99" s="193"/>
    </row>
    <row r="100" spans="1:7" ht="39.75" x14ac:dyDescent="0.25">
      <c r="A100" s="200">
        <f t="shared" si="5"/>
        <v>271</v>
      </c>
      <c r="B100" s="231" t="str">
        <f>Suite&amp;" Electrical Room "&amp;SWTwo</f>
        <v>G104 Electrical Room XXX</v>
      </c>
      <c r="C100" s="183" t="str">
        <f>"UPS "&amp;SWTwo&amp;"2"</f>
        <v>UPS XXX2</v>
      </c>
      <c r="D100" s="187" t="s">
        <v>1666</v>
      </c>
      <c r="E100" s="183" t="s">
        <v>1464</v>
      </c>
      <c r="F100" s="193"/>
      <c r="G100" s="193"/>
    </row>
    <row r="101" spans="1:7" ht="37.5" x14ac:dyDescent="0.25">
      <c r="A101" s="200">
        <f t="shared" si="5"/>
        <v>272</v>
      </c>
      <c r="B101" s="231" t="str">
        <f>Suite&amp;" Electrical Room "&amp;SWTwo</f>
        <v>G104 Electrical Room XXX</v>
      </c>
      <c r="C101" s="183" t="str">
        <f>"UPS "&amp;SWTwo&amp;"2"</f>
        <v>UPS XXX2</v>
      </c>
      <c r="D101" s="186" t="s">
        <v>1667</v>
      </c>
      <c r="E101" s="183" t="s">
        <v>1464</v>
      </c>
      <c r="F101" s="193"/>
      <c r="G101" s="193"/>
    </row>
    <row r="102" spans="1:7" ht="37.5" x14ac:dyDescent="0.25">
      <c r="A102" s="200">
        <f t="shared" si="5"/>
        <v>273</v>
      </c>
      <c r="B102" s="231" t="str">
        <f>Suite&amp;" Electrical Room "&amp;SWTwo</f>
        <v>G104 Electrical Room XXX</v>
      </c>
      <c r="C102" s="183" t="str">
        <f>"SW"&amp;SWTwo</f>
        <v>SWXXX</v>
      </c>
      <c r="D102" s="187" t="s">
        <v>4725</v>
      </c>
      <c r="E102" s="183" t="s">
        <v>1464</v>
      </c>
      <c r="F102" s="193"/>
      <c r="G102" s="193"/>
    </row>
    <row r="103" spans="1:7" ht="37.5" x14ac:dyDescent="0.25">
      <c r="A103" s="200">
        <f t="shared" si="5"/>
        <v>274</v>
      </c>
      <c r="B103" s="231" t="str">
        <f>Suite&amp;" Electrical Room "&amp;SWTwo</f>
        <v>G104 Electrical Room XXX</v>
      </c>
      <c r="C103" s="183" t="str">
        <f>"SW"&amp;SWTwo</f>
        <v>SWXXX</v>
      </c>
      <c r="D103" s="187" t="s">
        <v>4726</v>
      </c>
      <c r="E103" s="183" t="s">
        <v>1464</v>
      </c>
      <c r="F103" s="193"/>
      <c r="G103" s="193"/>
    </row>
    <row r="104" spans="1:7" ht="37.5" x14ac:dyDescent="0.25">
      <c r="A104" s="200">
        <f t="shared" si="5"/>
        <v>275</v>
      </c>
      <c r="B104" s="231" t="str">
        <f>Suite&amp;" Electrical Room "&amp;SWTwo</f>
        <v>G104 Electrical Room XXX</v>
      </c>
      <c r="C104" s="183" t="str">
        <f>"SW"&amp;SWTwo</f>
        <v>SWXXX</v>
      </c>
      <c r="D104" s="186" t="s">
        <v>1518</v>
      </c>
      <c r="E104" s="183" t="s">
        <v>1464</v>
      </c>
      <c r="F104" s="193"/>
      <c r="G104" s="193"/>
    </row>
    <row r="105" spans="1:7" ht="37.5" x14ac:dyDescent="0.25">
      <c r="A105" s="200">
        <f t="shared" si="5"/>
        <v>276</v>
      </c>
      <c r="B105" s="231" t="str">
        <f>Suite&amp;" Electrical Room "&amp;SWTwo</f>
        <v>G104 Electrical Room XXX</v>
      </c>
      <c r="C105" s="183" t="str">
        <f>"SW"&amp;SWTwo</f>
        <v>SWXXX</v>
      </c>
      <c r="D105" s="187" t="s">
        <v>4746</v>
      </c>
      <c r="E105" s="183" t="s">
        <v>1464</v>
      </c>
      <c r="F105" s="193"/>
      <c r="G105" s="193"/>
    </row>
    <row r="106" spans="1:7" ht="37.5" x14ac:dyDescent="0.25">
      <c r="A106" s="200">
        <f t="shared" si="5"/>
        <v>277</v>
      </c>
      <c r="B106" s="231" t="str">
        <f>Suite&amp;" Electrical Room "&amp;SWTwo</f>
        <v>G104 Electrical Room XXX</v>
      </c>
      <c r="C106" s="183" t="str">
        <f>"SW"&amp;SWTwo</f>
        <v>SWXXX</v>
      </c>
      <c r="D106" s="187" t="s">
        <v>4747</v>
      </c>
      <c r="E106" s="183" t="s">
        <v>1464</v>
      </c>
      <c r="F106" s="193"/>
      <c r="G106" s="193"/>
    </row>
    <row r="107" spans="1:7" ht="37.5" x14ac:dyDescent="0.25">
      <c r="A107" s="200">
        <f t="shared" si="5"/>
        <v>278</v>
      </c>
      <c r="B107" s="231" t="str">
        <f>Suite&amp;" Electrical Room "&amp;SWTwo</f>
        <v>G104 Electrical Room XXX</v>
      </c>
      <c r="C107" s="183" t="str">
        <f>"SW"&amp;SWTwo</f>
        <v>SWXXX</v>
      </c>
      <c r="D107" s="186" t="s">
        <v>1518</v>
      </c>
      <c r="E107" s="183" t="s">
        <v>1464</v>
      </c>
      <c r="F107" s="193"/>
      <c r="G107" s="193"/>
    </row>
    <row r="108" spans="1:7" ht="37.5" x14ac:dyDescent="0.25">
      <c r="A108" s="200">
        <f t="shared" si="5"/>
        <v>279</v>
      </c>
      <c r="B108" s="231" t="str">
        <f>Suite&amp;" Electrical Room "&amp;SWTwo</f>
        <v>G104 Electrical Room XXX</v>
      </c>
      <c r="C108" s="183" t="str">
        <f>"SW"&amp;SWTwo</f>
        <v>SWXXX</v>
      </c>
      <c r="D108" s="204" t="s">
        <v>4777</v>
      </c>
      <c r="E108" s="183" t="s">
        <v>1464</v>
      </c>
      <c r="F108" s="193"/>
      <c r="G108" s="193"/>
    </row>
    <row r="109" spans="1:7" ht="37.5" x14ac:dyDescent="0.25">
      <c r="A109" s="200">
        <f t="shared" si="5"/>
        <v>280</v>
      </c>
      <c r="B109" s="231" t="str">
        <f>Suite&amp;" Electrical Room "&amp;SWTwo</f>
        <v>G104 Electrical Room XXX</v>
      </c>
      <c r="C109" s="183" t="str">
        <f>"SW"&amp;SWTwo</f>
        <v>SWXXX</v>
      </c>
      <c r="D109" s="186" t="s">
        <v>1584</v>
      </c>
      <c r="E109" s="183" t="s">
        <v>1464</v>
      </c>
      <c r="F109" s="193"/>
      <c r="G109" s="193"/>
    </row>
    <row r="110" spans="1:7" x14ac:dyDescent="0.25">
      <c r="A110" s="200">
        <f t="shared" si="5"/>
        <v>281</v>
      </c>
      <c r="B110" s="714" t="s">
        <v>4778</v>
      </c>
      <c r="C110" s="714"/>
      <c r="D110" s="714"/>
      <c r="E110" s="714"/>
      <c r="F110" s="714"/>
      <c r="G110" s="714"/>
    </row>
    <row r="111" spans="1:7" ht="37.5" x14ac:dyDescent="0.25">
      <c r="A111" s="200">
        <f t="shared" si="5"/>
        <v>282</v>
      </c>
      <c r="B111" s="528" t="str">
        <f>Suite&amp;" Electrical Room "&amp;SWTwo</f>
        <v>G104 Electrical Room XXX</v>
      </c>
      <c r="C111" s="388" t="str">
        <f>"UPS "&amp;SWTwo</f>
        <v>UPS XXX</v>
      </c>
      <c r="D111" s="190" t="s">
        <v>1674</v>
      </c>
      <c r="E111" s="388" t="s">
        <v>1464</v>
      </c>
      <c r="F111" s="193"/>
      <c r="G111" s="193"/>
    </row>
    <row r="112" spans="1:7" ht="37.5" x14ac:dyDescent="0.25">
      <c r="A112" s="200">
        <f t="shared" si="5"/>
        <v>283</v>
      </c>
      <c r="B112" s="528" t="str">
        <f>Suite&amp;" Electrical Room "&amp;SWTwo</f>
        <v>G104 Electrical Room XXX</v>
      </c>
      <c r="C112" s="388" t="str">
        <f>"UPS "&amp;SWTwo</f>
        <v>UPS XXX</v>
      </c>
      <c r="D112" s="190" t="str" cm="1">
        <f t="array" ref="D112">"By my signature below I certify that UPS-" &amp; SWTwo &amp; "1 and UPS-" &amp; SWTwo &amp; "2 are ready to be returned to service."</f>
        <v>By my signature below I certify that UPS-XXX1 and UPS-XXX2 are ready to be returned to service.</v>
      </c>
      <c r="E112" s="388" t="s">
        <v>1529</v>
      </c>
      <c r="F112" s="193"/>
      <c r="G112" s="193"/>
    </row>
    <row r="113" spans="1:7" ht="37.5" x14ac:dyDescent="0.25">
      <c r="A113" s="200">
        <f t="shared" si="5"/>
        <v>284</v>
      </c>
      <c r="B113" s="528" t="str">
        <f>Suite&amp;" Electrical Room "&amp;SWTwo</f>
        <v>G104 Electrical Room XXX</v>
      </c>
      <c r="C113" s="388" t="str">
        <f>"UPS "&amp;SWTwo</f>
        <v>UPS XXX</v>
      </c>
      <c r="D113" s="191" t="s">
        <v>1675</v>
      </c>
      <c r="E113" s="388" t="s">
        <v>1529</v>
      </c>
      <c r="F113" s="193"/>
      <c r="G113" s="193"/>
    </row>
    <row r="114" spans="1:7" ht="37.5" x14ac:dyDescent="0.25">
      <c r="A114" s="200">
        <f t="shared" si="5"/>
        <v>285</v>
      </c>
      <c r="B114" s="231" t="str">
        <f>Suite&amp;" Electrical Room "&amp;SWTwo</f>
        <v>G104 Electrical Room XXX</v>
      </c>
      <c r="C114" s="183" t="str">
        <f>"UP"&amp;SWTwo</f>
        <v>UPXXX</v>
      </c>
      <c r="D114" s="187" t="s">
        <v>4727</v>
      </c>
      <c r="E114" s="183" t="s">
        <v>1464</v>
      </c>
      <c r="F114" s="193"/>
      <c r="G114" s="193"/>
    </row>
    <row r="115" spans="1:7" ht="37.5" x14ac:dyDescent="0.25">
      <c r="A115" s="200">
        <f t="shared" si="5"/>
        <v>286</v>
      </c>
      <c r="B115" s="231" t="str">
        <f>Suite&amp;" Electrical Room "&amp;SWTwo</f>
        <v>G104 Electrical Room XXX</v>
      </c>
      <c r="C115" s="183" t="str">
        <f>"UP"&amp;SWTwo</f>
        <v>UPXXX</v>
      </c>
      <c r="D115" s="186" t="s">
        <v>1518</v>
      </c>
      <c r="E115" s="183" t="s">
        <v>1464</v>
      </c>
      <c r="F115" s="193"/>
      <c r="G115" s="193"/>
    </row>
    <row r="116" spans="1:7" ht="37.5" x14ac:dyDescent="0.25">
      <c r="A116" s="200">
        <f t="shared" si="5"/>
        <v>287</v>
      </c>
      <c r="B116" s="231" t="str">
        <f>Suite&amp;" Electrical Room "&amp;SWTwo</f>
        <v>G104 Electrical Room XXX</v>
      </c>
      <c r="C116" s="183" t="str">
        <f>"UP"&amp;SWTwo</f>
        <v>UPXXX</v>
      </c>
      <c r="D116" s="187" t="s">
        <v>4748</v>
      </c>
      <c r="E116" s="183" t="s">
        <v>1464</v>
      </c>
      <c r="F116" s="193"/>
      <c r="G116" s="193"/>
    </row>
    <row r="117" spans="1:7" ht="37.5" x14ac:dyDescent="0.25">
      <c r="A117" s="200">
        <f t="shared" si="5"/>
        <v>288</v>
      </c>
      <c r="B117" s="231" t="str">
        <f>Suite&amp;" Electrical Room "&amp;SWTwo</f>
        <v>G104 Electrical Room XXX</v>
      </c>
      <c r="C117" s="183" t="str">
        <f>"UP"&amp;SWTwo</f>
        <v>UPXXX</v>
      </c>
      <c r="D117" s="186" t="s">
        <v>1518</v>
      </c>
      <c r="E117" s="183" t="s">
        <v>1464</v>
      </c>
      <c r="F117" s="193"/>
      <c r="G117" s="193"/>
    </row>
    <row r="118" spans="1:7" ht="56.25" x14ac:dyDescent="0.25">
      <c r="A118" s="200">
        <f t="shared" si="5"/>
        <v>289</v>
      </c>
      <c r="B118" s="231" t="str">
        <f>Suite&amp;" Electrical Room "&amp;SWTwo</f>
        <v>G104 Electrical Room XXX</v>
      </c>
      <c r="C118" s="183" t="str">
        <f>"UPS "&amp;SWTwo&amp;" Battery Cabinets"</f>
        <v>UPS XXX Battery Cabinets</v>
      </c>
      <c r="D118" s="187" t="s">
        <v>4728</v>
      </c>
      <c r="E118" s="183" t="s">
        <v>1464</v>
      </c>
      <c r="F118" s="193"/>
      <c r="G118" s="193"/>
    </row>
    <row r="119" spans="1:7" ht="56.25" x14ac:dyDescent="0.25">
      <c r="A119" s="200">
        <f t="shared" si="5"/>
        <v>290</v>
      </c>
      <c r="B119" s="231" t="str">
        <f>Suite&amp;" Electrical Room "&amp;SWTwo</f>
        <v>G104 Electrical Room XXX</v>
      </c>
      <c r="C119" s="183" t="str">
        <f>"UPS "&amp;SWTwo&amp;" Battery Cabinets"</f>
        <v>UPS XXX Battery Cabinets</v>
      </c>
      <c r="D119" s="186" t="s">
        <v>1518</v>
      </c>
      <c r="E119" s="183" t="s">
        <v>1464</v>
      </c>
      <c r="F119" s="193"/>
      <c r="G119" s="193"/>
    </row>
    <row r="120" spans="1:7" ht="56.25" x14ac:dyDescent="0.25">
      <c r="A120" s="200">
        <f t="shared" si="5"/>
        <v>291</v>
      </c>
      <c r="B120" s="231" t="str">
        <f>Suite&amp;" Electrical Room "&amp;SWTwo</f>
        <v>G104 Electrical Room XXX</v>
      </c>
      <c r="C120" s="183" t="str">
        <f>"UPS "&amp;SWTwo&amp;" Battery Cabinets"</f>
        <v>UPS XXX Battery Cabinets</v>
      </c>
      <c r="D120" s="187" t="s">
        <v>4729</v>
      </c>
      <c r="E120" s="183" t="s">
        <v>1464</v>
      </c>
      <c r="F120" s="193"/>
      <c r="G120" s="193"/>
    </row>
    <row r="121" spans="1:7" ht="56.25" x14ac:dyDescent="0.25">
      <c r="A121" s="200">
        <f t="shared" si="5"/>
        <v>292</v>
      </c>
      <c r="B121" s="231" t="str">
        <f>Suite&amp;" Electrical Room "&amp;SWTwo</f>
        <v>G104 Electrical Room XXX</v>
      </c>
      <c r="C121" s="183" t="str">
        <f>"UPS "&amp;SWTwo&amp;" Battery Cabinets"</f>
        <v>UPS XXX Battery Cabinets</v>
      </c>
      <c r="D121" s="186" t="s">
        <v>1518</v>
      </c>
      <c r="E121" s="183" t="s">
        <v>1464</v>
      </c>
      <c r="F121" s="193"/>
      <c r="G121" s="193"/>
    </row>
    <row r="122" spans="1:7" ht="56.25" x14ac:dyDescent="0.25">
      <c r="A122" s="200">
        <f t="shared" si="5"/>
        <v>293</v>
      </c>
      <c r="B122" s="231" t="str">
        <f>Suite&amp;" Electrical Room "&amp;SWTwo</f>
        <v>G104 Electrical Room XXX</v>
      </c>
      <c r="C122" s="183" t="str">
        <f>"UPS "&amp;SWTwo&amp;" Battery Cabinets"</f>
        <v>UPS XXX Battery Cabinets</v>
      </c>
      <c r="D122" s="187" t="s">
        <v>4730</v>
      </c>
      <c r="E122" s="183" t="s">
        <v>1464</v>
      </c>
      <c r="F122" s="193"/>
      <c r="G122" s="193"/>
    </row>
    <row r="123" spans="1:7" ht="56.25" x14ac:dyDescent="0.25">
      <c r="A123" s="200">
        <f t="shared" si="5"/>
        <v>294</v>
      </c>
      <c r="B123" s="231" t="str">
        <f>Suite&amp;" Electrical Room "&amp;SWTwo</f>
        <v>G104 Electrical Room XXX</v>
      </c>
      <c r="C123" s="183" t="str">
        <f>"UPS "&amp;SWTwo&amp;" Battery Cabinets"</f>
        <v>UPS XXX Battery Cabinets</v>
      </c>
      <c r="D123" s="186" t="s">
        <v>1518</v>
      </c>
      <c r="E123" s="183" t="s">
        <v>1464</v>
      </c>
      <c r="F123" s="193"/>
      <c r="G123" s="193"/>
    </row>
    <row r="124" spans="1:7" ht="56.25" x14ac:dyDescent="0.25">
      <c r="A124" s="200">
        <f t="shared" si="5"/>
        <v>295</v>
      </c>
      <c r="B124" s="231" t="str">
        <f>Suite&amp;" Electrical Room "&amp;SWTwo</f>
        <v>G104 Electrical Room XXX</v>
      </c>
      <c r="C124" s="183" t="str">
        <f>"UPS "&amp;SWTwo&amp;" Battery Cabinets"</f>
        <v>UPS XXX Battery Cabinets</v>
      </c>
      <c r="D124" s="187" t="s">
        <v>4749</v>
      </c>
      <c r="E124" s="183" t="s">
        <v>1464</v>
      </c>
      <c r="F124" s="193"/>
      <c r="G124" s="193"/>
    </row>
    <row r="125" spans="1:7" ht="56.25" x14ac:dyDescent="0.25">
      <c r="A125" s="200">
        <f t="shared" si="5"/>
        <v>296</v>
      </c>
      <c r="B125" s="231" t="str">
        <f>Suite&amp;" Electrical Room "&amp;SWTwo</f>
        <v>G104 Electrical Room XXX</v>
      </c>
      <c r="C125" s="183" t="str">
        <f>"UPS "&amp;SWTwo&amp;" Battery Cabinets"</f>
        <v>UPS XXX Battery Cabinets</v>
      </c>
      <c r="D125" s="186" t="s">
        <v>1518</v>
      </c>
      <c r="E125" s="183" t="s">
        <v>1464</v>
      </c>
      <c r="F125" s="193"/>
      <c r="G125" s="193"/>
    </row>
    <row r="126" spans="1:7" ht="56.25" x14ac:dyDescent="0.25">
      <c r="A126" s="200">
        <f t="shared" si="5"/>
        <v>297</v>
      </c>
      <c r="B126" s="231" t="str">
        <f>Suite&amp;" Electrical Room "&amp;SWTwo</f>
        <v>G104 Electrical Room XXX</v>
      </c>
      <c r="C126" s="183" t="str">
        <f>"UPS "&amp;SWTwo&amp;" Battery Cabinets"</f>
        <v>UPS XXX Battery Cabinets</v>
      </c>
      <c r="D126" s="187" t="s">
        <v>4750</v>
      </c>
      <c r="E126" s="183" t="s">
        <v>1464</v>
      </c>
      <c r="F126" s="193"/>
      <c r="G126" s="193"/>
    </row>
    <row r="127" spans="1:7" ht="56.25" x14ac:dyDescent="0.25">
      <c r="A127" s="200">
        <f t="shared" si="5"/>
        <v>298</v>
      </c>
      <c r="B127" s="231" t="str">
        <f>Suite&amp;" Electrical Room "&amp;SWTwo</f>
        <v>G104 Electrical Room XXX</v>
      </c>
      <c r="C127" s="183" t="str">
        <f>"UPS "&amp;SWTwo&amp;" Battery Cabinets"</f>
        <v>UPS XXX Battery Cabinets</v>
      </c>
      <c r="D127" s="186" t="s">
        <v>1518</v>
      </c>
      <c r="E127" s="183" t="s">
        <v>1464</v>
      </c>
      <c r="F127" s="193"/>
      <c r="G127" s="193"/>
    </row>
    <row r="128" spans="1:7" ht="56.25" x14ac:dyDescent="0.25">
      <c r="A128" s="200">
        <f t="shared" si="5"/>
        <v>299</v>
      </c>
      <c r="B128" s="231" t="str">
        <f>Suite&amp;" Electrical Room "&amp;SWTwo</f>
        <v>G104 Electrical Room XXX</v>
      </c>
      <c r="C128" s="183" t="str">
        <f>"UPS "&amp;SWTwo&amp;" Battery Cabinets"</f>
        <v>UPS XXX Battery Cabinets</v>
      </c>
      <c r="D128" s="187" t="s">
        <v>4751</v>
      </c>
      <c r="E128" s="183" t="s">
        <v>1464</v>
      </c>
      <c r="F128" s="193"/>
      <c r="G128" s="193"/>
    </row>
    <row r="129" spans="1:7" ht="56.25" x14ac:dyDescent="0.25">
      <c r="A129" s="200">
        <f t="shared" si="5"/>
        <v>300</v>
      </c>
      <c r="B129" s="231" t="str">
        <f>Suite&amp;" Electrical Room "&amp;SWTwo</f>
        <v>G104 Electrical Room XXX</v>
      </c>
      <c r="C129" s="183" t="str">
        <f>"UPS "&amp;SWTwo&amp;" Battery Cabinets"</f>
        <v>UPS XXX Battery Cabinets</v>
      </c>
      <c r="D129" s="186" t="s">
        <v>1518</v>
      </c>
      <c r="E129" s="183" t="s">
        <v>1464</v>
      </c>
      <c r="F129" s="193"/>
      <c r="G129" s="193"/>
    </row>
    <row r="130" spans="1:7" ht="37.5" x14ac:dyDescent="0.25">
      <c r="A130" s="200">
        <f t="shared" si="5"/>
        <v>301</v>
      </c>
      <c r="B130" s="231" t="str">
        <f>Suite&amp;" Electrical Room "&amp;SWTwo</f>
        <v>G104 Electrical Room XXX</v>
      </c>
      <c r="C130" s="183" t="str">
        <f>"SW"&amp;SWTwo</f>
        <v>SWXXX</v>
      </c>
      <c r="D130" s="187" t="s">
        <v>4731</v>
      </c>
      <c r="E130" s="183" t="s">
        <v>1464</v>
      </c>
      <c r="F130" s="193"/>
      <c r="G130" s="193"/>
    </row>
    <row r="131" spans="1:7" ht="37.5" x14ac:dyDescent="0.25">
      <c r="A131" s="200">
        <f t="shared" si="5"/>
        <v>302</v>
      </c>
      <c r="B131" s="231" t="str">
        <f>Suite&amp;" Electrical Room "&amp;SWTwo</f>
        <v>G104 Electrical Room XXX</v>
      </c>
      <c r="C131" s="183" t="str">
        <f>"SW"&amp;SWTwo</f>
        <v>SWXXX</v>
      </c>
      <c r="D131" s="186" t="s">
        <v>1518</v>
      </c>
      <c r="E131" s="183" t="s">
        <v>1464</v>
      </c>
      <c r="F131" s="193"/>
      <c r="G131" s="193"/>
    </row>
    <row r="132" spans="1:7" ht="37.5" x14ac:dyDescent="0.25">
      <c r="A132" s="200">
        <f t="shared" si="5"/>
        <v>303</v>
      </c>
      <c r="B132" s="231" t="str">
        <f>Suite&amp;" Electrical Room "&amp;SWTwo</f>
        <v>G104 Electrical Room XXX</v>
      </c>
      <c r="C132" s="183" t="str">
        <f>"SW"&amp;SWTwo</f>
        <v>SWXXX</v>
      </c>
      <c r="D132" s="187" t="s">
        <v>4752</v>
      </c>
      <c r="E132" s="183" t="s">
        <v>1464</v>
      </c>
      <c r="F132" s="193"/>
      <c r="G132" s="193"/>
    </row>
    <row r="133" spans="1:7" ht="37.5" x14ac:dyDescent="0.25">
      <c r="A133" s="200">
        <f t="shared" si="5"/>
        <v>304</v>
      </c>
      <c r="B133" s="231" t="str">
        <f>Suite&amp;" Electrical Room "&amp;SWTwo</f>
        <v>G104 Electrical Room XXX</v>
      </c>
      <c r="C133" s="183" t="str">
        <f>"SW"&amp;SWTwo</f>
        <v>SWXXX</v>
      </c>
      <c r="D133" s="186" t="s">
        <v>1518</v>
      </c>
      <c r="E133" s="183" t="s">
        <v>1464</v>
      </c>
      <c r="F133" s="193"/>
      <c r="G133" s="193"/>
    </row>
    <row r="134" spans="1:7" ht="37.5" x14ac:dyDescent="0.25">
      <c r="A134" s="200">
        <f t="shared" si="5"/>
        <v>305</v>
      </c>
      <c r="B134" s="231" t="str">
        <f>Suite&amp;" Electrical Room "&amp;SWTwo</f>
        <v>G104 Electrical Room XXX</v>
      </c>
      <c r="C134" s="183" t="str">
        <f>"SW"&amp;SWTwo</f>
        <v>SWXXX</v>
      </c>
      <c r="D134" s="187" t="s">
        <v>4732</v>
      </c>
      <c r="E134" s="183" t="s">
        <v>1464</v>
      </c>
      <c r="F134" s="193"/>
      <c r="G134" s="193"/>
    </row>
    <row r="135" spans="1:7" ht="37.5" x14ac:dyDescent="0.25">
      <c r="A135" s="200">
        <f t="shared" si="5"/>
        <v>306</v>
      </c>
      <c r="B135" s="231" t="str">
        <f>Suite&amp;" Electrical Room "&amp;SWTwo</f>
        <v>G104 Electrical Room XXX</v>
      </c>
      <c r="C135" s="183" t="str">
        <f>"SW"&amp;SWTwo</f>
        <v>SWXXX</v>
      </c>
      <c r="D135" s="187" t="s">
        <v>4753</v>
      </c>
      <c r="E135" s="183" t="s">
        <v>1464</v>
      </c>
      <c r="F135" s="193"/>
      <c r="G135" s="193"/>
    </row>
    <row r="136" spans="1:7" ht="56.25" x14ac:dyDescent="0.25">
      <c r="A136" s="200">
        <f t="shared" ref="A136:A199" si="6">A135+1</f>
        <v>307</v>
      </c>
      <c r="B136" s="231" t="str">
        <f>Suite&amp;" Electrical Room "&amp;SWTwo</f>
        <v>G104 Electrical Room XXX</v>
      </c>
      <c r="C136" s="183" t="str">
        <f>"UPS "&amp;SWTwo</f>
        <v>UPS XXX</v>
      </c>
      <c r="D136" s="187" t="s">
        <v>1688</v>
      </c>
      <c r="E136" s="183" t="s">
        <v>1464</v>
      </c>
      <c r="F136" s="193"/>
      <c r="G136" s="193"/>
    </row>
    <row r="137" spans="1:7" ht="37.5" x14ac:dyDescent="0.25">
      <c r="A137" s="200">
        <f t="shared" si="6"/>
        <v>308</v>
      </c>
      <c r="B137" s="231" t="str">
        <f>Suite&amp;" Electrical Room "&amp;SWTwo</f>
        <v>G104 Electrical Room XXX</v>
      </c>
      <c r="C137" s="183" t="str">
        <f>"UPS "&amp;SWTwo&amp;"1"</f>
        <v>UPS XXX1</v>
      </c>
      <c r="D137" s="186" t="s">
        <v>1689</v>
      </c>
      <c r="E137" s="183" t="s">
        <v>1464</v>
      </c>
      <c r="F137" s="193"/>
      <c r="G137" s="193"/>
    </row>
    <row r="138" spans="1:7" ht="39.75" x14ac:dyDescent="0.25">
      <c r="A138" s="200">
        <f t="shared" si="6"/>
        <v>309</v>
      </c>
      <c r="B138" s="231" t="str">
        <f>Suite&amp;" Electrical Room "&amp;SWTwo</f>
        <v>G104 Electrical Room XXX</v>
      </c>
      <c r="C138" s="183" t="str">
        <f>"UPS "&amp;SWTwo&amp;"1"</f>
        <v>UPS XXX1</v>
      </c>
      <c r="D138" s="187" t="s">
        <v>1690</v>
      </c>
      <c r="E138" s="183" t="s">
        <v>1464</v>
      </c>
      <c r="F138" s="193"/>
      <c r="G138" s="193"/>
    </row>
    <row r="139" spans="1:7" ht="39.75" x14ac:dyDescent="0.25">
      <c r="A139" s="200">
        <f t="shared" si="6"/>
        <v>310</v>
      </c>
      <c r="B139" s="231" t="str">
        <f>Suite&amp;" Electrical Room "&amp;SWTwo</f>
        <v>G104 Electrical Room XXX</v>
      </c>
      <c r="C139" s="183" t="str">
        <f>"UPS "&amp;SWTwo&amp;"2"</f>
        <v>UPS XXX2</v>
      </c>
      <c r="D139" s="187" t="s">
        <v>1690</v>
      </c>
      <c r="E139" s="183" t="s">
        <v>1464</v>
      </c>
      <c r="F139" s="193"/>
      <c r="G139" s="193"/>
    </row>
    <row r="140" spans="1:7" ht="18" customHeight="1" x14ac:dyDescent="0.25">
      <c r="A140" s="200">
        <f t="shared" si="6"/>
        <v>311</v>
      </c>
      <c r="B140" s="231" t="str">
        <f>Suite&amp;" Electrical Room "&amp;SWTwo</f>
        <v>G104 Electrical Room XXX</v>
      </c>
      <c r="C140" s="183" t="str">
        <f>"UPS "&amp;SWTwo</f>
        <v>UPS XXX</v>
      </c>
      <c r="D140" s="186" t="s">
        <v>4754</v>
      </c>
      <c r="E140" s="183" t="s">
        <v>1464</v>
      </c>
      <c r="F140" s="193"/>
      <c r="G140" s="193"/>
    </row>
    <row r="141" spans="1:7" ht="37.5" x14ac:dyDescent="0.25">
      <c r="A141" s="200">
        <f t="shared" si="6"/>
        <v>312</v>
      </c>
      <c r="B141" s="231" t="str">
        <f>Suite&amp;" Electrical Room "&amp;SWTwo</f>
        <v>G104 Electrical Room XXX</v>
      </c>
      <c r="C141" s="183" t="str">
        <f>"UPS "&amp;SWTwo&amp;"1"</f>
        <v>UPS XXX1</v>
      </c>
      <c r="D141" s="186" t="s">
        <v>1692</v>
      </c>
      <c r="E141" s="183" t="s">
        <v>1464</v>
      </c>
      <c r="F141" s="193"/>
      <c r="G141" s="193"/>
    </row>
    <row r="142" spans="1:7" ht="37.5" x14ac:dyDescent="0.25">
      <c r="A142" s="200">
        <f t="shared" si="6"/>
        <v>313</v>
      </c>
      <c r="B142" s="231" t="str">
        <f>Suite&amp;" Electrical Room "&amp;SWTwo</f>
        <v>G104 Electrical Room XXX</v>
      </c>
      <c r="C142" s="183" t="str">
        <f>"UPS "&amp;SWTwo&amp;"2"</f>
        <v>UPS XXX2</v>
      </c>
      <c r="D142" s="186" t="s">
        <v>1692</v>
      </c>
      <c r="E142" s="183" t="s">
        <v>1464</v>
      </c>
      <c r="F142" s="193"/>
      <c r="G142" s="193"/>
    </row>
    <row r="143" spans="1:7" ht="56.25" x14ac:dyDescent="0.25">
      <c r="A143" s="200">
        <f t="shared" si="6"/>
        <v>314</v>
      </c>
      <c r="B143" s="231" t="str">
        <f>Suite&amp;" Electrical Room "&amp;SWTwo</f>
        <v>G104 Electrical Room XXX</v>
      </c>
      <c r="C143" s="183" t="str">
        <f>"UPS "&amp;SWTwo&amp;" Battery Cabinets"</f>
        <v>UPS XXX Battery Cabinets</v>
      </c>
      <c r="D143" s="187" t="s">
        <v>4733</v>
      </c>
      <c r="E143" s="183" t="s">
        <v>1464</v>
      </c>
      <c r="F143" s="193"/>
      <c r="G143" s="193"/>
    </row>
    <row r="144" spans="1:7" ht="56.25" x14ac:dyDescent="0.25">
      <c r="A144" s="200">
        <f t="shared" si="6"/>
        <v>315</v>
      </c>
      <c r="B144" s="231" t="str">
        <f>Suite&amp;" Electrical Room "&amp;SWTwo</f>
        <v>G104 Electrical Room XXX</v>
      </c>
      <c r="C144" s="183" t="str">
        <f>"UPS "&amp;SWTwo&amp;" Battery Cabinets"</f>
        <v>UPS XXX Battery Cabinets</v>
      </c>
      <c r="D144" s="187" t="s">
        <v>4734</v>
      </c>
      <c r="E144" s="183" t="s">
        <v>1464</v>
      </c>
      <c r="F144" s="193"/>
      <c r="G144" s="193"/>
    </row>
    <row r="145" spans="1:7" ht="56.25" x14ac:dyDescent="0.25">
      <c r="A145" s="200">
        <f t="shared" si="6"/>
        <v>316</v>
      </c>
      <c r="B145" s="231" t="str">
        <f>Suite&amp;" Electrical Room "&amp;SWTwo</f>
        <v>G104 Electrical Room XXX</v>
      </c>
      <c r="C145" s="183" t="str">
        <f>"UPS "&amp;SWTwo&amp;" Battery Cabinets"</f>
        <v>UPS XXX Battery Cabinets</v>
      </c>
      <c r="D145" s="187" t="s">
        <v>4735</v>
      </c>
      <c r="E145" s="183" t="s">
        <v>1464</v>
      </c>
      <c r="F145" s="193"/>
      <c r="G145" s="193"/>
    </row>
    <row r="146" spans="1:7" ht="37.5" x14ac:dyDescent="0.25">
      <c r="A146" s="200">
        <f t="shared" si="6"/>
        <v>317</v>
      </c>
      <c r="B146" s="231" t="str">
        <f>Suite&amp;" Electrical Room "&amp;SWTwo</f>
        <v>G104 Electrical Room XXX</v>
      </c>
      <c r="C146" s="183" t="str">
        <f>"UPS "&amp;SWTwo&amp;"1"</f>
        <v>UPS XXX1</v>
      </c>
      <c r="D146" s="186" t="s">
        <v>1696</v>
      </c>
      <c r="E146" s="183" t="s">
        <v>1464</v>
      </c>
      <c r="F146" s="193"/>
      <c r="G146" s="193"/>
    </row>
    <row r="147" spans="1:7" ht="56.25" x14ac:dyDescent="0.25">
      <c r="A147" s="200">
        <f t="shared" si="6"/>
        <v>318</v>
      </c>
      <c r="B147" s="231" t="str">
        <f>Suite&amp;" Electrical Room "&amp;SWTwo</f>
        <v>G104 Electrical Room XXX</v>
      </c>
      <c r="C147" s="183" t="str">
        <f>"UPS "&amp;SWTwo&amp;" Battery Cabinets"</f>
        <v>UPS XXX Battery Cabinets</v>
      </c>
      <c r="D147" s="187" t="s">
        <v>4755</v>
      </c>
      <c r="E147" s="183" t="s">
        <v>1464</v>
      </c>
      <c r="F147" s="193"/>
      <c r="G147" s="193"/>
    </row>
    <row r="148" spans="1:7" ht="56.25" x14ac:dyDescent="0.25">
      <c r="A148" s="200">
        <f t="shared" si="6"/>
        <v>319</v>
      </c>
      <c r="B148" s="231" t="str">
        <f>Suite&amp;" Electrical Room "&amp;SWTwo</f>
        <v>G104 Electrical Room XXX</v>
      </c>
      <c r="C148" s="183" t="str">
        <f>"UPS "&amp;SWTwo&amp;" Battery Cabinets"</f>
        <v>UPS XXX Battery Cabinets</v>
      </c>
      <c r="D148" s="187" t="s">
        <v>4756</v>
      </c>
      <c r="E148" s="183" t="s">
        <v>1464</v>
      </c>
      <c r="F148" s="193"/>
      <c r="G148" s="193"/>
    </row>
    <row r="149" spans="1:7" ht="56.25" x14ac:dyDescent="0.25">
      <c r="A149" s="200">
        <f t="shared" si="6"/>
        <v>320</v>
      </c>
      <c r="B149" s="231" t="str">
        <f>Suite&amp;" Electrical Room "&amp;SWTwo</f>
        <v>G104 Electrical Room XXX</v>
      </c>
      <c r="C149" s="183" t="str">
        <f>"UPS "&amp;SWTwo&amp;" Battery Cabinets"</f>
        <v>UPS XXX Battery Cabinets</v>
      </c>
      <c r="D149" s="187" t="s">
        <v>4757</v>
      </c>
      <c r="E149" s="183" t="s">
        <v>1464</v>
      </c>
      <c r="F149" s="193"/>
      <c r="G149" s="193"/>
    </row>
    <row r="150" spans="1:7" ht="37.5" x14ac:dyDescent="0.25">
      <c r="A150" s="200">
        <f t="shared" si="6"/>
        <v>321</v>
      </c>
      <c r="B150" s="231" t="str">
        <f>Suite&amp;" Electrical Room "&amp;SWTwo</f>
        <v>G104 Electrical Room XXX</v>
      </c>
      <c r="C150" s="183" t="str">
        <f>"UPS "&amp;SWTwo&amp;"2"</f>
        <v>UPS XXX2</v>
      </c>
      <c r="D150" s="186" t="s">
        <v>1696</v>
      </c>
      <c r="E150" s="183" t="s">
        <v>1464</v>
      </c>
      <c r="F150" s="193"/>
      <c r="G150" s="193"/>
    </row>
    <row r="151" spans="1:7" ht="37.5" x14ac:dyDescent="0.25">
      <c r="A151" s="200">
        <f t="shared" si="6"/>
        <v>322</v>
      </c>
      <c r="B151" s="231" t="str">
        <f>Suite&amp;" Electrical Room "&amp;SWTwo</f>
        <v>G104 Electrical Room XXX</v>
      </c>
      <c r="C151" s="183" t="str">
        <f>"UP"&amp;SWTwo</f>
        <v>UPXXX</v>
      </c>
      <c r="D151" s="187" t="s">
        <v>4736</v>
      </c>
      <c r="E151" s="183" t="s">
        <v>1464</v>
      </c>
      <c r="F151" s="193"/>
      <c r="G151" s="193"/>
    </row>
    <row r="152" spans="1:7" ht="37.5" x14ac:dyDescent="0.25">
      <c r="A152" s="200">
        <f t="shared" si="6"/>
        <v>323</v>
      </c>
      <c r="B152" s="231" t="str">
        <f>Suite&amp;" Electrical Room "&amp;SWTwo</f>
        <v>G104 Electrical Room XXX</v>
      </c>
      <c r="C152" s="183" t="str">
        <f>"UPS "&amp;SWTwo&amp;"1"</f>
        <v>UPS XXX1</v>
      </c>
      <c r="D152" s="186" t="s">
        <v>1701</v>
      </c>
      <c r="E152" s="183" t="s">
        <v>1464</v>
      </c>
      <c r="F152" s="193"/>
      <c r="G152" s="193"/>
    </row>
    <row r="153" spans="1:7" ht="37.5" x14ac:dyDescent="0.25">
      <c r="A153" s="200">
        <f t="shared" si="6"/>
        <v>324</v>
      </c>
      <c r="B153" s="231" t="str">
        <f>Suite&amp;" Electrical Room "&amp;SWTwo</f>
        <v>G104 Electrical Room XXX</v>
      </c>
      <c r="C153" s="183" t="str">
        <f>"UP"&amp;SWTwo</f>
        <v>UPXXX</v>
      </c>
      <c r="D153" s="187" t="s">
        <v>4758</v>
      </c>
      <c r="E153" s="183" t="s">
        <v>1464</v>
      </c>
      <c r="F153" s="193"/>
      <c r="G153" s="193"/>
    </row>
    <row r="154" spans="1:7" ht="37.5" x14ac:dyDescent="0.25">
      <c r="A154" s="200">
        <f t="shared" si="6"/>
        <v>325</v>
      </c>
      <c r="B154" s="231" t="str">
        <f>Suite&amp;" Electrical Room "&amp;SWTwo</f>
        <v>G104 Electrical Room XXX</v>
      </c>
      <c r="C154" s="183" t="str">
        <f>"UPS "&amp;SWTwo&amp;"2"</f>
        <v>UPS XXX2</v>
      </c>
      <c r="D154" s="186" t="s">
        <v>1701</v>
      </c>
      <c r="E154" s="183" t="s">
        <v>1464</v>
      </c>
      <c r="F154" s="193"/>
      <c r="G154" s="193"/>
    </row>
    <row r="155" spans="1:7" ht="37.5" x14ac:dyDescent="0.25">
      <c r="A155" s="200">
        <f t="shared" si="6"/>
        <v>326</v>
      </c>
      <c r="B155" s="231" t="str">
        <f>Suite&amp;" Electrical Room "&amp;SWTwo</f>
        <v>G104 Electrical Room XXX</v>
      </c>
      <c r="C155" s="183" t="str">
        <f>"UPS "&amp;SWTwo</f>
        <v>UPS XXX</v>
      </c>
      <c r="D155" s="204" t="s">
        <v>1727</v>
      </c>
      <c r="E155" s="183" t="s">
        <v>1464</v>
      </c>
      <c r="F155" s="193"/>
      <c r="G155" s="193"/>
    </row>
    <row r="156" spans="1:7" x14ac:dyDescent="0.25">
      <c r="A156" s="200">
        <f t="shared" si="6"/>
        <v>327</v>
      </c>
      <c r="B156" s="714" t="s">
        <v>1602</v>
      </c>
      <c r="C156" s="714"/>
      <c r="D156" s="714"/>
      <c r="E156" s="714"/>
      <c r="F156" s="714"/>
      <c r="G156" s="714"/>
    </row>
    <row r="157" spans="1:7" ht="37.5" x14ac:dyDescent="0.25">
      <c r="A157" s="200">
        <f t="shared" si="6"/>
        <v>328</v>
      </c>
      <c r="B157" s="231" t="str">
        <f>Suite&amp;" Electrical Room "&amp;SWTwo</f>
        <v>G104 Electrical Room XXX</v>
      </c>
      <c r="C157" s="183" t="str">
        <f>"UP"&amp;SWTwo</f>
        <v>UPXXX</v>
      </c>
      <c r="D157" s="186" t="s">
        <v>4716</v>
      </c>
      <c r="E157" s="183" t="s">
        <v>1464</v>
      </c>
      <c r="F157" s="193"/>
      <c r="G157" s="193"/>
    </row>
    <row r="158" spans="1:7" ht="37.5" x14ac:dyDescent="0.25">
      <c r="A158" s="200">
        <f t="shared" si="6"/>
        <v>329</v>
      </c>
      <c r="B158" s="231" t="str">
        <f>Suite&amp;" Electrical Room "&amp;SWTwo</f>
        <v>G104 Electrical Room XXX</v>
      </c>
      <c r="C158" s="183" t="str">
        <f>"UP"&amp;SWTwo</f>
        <v>UPXXX</v>
      </c>
      <c r="D158" s="186" t="s">
        <v>1728</v>
      </c>
      <c r="E158" s="183" t="s">
        <v>1464</v>
      </c>
      <c r="F158" s="193"/>
      <c r="G158" s="193"/>
    </row>
    <row r="159" spans="1:7" ht="37.5" x14ac:dyDescent="0.25">
      <c r="A159" s="200">
        <f t="shared" si="6"/>
        <v>330</v>
      </c>
      <c r="B159" s="231" t="str">
        <f>Suite&amp;" Electrical Room "&amp;SWTwo</f>
        <v>G104 Electrical Room XXX</v>
      </c>
      <c r="C159" s="183" t="str">
        <f>"UP"&amp;SWTwo</f>
        <v>UPXXX</v>
      </c>
      <c r="D159" s="187" t="s">
        <v>1628</v>
      </c>
      <c r="E159" s="183" t="s">
        <v>1464</v>
      </c>
      <c r="F159" s="193"/>
      <c r="G159" s="193"/>
    </row>
    <row r="160" spans="1:7" ht="37.5" x14ac:dyDescent="0.25">
      <c r="A160" s="200">
        <f t="shared" si="6"/>
        <v>331</v>
      </c>
      <c r="B160" s="231" t="str">
        <f>Suite&amp;" Electrical Room "&amp;SWTwo</f>
        <v>G104 Electrical Room XXX</v>
      </c>
      <c r="C160" s="183" t="str">
        <f>"UP"&amp;SWTwo</f>
        <v>UPXXX</v>
      </c>
      <c r="D160" s="187" t="s">
        <v>1629</v>
      </c>
      <c r="E160" s="183" t="s">
        <v>1464</v>
      </c>
      <c r="F160" s="193"/>
      <c r="G160" s="193"/>
    </row>
    <row r="161" spans="1:7" ht="37.5" x14ac:dyDescent="0.25">
      <c r="A161" s="200">
        <f t="shared" si="6"/>
        <v>332</v>
      </c>
      <c r="B161" s="231" t="str">
        <f>Suite&amp;" Electrical Room "&amp;SWTwo</f>
        <v>G104 Electrical Room XXX</v>
      </c>
      <c r="C161" s="183" t="str">
        <f>"UP"&amp;SWTwo</f>
        <v>UPXXX</v>
      </c>
      <c r="D161" s="235" t="s">
        <v>1729</v>
      </c>
      <c r="E161" s="183" t="s">
        <v>1464</v>
      </c>
      <c r="F161" s="193"/>
      <c r="G161" s="193"/>
    </row>
    <row r="162" spans="1:7" ht="18" customHeight="1" x14ac:dyDescent="0.25">
      <c r="A162" s="200">
        <f t="shared" si="6"/>
        <v>333</v>
      </c>
      <c r="B162" s="231" t="str">
        <f>Suite&amp;" Electrical Room "&amp;SWTwo</f>
        <v>G104 Electrical Room XXX</v>
      </c>
      <c r="C162" s="183" t="str">
        <f>"UP"&amp;SWTwo</f>
        <v>UPXXX</v>
      </c>
      <c r="D162" s="187" t="s">
        <v>1730</v>
      </c>
      <c r="E162" s="183" t="s">
        <v>1464</v>
      </c>
      <c r="F162" s="193"/>
      <c r="G162" s="193"/>
    </row>
    <row r="163" spans="1:7" ht="37.5" x14ac:dyDescent="0.25">
      <c r="A163" s="200">
        <f t="shared" si="6"/>
        <v>334</v>
      </c>
      <c r="B163" s="231" t="str">
        <f>Suite&amp;" Electrical Room "&amp;SWTwo</f>
        <v>G104 Electrical Room XXX</v>
      </c>
      <c r="C163" s="183" t="str">
        <f>"UP"&amp;SWTwo</f>
        <v>UPXXX</v>
      </c>
      <c r="D163" s="187" t="s">
        <v>1731</v>
      </c>
      <c r="E163" s="183" t="s">
        <v>1464</v>
      </c>
      <c r="F163" s="193"/>
      <c r="G163" s="193"/>
    </row>
    <row r="164" spans="1:7" ht="37.5" x14ac:dyDescent="0.25">
      <c r="A164" s="200">
        <f t="shared" si="6"/>
        <v>335</v>
      </c>
      <c r="B164" s="231" t="str">
        <f>Suite&amp;" Electrical Room "&amp;SWTwo</f>
        <v>G104 Electrical Room XXX</v>
      </c>
      <c r="C164" s="183" t="str">
        <f>"UP"&amp;SWTwo</f>
        <v>UPXXX</v>
      </c>
      <c r="D164" s="187" t="s">
        <v>1732</v>
      </c>
      <c r="E164" s="183" t="s">
        <v>1464</v>
      </c>
      <c r="F164" s="193"/>
      <c r="G164" s="193"/>
    </row>
    <row r="165" spans="1:7" ht="37.5" x14ac:dyDescent="0.25">
      <c r="A165" s="200">
        <f t="shared" si="6"/>
        <v>336</v>
      </c>
      <c r="B165" s="231" t="str">
        <f>Suite&amp;" Electrical Room "&amp;SWTwo</f>
        <v>G104 Electrical Room XXX</v>
      </c>
      <c r="C165" s="183" t="str">
        <f>"UP"&amp;SWTwo</f>
        <v>UPXXX</v>
      </c>
      <c r="D165" s="187" t="s">
        <v>1722</v>
      </c>
      <c r="E165" s="183" t="s">
        <v>1464</v>
      </c>
      <c r="F165" s="193"/>
      <c r="G165" s="193"/>
    </row>
    <row r="166" spans="1:7" ht="37.5" x14ac:dyDescent="0.25">
      <c r="A166" s="200">
        <f t="shared" si="6"/>
        <v>337</v>
      </c>
      <c r="B166" s="231" t="str">
        <f>Suite&amp;" Electrical Room "&amp;SWTwo</f>
        <v>G104 Electrical Room XXX</v>
      </c>
      <c r="C166" s="183" t="str">
        <f>"UP"&amp;SWTwo</f>
        <v>UPXXX</v>
      </c>
      <c r="D166" s="187" t="s">
        <v>1723</v>
      </c>
      <c r="E166" s="183" t="s">
        <v>1464</v>
      </c>
      <c r="F166" s="193"/>
      <c r="G166" s="193"/>
    </row>
    <row r="167" spans="1:7" ht="37.5" x14ac:dyDescent="0.25">
      <c r="A167" s="200">
        <f t="shared" si="6"/>
        <v>338</v>
      </c>
      <c r="B167" s="231" t="str">
        <f>Suite&amp;" Electrical Room "&amp;SWTwo</f>
        <v>G104 Electrical Room XXX</v>
      </c>
      <c r="C167" s="183" t="str">
        <f>"UP"&amp;SWTwo</f>
        <v>UPXXX</v>
      </c>
      <c r="D167" s="235" t="s">
        <v>1720</v>
      </c>
      <c r="E167" s="183" t="s">
        <v>1464</v>
      </c>
      <c r="F167" s="193"/>
      <c r="G167" s="193"/>
    </row>
    <row r="168" spans="1:7" ht="37.5" x14ac:dyDescent="0.25">
      <c r="A168" s="200">
        <f t="shared" si="6"/>
        <v>339</v>
      </c>
      <c r="B168" s="231" t="str">
        <f>Suite&amp;" Electrical Room "&amp;SWTwo</f>
        <v>G104 Electrical Room XXX</v>
      </c>
      <c r="C168" s="183" t="str">
        <f>"UP"&amp;SWTwo</f>
        <v>UPXXX</v>
      </c>
      <c r="D168" s="186" t="str">
        <f>"VERIFY the readings in step " &amp; A157 &amp; " and " &amp; A167 &amp; " are within 3% of each other. (new kW divided by original kW must be ≤1.03 and ≥0.97)."</f>
        <v>VERIFY the readings in step 328 and 338 are within 3% of each other. (new kW divided by original kW must be ≤1.03 and ≥0.97).</v>
      </c>
      <c r="E168" s="183" t="s">
        <v>1464</v>
      </c>
      <c r="F168" s="193"/>
      <c r="G168" s="193"/>
    </row>
    <row r="169" spans="1:7" ht="37.5" x14ac:dyDescent="0.25">
      <c r="A169" s="200">
        <f t="shared" si="6"/>
        <v>340</v>
      </c>
      <c r="B169" s="231" t="str">
        <f>Suite&amp;" Electrical Room "&amp;SWTwo</f>
        <v>G104 Electrical Room XXX</v>
      </c>
      <c r="C169" s="183" t="str">
        <f>"UP"&amp;SWTwo</f>
        <v>UPXXX</v>
      </c>
      <c r="D169" s="187" t="s">
        <v>1733</v>
      </c>
      <c r="E169" s="183" t="s">
        <v>1464</v>
      </c>
      <c r="F169" s="193"/>
      <c r="G169" s="193"/>
    </row>
    <row r="170" spans="1:7" ht="37.5" x14ac:dyDescent="0.25">
      <c r="A170" s="200">
        <f t="shared" si="6"/>
        <v>341</v>
      </c>
      <c r="B170" s="231" t="str">
        <f>Suite&amp;" Electrical Room "&amp;SWTwo</f>
        <v>G104 Electrical Room XXX</v>
      </c>
      <c r="C170" s="183" t="str">
        <f>"UP"&amp;SWTwo</f>
        <v>UPXXX</v>
      </c>
      <c r="D170" s="187" t="s">
        <v>1734</v>
      </c>
      <c r="E170" s="183" t="s">
        <v>1464</v>
      </c>
      <c r="F170" s="193"/>
      <c r="G170" s="193"/>
    </row>
    <row r="171" spans="1:7" ht="37.5" x14ac:dyDescent="0.25">
      <c r="A171" s="200">
        <f t="shared" si="6"/>
        <v>342</v>
      </c>
      <c r="B171" s="231" t="str">
        <f>Suite&amp;" Electrical Room "&amp;SWTwo</f>
        <v>G104 Electrical Room XXX</v>
      </c>
      <c r="C171" s="183" t="str">
        <f>"UP"&amp;SWTwo</f>
        <v>UPXXX</v>
      </c>
      <c r="D171" s="204" t="s">
        <v>1501</v>
      </c>
      <c r="E171" s="183" t="s">
        <v>1464</v>
      </c>
      <c r="F171" s="193"/>
      <c r="G171" s="193"/>
    </row>
    <row r="172" spans="1:7" ht="37.5" x14ac:dyDescent="0.25">
      <c r="A172" s="200">
        <f t="shared" si="6"/>
        <v>343</v>
      </c>
      <c r="B172" s="231" t="str">
        <f>Suite&amp;" Electrical Room "&amp;SWTwo</f>
        <v>G104 Electrical Room XXX</v>
      </c>
      <c r="C172" s="183" t="str">
        <f>"UP"&amp;SWTwo</f>
        <v>UPXXX</v>
      </c>
      <c r="D172" s="187" t="s">
        <v>1735</v>
      </c>
      <c r="E172" s="183" t="s">
        <v>1464</v>
      </c>
      <c r="F172" s="193"/>
      <c r="G172" s="193"/>
    </row>
    <row r="173" spans="1:7" ht="37.5" x14ac:dyDescent="0.25">
      <c r="A173" s="200">
        <f t="shared" si="6"/>
        <v>344</v>
      </c>
      <c r="B173" s="231" t="str">
        <f>Suite&amp;" Electrical Room "&amp;SWTwo</f>
        <v>G104 Electrical Room XXX</v>
      </c>
      <c r="C173" s="183" t="str">
        <f>"UP"&amp;SWTwo</f>
        <v>UPXXX</v>
      </c>
      <c r="D173" s="187" t="s">
        <v>1736</v>
      </c>
      <c r="E173" s="183" t="s">
        <v>1464</v>
      </c>
      <c r="F173" s="193"/>
      <c r="G173" s="193"/>
    </row>
    <row r="174" spans="1:7" ht="37.5" x14ac:dyDescent="0.25">
      <c r="A174" s="200">
        <f t="shared" si="6"/>
        <v>345</v>
      </c>
      <c r="B174" s="231" t="str">
        <f>Suite&amp;" Electrical Room "&amp;SWTwo</f>
        <v>G104 Electrical Room XXX</v>
      </c>
      <c r="C174" s="183" t="str">
        <f>"UP"&amp;SWTwo</f>
        <v>UPXXX</v>
      </c>
      <c r="D174" s="235" t="s">
        <v>1643</v>
      </c>
      <c r="E174" s="183" t="s">
        <v>1464</v>
      </c>
      <c r="F174" s="193"/>
      <c r="G174" s="193"/>
    </row>
    <row r="175" spans="1:7" ht="37.5" x14ac:dyDescent="0.25">
      <c r="A175" s="200">
        <f t="shared" si="6"/>
        <v>346</v>
      </c>
      <c r="B175" s="231" t="str">
        <f>Suite&amp;" Electrical Room "&amp;SWTwo</f>
        <v>G104 Electrical Room XXX</v>
      </c>
      <c r="C175" s="183" t="str">
        <f>"UP"&amp;SWTwo</f>
        <v>UPXXX</v>
      </c>
      <c r="D175" s="187" t="s">
        <v>1644</v>
      </c>
      <c r="E175" s="183" t="s">
        <v>1464</v>
      </c>
      <c r="F175" s="193"/>
      <c r="G175" s="193"/>
    </row>
    <row r="176" spans="1:7" ht="37.5" x14ac:dyDescent="0.25">
      <c r="A176" s="200">
        <f t="shared" si="6"/>
        <v>347</v>
      </c>
      <c r="B176" s="231" t="str">
        <f>Suite&amp;" Electrical Room "&amp;SWTwo</f>
        <v>G104 Electrical Room XXX</v>
      </c>
      <c r="C176" s="183" t="str">
        <f>"UP"&amp;SWTwo</f>
        <v>UPXXX</v>
      </c>
      <c r="D176" s="187" t="s">
        <v>1645</v>
      </c>
      <c r="E176" s="183" t="s">
        <v>1464</v>
      </c>
      <c r="F176" s="193"/>
      <c r="G176" s="193"/>
    </row>
    <row r="177" spans="1:7" ht="37.5" x14ac:dyDescent="0.25">
      <c r="A177" s="200">
        <f t="shared" si="6"/>
        <v>348</v>
      </c>
      <c r="B177" s="231" t="str">
        <f>Suite&amp;" Electrical Room "&amp;SWTwo</f>
        <v>G104 Electrical Room XXX</v>
      </c>
      <c r="C177" s="183" t="str">
        <f>"UP"&amp;SWTwo</f>
        <v>UPXXX</v>
      </c>
      <c r="D177" s="204" t="s">
        <v>1646</v>
      </c>
      <c r="E177" s="183" t="s">
        <v>1464</v>
      </c>
      <c r="F177" s="193"/>
      <c r="G177" s="193"/>
    </row>
    <row r="178" spans="1:7" x14ac:dyDescent="0.25">
      <c r="A178" s="200">
        <f t="shared" si="6"/>
        <v>349</v>
      </c>
      <c r="B178" s="714" t="s">
        <v>4779</v>
      </c>
      <c r="C178" s="714"/>
      <c r="D178" s="714"/>
      <c r="E178" s="714"/>
      <c r="F178" s="714"/>
      <c r="G178" s="714"/>
    </row>
    <row r="179" spans="1:7" ht="37.5" x14ac:dyDescent="0.25">
      <c r="A179" s="200">
        <f t="shared" si="6"/>
        <v>350</v>
      </c>
      <c r="B179" s="231" t="str">
        <f>Suite&amp;" Electrical Room "&amp;SWTwo</f>
        <v>G104 Electrical Room XXX</v>
      </c>
      <c r="C179" s="183" t="str">
        <f>"UPS "&amp;SWTwo&amp;"1"</f>
        <v>UPS XXX1</v>
      </c>
      <c r="D179" s="187" t="s">
        <v>1714</v>
      </c>
      <c r="E179" s="183" t="s">
        <v>1464</v>
      </c>
      <c r="F179" s="193"/>
      <c r="G179" s="193"/>
    </row>
    <row r="180" spans="1:7" ht="37.5" x14ac:dyDescent="0.25">
      <c r="A180" s="200">
        <f t="shared" si="6"/>
        <v>351</v>
      </c>
      <c r="B180" s="231" t="str">
        <f>Suite&amp;" Electrical Room "&amp;SWTwo</f>
        <v>G104 Electrical Room XXX</v>
      </c>
      <c r="C180" s="183" t="str">
        <f>"UPS "&amp;SWTwo&amp;"1"</f>
        <v>UPS XXX1</v>
      </c>
      <c r="D180" s="186" t="s">
        <v>1715</v>
      </c>
      <c r="E180" s="183" t="s">
        <v>1464</v>
      </c>
      <c r="F180" s="193"/>
      <c r="G180" s="193"/>
    </row>
    <row r="181" spans="1:7" ht="37.5" x14ac:dyDescent="0.25">
      <c r="A181" s="200">
        <f t="shared" si="6"/>
        <v>352</v>
      </c>
      <c r="B181" s="231" t="str">
        <f>Suite&amp;" Electrical Room "&amp;SWTwo</f>
        <v>G104 Electrical Room XXX</v>
      </c>
      <c r="C181" s="183" t="str">
        <f>"UPS "&amp;SWTwo&amp;"1"</f>
        <v>UPS XXX1</v>
      </c>
      <c r="D181" s="187" t="s">
        <v>1716</v>
      </c>
      <c r="E181" s="183" t="s">
        <v>1464</v>
      </c>
      <c r="F181" s="193"/>
      <c r="G181" s="193"/>
    </row>
    <row r="182" spans="1:7" ht="37.5" x14ac:dyDescent="0.25">
      <c r="A182" s="200">
        <f t="shared" si="6"/>
        <v>353</v>
      </c>
      <c r="B182" s="231" t="str">
        <f>Suite&amp;" Electrical Room "&amp;SWTwo</f>
        <v>G104 Electrical Room XXX</v>
      </c>
      <c r="C182" s="183" t="str">
        <f>"UPS "&amp;SWTwo&amp;"2"</f>
        <v>UPS XXX2</v>
      </c>
      <c r="D182" s="187" t="s">
        <v>1714</v>
      </c>
      <c r="E182" s="183" t="s">
        <v>1464</v>
      </c>
      <c r="F182" s="193"/>
      <c r="G182" s="193"/>
    </row>
    <row r="183" spans="1:7" ht="37.5" x14ac:dyDescent="0.25">
      <c r="A183" s="200">
        <f t="shared" si="6"/>
        <v>354</v>
      </c>
      <c r="B183" s="231" t="str">
        <f>Suite&amp;" Electrical Room "&amp;SWTwo</f>
        <v>G104 Electrical Room XXX</v>
      </c>
      <c r="C183" s="183" t="str">
        <f>"UPS "&amp;SWTwo&amp;"2"</f>
        <v>UPS XXX2</v>
      </c>
      <c r="D183" s="186" t="s">
        <v>1715</v>
      </c>
      <c r="E183" s="183" t="s">
        <v>1464</v>
      </c>
      <c r="F183" s="193"/>
      <c r="G183" s="193"/>
    </row>
    <row r="184" spans="1:7" ht="37.5" x14ac:dyDescent="0.25">
      <c r="A184" s="200">
        <f t="shared" si="6"/>
        <v>355</v>
      </c>
      <c r="B184" s="231" t="str">
        <f>Suite&amp;" Electrical Room "&amp;SWTwo</f>
        <v>G104 Electrical Room XXX</v>
      </c>
      <c r="C184" s="183" t="str">
        <f>"UPS "&amp;SWTwo&amp;"2"</f>
        <v>UPS XXX2</v>
      </c>
      <c r="D184" s="187" t="s">
        <v>1716</v>
      </c>
      <c r="E184" s="183" t="s">
        <v>1464</v>
      </c>
      <c r="F184" s="193"/>
      <c r="G184" s="193"/>
    </row>
    <row r="185" spans="1:7" ht="37.5" x14ac:dyDescent="0.25">
      <c r="A185" s="200">
        <f t="shared" si="6"/>
        <v>356</v>
      </c>
      <c r="B185" s="231" t="str">
        <f>Suite&amp;" Electrical Room "&amp;SWTwo</f>
        <v>G104 Electrical Room XXX</v>
      </c>
      <c r="C185" s="183" t="str">
        <f>"UPS "&amp;SWTwo</f>
        <v>UPS XXX</v>
      </c>
      <c r="D185" s="204" t="s">
        <v>3446</v>
      </c>
      <c r="E185" s="183" t="s">
        <v>1464</v>
      </c>
      <c r="F185" s="193"/>
      <c r="G185" s="193"/>
    </row>
    <row r="186" spans="1:7" ht="37.5" x14ac:dyDescent="0.25">
      <c r="A186" s="200">
        <f t="shared" si="6"/>
        <v>357</v>
      </c>
      <c r="B186" s="231" t="str">
        <f>Suite&amp;" Electrical Room "&amp;SWTwo</f>
        <v>G104 Electrical Room XXX</v>
      </c>
      <c r="C186" s="183" t="str">
        <f>"UPS "&amp;SWTwo</f>
        <v>UPS XXX</v>
      </c>
      <c r="D186" s="186" t="s">
        <v>1718</v>
      </c>
      <c r="E186" s="183" t="s">
        <v>1464</v>
      </c>
      <c r="F186" s="193"/>
      <c r="G186" s="193"/>
    </row>
    <row r="187" spans="1:7" ht="37.5" x14ac:dyDescent="0.25">
      <c r="A187" s="200">
        <f t="shared" si="6"/>
        <v>358</v>
      </c>
      <c r="B187" s="231" t="str">
        <f>Suite&amp;" Electrical Room "&amp;SWTwo</f>
        <v>G104 Electrical Room XXX</v>
      </c>
      <c r="C187" s="183" t="str">
        <f>"SCC "&amp;SWTwo</f>
        <v>SCC XXX</v>
      </c>
      <c r="D187" s="204" t="s">
        <v>1557</v>
      </c>
      <c r="E187" s="183" t="s">
        <v>1464</v>
      </c>
      <c r="F187" s="193"/>
      <c r="G187" s="193"/>
    </row>
    <row r="188" spans="1:7" ht="37.5" x14ac:dyDescent="0.25">
      <c r="A188" s="200">
        <f t="shared" si="6"/>
        <v>359</v>
      </c>
      <c r="B188" s="231" t="str">
        <f>Suite&amp;" Electrical Room "&amp;SWTwo</f>
        <v>G104 Electrical Room XXX</v>
      </c>
      <c r="C188" s="183" t="str">
        <f>"UPS "&amp;SWTwo&amp;"1"</f>
        <v>UPS XXX1</v>
      </c>
      <c r="D188" s="186" t="s">
        <v>1719</v>
      </c>
      <c r="E188" s="183" t="s">
        <v>1464</v>
      </c>
      <c r="F188" s="193"/>
      <c r="G188" s="193"/>
    </row>
    <row r="189" spans="1:7" ht="37.5" x14ac:dyDescent="0.25">
      <c r="A189" s="200">
        <f t="shared" si="6"/>
        <v>360</v>
      </c>
      <c r="B189" s="231" t="str">
        <f>Suite&amp;" Electrical Room "&amp;SWTwo</f>
        <v>G104 Electrical Room XXX</v>
      </c>
      <c r="C189" s="183" t="str">
        <f>"UPS "&amp;SWTwo&amp;"2"</f>
        <v>UPS XXX2</v>
      </c>
      <c r="D189" s="186" t="s">
        <v>1719</v>
      </c>
      <c r="E189" s="183" t="s">
        <v>1464</v>
      </c>
      <c r="F189" s="193"/>
      <c r="G189" s="193"/>
    </row>
    <row r="190" spans="1:7" ht="37.5" x14ac:dyDescent="0.25">
      <c r="A190" s="200">
        <f t="shared" si="6"/>
        <v>361</v>
      </c>
      <c r="B190" s="500" t="str">
        <f>Suite&amp;" Electrical Room A"</f>
        <v>G104 Electrical Room A</v>
      </c>
      <c r="C190" s="499" t="s">
        <v>1466</v>
      </c>
      <c r="D190" s="191" t="s">
        <v>1467</v>
      </c>
      <c r="E190" s="499" t="s">
        <v>1464</v>
      </c>
      <c r="F190" s="500"/>
      <c r="G190" s="519"/>
    </row>
    <row r="191" spans="1:7" ht="37.5" x14ac:dyDescent="0.25">
      <c r="A191" s="200">
        <f t="shared" si="6"/>
        <v>362</v>
      </c>
      <c r="B191" s="500" t="str">
        <f>Suite&amp;" Electrical Room A"</f>
        <v>G104 Electrical Room A</v>
      </c>
      <c r="C191" s="499" t="s">
        <v>1466</v>
      </c>
      <c r="D191" s="233" t="str">
        <f>"Verify the readings in step " &amp; A190 &amp; " and " &amp;A10 &amp; " are within 3% of each other. (new kW divided by original kW must be ≤1.03 and ≥0.97)."</f>
        <v>Verify the readings in step 361 and 189 are within 3% of each other. (new kW divided by original kW must be ≤1.03 and ≥0.97).</v>
      </c>
      <c r="E191" s="499" t="s">
        <v>1464</v>
      </c>
      <c r="F191" s="500"/>
      <c r="G191" s="519"/>
    </row>
    <row r="192" spans="1:7" ht="37.5" x14ac:dyDescent="0.25">
      <c r="A192" s="200">
        <f t="shared" si="6"/>
        <v>363</v>
      </c>
      <c r="B192" s="500" t="str">
        <f>Suite&amp;" Electrical Room A"</f>
        <v>G104 Electrical Room A</v>
      </c>
      <c r="C192" s="499" t="s">
        <v>1468</v>
      </c>
      <c r="D192" s="191" t="s">
        <v>1469</v>
      </c>
      <c r="E192" s="499" t="s">
        <v>1464</v>
      </c>
      <c r="F192" s="500"/>
      <c r="G192" s="519"/>
    </row>
    <row r="193" spans="1:7" ht="37.5" x14ac:dyDescent="0.25">
      <c r="A193" s="200">
        <f t="shared" si="6"/>
        <v>364</v>
      </c>
      <c r="B193" s="500" t="str">
        <f>Suite&amp;" Electrical Room A"</f>
        <v>G104 Electrical Room A</v>
      </c>
      <c r="C193" s="499" t="s">
        <v>1468</v>
      </c>
      <c r="D193" s="233" t="str">
        <f>"Verify the readings in step " &amp; A192 &amp; " and " &amp;A11 &amp; " are within 3% of each other. (new kW divided by original kW must be ≤1.03 and ≥0.97)."</f>
        <v>Verify the readings in step 363 and 191 are within 3% of each other. (new kW divided by original kW must be ≤1.03 and ≥0.97).</v>
      </c>
      <c r="E193" s="499" t="s">
        <v>1464</v>
      </c>
      <c r="F193" s="500"/>
      <c r="G193" s="519"/>
    </row>
    <row r="194" spans="1:7" ht="37.5" x14ac:dyDescent="0.25">
      <c r="A194" s="200">
        <f t="shared" si="6"/>
        <v>365</v>
      </c>
      <c r="B194" s="231" t="str">
        <f>Suite&amp;" Electrical Room "&amp;SWTwo</f>
        <v>G104 Electrical Room XXX</v>
      </c>
      <c r="C194" s="183" t="s">
        <v>1521</v>
      </c>
      <c r="D194" s="235" t="s">
        <v>1626</v>
      </c>
      <c r="E194" s="183" t="s">
        <v>1464</v>
      </c>
      <c r="F194" s="193"/>
      <c r="G194" s="193"/>
    </row>
    <row r="195" spans="1:7" ht="37.5" x14ac:dyDescent="0.25">
      <c r="A195" s="200">
        <f t="shared" si="6"/>
        <v>366</v>
      </c>
      <c r="B195" s="231" t="str">
        <f>Suite&amp;" Electrical Room "&amp;SWTwo</f>
        <v>G104 Electrical Room XXX</v>
      </c>
      <c r="C195" s="183" t="s">
        <v>1521</v>
      </c>
      <c r="D195" s="186" t="str">
        <f>"VERIFY the readings in step " &amp; A12 &amp; " and " &amp; A194 &amp; " are within 3% of each other. (new kW divided by original kW must be ≤1.03 and ≥0.97)."</f>
        <v>VERIFY the readings in step 192 and 365 are within 3% of each other. (new kW divided by original kW must be ≤1.03 and ≥0.97).</v>
      </c>
      <c r="E195" s="183" t="s">
        <v>1464</v>
      </c>
      <c r="F195" s="193"/>
      <c r="G195" s="193"/>
    </row>
    <row r="196" spans="1:7" ht="37.5" x14ac:dyDescent="0.25">
      <c r="A196" s="200">
        <f t="shared" si="6"/>
        <v>367</v>
      </c>
      <c r="B196" s="500" t="str">
        <f>Suite&amp;" Electrical Room B"</f>
        <v>G104 Electrical Room B</v>
      </c>
      <c r="C196" s="499" t="s">
        <v>1472</v>
      </c>
      <c r="D196" s="191" t="s">
        <v>1473</v>
      </c>
      <c r="E196" s="499" t="s">
        <v>1464</v>
      </c>
      <c r="F196" s="500"/>
      <c r="G196" s="519"/>
    </row>
    <row r="197" spans="1:7" ht="37.5" x14ac:dyDescent="0.25">
      <c r="A197" s="200">
        <f t="shared" si="6"/>
        <v>368</v>
      </c>
      <c r="B197" s="500" t="str">
        <f>Suite&amp;" Electrical Room B"</f>
        <v>G104 Electrical Room B</v>
      </c>
      <c r="C197" s="499" t="s">
        <v>1472</v>
      </c>
      <c r="D197" s="233" t="str">
        <f>"Verify the readings in step " &amp; A196 &amp; " and " &amp;A13 &amp; " are within 3% of each other. (new kW divided by original kW must be ≤1.03 and ≥0.97)."</f>
        <v>Verify the readings in step 367 and 193 are within 3% of each other. (new kW divided by original kW must be ≤1.03 and ≥0.97).</v>
      </c>
      <c r="E197" s="499" t="s">
        <v>1464</v>
      </c>
      <c r="F197" s="500"/>
      <c r="G197" s="519"/>
    </row>
    <row r="198" spans="1:7" ht="37.5" x14ac:dyDescent="0.25">
      <c r="A198" s="200">
        <f t="shared" si="6"/>
        <v>369</v>
      </c>
      <c r="B198" s="500" t="str">
        <f>Suite&amp;" Electrical Room B"</f>
        <v>G104 Electrical Room B</v>
      </c>
      <c r="C198" s="499" t="s">
        <v>1474</v>
      </c>
      <c r="D198" s="191" t="s">
        <v>1475</v>
      </c>
      <c r="E198" s="499" t="s">
        <v>1464</v>
      </c>
      <c r="F198" s="500"/>
      <c r="G198" s="519"/>
    </row>
    <row r="199" spans="1:7" ht="37.5" x14ac:dyDescent="0.25">
      <c r="A199" s="200">
        <f t="shared" si="6"/>
        <v>370</v>
      </c>
      <c r="B199" s="500" t="str">
        <f>Suite&amp;" Electrical Room B"</f>
        <v>G104 Electrical Room B</v>
      </c>
      <c r="C199" s="499" t="s">
        <v>1474</v>
      </c>
      <c r="D199" s="233" t="str">
        <f>"Verify the readings in step " &amp; A198 &amp; " and " &amp;A14 &amp; " are within 3% of each other. (new kW divided by original kW must be ≤1.03 and ≥0.97)."</f>
        <v>Verify the readings in step 369 and 194 are within 3% of each other. (new kW divided by original kW must be ≤1.03 and ≥0.97).</v>
      </c>
      <c r="E199" s="499" t="s">
        <v>1464</v>
      </c>
      <c r="F199" s="500"/>
      <c r="G199" s="519"/>
    </row>
    <row r="200" spans="1:7" ht="37.5" x14ac:dyDescent="0.25">
      <c r="A200" s="200">
        <f t="shared" ref="A200:A201" si="7">A199+1</f>
        <v>371</v>
      </c>
      <c r="B200" s="500" t="str">
        <f>Suite&amp;" Electrical Room B"</f>
        <v>G104 Electrical Room B</v>
      </c>
      <c r="C200" s="499" t="s">
        <v>1522</v>
      </c>
      <c r="D200" s="191" t="s">
        <v>1477</v>
      </c>
      <c r="E200" s="499" t="s">
        <v>1464</v>
      </c>
      <c r="F200" s="500"/>
      <c r="G200" s="519"/>
    </row>
    <row r="201" spans="1:7" ht="37.5" x14ac:dyDescent="0.25">
      <c r="A201" s="200">
        <f t="shared" si="7"/>
        <v>372</v>
      </c>
      <c r="B201" s="500" t="str">
        <f>Suite&amp;" Electrical Room B"</f>
        <v>G104 Electrical Room B</v>
      </c>
      <c r="C201" s="499" t="s">
        <v>1522</v>
      </c>
      <c r="D201" s="233" t="str">
        <f>"Verify the readings in step " &amp; A200 &amp; " and " &amp; A167 &amp; " are within 3% of each other. (new kW divided by original kW must be ≤1.03 and ≥0.97)."</f>
        <v>Verify the readings in step 371 and 338 are within 3% of each other. (new kW divided by original kW must be ≤1.03 and ≥0.97).</v>
      </c>
      <c r="E201" s="499" t="s">
        <v>1464</v>
      </c>
      <c r="F201" s="500"/>
      <c r="G201" s="519"/>
    </row>
    <row r="202" spans="1:7" ht="37.5" hidden="1" x14ac:dyDescent="0.25">
      <c r="A202" s="200">
        <f t="shared" ref="A202:A213" si="8">A201+1</f>
        <v>373</v>
      </c>
      <c r="B202" s="500" t="str">
        <f>Suite&amp;" Electrical Room C"</f>
        <v>G104 Electrical Room C</v>
      </c>
      <c r="C202" s="499" t="s">
        <v>1478</v>
      </c>
      <c r="D202" s="191" t="s">
        <v>1479</v>
      </c>
      <c r="E202" s="499" t="s">
        <v>1464</v>
      </c>
      <c r="F202" s="500"/>
      <c r="G202" s="519"/>
    </row>
    <row r="203" spans="1:7" ht="37.5" hidden="1" x14ac:dyDescent="0.25">
      <c r="A203" s="200">
        <f t="shared" si="8"/>
        <v>374</v>
      </c>
      <c r="B203" s="500" t="str">
        <f>Suite&amp;" Electrical Room C"</f>
        <v>G104 Electrical Room C</v>
      </c>
      <c r="C203" s="499" t="s">
        <v>1478</v>
      </c>
      <c r="D203" s="233" t="str">
        <f>"Verify the readings in step " &amp; A202 &amp; " and " &amp;A16 &amp; " are within 3% of each other. (new kW divided by original kW must be ≤1.03 and ≥0.97)."</f>
        <v>Verify the readings in step 373 and 192 are within 3% of each other. (new kW divided by original kW must be ≤1.03 and ≥0.97).</v>
      </c>
      <c r="E203" s="499" t="s">
        <v>1464</v>
      </c>
      <c r="F203" s="500"/>
      <c r="G203" s="519"/>
    </row>
    <row r="204" spans="1:7" ht="37.5" hidden="1" x14ac:dyDescent="0.25">
      <c r="A204" s="200">
        <f t="shared" si="8"/>
        <v>375</v>
      </c>
      <c r="B204" s="500" t="str">
        <f>Suite&amp;" Electrical Room C"</f>
        <v>G104 Electrical Room C</v>
      </c>
      <c r="C204" s="499" t="s">
        <v>1480</v>
      </c>
      <c r="D204" s="191" t="s">
        <v>1481</v>
      </c>
      <c r="E204" s="499" t="s">
        <v>1464</v>
      </c>
      <c r="F204" s="500"/>
      <c r="G204" s="519"/>
    </row>
    <row r="205" spans="1:7" ht="37.5" hidden="1" x14ac:dyDescent="0.25">
      <c r="A205" s="200">
        <f t="shared" si="8"/>
        <v>376</v>
      </c>
      <c r="B205" s="500" t="str">
        <f>Suite&amp;" Electrical Room C"</f>
        <v>G104 Electrical Room C</v>
      </c>
      <c r="C205" s="499" t="s">
        <v>1480</v>
      </c>
      <c r="D205" s="233" t="str">
        <f>"Verify the readings in step " &amp; A204 &amp; " and " &amp;A17 &amp; " are within 3% of each other. (new kW divided by original kW must be ≤1.03 and ≥0.97)."</f>
        <v>Verify the readings in step 375 and 193 are within 3% of each other. (new kW divided by original kW must be ≤1.03 and ≥0.97).</v>
      </c>
      <c r="E205" s="499" t="s">
        <v>1464</v>
      </c>
      <c r="F205" s="500"/>
      <c r="G205" s="519"/>
    </row>
    <row r="206" spans="1:7" ht="37.5" hidden="1" x14ac:dyDescent="0.25">
      <c r="A206" s="200">
        <v>230</v>
      </c>
      <c r="B206" s="500" t="str">
        <f>Suite&amp;" Electrical Room C"</f>
        <v>G104 Electrical Room C</v>
      </c>
      <c r="C206" s="499" t="s">
        <v>1523</v>
      </c>
      <c r="D206" s="191" t="s">
        <v>1483</v>
      </c>
      <c r="E206" s="499" t="s">
        <v>1464</v>
      </c>
      <c r="F206" s="500"/>
      <c r="G206" s="519"/>
    </row>
    <row r="207" spans="1:7" ht="37.5" hidden="1" x14ac:dyDescent="0.25">
      <c r="A207" s="200">
        <f t="shared" ref="A207" si="9">A206+1</f>
        <v>231</v>
      </c>
      <c r="B207" s="500" t="str">
        <f>Suite&amp;" Electrical Room C"</f>
        <v>G104 Electrical Room C</v>
      </c>
      <c r="C207" s="499" t="s">
        <v>1523</v>
      </c>
      <c r="D207" s="233" t="str">
        <f>"Verify the readings in step " &amp; A206 &amp; " and " &amp; A18 &amp; " are within 3% of each other. (new kW divided by original kW must be ≤1.03 and ≥0.97)."</f>
        <v>Verify the readings in step 230 and 194 are within 3% of each other. (new kW divided by original kW must be ≤1.03 and ≥0.97).</v>
      </c>
      <c r="E207" s="499" t="s">
        <v>1464</v>
      </c>
      <c r="F207" s="500"/>
      <c r="G207" s="519"/>
    </row>
    <row r="208" spans="1:7" ht="37.5" hidden="1" x14ac:dyDescent="0.25">
      <c r="A208" s="200">
        <f t="shared" si="8"/>
        <v>232</v>
      </c>
      <c r="B208" s="500" t="str">
        <f>Suite&amp;" Electrical Room D"</f>
        <v>G104 Electrical Room D</v>
      </c>
      <c r="C208" s="499" t="s">
        <v>1484</v>
      </c>
      <c r="D208" s="191" t="s">
        <v>1485</v>
      </c>
      <c r="E208" s="499" t="s">
        <v>1464</v>
      </c>
      <c r="F208" s="500"/>
      <c r="G208" s="519"/>
    </row>
    <row r="209" spans="1:7" ht="37.5" hidden="1" x14ac:dyDescent="0.25">
      <c r="A209" s="200">
        <f t="shared" si="8"/>
        <v>233</v>
      </c>
      <c r="B209" s="500" t="str">
        <f>Suite&amp;" Electrical Room D"</f>
        <v>G104 Electrical Room D</v>
      </c>
      <c r="C209" s="499" t="s">
        <v>1484</v>
      </c>
      <c r="D209" s="233" t="str">
        <f>"Verify the readings in step " &amp; A208 &amp; " and " &amp;A19 &amp; " are within 3% of each other. (new kW divided by original kW must be ≤1.03 and ≥0.97)."</f>
        <v>Verify the readings in step 232 and 195 are within 3% of each other. (new kW divided by original kW must be ≤1.03 and ≥0.97).</v>
      </c>
      <c r="E209" s="499" t="s">
        <v>1464</v>
      </c>
      <c r="F209" s="500"/>
      <c r="G209" s="519"/>
    </row>
    <row r="210" spans="1:7" ht="37.5" hidden="1" x14ac:dyDescent="0.25">
      <c r="A210" s="200">
        <f t="shared" si="8"/>
        <v>234</v>
      </c>
      <c r="B210" s="500" t="str">
        <f>Suite&amp;" Electrical Room D"</f>
        <v>G104 Electrical Room D</v>
      </c>
      <c r="C210" s="499" t="s">
        <v>1486</v>
      </c>
      <c r="D210" s="191" t="s">
        <v>1487</v>
      </c>
      <c r="E210" s="499" t="s">
        <v>1464</v>
      </c>
      <c r="F210" s="500"/>
      <c r="G210" s="519"/>
    </row>
    <row r="211" spans="1:7" ht="37.5" hidden="1" x14ac:dyDescent="0.25">
      <c r="A211" s="200">
        <v>231</v>
      </c>
      <c r="B211" s="500" t="str">
        <f>Suite&amp;" Electrical Room D"</f>
        <v>G104 Electrical Room D</v>
      </c>
      <c r="C211" s="499" t="s">
        <v>1486</v>
      </c>
      <c r="D211" s="233" t="str">
        <f>"Verify the readings in step " &amp; A210 &amp; " and " &amp;A20 &amp; " are within 3% of each other. (new kW divided by original kW must be ≤1.03 and ≥0.97)."</f>
        <v>Verify the readings in step 234 and 196 are within 3% of each other. (new kW divided by original kW must be ≤1.03 and ≥0.97).</v>
      </c>
      <c r="E211" s="499" t="s">
        <v>1464</v>
      </c>
      <c r="F211" s="500"/>
      <c r="G211" s="519"/>
    </row>
    <row r="212" spans="1:7" ht="37.5" hidden="1" x14ac:dyDescent="0.25">
      <c r="A212" s="200">
        <f t="shared" ref="A212" si="10">A211+1</f>
        <v>232</v>
      </c>
      <c r="B212" s="500" t="str">
        <f>Suite&amp;" Electrical Room D"</f>
        <v>G104 Electrical Room D</v>
      </c>
      <c r="C212" s="499" t="s">
        <v>1524</v>
      </c>
      <c r="D212" s="191" t="s">
        <v>1489</v>
      </c>
      <c r="E212" s="499" t="s">
        <v>1464</v>
      </c>
      <c r="F212" s="500"/>
      <c r="G212" s="519"/>
    </row>
    <row r="213" spans="1:7" ht="37.5" hidden="1" x14ac:dyDescent="0.25">
      <c r="A213" s="200">
        <f t="shared" si="8"/>
        <v>233</v>
      </c>
      <c r="B213" s="500" t="str">
        <f>Suite&amp;" Electrical Room D"</f>
        <v>G104 Electrical Room D</v>
      </c>
      <c r="C213" s="499" t="s">
        <v>1524</v>
      </c>
      <c r="D213" s="233" t="str">
        <f>"Verify the readings in step " &amp; A212 &amp; " and " &amp; A21 &amp; " are within 3% of each other. (new kW divided by original kW must be ≤1.03 and ≥0.97)."</f>
        <v>Verify the readings in step 232 and 193 are within 3% of each other. (new kW divided by original kW must be ≤1.03 and ≥0.97).</v>
      </c>
      <c r="E213" s="499" t="s">
        <v>1464</v>
      </c>
      <c r="F213" s="500"/>
      <c r="G213" s="519"/>
    </row>
    <row r="214" spans="1:7" ht="37.5" x14ac:dyDescent="0.25">
      <c r="A214" s="200">
        <f>A201+1</f>
        <v>373</v>
      </c>
      <c r="B214" s="183" t="s">
        <v>1462</v>
      </c>
      <c r="C214" s="183" t="s">
        <v>84</v>
      </c>
      <c r="D214" s="252" t="str">
        <f>"Contact the engineer stationed on base to verify no abnormal conditions exist on the suite " &amp; Suite &amp; " electrical systems."</f>
        <v>Contact the engineer stationed on base to verify no abnormal conditions exist on the suite G104 electrical systems.</v>
      </c>
      <c r="E214" s="183" t="s">
        <v>1464</v>
      </c>
      <c r="F214" s="193"/>
      <c r="G214" s="193"/>
    </row>
  </sheetData>
  <sheetProtection formatCells="0" formatColumns="0" formatRows="0" insertRows="0" deleteRows="0" sort="0" autoFilter="0"/>
  <mergeCells count="12">
    <mergeCell ref="B110:G110"/>
    <mergeCell ref="B156:G156"/>
    <mergeCell ref="B178:G178"/>
    <mergeCell ref="A2:B2"/>
    <mergeCell ref="A4:C4"/>
    <mergeCell ref="B6:G6"/>
    <mergeCell ref="B8:G8"/>
    <mergeCell ref="C2:G2"/>
    <mergeCell ref="B28:G28"/>
    <mergeCell ref="B30:G30"/>
    <mergeCell ref="B45:G45"/>
    <mergeCell ref="B69:G6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AD011-79BB-4AC0-A8FE-E3E8C83D036F}">
  <sheetPr codeName="NX_C">
    <pageSetUpPr fitToPage="1"/>
  </sheetPr>
  <dimension ref="A1:AW214"/>
  <sheetViews>
    <sheetView view="pageBreakPreview" topLeftCell="A19" zoomScale="90" zoomScaleNormal="100" zoomScaleSheetLayoutView="90" workbookViewId="0">
      <selection activeCell="B45" sqref="B45:G45"/>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11" width="8.7109375" style="150" customWidth="1"/>
    <col min="12" max="49" width="8.7109375" style="150"/>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149"/>
      <c r="I4" s="149"/>
    </row>
    <row r="5" spans="1:9" ht="37.5" x14ac:dyDescent="0.25">
      <c r="A5" s="378" t="s">
        <v>1455</v>
      </c>
      <c r="B5" s="379" t="s">
        <v>8</v>
      </c>
      <c r="C5" s="379" t="s">
        <v>1456</v>
      </c>
      <c r="D5" s="378" t="s">
        <v>1457</v>
      </c>
      <c r="E5" s="379" t="s">
        <v>1458</v>
      </c>
      <c r="F5" s="379" t="s">
        <v>1459</v>
      </c>
      <c r="G5" s="378" t="s">
        <v>1460</v>
      </c>
    </row>
    <row r="6" spans="1:9" ht="18.75" customHeight="1" x14ac:dyDescent="0.25">
      <c r="A6" s="200">
        <f>'NX-B'!A214+1</f>
        <v>374</v>
      </c>
      <c r="B6" s="712" t="s">
        <v>1461</v>
      </c>
      <c r="C6" s="712"/>
      <c r="D6" s="712"/>
      <c r="E6" s="712"/>
      <c r="F6" s="712"/>
      <c r="G6" s="712"/>
    </row>
    <row r="7" spans="1:9" ht="37.5" x14ac:dyDescent="0.25">
      <c r="A7" s="200">
        <f>A6+1</f>
        <v>375</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ht="18.75" customHeight="1" x14ac:dyDescent="0.25">
      <c r="A8" s="200">
        <f t="shared" ref="A8:A24" si="0">A7+1</f>
        <v>376</v>
      </c>
      <c r="B8" s="712" t="s">
        <v>1465</v>
      </c>
      <c r="C8" s="712"/>
      <c r="D8" s="712"/>
      <c r="E8" s="712"/>
      <c r="F8" s="712"/>
      <c r="G8" s="712"/>
    </row>
    <row r="9" spans="1:9" ht="56.25" x14ac:dyDescent="0.25">
      <c r="A9" s="200">
        <f t="shared" si="0"/>
        <v>377</v>
      </c>
      <c r="B9" s="231" t="str">
        <f>Suite&amp;" Electrical Rooms "&amp;SWThree&amp;" &amp; "&amp;SWFour</f>
        <v>G104 Electrical Rooms XXX &amp; XXX</v>
      </c>
      <c r="C9" s="183" t="str">
        <f>"UPS "&amp;SWThree&amp;" &amp; "&amp;SWFour</f>
        <v>UPS XXX &amp; XXX</v>
      </c>
      <c r="D9" s="187" t="s">
        <v>1737</v>
      </c>
      <c r="E9" s="183" t="s">
        <v>1464</v>
      </c>
      <c r="F9" s="193"/>
      <c r="G9" s="193"/>
    </row>
    <row r="10" spans="1:9" ht="37.5" hidden="1" x14ac:dyDescent="0.25">
      <c r="A10" s="200">
        <f t="shared" si="0"/>
        <v>378</v>
      </c>
      <c r="B10" s="500" t="str">
        <f>Suite&amp;" Electrical Room A"</f>
        <v>G104 Electrical Room A</v>
      </c>
      <c r="C10" s="499" t="s">
        <v>1466</v>
      </c>
      <c r="D10" s="191" t="s">
        <v>1467</v>
      </c>
      <c r="E10" s="499" t="s">
        <v>1464</v>
      </c>
      <c r="F10" s="500"/>
      <c r="G10" s="519"/>
    </row>
    <row r="11" spans="1:9" ht="37.5" hidden="1" x14ac:dyDescent="0.25">
      <c r="A11" s="200">
        <v>191</v>
      </c>
      <c r="B11" s="500" t="str">
        <f>Suite&amp;" Electrical Room A"</f>
        <v>G104 Electrical Room A</v>
      </c>
      <c r="C11" s="499" t="s">
        <v>1468</v>
      </c>
      <c r="D11" s="191" t="s">
        <v>1469</v>
      </c>
      <c r="E11" s="499" t="s">
        <v>1464</v>
      </c>
      <c r="F11" s="500"/>
      <c r="G11" s="519"/>
    </row>
    <row r="12" spans="1:9" ht="18.75" hidden="1" customHeight="1" x14ac:dyDescent="0.25">
      <c r="A12" s="200">
        <f t="shared" ref="A12" si="1">A11+1</f>
        <v>192</v>
      </c>
      <c r="B12" s="231" t="str">
        <f>Suite&amp;" Electrical Room "&amp;SWTwo</f>
        <v>G104 Electrical Room XXX</v>
      </c>
      <c r="C12" s="183" t="s">
        <v>1470</v>
      </c>
      <c r="D12" s="186" t="s">
        <v>2101</v>
      </c>
      <c r="E12" s="183" t="s">
        <v>1464</v>
      </c>
      <c r="F12" s="193"/>
      <c r="G12" s="193"/>
    </row>
    <row r="13" spans="1:9" ht="37.5" hidden="1" x14ac:dyDescent="0.25">
      <c r="A13" s="200">
        <f t="shared" si="0"/>
        <v>193</v>
      </c>
      <c r="B13" s="500" t="str">
        <f>Suite&amp;" Electrical Room B"</f>
        <v>G104 Electrical Room B</v>
      </c>
      <c r="C13" s="499" t="s">
        <v>1472</v>
      </c>
      <c r="D13" s="191" t="s">
        <v>1473</v>
      </c>
      <c r="E13" s="499" t="s">
        <v>1464</v>
      </c>
      <c r="F13" s="500"/>
      <c r="G13" s="519"/>
    </row>
    <row r="14" spans="1:9" ht="18.75" hidden="1" customHeight="1" x14ac:dyDescent="0.25">
      <c r="A14" s="200">
        <f t="shared" si="0"/>
        <v>194</v>
      </c>
      <c r="B14" s="500" t="str">
        <f>Suite&amp;" Electrical Room B"</f>
        <v>G104 Electrical Room B</v>
      </c>
      <c r="C14" s="499" t="s">
        <v>1474</v>
      </c>
      <c r="D14" s="191" t="s">
        <v>1475</v>
      </c>
      <c r="E14" s="499" t="s">
        <v>1464</v>
      </c>
      <c r="F14" s="500"/>
      <c r="G14" s="519"/>
    </row>
    <row r="15" spans="1:9" ht="37.5" hidden="1" x14ac:dyDescent="0.25">
      <c r="A15" s="200">
        <f t="shared" si="0"/>
        <v>195</v>
      </c>
      <c r="B15" s="500" t="str">
        <f>Suite&amp;" Electrical Room B"</f>
        <v>G104 Electrical Room B</v>
      </c>
      <c r="C15" s="499" t="s">
        <v>1476</v>
      </c>
      <c r="D15" s="191" t="s">
        <v>1477</v>
      </c>
      <c r="E15" s="499" t="s">
        <v>1464</v>
      </c>
      <c r="F15" s="500"/>
      <c r="G15" s="519"/>
    </row>
    <row r="16" spans="1:9" ht="37.5" x14ac:dyDescent="0.25">
      <c r="A16" s="200">
        <f>A9+1</f>
        <v>378</v>
      </c>
      <c r="B16" s="500" t="str">
        <f>Suite&amp;" Electrical Room C"</f>
        <v>G104 Electrical Room C</v>
      </c>
      <c r="C16" s="499" t="s">
        <v>1478</v>
      </c>
      <c r="D16" s="191" t="s">
        <v>1479</v>
      </c>
      <c r="E16" s="499" t="s">
        <v>1464</v>
      </c>
      <c r="F16" s="500"/>
      <c r="G16" s="519"/>
    </row>
    <row r="17" spans="1:7" ht="37.5" x14ac:dyDescent="0.25">
      <c r="A17" s="200">
        <f t="shared" ref="A17" si="2">A16+1</f>
        <v>379</v>
      </c>
      <c r="B17" s="500" t="str">
        <f>Suite&amp;" Electrical Room C"</f>
        <v>G104 Electrical Room C</v>
      </c>
      <c r="C17" s="499" t="s">
        <v>1480</v>
      </c>
      <c r="D17" s="191" t="s">
        <v>1481</v>
      </c>
      <c r="E17" s="499" t="s">
        <v>1464</v>
      </c>
      <c r="F17" s="500"/>
      <c r="G17" s="519"/>
    </row>
    <row r="18" spans="1:7" ht="37.5" x14ac:dyDescent="0.25">
      <c r="A18" s="200">
        <f t="shared" si="0"/>
        <v>380</v>
      </c>
      <c r="B18" s="500" t="str">
        <f>Suite&amp;" Electrical Room C"</f>
        <v>G104 Electrical Room C</v>
      </c>
      <c r="C18" s="499" t="s">
        <v>1482</v>
      </c>
      <c r="D18" s="191" t="s">
        <v>1483</v>
      </c>
      <c r="E18" s="499" t="s">
        <v>1464</v>
      </c>
      <c r="F18" s="500"/>
      <c r="G18" s="519"/>
    </row>
    <row r="19" spans="1:7" ht="37.5" x14ac:dyDescent="0.25">
      <c r="A19" s="200">
        <f t="shared" si="0"/>
        <v>381</v>
      </c>
      <c r="B19" s="500" t="str">
        <f>Suite&amp;" Electrical Room D"</f>
        <v>G104 Electrical Room D</v>
      </c>
      <c r="C19" s="499" t="s">
        <v>1484</v>
      </c>
      <c r="D19" s="191" t="s">
        <v>1485</v>
      </c>
      <c r="E19" s="499" t="s">
        <v>1464</v>
      </c>
      <c r="F19" s="500"/>
      <c r="G19" s="519"/>
    </row>
    <row r="20" spans="1:7" ht="37.5" x14ac:dyDescent="0.25">
      <c r="A20" s="200">
        <f t="shared" si="0"/>
        <v>382</v>
      </c>
      <c r="B20" s="500" t="str">
        <f>Suite&amp;" Electrical Room D"</f>
        <v>G104 Electrical Room D</v>
      </c>
      <c r="C20" s="499" t="s">
        <v>1486</v>
      </c>
      <c r="D20" s="191" t="s">
        <v>1487</v>
      </c>
      <c r="E20" s="499" t="s">
        <v>1464</v>
      </c>
      <c r="F20" s="500"/>
      <c r="G20" s="519"/>
    </row>
    <row r="21" spans="1:7" ht="37.5" x14ac:dyDescent="0.25">
      <c r="A21" s="200">
        <f t="shared" si="0"/>
        <v>383</v>
      </c>
      <c r="B21" s="500" t="str">
        <f>Suite&amp;" Electrical Room D"</f>
        <v>G104 Electrical Room D</v>
      </c>
      <c r="C21" s="499" t="s">
        <v>1488</v>
      </c>
      <c r="D21" s="191" t="s">
        <v>1489</v>
      </c>
      <c r="E21" s="499" t="s">
        <v>1464</v>
      </c>
      <c r="F21" s="500"/>
      <c r="G21" s="519"/>
    </row>
    <row r="22" spans="1:7" ht="37.5" hidden="1" x14ac:dyDescent="0.25">
      <c r="A22" s="200">
        <f t="shared" ref="A22" si="3">A21+1</f>
        <v>384</v>
      </c>
      <c r="B22" s="500" t="str">
        <f>Suite&amp;" Electrical Room F"</f>
        <v>G104 Electrical Room F</v>
      </c>
      <c r="C22" s="499" t="s">
        <v>1490</v>
      </c>
      <c r="D22" s="191" t="s">
        <v>1491</v>
      </c>
      <c r="E22" s="499" t="s">
        <v>1464</v>
      </c>
      <c r="F22" s="500"/>
      <c r="G22" s="519"/>
    </row>
    <row r="23" spans="1:7" ht="37.5" hidden="1" x14ac:dyDescent="0.25">
      <c r="A23" s="200">
        <f t="shared" si="0"/>
        <v>385</v>
      </c>
      <c r="B23" s="500" t="str">
        <f>Suite&amp;" Electrical Room F"</f>
        <v>G104 Electrical Room F</v>
      </c>
      <c r="C23" s="499" t="s">
        <v>1492</v>
      </c>
      <c r="D23" s="191" t="s">
        <v>1493</v>
      </c>
      <c r="E23" s="499" t="s">
        <v>1464</v>
      </c>
      <c r="F23" s="500"/>
      <c r="G23" s="519"/>
    </row>
    <row r="24" spans="1:7" ht="37.5" hidden="1" x14ac:dyDescent="0.25">
      <c r="A24" s="200">
        <f t="shared" si="0"/>
        <v>386</v>
      </c>
      <c r="B24" s="500" t="str">
        <f>Suite&amp;" Electrical Room F"</f>
        <v>G104 Electrical Room F</v>
      </c>
      <c r="C24" s="499" t="s">
        <v>1494</v>
      </c>
      <c r="D24" s="191" t="s">
        <v>1495</v>
      </c>
      <c r="E24" s="499" t="s">
        <v>1464</v>
      </c>
      <c r="F24" s="500"/>
      <c r="G24" s="519"/>
    </row>
    <row r="25" spans="1:7" ht="56.25" x14ac:dyDescent="0.25">
      <c r="A25" s="200">
        <f>A21+1</f>
        <v>384</v>
      </c>
      <c r="B25" s="500" t="str" cm="1">
        <f t="array" ref="B25">Suite &amp; " Electrical Rooms"</f>
        <v>G104 Electrical Rooms</v>
      </c>
      <c r="C25" s="499" t="str" cm="1">
        <f t="array" ref="C25">Suite &amp; " UPS System"</f>
        <v>G104 UPS System</v>
      </c>
      <c r="D25" s="190" t="s">
        <v>4621</v>
      </c>
      <c r="E25" s="499" t="s">
        <v>1464</v>
      </c>
      <c r="F25" s="500"/>
      <c r="G25" s="519"/>
    </row>
    <row r="26" spans="1:7" ht="37.5" x14ac:dyDescent="0.25">
      <c r="A26" s="200">
        <f>A25+1</f>
        <v>385</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7" ht="56.25" x14ac:dyDescent="0.25">
      <c r="A27" s="200">
        <f t="shared" ref="A27:A90" si="4">A26+1</f>
        <v>386</v>
      </c>
      <c r="B27" s="231" t="str">
        <f>Suite&amp;" Electrical Rooms "&amp;SWThree&amp;" &amp; "&amp;SWFour</f>
        <v>G104 Electrical Rooms XXX &amp; XXX</v>
      </c>
      <c r="C27" s="183" t="str">
        <f>"UPS "&amp;SWThree&amp;" &amp; "&amp;SWFour</f>
        <v>UPS XXX &amp; XXX</v>
      </c>
      <c r="D27" s="186" t="s">
        <v>1559</v>
      </c>
      <c r="E27" s="183" t="s">
        <v>1464</v>
      </c>
      <c r="F27" s="193"/>
      <c r="G27" s="193"/>
    </row>
    <row r="28" spans="1:7" x14ac:dyDescent="0.25">
      <c r="A28" s="200">
        <f t="shared" si="4"/>
        <v>387</v>
      </c>
      <c r="B28" s="712" t="s">
        <v>1738</v>
      </c>
      <c r="C28" s="712"/>
      <c r="D28" s="712"/>
      <c r="E28" s="712"/>
      <c r="F28" s="712"/>
      <c r="G28" s="712"/>
    </row>
    <row r="29" spans="1:7" ht="18.75" customHeight="1" x14ac:dyDescent="0.25">
      <c r="A29" s="200">
        <f t="shared" si="4"/>
        <v>388</v>
      </c>
      <c r="B29" s="231" t="str">
        <f>Suite&amp;" Electrical Room "&amp;SWThree</f>
        <v>G104 Electrical Room XXX</v>
      </c>
      <c r="C29" s="183" t="str">
        <f>"UP"&amp;SWThree</f>
        <v>UPXXX</v>
      </c>
      <c r="D29" s="233" t="s">
        <v>4782</v>
      </c>
      <c r="E29" s="183" t="s">
        <v>1464</v>
      </c>
      <c r="F29" s="193"/>
      <c r="G29" s="193"/>
    </row>
    <row r="30" spans="1:7" x14ac:dyDescent="0.25">
      <c r="A30" s="200">
        <f t="shared" si="4"/>
        <v>389</v>
      </c>
      <c r="B30" s="714" t="s">
        <v>1739</v>
      </c>
      <c r="C30" s="714"/>
      <c r="D30" s="714"/>
      <c r="E30" s="714"/>
      <c r="F30" s="714"/>
      <c r="G30" s="714"/>
    </row>
    <row r="31" spans="1:7" ht="37.5" x14ac:dyDescent="0.25">
      <c r="A31" s="200">
        <f t="shared" si="4"/>
        <v>390</v>
      </c>
      <c r="B31" s="231" t="str">
        <f>Suite&amp;" Electrical Room "&amp;SWThree</f>
        <v>G104 Electrical Room XXX</v>
      </c>
      <c r="C31" s="183" t="str">
        <f>"UPS "&amp;SWThree&amp;"1"</f>
        <v>UPS XXX1</v>
      </c>
      <c r="D31" s="187" t="s">
        <v>1618</v>
      </c>
      <c r="E31" s="183" t="s">
        <v>1464</v>
      </c>
      <c r="F31" s="193"/>
      <c r="G31" s="193"/>
    </row>
    <row r="32" spans="1:7" ht="37.5" x14ac:dyDescent="0.25">
      <c r="A32" s="200">
        <f t="shared" si="4"/>
        <v>391</v>
      </c>
      <c r="B32" s="231" t="str">
        <f>Suite&amp;" Electrical Room "&amp;SWThree</f>
        <v>G104 Electrical Room XXX</v>
      </c>
      <c r="C32" s="183" t="str">
        <f>"UPS "&amp;SWThree&amp;"1"</f>
        <v>UPS XXX1</v>
      </c>
      <c r="D32" s="187" t="s">
        <v>1619</v>
      </c>
      <c r="E32" s="183" t="s">
        <v>1464</v>
      </c>
      <c r="F32" s="193"/>
      <c r="G32" s="193"/>
    </row>
    <row r="33" spans="1:7" ht="37.5" x14ac:dyDescent="0.25">
      <c r="A33" s="200">
        <f t="shared" si="4"/>
        <v>392</v>
      </c>
      <c r="B33" s="231" t="str">
        <f>Suite&amp;" Electrical Room "&amp;SWThree</f>
        <v>G104 Electrical Room XXX</v>
      </c>
      <c r="C33" s="183" t="str">
        <f>"UPS "&amp;SWThree&amp;"1"</f>
        <v>UPS XXX1</v>
      </c>
      <c r="D33" s="186" t="s">
        <v>1620</v>
      </c>
      <c r="E33" s="183" t="s">
        <v>1464</v>
      </c>
      <c r="F33" s="193"/>
      <c r="G33" s="193"/>
    </row>
    <row r="34" spans="1:7" ht="37.5" x14ac:dyDescent="0.25">
      <c r="A34" s="200">
        <f t="shared" si="4"/>
        <v>393</v>
      </c>
      <c r="B34" s="231" t="str">
        <f>Suite&amp;" Electrical Room "&amp;SWThree</f>
        <v>G104 Electrical Room XXX</v>
      </c>
      <c r="C34" s="183" t="str">
        <f>"UPS "&amp;SWThree&amp;"1"</f>
        <v>UPS XXX1</v>
      </c>
      <c r="D34" s="187" t="s">
        <v>1621</v>
      </c>
      <c r="E34" s="183" t="s">
        <v>1464</v>
      </c>
      <c r="F34" s="193"/>
      <c r="G34" s="193"/>
    </row>
    <row r="35" spans="1:7" ht="56.25" x14ac:dyDescent="0.25">
      <c r="A35" s="200">
        <f t="shared" si="4"/>
        <v>394</v>
      </c>
      <c r="B35" s="231" t="str">
        <f>Suite&amp;" Electrical Room "&amp;SWThree</f>
        <v>G104 Electrical Room XXX</v>
      </c>
      <c r="C35" s="183" t="str">
        <f>"UPS "&amp;SWThree&amp;"1"</f>
        <v>UPS XXX1</v>
      </c>
      <c r="D35" s="186" t="s">
        <v>1622</v>
      </c>
      <c r="E35" s="183" t="s">
        <v>1464</v>
      </c>
      <c r="F35" s="193"/>
      <c r="G35" s="193"/>
    </row>
    <row r="36" spans="1:7" ht="37.5" x14ac:dyDescent="0.25">
      <c r="A36" s="200">
        <f t="shared" si="4"/>
        <v>395</v>
      </c>
      <c r="B36" s="231" t="str">
        <f>Suite&amp;" Electrical Room "&amp;SWThree</f>
        <v>G104 Electrical Room XXX</v>
      </c>
      <c r="C36" s="183" t="str">
        <f>"UPS "&amp;SWThree&amp;"2"</f>
        <v>UPS XXX2</v>
      </c>
      <c r="D36" s="187" t="s">
        <v>1623</v>
      </c>
      <c r="E36" s="183" t="s">
        <v>1464</v>
      </c>
      <c r="F36" s="193"/>
      <c r="G36" s="193"/>
    </row>
    <row r="37" spans="1:7" ht="37.5" x14ac:dyDescent="0.25">
      <c r="A37" s="200">
        <f t="shared" si="4"/>
        <v>396</v>
      </c>
      <c r="B37" s="231" t="str">
        <f>Suite&amp;" Electrical Room "&amp;SWThree</f>
        <v>G104 Electrical Room XXX</v>
      </c>
      <c r="C37" s="183" t="str">
        <f>"UPS "&amp;SWThree&amp;"2"</f>
        <v>UPS XXX2</v>
      </c>
      <c r="D37" s="186" t="s">
        <v>1620</v>
      </c>
      <c r="E37" s="183" t="s">
        <v>1464</v>
      </c>
      <c r="F37" s="193"/>
      <c r="G37" s="193"/>
    </row>
    <row r="38" spans="1:7" ht="37.5" x14ac:dyDescent="0.25">
      <c r="A38" s="200">
        <f t="shared" si="4"/>
        <v>397</v>
      </c>
      <c r="B38" s="231" t="str">
        <f>Suite&amp;" Electrical Room "&amp;SWThree</f>
        <v>G104 Electrical Room XXX</v>
      </c>
      <c r="C38" s="183" t="str">
        <f>"UPS "&amp;SWThree&amp;"2"</f>
        <v>UPS XXX2</v>
      </c>
      <c r="D38" s="187" t="s">
        <v>1621</v>
      </c>
      <c r="E38" s="183" t="s">
        <v>1464</v>
      </c>
      <c r="F38" s="193"/>
      <c r="G38" s="193"/>
    </row>
    <row r="39" spans="1:7" ht="37.5" x14ac:dyDescent="0.25">
      <c r="A39" s="200">
        <f t="shared" si="4"/>
        <v>398</v>
      </c>
      <c r="B39" s="231" t="str">
        <f>Suite&amp;" Electrical Room "&amp;SWThree</f>
        <v>G104 Electrical Room XXX</v>
      </c>
      <c r="C39" s="183" t="str">
        <f>"UPS "&amp;SWThree&amp;"2"</f>
        <v>UPS XXX2</v>
      </c>
      <c r="D39" s="204" t="s">
        <v>4811</v>
      </c>
      <c r="E39" s="183" t="s">
        <v>1464</v>
      </c>
      <c r="F39" s="193"/>
      <c r="G39" s="193"/>
    </row>
    <row r="40" spans="1:7" ht="56.25" x14ac:dyDescent="0.25">
      <c r="A40" s="200">
        <f t="shared" si="4"/>
        <v>399</v>
      </c>
      <c r="B40" s="231" t="str">
        <f>Suite&amp;" Electrical Room "&amp;SWThree</f>
        <v>G104 Electrical Room XXX</v>
      </c>
      <c r="C40" s="183" t="str">
        <f>"UPS "&amp;SWThree&amp;"2"</f>
        <v>UPS XXX2</v>
      </c>
      <c r="D40" s="186" t="s">
        <v>1622</v>
      </c>
      <c r="E40" s="183" t="s">
        <v>1464</v>
      </c>
      <c r="F40" s="193"/>
      <c r="G40" s="193"/>
    </row>
    <row r="41" spans="1:7" ht="37.5" x14ac:dyDescent="0.25">
      <c r="A41" s="200">
        <f t="shared" si="4"/>
        <v>400</v>
      </c>
      <c r="B41" s="231" t="str">
        <f>Suite&amp;" Electrical Room "&amp;SWThree</f>
        <v>G104 Electrical Room XXX</v>
      </c>
      <c r="C41" s="183" t="str">
        <f>"UPS "&amp;SWThree&amp;"2"</f>
        <v>UPS XXX2</v>
      </c>
      <c r="D41" s="187" t="s">
        <v>1625</v>
      </c>
      <c r="E41" s="183" t="s">
        <v>1464</v>
      </c>
      <c r="F41" s="193"/>
      <c r="G41" s="193"/>
    </row>
    <row r="42" spans="1:7" ht="37.5" x14ac:dyDescent="0.25">
      <c r="A42" s="200">
        <f t="shared" si="4"/>
        <v>401</v>
      </c>
      <c r="B42" s="231" t="str">
        <f>Suite&amp;" Electrical Room "&amp;SWThree</f>
        <v>G104 Electrical Room XXX</v>
      </c>
      <c r="C42" s="183" t="str">
        <f>"UPS "&amp;SWThree</f>
        <v>UPS XXX</v>
      </c>
      <c r="D42" s="204" t="s">
        <v>1501</v>
      </c>
      <c r="E42" s="183" t="s">
        <v>1464</v>
      </c>
      <c r="F42" s="193"/>
      <c r="G42" s="193"/>
    </row>
    <row r="43" spans="1:7" ht="37.5" x14ac:dyDescent="0.25">
      <c r="A43" s="200">
        <f t="shared" si="4"/>
        <v>402</v>
      </c>
      <c r="B43" s="231" t="str">
        <f>Suite&amp;" Electrical Room "&amp;SWThree</f>
        <v>G104 Electrical Room XXX</v>
      </c>
      <c r="C43" s="183" t="str">
        <f>"UP"&amp;SWThree</f>
        <v>UPXXX</v>
      </c>
      <c r="D43" s="235" t="s">
        <v>4783</v>
      </c>
      <c r="E43" s="183" t="s">
        <v>1464</v>
      </c>
      <c r="F43" s="193"/>
      <c r="G43" s="193"/>
    </row>
    <row r="44" spans="1:7" ht="37.5" x14ac:dyDescent="0.25">
      <c r="A44" s="200">
        <f t="shared" si="4"/>
        <v>403</v>
      </c>
      <c r="B44" s="231" t="str">
        <f>Suite&amp;" Electrical Room "&amp;SWThree</f>
        <v>G104 Electrical Room XXX</v>
      </c>
      <c r="C44" s="183" t="str">
        <f>"UP"&amp;SWThree</f>
        <v>UPXXX</v>
      </c>
      <c r="D44" s="186" t="str">
        <f>"VERIFY the readings in step " &amp; A18 &amp; " and " &amp; A43 &amp; " are within 3% of each other. (new kW divided by original kW must be ≤1.03 and ≥0.97)."</f>
        <v>VERIFY the readings in step 380 and 402 are within 3% of each other. (new kW divided by original kW must be ≤1.03 and ≥0.97).</v>
      </c>
      <c r="E44" s="183" t="s">
        <v>1464</v>
      </c>
      <c r="F44" s="193"/>
      <c r="G44" s="193"/>
    </row>
    <row r="45" spans="1:7" x14ac:dyDescent="0.25">
      <c r="A45" s="200">
        <f t="shared" si="4"/>
        <v>404</v>
      </c>
      <c r="B45" s="714" t="s">
        <v>1502</v>
      </c>
      <c r="C45" s="714"/>
      <c r="D45" s="714"/>
      <c r="E45" s="714"/>
      <c r="F45" s="714"/>
      <c r="G45" s="714"/>
    </row>
    <row r="46" spans="1:7" ht="37.5" x14ac:dyDescent="0.25">
      <c r="A46" s="200">
        <f t="shared" si="4"/>
        <v>405</v>
      </c>
      <c r="B46" s="231" t="str">
        <f>Suite&amp;" Electrical Room "&amp;SWThree</f>
        <v>G104 Electrical Room XXX</v>
      </c>
      <c r="C46" s="183" t="str">
        <f>"UP"&amp;SWThree</f>
        <v>UPXXX</v>
      </c>
      <c r="D46" s="235" t="s">
        <v>1627</v>
      </c>
      <c r="E46" s="183" t="s">
        <v>1464</v>
      </c>
      <c r="F46" s="193"/>
      <c r="G46" s="193"/>
    </row>
    <row r="47" spans="1:7" ht="37.5" x14ac:dyDescent="0.25">
      <c r="A47" s="200">
        <f t="shared" si="4"/>
        <v>406</v>
      </c>
      <c r="B47" s="231" t="str">
        <f>Suite&amp;" Electrical Room "&amp;SWThree</f>
        <v>G104 Electrical Room XXX</v>
      </c>
      <c r="C47" s="183" t="str">
        <f>"UP"&amp;SWThree</f>
        <v>UPXXX</v>
      </c>
      <c r="D47" s="187" t="s">
        <v>1628</v>
      </c>
      <c r="E47" s="183" t="s">
        <v>1464</v>
      </c>
      <c r="F47" s="193"/>
      <c r="G47" s="193"/>
    </row>
    <row r="48" spans="1:7" ht="37.5" x14ac:dyDescent="0.25">
      <c r="A48" s="200">
        <f t="shared" si="4"/>
        <v>407</v>
      </c>
      <c r="B48" s="231" t="str">
        <f>Suite&amp;" Electrical Room "&amp;SWThree</f>
        <v>G104 Electrical Room XXX</v>
      </c>
      <c r="C48" s="183" t="str">
        <f>"UP"&amp;SWThree</f>
        <v>UPXXX</v>
      </c>
      <c r="D48" s="187" t="s">
        <v>1629</v>
      </c>
      <c r="E48" s="183" t="s">
        <v>1464</v>
      </c>
      <c r="F48" s="193"/>
      <c r="G48" s="193"/>
    </row>
    <row r="49" spans="1:7" ht="37.5" x14ac:dyDescent="0.25">
      <c r="A49" s="200">
        <f t="shared" si="4"/>
        <v>408</v>
      </c>
      <c r="B49" s="231" t="str">
        <f>Suite&amp;" Electrical Room "&amp;SWThree</f>
        <v>G104 Electrical Room XXX</v>
      </c>
      <c r="C49" s="183" t="str">
        <f>"UP"&amp;SWThree</f>
        <v>UPXXX</v>
      </c>
      <c r="D49" s="235" t="s">
        <v>4784</v>
      </c>
      <c r="E49" s="183" t="s">
        <v>1464</v>
      </c>
      <c r="F49" s="193"/>
      <c r="G49" s="193"/>
    </row>
    <row r="50" spans="1:7" ht="37.5" x14ac:dyDescent="0.25">
      <c r="A50" s="200">
        <f t="shared" si="4"/>
        <v>409</v>
      </c>
      <c r="B50" s="231" t="str">
        <f>Suite&amp;" Electrical Room "&amp;SWThree</f>
        <v>G104 Electrical Room XXX</v>
      </c>
      <c r="C50" s="183" t="str">
        <f>"UP"&amp;SWThree</f>
        <v>UPXXX</v>
      </c>
      <c r="D50" s="187" t="s">
        <v>4785</v>
      </c>
      <c r="E50" s="183" t="s">
        <v>1464</v>
      </c>
      <c r="F50" s="193"/>
      <c r="G50" s="193"/>
    </row>
    <row r="51" spans="1:7" ht="37.5" x14ac:dyDescent="0.25">
      <c r="A51" s="200">
        <f t="shared" si="4"/>
        <v>410</v>
      </c>
      <c r="B51" s="231" t="str">
        <f>Suite&amp;" Electrical Room "&amp;SWThree</f>
        <v>G104 Electrical Room XXX</v>
      </c>
      <c r="C51" s="183" t="str">
        <f>"UP"&amp;SWThree</f>
        <v>UPXXX</v>
      </c>
      <c r="D51" s="187" t="s">
        <v>4786</v>
      </c>
      <c r="E51" s="183" t="s">
        <v>1464</v>
      </c>
      <c r="F51" s="193"/>
      <c r="G51" s="193"/>
    </row>
    <row r="52" spans="1:7" ht="37.5" x14ac:dyDescent="0.25">
      <c r="A52" s="200">
        <f t="shared" si="4"/>
        <v>411</v>
      </c>
      <c r="B52" s="231" t="str">
        <f>Suite&amp;" Electrical Room "&amp;SWThree</f>
        <v>G104 Electrical Room XXX</v>
      </c>
      <c r="C52" s="183" t="str">
        <f>"UP"&amp;SWThree</f>
        <v>UPXXX</v>
      </c>
      <c r="D52" s="187" t="s">
        <v>4787</v>
      </c>
      <c r="E52" s="183" t="s">
        <v>1464</v>
      </c>
      <c r="F52" s="193"/>
      <c r="G52" s="193"/>
    </row>
    <row r="53" spans="1:7" ht="18.75" customHeight="1" x14ac:dyDescent="0.25">
      <c r="A53" s="200">
        <f t="shared" si="4"/>
        <v>412</v>
      </c>
      <c r="B53" s="231" t="str">
        <f>Suite&amp;" Electrical Room "&amp;SWThree</f>
        <v>G104 Electrical Room XXX</v>
      </c>
      <c r="C53" s="183" t="str">
        <f>"UP"&amp;SWThree</f>
        <v>UPXXX</v>
      </c>
      <c r="D53" s="187" t="s">
        <v>4788</v>
      </c>
      <c r="E53" s="183" t="s">
        <v>1464</v>
      </c>
      <c r="F53" s="193"/>
      <c r="G53" s="193"/>
    </row>
    <row r="54" spans="1:7" ht="37.5" x14ac:dyDescent="0.25">
      <c r="A54" s="200">
        <f t="shared" si="4"/>
        <v>413</v>
      </c>
      <c r="B54" s="231" t="str">
        <f>Suite&amp;" Electrical Room "&amp;SWThree</f>
        <v>G104 Electrical Room XXX</v>
      </c>
      <c r="C54" s="183" t="str">
        <f>"UP"&amp;SWThree</f>
        <v>UPXXX</v>
      </c>
      <c r="D54" s="187" t="s">
        <v>4789</v>
      </c>
      <c r="E54" s="183" t="s">
        <v>1464</v>
      </c>
      <c r="F54" s="193"/>
      <c r="G54" s="193"/>
    </row>
    <row r="55" spans="1:7" ht="37.5" x14ac:dyDescent="0.25">
      <c r="A55" s="200">
        <f t="shared" si="4"/>
        <v>414</v>
      </c>
      <c r="B55" s="231" t="str">
        <f>Suite&amp;" Electrical Room "&amp;SWThree</f>
        <v>G104 Electrical Room XXX</v>
      </c>
      <c r="C55" s="183" t="str">
        <f>"UP"&amp;SWThree</f>
        <v>UPXXX</v>
      </c>
      <c r="D55" s="187" t="s">
        <v>4790</v>
      </c>
      <c r="E55" s="183" t="s">
        <v>1464</v>
      </c>
      <c r="F55" s="193"/>
      <c r="G55" s="193"/>
    </row>
    <row r="56" spans="1:7" ht="37.5" x14ac:dyDescent="0.25">
      <c r="A56" s="200">
        <f t="shared" si="4"/>
        <v>415</v>
      </c>
      <c r="B56" s="231" t="str">
        <f>Suite&amp;" Electrical Room "&amp;SWThree</f>
        <v>G104 Electrical Room XXX</v>
      </c>
      <c r="C56" s="183" t="str">
        <f>"UP"&amp;SWThree</f>
        <v>UPXXX</v>
      </c>
      <c r="D56" s="233" t="s">
        <v>4791</v>
      </c>
      <c r="E56" s="183" t="s">
        <v>1464</v>
      </c>
      <c r="F56" s="193"/>
      <c r="G56" s="193"/>
    </row>
    <row r="57" spans="1:7" ht="56.25" x14ac:dyDescent="0.25">
      <c r="A57" s="200">
        <f t="shared" si="4"/>
        <v>416</v>
      </c>
      <c r="B57" s="231" t="str">
        <f>Suite&amp;" Electrical Room "&amp;SWThree</f>
        <v>G104 Electrical Room XXX</v>
      </c>
      <c r="C57" s="183" t="str">
        <f>"UP"&amp;SWThree</f>
        <v>UPXXX</v>
      </c>
      <c r="D57" s="186" t="s">
        <v>4792</v>
      </c>
      <c r="E57" s="183" t="s">
        <v>1464</v>
      </c>
      <c r="F57" s="193"/>
      <c r="G57" s="193"/>
    </row>
    <row r="58" spans="1:7" ht="37.5" x14ac:dyDescent="0.25">
      <c r="A58" s="200">
        <f t="shared" si="4"/>
        <v>417</v>
      </c>
      <c r="B58" s="231" t="str">
        <f>Suite&amp;" Electrical Room "&amp;SWThree</f>
        <v>G104 Electrical Room XXX</v>
      </c>
      <c r="C58" s="183" t="str">
        <f>"UP"&amp;SWThree</f>
        <v>UPXXX</v>
      </c>
      <c r="D58" s="187" t="s">
        <v>4793</v>
      </c>
      <c r="E58" s="183" t="s">
        <v>1464</v>
      </c>
      <c r="F58" s="193"/>
      <c r="G58" s="193"/>
    </row>
    <row r="59" spans="1:7" ht="37.5" x14ac:dyDescent="0.25">
      <c r="A59" s="200">
        <f t="shared" si="4"/>
        <v>418</v>
      </c>
      <c r="B59" s="231" t="str">
        <f>Suite&amp;" Electrical Room "&amp;SWThree</f>
        <v>G104 Electrical Room XXX</v>
      </c>
      <c r="C59" s="183" t="str">
        <f>"UP"&amp;SWThree</f>
        <v>UPXXX</v>
      </c>
      <c r="D59" s="187" t="s">
        <v>4794</v>
      </c>
      <c r="E59" s="183" t="s">
        <v>1464</v>
      </c>
      <c r="F59" s="193"/>
      <c r="G59" s="193"/>
    </row>
    <row r="60" spans="1:7" ht="37.5" x14ac:dyDescent="0.25">
      <c r="A60" s="200">
        <f t="shared" si="4"/>
        <v>419</v>
      </c>
      <c r="B60" s="231" t="str">
        <f>Suite&amp;" Electrical Room "&amp;SWThree</f>
        <v>G104 Electrical Room XXX</v>
      </c>
      <c r="C60" s="183" t="str">
        <f>"UP"&amp;SWThree</f>
        <v>UPXXX</v>
      </c>
      <c r="D60" s="204" t="s">
        <v>1506</v>
      </c>
      <c r="E60" s="183" t="s">
        <v>1464</v>
      </c>
      <c r="F60" s="193"/>
      <c r="G60" s="193"/>
    </row>
    <row r="61" spans="1:7" ht="37.5" x14ac:dyDescent="0.25">
      <c r="A61" s="200">
        <f t="shared" si="4"/>
        <v>420</v>
      </c>
      <c r="B61" s="231" t="str">
        <f>Suite&amp;" Electrical Room "&amp;SWThree</f>
        <v>G104 Electrical Room XXX</v>
      </c>
      <c r="C61" s="183" t="str">
        <f>"UP"&amp;SWThree</f>
        <v>UPXXX</v>
      </c>
      <c r="D61" s="235" t="s">
        <v>4783</v>
      </c>
      <c r="E61" s="183" t="s">
        <v>1464</v>
      </c>
      <c r="F61" s="193"/>
      <c r="G61" s="193"/>
    </row>
    <row r="62" spans="1:7" ht="37.5" x14ac:dyDescent="0.25">
      <c r="A62" s="200">
        <f t="shared" si="4"/>
        <v>421</v>
      </c>
      <c r="B62" s="231" t="str">
        <f>Suite&amp;" Electrical Room "&amp;SWThree</f>
        <v>G104 Electrical Room XXX</v>
      </c>
      <c r="C62" s="183" t="str">
        <f>"UP"&amp;SWThree</f>
        <v>UPXXX</v>
      </c>
      <c r="D62" s="186" t="str">
        <f>"VERIFY the readings in step " &amp; A43 &amp; " and " &amp; A61 &amp; " are within 3% of each other. (new kW divided by original kW must be ≤1.03 and ≥0.97)."</f>
        <v>VERIFY the readings in step 402 and 420 are within 3% of each other. (new kW divided by original kW must be ≤1.03 and ≥0.97).</v>
      </c>
      <c r="E62" s="183" t="s">
        <v>1464</v>
      </c>
      <c r="F62" s="193"/>
      <c r="G62" s="193"/>
    </row>
    <row r="63" spans="1:7" ht="37.5" x14ac:dyDescent="0.25">
      <c r="A63" s="200">
        <f t="shared" si="4"/>
        <v>422</v>
      </c>
      <c r="B63" s="231" t="str">
        <f>Suite&amp;" Electrical Room "&amp;SWThree</f>
        <v>G104 Electrical Room XXX</v>
      </c>
      <c r="C63" s="183" t="str">
        <f>"UP"&amp;SWThree</f>
        <v>UPXXX</v>
      </c>
      <c r="D63" s="187" t="s">
        <v>4795</v>
      </c>
      <c r="E63" s="183" t="s">
        <v>1464</v>
      </c>
      <c r="F63" s="193"/>
      <c r="G63" s="193"/>
    </row>
    <row r="64" spans="1:7" ht="37.5" x14ac:dyDescent="0.25">
      <c r="A64" s="200">
        <f t="shared" si="4"/>
        <v>423</v>
      </c>
      <c r="B64" s="231" t="str">
        <f>Suite&amp;" Electrical Room "&amp;SWThree</f>
        <v>G104 Electrical Room XXX</v>
      </c>
      <c r="C64" s="183" t="str">
        <f>"UP"&amp;SWThree</f>
        <v>UPXXX</v>
      </c>
      <c r="D64" s="187" t="s">
        <v>4796</v>
      </c>
      <c r="E64" s="183" t="s">
        <v>1464</v>
      </c>
      <c r="F64" s="193"/>
      <c r="G64" s="193"/>
    </row>
    <row r="65" spans="1:7" ht="37.5" x14ac:dyDescent="0.25">
      <c r="A65" s="200">
        <f t="shared" si="4"/>
        <v>424</v>
      </c>
      <c r="B65" s="231" t="str">
        <f>Suite&amp;" Electrical Room "&amp;SWThree</f>
        <v>G104 Electrical Room XXX</v>
      </c>
      <c r="C65" s="183" t="str">
        <f>"UP"&amp;SWThree</f>
        <v>UPXXX</v>
      </c>
      <c r="D65" s="235" t="s">
        <v>1643</v>
      </c>
      <c r="E65" s="183" t="s">
        <v>1464</v>
      </c>
      <c r="F65" s="193"/>
      <c r="G65" s="193"/>
    </row>
    <row r="66" spans="1:7" ht="37.5" x14ac:dyDescent="0.25">
      <c r="A66" s="200">
        <f t="shared" si="4"/>
        <v>425</v>
      </c>
      <c r="B66" s="231" t="str">
        <f>Suite&amp;" Electrical Room "&amp;SWThree</f>
        <v>G104 Electrical Room XXX</v>
      </c>
      <c r="C66" s="183" t="str">
        <f>"UP"&amp;SWThree</f>
        <v>UPXXX</v>
      </c>
      <c r="D66" s="187" t="s">
        <v>1644</v>
      </c>
      <c r="E66" s="183" t="s">
        <v>1464</v>
      </c>
      <c r="F66" s="193"/>
      <c r="G66" s="193"/>
    </row>
    <row r="67" spans="1:7" ht="37.5" x14ac:dyDescent="0.25">
      <c r="A67" s="200">
        <f t="shared" si="4"/>
        <v>426</v>
      </c>
      <c r="B67" s="231" t="str">
        <f>Suite&amp;" Electrical Room "&amp;SWThree</f>
        <v>G104 Electrical Room XXX</v>
      </c>
      <c r="C67" s="183" t="str">
        <f>"UP"&amp;SWThree</f>
        <v>UPXXX</v>
      </c>
      <c r="D67" s="187" t="s">
        <v>1645</v>
      </c>
      <c r="E67" s="183" t="s">
        <v>1464</v>
      </c>
      <c r="F67" s="193"/>
      <c r="G67" s="193"/>
    </row>
    <row r="68" spans="1:7" ht="37.5" x14ac:dyDescent="0.25">
      <c r="A68" s="200">
        <f t="shared" si="4"/>
        <v>427</v>
      </c>
      <c r="B68" s="231" t="str">
        <f>Suite&amp;" Electrical Room "&amp;SWThree</f>
        <v>G104 Electrical Room XXX</v>
      </c>
      <c r="C68" s="183" t="str">
        <f>"UP"&amp;SWThree</f>
        <v>UPXXX</v>
      </c>
      <c r="D68" s="204" t="s">
        <v>1646</v>
      </c>
      <c r="E68" s="183" t="s">
        <v>1464</v>
      </c>
      <c r="F68" s="193"/>
      <c r="G68" s="193"/>
    </row>
    <row r="69" spans="1:7" x14ac:dyDescent="0.25">
      <c r="A69" s="200">
        <f t="shared" si="4"/>
        <v>428</v>
      </c>
      <c r="B69" s="714" t="s">
        <v>1740</v>
      </c>
      <c r="C69" s="714"/>
      <c r="D69" s="714"/>
      <c r="E69" s="714"/>
      <c r="F69" s="714"/>
      <c r="G69" s="714"/>
    </row>
    <row r="70" spans="1:7" ht="37.5" x14ac:dyDescent="0.25">
      <c r="A70" s="200">
        <f t="shared" si="4"/>
        <v>429</v>
      </c>
      <c r="B70" s="231" t="str">
        <f>Suite&amp;" Electrical Room "&amp;SWThree</f>
        <v>G104 Electrical Room XXX</v>
      </c>
      <c r="C70" s="183" t="str">
        <f>"UP"&amp;SWThree</f>
        <v>UPXXX</v>
      </c>
      <c r="D70" s="187" t="s">
        <v>4818</v>
      </c>
      <c r="E70" s="183" t="s">
        <v>1464</v>
      </c>
      <c r="F70" s="193"/>
      <c r="G70" s="193"/>
    </row>
    <row r="71" spans="1:7" ht="37.5" x14ac:dyDescent="0.25">
      <c r="A71" s="200">
        <f t="shared" si="4"/>
        <v>430</v>
      </c>
      <c r="B71" s="231" t="str">
        <f>Suite&amp;" Electrical Room "&amp;SWThree</f>
        <v>G104 Electrical Room XXX</v>
      </c>
      <c r="C71" s="183" t="str">
        <f>"UP"&amp;SWThree</f>
        <v>UPXXX</v>
      </c>
      <c r="D71" s="187" t="s">
        <v>4819</v>
      </c>
      <c r="E71" s="183" t="s">
        <v>1464</v>
      </c>
      <c r="F71" s="193"/>
      <c r="G71" s="193"/>
    </row>
    <row r="72" spans="1:7" ht="37.5" x14ac:dyDescent="0.25">
      <c r="A72" s="200">
        <f t="shared" si="4"/>
        <v>431</v>
      </c>
      <c r="B72" s="231" t="str">
        <f>Suite&amp;" Electrical Room "&amp;SWThree</f>
        <v>G104 Electrical Room XXX</v>
      </c>
      <c r="C72" s="183" t="str">
        <f>"UP"&amp;SWThree</f>
        <v>UPXXX</v>
      </c>
      <c r="D72" s="186" t="s">
        <v>1518</v>
      </c>
      <c r="E72" s="183" t="s">
        <v>1464</v>
      </c>
      <c r="F72" s="193"/>
      <c r="G72" s="193"/>
    </row>
    <row r="73" spans="1:7" ht="37.5" x14ac:dyDescent="0.25">
      <c r="A73" s="200">
        <f t="shared" si="4"/>
        <v>432</v>
      </c>
      <c r="B73" s="231" t="str">
        <f>Suite&amp;" Electrical Room "&amp;SWThree</f>
        <v>G104 Electrical Room XXX</v>
      </c>
      <c r="C73" s="183" t="str">
        <f>"UPS "&amp;SWThree&amp;"1"</f>
        <v>UPS XXX1</v>
      </c>
      <c r="D73" s="186" t="s">
        <v>1650</v>
      </c>
      <c r="E73" s="183" t="s">
        <v>1464</v>
      </c>
      <c r="F73" s="193"/>
      <c r="G73" s="193"/>
    </row>
    <row r="74" spans="1:7" ht="37.5" x14ac:dyDescent="0.25">
      <c r="A74" s="200">
        <f t="shared" si="4"/>
        <v>433</v>
      </c>
      <c r="B74" s="231" t="str">
        <f>Suite&amp;" Electrical Room "&amp;SWThree</f>
        <v>G104 Electrical Room XXX</v>
      </c>
      <c r="C74" s="183" t="str">
        <f>"UP"&amp;SWThree</f>
        <v>UPXXX</v>
      </c>
      <c r="D74" s="187" t="s">
        <v>4822</v>
      </c>
      <c r="E74" s="183" t="s">
        <v>1464</v>
      </c>
      <c r="F74" s="193"/>
      <c r="G74" s="193"/>
    </row>
    <row r="75" spans="1:7" ht="37.5" x14ac:dyDescent="0.25">
      <c r="A75" s="200">
        <f t="shared" si="4"/>
        <v>434</v>
      </c>
      <c r="B75" s="231" t="str">
        <f>Suite&amp;" Electrical Room "&amp;SWThree</f>
        <v>G104 Electrical Room XXX</v>
      </c>
      <c r="C75" s="183" t="str">
        <f>"UP"&amp;SWThree</f>
        <v>UPXXX</v>
      </c>
      <c r="D75" s="187" t="s">
        <v>4823</v>
      </c>
      <c r="E75" s="183" t="s">
        <v>1464</v>
      </c>
      <c r="F75" s="193"/>
      <c r="G75" s="193"/>
    </row>
    <row r="76" spans="1:7" ht="37.5" x14ac:dyDescent="0.25">
      <c r="A76" s="200">
        <f t="shared" si="4"/>
        <v>435</v>
      </c>
      <c r="B76" s="231" t="str">
        <f>Suite&amp;" Electrical Room "&amp;SWThree</f>
        <v>G104 Electrical Room XXX</v>
      </c>
      <c r="C76" s="183" t="str">
        <f>"UP"&amp;SWThree</f>
        <v>UPXXX</v>
      </c>
      <c r="D76" s="186" t="s">
        <v>1518</v>
      </c>
      <c r="E76" s="183" t="s">
        <v>1464</v>
      </c>
      <c r="F76" s="193"/>
      <c r="G76" s="193"/>
    </row>
    <row r="77" spans="1:7" ht="37.5" x14ac:dyDescent="0.25">
      <c r="A77" s="200">
        <f t="shared" si="4"/>
        <v>436</v>
      </c>
      <c r="B77" s="231" t="str">
        <f>Suite&amp;" Electrical Room "&amp;SWThree</f>
        <v>G104 Electrical Room XXX</v>
      </c>
      <c r="C77" s="183" t="str">
        <f>"UPS "&amp;SWThree&amp;"2"</f>
        <v>UPS XXX2</v>
      </c>
      <c r="D77" s="186" t="s">
        <v>1650</v>
      </c>
      <c r="E77" s="183" t="s">
        <v>1464</v>
      </c>
      <c r="F77" s="193"/>
      <c r="G77" s="193"/>
    </row>
    <row r="78" spans="1:7" ht="56.25" x14ac:dyDescent="0.25">
      <c r="A78" s="200">
        <f t="shared" si="4"/>
        <v>437</v>
      </c>
      <c r="B78" s="231" t="str">
        <f>Suite&amp;" Electrical Room "&amp;SWThree</f>
        <v>G104 Electrical Room XXX</v>
      </c>
      <c r="C78" s="183" t="str">
        <f>"UPS "&amp;SWThree&amp;" Battery Cabinets"</f>
        <v>UPS XXX Battery Cabinets</v>
      </c>
      <c r="D78" s="187" t="s">
        <v>4838</v>
      </c>
      <c r="E78" s="183" t="s">
        <v>1464</v>
      </c>
      <c r="F78" s="193"/>
      <c r="G78" s="193"/>
    </row>
    <row r="79" spans="1:7" ht="56.25" x14ac:dyDescent="0.25">
      <c r="A79" s="200">
        <f t="shared" si="4"/>
        <v>438</v>
      </c>
      <c r="B79" s="231" t="str">
        <f>Suite&amp;" Electrical Room "&amp;SWThree</f>
        <v>G104 Electrical Room XXX</v>
      </c>
      <c r="C79" s="183" t="str">
        <f>"UPS "&amp;SWThree&amp;" Battery Cabinets"</f>
        <v>UPS XXX Battery Cabinets</v>
      </c>
      <c r="D79" s="187" t="s">
        <v>4839</v>
      </c>
      <c r="E79" s="183" t="s">
        <v>1464</v>
      </c>
      <c r="F79" s="193"/>
      <c r="G79" s="193"/>
    </row>
    <row r="80" spans="1:7" ht="56.25" x14ac:dyDescent="0.25">
      <c r="A80" s="200">
        <f t="shared" si="4"/>
        <v>439</v>
      </c>
      <c r="B80" s="231" t="str">
        <f>Suite&amp;" Electrical Room "&amp;SWThree</f>
        <v>G104 Electrical Room XXX</v>
      </c>
      <c r="C80" s="183" t="str">
        <f>"UPS "&amp;SWThree&amp;" Battery Cabinets"</f>
        <v>UPS XXX Battery Cabinets</v>
      </c>
      <c r="D80" s="186" t="s">
        <v>1518</v>
      </c>
      <c r="E80" s="183" t="s">
        <v>1464</v>
      </c>
      <c r="F80" s="193"/>
      <c r="G80" s="193"/>
    </row>
    <row r="81" spans="1:7" ht="56.25" x14ac:dyDescent="0.25">
      <c r="A81" s="200">
        <f t="shared" si="4"/>
        <v>440</v>
      </c>
      <c r="B81" s="231" t="str">
        <f>Suite&amp;" Electrical Room "&amp;SWThree</f>
        <v>G104 Electrical Room XXX</v>
      </c>
      <c r="C81" s="183" t="str">
        <f>"UPS "&amp;SWThree&amp;" Battery Cabinets"</f>
        <v>UPS XXX Battery Cabinets</v>
      </c>
      <c r="D81" s="187" t="s">
        <v>4840</v>
      </c>
      <c r="E81" s="183" t="s">
        <v>1464</v>
      </c>
      <c r="F81" s="193"/>
      <c r="G81" s="193"/>
    </row>
    <row r="82" spans="1:7" ht="56.25" x14ac:dyDescent="0.25">
      <c r="A82" s="200">
        <f t="shared" si="4"/>
        <v>441</v>
      </c>
      <c r="B82" s="231" t="str">
        <f>Suite&amp;" Electrical Room "&amp;SWThree</f>
        <v>G104 Electrical Room XXX</v>
      </c>
      <c r="C82" s="183" t="str">
        <f>"UPS "&amp;SWThree&amp;" Battery Cabinets"</f>
        <v>UPS XXX Battery Cabinets</v>
      </c>
      <c r="D82" s="187" t="s">
        <v>4841</v>
      </c>
      <c r="E82" s="183" t="s">
        <v>1464</v>
      </c>
      <c r="F82" s="193"/>
      <c r="G82" s="193"/>
    </row>
    <row r="83" spans="1:7" ht="56.25" x14ac:dyDescent="0.25">
      <c r="A83" s="200">
        <f t="shared" si="4"/>
        <v>442</v>
      </c>
      <c r="B83" s="231" t="str">
        <f>Suite&amp;" Electrical Room "&amp;SWThree</f>
        <v>G104 Electrical Room XXX</v>
      </c>
      <c r="C83" s="183" t="str">
        <f>"UPS "&amp;SWThree&amp;" Battery Cabinets"</f>
        <v>UPS XXX Battery Cabinets</v>
      </c>
      <c r="D83" s="186" t="s">
        <v>1518</v>
      </c>
      <c r="E83" s="183" t="s">
        <v>1464</v>
      </c>
      <c r="F83" s="193"/>
      <c r="G83" s="193"/>
    </row>
    <row r="84" spans="1:7" ht="56.25" x14ac:dyDescent="0.25">
      <c r="A84" s="200">
        <f t="shared" si="4"/>
        <v>443</v>
      </c>
      <c r="B84" s="231" t="str">
        <f>Suite&amp;" Electrical Room "&amp;SWThree</f>
        <v>G104 Electrical Room XXX</v>
      </c>
      <c r="C84" s="183" t="str">
        <f>"UPS "&amp;SWThree&amp;" Battery Cabinets"</f>
        <v>UPS XXX Battery Cabinets</v>
      </c>
      <c r="D84" s="187" t="s">
        <v>4842</v>
      </c>
      <c r="E84" s="183" t="s">
        <v>1464</v>
      </c>
      <c r="F84" s="193"/>
      <c r="G84" s="193"/>
    </row>
    <row r="85" spans="1:7" ht="56.25" x14ac:dyDescent="0.25">
      <c r="A85" s="200">
        <f t="shared" si="4"/>
        <v>444</v>
      </c>
      <c r="B85" s="231" t="str">
        <f>Suite&amp;" Electrical Room "&amp;SWThree</f>
        <v>G104 Electrical Room XXX</v>
      </c>
      <c r="C85" s="183" t="str">
        <f>"UPS "&amp;SWThree&amp;" Battery Cabinets"</f>
        <v>UPS XXX Battery Cabinets</v>
      </c>
      <c r="D85" s="187" t="s">
        <v>4843</v>
      </c>
      <c r="E85" s="183" t="s">
        <v>1464</v>
      </c>
      <c r="F85" s="193"/>
      <c r="G85" s="193"/>
    </row>
    <row r="86" spans="1:7" ht="56.25" x14ac:dyDescent="0.25">
      <c r="A86" s="200">
        <f t="shared" si="4"/>
        <v>445</v>
      </c>
      <c r="B86" s="231" t="str">
        <f>Suite&amp;" Electrical Room "&amp;SWThree</f>
        <v>G104 Electrical Room XXX</v>
      </c>
      <c r="C86" s="183" t="str">
        <f>"UPS "&amp;SWThree&amp;" Battery Cabinets"</f>
        <v>UPS XXX Battery Cabinets</v>
      </c>
      <c r="D86" s="186" t="s">
        <v>1518</v>
      </c>
      <c r="E86" s="183" t="s">
        <v>1464</v>
      </c>
      <c r="F86" s="193"/>
      <c r="G86" s="193"/>
    </row>
    <row r="87" spans="1:7" ht="56.25" x14ac:dyDescent="0.25">
      <c r="A87" s="200">
        <f t="shared" si="4"/>
        <v>446</v>
      </c>
      <c r="B87" s="231" t="str">
        <f>Suite&amp;" Electrical Room "&amp;SWThree</f>
        <v>G104 Electrical Room XXX</v>
      </c>
      <c r="C87" s="183" t="str">
        <f>"UPS "&amp;SWThree&amp;" Battery Cabinets"</f>
        <v>UPS XXX Battery Cabinets</v>
      </c>
      <c r="D87" s="186" t="s">
        <v>1659</v>
      </c>
      <c r="E87" s="183" t="s">
        <v>1464</v>
      </c>
      <c r="F87" s="193"/>
      <c r="G87" s="193"/>
    </row>
    <row r="88" spans="1:7" ht="56.25" x14ac:dyDescent="0.25">
      <c r="A88" s="200">
        <f t="shared" si="4"/>
        <v>447</v>
      </c>
      <c r="B88" s="231" t="str">
        <f>Suite&amp;" Electrical Room "&amp;SWThree</f>
        <v>G104 Electrical Room XXX</v>
      </c>
      <c r="C88" s="183" t="str">
        <f>"UPS "&amp;SWThree&amp;" Battery Cabinets"</f>
        <v>UPS XXX Battery Cabinets</v>
      </c>
      <c r="D88" s="187" t="s">
        <v>4826</v>
      </c>
      <c r="E88" s="183" t="s">
        <v>1464</v>
      </c>
      <c r="F88" s="193"/>
      <c r="G88" s="193"/>
    </row>
    <row r="89" spans="1:7" ht="56.25" x14ac:dyDescent="0.25">
      <c r="A89" s="200">
        <f t="shared" si="4"/>
        <v>448</v>
      </c>
      <c r="B89" s="231" t="str">
        <f>Suite&amp;" Electrical Room "&amp;SWThree</f>
        <v>G104 Electrical Room XXX</v>
      </c>
      <c r="C89" s="183" t="str">
        <f>"UPS "&amp;SWThree&amp;" Battery Cabinets"</f>
        <v>UPS XXX Battery Cabinets</v>
      </c>
      <c r="D89" s="187" t="s">
        <v>4827</v>
      </c>
      <c r="E89" s="183" t="s">
        <v>1464</v>
      </c>
      <c r="F89" s="193"/>
      <c r="G89" s="193"/>
    </row>
    <row r="90" spans="1:7" ht="56.25" x14ac:dyDescent="0.25">
      <c r="A90" s="200">
        <f t="shared" si="4"/>
        <v>449</v>
      </c>
      <c r="B90" s="231" t="str">
        <f>Suite&amp;" Electrical Room "&amp;SWThree</f>
        <v>G104 Electrical Room XXX</v>
      </c>
      <c r="C90" s="183" t="str">
        <f>"UPS "&amp;SWThree&amp;" Battery Cabinets"</f>
        <v>UPS XXX Battery Cabinets</v>
      </c>
      <c r="D90" s="186" t="s">
        <v>1518</v>
      </c>
      <c r="E90" s="183" t="s">
        <v>1464</v>
      </c>
      <c r="F90" s="193"/>
      <c r="G90" s="193"/>
    </row>
    <row r="91" spans="1:7" ht="56.25" x14ac:dyDescent="0.25">
      <c r="A91" s="200">
        <f t="shared" ref="A91:A154" si="5">A90+1</f>
        <v>450</v>
      </c>
      <c r="B91" s="231" t="str">
        <f>Suite&amp;" Electrical Room "&amp;SWThree</f>
        <v>G104 Electrical Room XXX</v>
      </c>
      <c r="C91" s="183" t="str">
        <f>"UPS "&amp;SWThree&amp;" Battery Cabinets"</f>
        <v>UPS XXX Battery Cabinets</v>
      </c>
      <c r="D91" s="187" t="s">
        <v>4828</v>
      </c>
      <c r="E91" s="183" t="s">
        <v>1464</v>
      </c>
      <c r="F91" s="193"/>
      <c r="G91" s="193"/>
    </row>
    <row r="92" spans="1:7" ht="56.25" x14ac:dyDescent="0.25">
      <c r="A92" s="200">
        <f t="shared" si="5"/>
        <v>451</v>
      </c>
      <c r="B92" s="231" t="str">
        <f>Suite&amp;" Electrical Room "&amp;SWThree</f>
        <v>G104 Electrical Room XXX</v>
      </c>
      <c r="C92" s="183" t="str">
        <f>"UPS "&amp;SWThree&amp;" Battery Cabinets"</f>
        <v>UPS XXX Battery Cabinets</v>
      </c>
      <c r="D92" s="187" t="s">
        <v>4829</v>
      </c>
      <c r="E92" s="183" t="s">
        <v>1464</v>
      </c>
      <c r="F92" s="193"/>
      <c r="G92" s="193"/>
    </row>
    <row r="93" spans="1:7" ht="56.25" x14ac:dyDescent="0.25">
      <c r="A93" s="200">
        <f t="shared" si="5"/>
        <v>452</v>
      </c>
      <c r="B93" s="231" t="str">
        <f>Suite&amp;" Electrical Room "&amp;SWThree</f>
        <v>G104 Electrical Room XXX</v>
      </c>
      <c r="C93" s="183" t="str">
        <f>"UPS "&amp;SWThree&amp;" Battery Cabinets"</f>
        <v>UPS XXX Battery Cabinets</v>
      </c>
      <c r="D93" s="186" t="s">
        <v>1518</v>
      </c>
      <c r="E93" s="183" t="s">
        <v>1464</v>
      </c>
      <c r="F93" s="193"/>
      <c r="G93" s="193"/>
    </row>
    <row r="94" spans="1:7" ht="18.75" customHeight="1" x14ac:dyDescent="0.25">
      <c r="A94" s="200">
        <f t="shared" si="5"/>
        <v>453</v>
      </c>
      <c r="B94" s="231" t="str">
        <f>Suite&amp;" Electrical Room "&amp;SWThree</f>
        <v>G104 Electrical Room XXX</v>
      </c>
      <c r="C94" s="183" t="str">
        <f>"UPS "&amp;SWThree&amp;" Battery Cabinets"</f>
        <v>UPS XXX Battery Cabinets</v>
      </c>
      <c r="D94" s="187" t="s">
        <v>4830</v>
      </c>
      <c r="E94" s="183" t="s">
        <v>1464</v>
      </c>
      <c r="F94" s="193"/>
      <c r="G94" s="193"/>
    </row>
    <row r="95" spans="1:7" ht="56.25" x14ac:dyDescent="0.25">
      <c r="A95" s="200">
        <f t="shared" si="5"/>
        <v>454</v>
      </c>
      <c r="B95" s="231" t="str">
        <f>Suite&amp;" Electrical Room "&amp;SWThree</f>
        <v>G104 Electrical Room XXX</v>
      </c>
      <c r="C95" s="183" t="str">
        <f>"UPS "&amp;SWThree&amp;" Battery Cabinets"</f>
        <v>UPS XXX Battery Cabinets</v>
      </c>
      <c r="D95" s="187" t="s">
        <v>4831</v>
      </c>
      <c r="E95" s="183" t="s">
        <v>1464</v>
      </c>
      <c r="F95" s="193"/>
      <c r="G95" s="193"/>
    </row>
    <row r="96" spans="1:7" ht="56.25" x14ac:dyDescent="0.25">
      <c r="A96" s="200">
        <f t="shared" si="5"/>
        <v>455</v>
      </c>
      <c r="B96" s="231" t="str">
        <f>Suite&amp;" Electrical Room "&amp;SWThree</f>
        <v>G104 Electrical Room XXX</v>
      </c>
      <c r="C96" s="183" t="str">
        <f>"UPS "&amp;SWThree&amp;" Battery Cabinets"</f>
        <v>UPS XXX Battery Cabinets</v>
      </c>
      <c r="D96" s="186" t="s">
        <v>1518</v>
      </c>
      <c r="E96" s="183" t="s">
        <v>1464</v>
      </c>
      <c r="F96" s="193"/>
      <c r="G96" s="193"/>
    </row>
    <row r="97" spans="1:7" ht="37.5" x14ac:dyDescent="0.25">
      <c r="A97" s="200">
        <f t="shared" si="5"/>
        <v>456</v>
      </c>
      <c r="B97" s="231" t="str">
        <f>Suite&amp;" Electrical Room "&amp;SWThree</f>
        <v>G104 Electrical Room XXX</v>
      </c>
      <c r="C97" s="183" t="str">
        <f>"UPS "&amp;SWThree&amp;"2"</f>
        <v>UPS XXX2</v>
      </c>
      <c r="D97" s="186" t="s">
        <v>1659</v>
      </c>
      <c r="E97" s="183" t="s">
        <v>1464</v>
      </c>
      <c r="F97" s="193"/>
      <c r="G97" s="193"/>
    </row>
    <row r="98" spans="1:7" ht="39.75" x14ac:dyDescent="0.25">
      <c r="A98" s="200">
        <f t="shared" si="5"/>
        <v>457</v>
      </c>
      <c r="B98" s="231" t="str">
        <f>Suite&amp;" Electrical Room "&amp;SWThree</f>
        <v>G104 Electrical Room XXX</v>
      </c>
      <c r="C98" s="183" t="str">
        <f>"UPS "&amp;SWThree&amp;"1"</f>
        <v>UPS XXX1</v>
      </c>
      <c r="D98" s="187" t="s">
        <v>1666</v>
      </c>
      <c r="E98" s="183" t="s">
        <v>1464</v>
      </c>
      <c r="F98" s="193"/>
      <c r="G98" s="193"/>
    </row>
    <row r="99" spans="1:7" ht="37.5" x14ac:dyDescent="0.25">
      <c r="A99" s="200">
        <f t="shared" si="5"/>
        <v>458</v>
      </c>
      <c r="B99" s="231" t="str">
        <f>Suite&amp;" Electrical Room "&amp;SWThree</f>
        <v>G104 Electrical Room XXX</v>
      </c>
      <c r="C99" s="183" t="str">
        <f>"UPS "&amp;SWThree&amp;"1"</f>
        <v>UPS XXX1</v>
      </c>
      <c r="D99" s="186" t="s">
        <v>1667</v>
      </c>
      <c r="E99" s="183" t="s">
        <v>1464</v>
      </c>
      <c r="F99" s="193"/>
      <c r="G99" s="193"/>
    </row>
    <row r="100" spans="1:7" ht="39.75" x14ac:dyDescent="0.25">
      <c r="A100" s="200">
        <f t="shared" si="5"/>
        <v>459</v>
      </c>
      <c r="B100" s="231" t="str">
        <f>Suite&amp;" Electrical Room "&amp;SWThree</f>
        <v>G104 Electrical Room XXX</v>
      </c>
      <c r="C100" s="183" t="str">
        <f>"UPS "&amp;SWThree&amp;"2"</f>
        <v>UPS XXX2</v>
      </c>
      <c r="D100" s="187" t="s">
        <v>1666</v>
      </c>
      <c r="E100" s="183" t="s">
        <v>1464</v>
      </c>
      <c r="F100" s="193"/>
      <c r="G100" s="193"/>
    </row>
    <row r="101" spans="1:7" ht="37.5" x14ac:dyDescent="0.25">
      <c r="A101" s="200">
        <f t="shared" si="5"/>
        <v>460</v>
      </c>
      <c r="B101" s="231" t="str">
        <f>Suite&amp;" Electrical Room "&amp;SWThree</f>
        <v>G104 Electrical Room XXX</v>
      </c>
      <c r="C101" s="183" t="str">
        <f>"UPS "&amp;SWThree&amp;"2"</f>
        <v>UPS XXX2</v>
      </c>
      <c r="D101" s="186" t="s">
        <v>1667</v>
      </c>
      <c r="E101" s="183" t="s">
        <v>1464</v>
      </c>
      <c r="F101" s="193"/>
      <c r="G101" s="193"/>
    </row>
    <row r="102" spans="1:7" ht="37.5" x14ac:dyDescent="0.25">
      <c r="A102" s="200">
        <f t="shared" si="5"/>
        <v>461</v>
      </c>
      <c r="B102" s="231" t="str">
        <f>Suite&amp;" Electrical Room "&amp;SWThree</f>
        <v>G104 Electrical Room XXX</v>
      </c>
      <c r="C102" s="183" t="str">
        <f>"SW"&amp;SWThree</f>
        <v>SWXXX</v>
      </c>
      <c r="D102" s="187" t="s">
        <v>4812</v>
      </c>
      <c r="E102" s="183" t="s">
        <v>1464</v>
      </c>
      <c r="F102" s="193"/>
      <c r="G102" s="193"/>
    </row>
    <row r="103" spans="1:7" ht="37.5" x14ac:dyDescent="0.25">
      <c r="A103" s="200">
        <f t="shared" si="5"/>
        <v>462</v>
      </c>
      <c r="B103" s="231" t="str">
        <f>Suite&amp;" Electrical Room "&amp;SWThree</f>
        <v>G104 Electrical Room XXX</v>
      </c>
      <c r="C103" s="183" t="str">
        <f>"SW"&amp;SWThree</f>
        <v>SWXXX</v>
      </c>
      <c r="D103" s="187" t="s">
        <v>4813</v>
      </c>
      <c r="E103" s="183" t="s">
        <v>1464</v>
      </c>
      <c r="F103" s="193"/>
      <c r="G103" s="193"/>
    </row>
    <row r="104" spans="1:7" ht="37.5" x14ac:dyDescent="0.25">
      <c r="A104" s="200">
        <f t="shared" si="5"/>
        <v>463</v>
      </c>
      <c r="B104" s="231" t="str">
        <f>Suite&amp;" Electrical Room "&amp;SWThree</f>
        <v>G104 Electrical Room XXX</v>
      </c>
      <c r="C104" s="183" t="str">
        <f>"SW"&amp;SWThree</f>
        <v>SWXXX</v>
      </c>
      <c r="D104" s="186" t="s">
        <v>1518</v>
      </c>
      <c r="E104" s="183" t="s">
        <v>1464</v>
      </c>
      <c r="F104" s="193"/>
      <c r="G104" s="193"/>
    </row>
    <row r="105" spans="1:7" ht="37.5" x14ac:dyDescent="0.25">
      <c r="A105" s="200">
        <f t="shared" si="5"/>
        <v>464</v>
      </c>
      <c r="B105" s="231" t="str">
        <f>Suite&amp;" Electrical Room "&amp;SWThree</f>
        <v>G104 Electrical Room XXX</v>
      </c>
      <c r="C105" s="183" t="str">
        <f>"SW"&amp;SWThree</f>
        <v>SWXXX</v>
      </c>
      <c r="D105" s="187" t="s">
        <v>4807</v>
      </c>
      <c r="E105" s="183" t="s">
        <v>1464</v>
      </c>
      <c r="F105" s="193"/>
      <c r="G105" s="193"/>
    </row>
    <row r="106" spans="1:7" ht="37.5" x14ac:dyDescent="0.25">
      <c r="A106" s="200">
        <f t="shared" si="5"/>
        <v>465</v>
      </c>
      <c r="B106" s="231" t="str">
        <f>Suite&amp;" Electrical Room "&amp;SWThree</f>
        <v>G104 Electrical Room XXX</v>
      </c>
      <c r="C106" s="183" t="str">
        <f>"SW"&amp;SWThree</f>
        <v>SWXXX</v>
      </c>
      <c r="D106" s="187" t="s">
        <v>4808</v>
      </c>
      <c r="E106" s="183" t="s">
        <v>1464</v>
      </c>
      <c r="F106" s="193"/>
      <c r="G106" s="193"/>
    </row>
    <row r="107" spans="1:7" ht="37.5" x14ac:dyDescent="0.25">
      <c r="A107" s="200">
        <f t="shared" si="5"/>
        <v>466</v>
      </c>
      <c r="B107" s="231" t="str">
        <f>Suite&amp;" Electrical Room "&amp;SWThree</f>
        <v>G104 Electrical Room XXX</v>
      </c>
      <c r="C107" s="183" t="str">
        <f>"SW"&amp;SWThree</f>
        <v>SWXXX</v>
      </c>
      <c r="D107" s="186" t="s">
        <v>1518</v>
      </c>
      <c r="E107" s="183" t="s">
        <v>1464</v>
      </c>
      <c r="F107" s="193"/>
      <c r="G107" s="193"/>
    </row>
    <row r="108" spans="1:7" ht="37.5" x14ac:dyDescent="0.25">
      <c r="A108" s="200">
        <f t="shared" si="5"/>
        <v>467</v>
      </c>
      <c r="B108" s="231" t="str">
        <f>Suite&amp;" Electrical Room "&amp;SWThree</f>
        <v>G104 Electrical Room XXX</v>
      </c>
      <c r="C108" s="183" t="str">
        <f>"SW"&amp;SWThree</f>
        <v>SWXXX</v>
      </c>
      <c r="D108" s="204" t="s">
        <v>4780</v>
      </c>
      <c r="E108" s="183" t="s">
        <v>1464</v>
      </c>
      <c r="F108" s="193"/>
      <c r="G108" s="193"/>
    </row>
    <row r="109" spans="1:7" ht="37.5" x14ac:dyDescent="0.25">
      <c r="A109" s="200">
        <f t="shared" si="5"/>
        <v>468</v>
      </c>
      <c r="B109" s="231" t="str">
        <f>Suite&amp;" Electrical Room "&amp;SWThree</f>
        <v>G104 Electrical Room XXX</v>
      </c>
      <c r="C109" s="183" t="str">
        <f>"SW"&amp;SWThree</f>
        <v>SWXXX</v>
      </c>
      <c r="D109" s="186" t="s">
        <v>1584</v>
      </c>
      <c r="E109" s="183" t="s">
        <v>1464</v>
      </c>
      <c r="F109" s="193"/>
      <c r="G109" s="193"/>
    </row>
    <row r="110" spans="1:7" x14ac:dyDescent="0.25">
      <c r="A110" s="200">
        <f t="shared" si="5"/>
        <v>469</v>
      </c>
      <c r="B110" s="714" t="s">
        <v>1741</v>
      </c>
      <c r="C110" s="714"/>
      <c r="D110" s="714"/>
      <c r="E110" s="714"/>
      <c r="F110" s="714"/>
      <c r="G110" s="714"/>
    </row>
    <row r="111" spans="1:7" ht="37.5" x14ac:dyDescent="0.25">
      <c r="A111" s="200">
        <f t="shared" si="5"/>
        <v>470</v>
      </c>
      <c r="B111" s="528" t="str">
        <f>Suite&amp;" Electrical Room "&amp;SWThree</f>
        <v>G104 Electrical Room XXX</v>
      </c>
      <c r="C111" s="388" t="str">
        <f>"UPS "&amp;SWThree</f>
        <v>UPS XXX</v>
      </c>
      <c r="D111" s="190" t="s">
        <v>1674</v>
      </c>
      <c r="E111" s="388" t="s">
        <v>1464</v>
      </c>
      <c r="F111" s="193"/>
      <c r="G111" s="193"/>
    </row>
    <row r="112" spans="1:7" ht="37.5" x14ac:dyDescent="0.25">
      <c r="A112" s="200">
        <f t="shared" si="5"/>
        <v>471</v>
      </c>
      <c r="B112" s="528" t="str">
        <f>Suite&amp;" Electrical Room "&amp;SWThree</f>
        <v>G104 Electrical Room XXX</v>
      </c>
      <c r="C112" s="388" t="str">
        <f>"UPS "&amp;SWThree</f>
        <v>UPS XXX</v>
      </c>
      <c r="D112" s="190" t="str" cm="1">
        <f t="array" ref="D112">"By my signature below I certify that UPS-" &amp; SWThree &amp; "1 and UPS-" &amp; SWThree &amp; "2 are ready to be returned to service."</f>
        <v>By my signature below I certify that UPS-XXX1 and UPS-XXX2 are ready to be returned to service.</v>
      </c>
      <c r="E112" s="388" t="s">
        <v>1529</v>
      </c>
      <c r="F112" s="193"/>
      <c r="G112" s="193"/>
    </row>
    <row r="113" spans="1:7" ht="37.5" x14ac:dyDescent="0.25">
      <c r="A113" s="200">
        <f t="shared" si="5"/>
        <v>472</v>
      </c>
      <c r="B113" s="528" t="str">
        <f>Suite&amp;" Electrical Room "&amp;SWThree</f>
        <v>G104 Electrical Room XXX</v>
      </c>
      <c r="C113" s="388" t="str">
        <f>"UPS "&amp;SWThree</f>
        <v>UPS XXX</v>
      </c>
      <c r="D113" s="191" t="s">
        <v>1675</v>
      </c>
      <c r="E113" s="388" t="s">
        <v>1529</v>
      </c>
      <c r="F113" s="193"/>
      <c r="G113" s="193"/>
    </row>
    <row r="114" spans="1:7" ht="37.5" x14ac:dyDescent="0.25">
      <c r="A114" s="200">
        <f t="shared" si="5"/>
        <v>473</v>
      </c>
      <c r="B114" s="231" t="str">
        <f>Suite&amp;" Electrical Room "&amp;SWThree</f>
        <v>G104 Electrical Room XXX</v>
      </c>
      <c r="C114" s="183" t="str">
        <f>"UP"&amp;SWThree</f>
        <v>UPXXX</v>
      </c>
      <c r="D114" s="187" t="s">
        <v>4820</v>
      </c>
      <c r="E114" s="183" t="s">
        <v>1464</v>
      </c>
      <c r="F114" s="193"/>
      <c r="G114" s="193"/>
    </row>
    <row r="115" spans="1:7" ht="37.5" x14ac:dyDescent="0.25">
      <c r="A115" s="200">
        <f t="shared" si="5"/>
        <v>474</v>
      </c>
      <c r="B115" s="231" t="str">
        <f>Suite&amp;" Electrical Room "&amp;SWThree</f>
        <v>G104 Electrical Room XXX</v>
      </c>
      <c r="C115" s="183" t="str">
        <f>"UP"&amp;SWThree</f>
        <v>UPXXX</v>
      </c>
      <c r="D115" s="186" t="s">
        <v>1518</v>
      </c>
      <c r="E115" s="183" t="s">
        <v>1464</v>
      </c>
      <c r="F115" s="193"/>
      <c r="G115" s="193"/>
    </row>
    <row r="116" spans="1:7" ht="37.5" x14ac:dyDescent="0.25">
      <c r="A116" s="200">
        <f t="shared" si="5"/>
        <v>475</v>
      </c>
      <c r="B116" s="231" t="str">
        <f>Suite&amp;" Electrical Room "&amp;SWThree</f>
        <v>G104 Electrical Room XXX</v>
      </c>
      <c r="C116" s="183" t="str">
        <f>"UP"&amp;SWThree</f>
        <v>UPXXX</v>
      </c>
      <c r="D116" s="187" t="s">
        <v>4824</v>
      </c>
      <c r="E116" s="183" t="s">
        <v>1464</v>
      </c>
      <c r="F116" s="193"/>
      <c r="G116" s="193"/>
    </row>
    <row r="117" spans="1:7" ht="37.5" x14ac:dyDescent="0.25">
      <c r="A117" s="200">
        <f t="shared" si="5"/>
        <v>476</v>
      </c>
      <c r="B117" s="231" t="str">
        <f>Suite&amp;" Electrical Room "&amp;SWThree</f>
        <v>G104 Electrical Room XXX</v>
      </c>
      <c r="C117" s="183" t="str">
        <f>"UP"&amp;SWThree</f>
        <v>UPXXX</v>
      </c>
      <c r="D117" s="186" t="s">
        <v>1518</v>
      </c>
      <c r="E117" s="183" t="s">
        <v>1464</v>
      </c>
      <c r="F117" s="193"/>
      <c r="G117" s="193"/>
    </row>
    <row r="118" spans="1:7" ht="56.25" x14ac:dyDescent="0.25">
      <c r="A118" s="200">
        <f t="shared" si="5"/>
        <v>477</v>
      </c>
      <c r="B118" s="231" t="str">
        <f>Suite&amp;" Electrical Room "&amp;SWThree</f>
        <v>G104 Electrical Room XXX</v>
      </c>
      <c r="C118" s="183" t="str">
        <f>"UPS "&amp;SWThree&amp;" Battery Cabinets"</f>
        <v>UPS XXX Battery Cabinets</v>
      </c>
      <c r="D118" s="187" t="s">
        <v>4844</v>
      </c>
      <c r="E118" s="183" t="s">
        <v>1464</v>
      </c>
      <c r="F118" s="193"/>
      <c r="G118" s="193"/>
    </row>
    <row r="119" spans="1:7" ht="56.25" x14ac:dyDescent="0.25">
      <c r="A119" s="200">
        <f t="shared" si="5"/>
        <v>478</v>
      </c>
      <c r="B119" s="231" t="str">
        <f>Suite&amp;" Electrical Room "&amp;SWThree</f>
        <v>G104 Electrical Room XXX</v>
      </c>
      <c r="C119" s="183" t="str">
        <f>"UPS "&amp;SWThree&amp;" Battery Cabinets"</f>
        <v>UPS XXX Battery Cabinets</v>
      </c>
      <c r="D119" s="186" t="s">
        <v>1518</v>
      </c>
      <c r="E119" s="183" t="s">
        <v>1464</v>
      </c>
      <c r="F119" s="193"/>
      <c r="G119" s="193"/>
    </row>
    <row r="120" spans="1:7" ht="56.25" x14ac:dyDescent="0.25">
      <c r="A120" s="200">
        <f t="shared" si="5"/>
        <v>479</v>
      </c>
      <c r="B120" s="231" t="str">
        <f>Suite&amp;" Electrical Room "&amp;SWThree</f>
        <v>G104 Electrical Room XXX</v>
      </c>
      <c r="C120" s="183" t="str">
        <f>"UPS "&amp;SWThree&amp;" Battery Cabinets"</f>
        <v>UPS XXX Battery Cabinets</v>
      </c>
      <c r="D120" s="187" t="s">
        <v>4845</v>
      </c>
      <c r="E120" s="183" t="s">
        <v>1464</v>
      </c>
      <c r="F120" s="193"/>
      <c r="G120" s="193"/>
    </row>
    <row r="121" spans="1:7" ht="56.25" x14ac:dyDescent="0.25">
      <c r="A121" s="200">
        <f t="shared" si="5"/>
        <v>480</v>
      </c>
      <c r="B121" s="231" t="str">
        <f>Suite&amp;" Electrical Room "&amp;SWThree</f>
        <v>G104 Electrical Room XXX</v>
      </c>
      <c r="C121" s="183" t="str">
        <f>"UPS "&amp;SWThree&amp;" Battery Cabinets"</f>
        <v>UPS XXX Battery Cabinets</v>
      </c>
      <c r="D121" s="186" t="s">
        <v>1518</v>
      </c>
      <c r="E121" s="183" t="s">
        <v>1464</v>
      </c>
      <c r="F121" s="193"/>
      <c r="G121" s="193"/>
    </row>
    <row r="122" spans="1:7" ht="56.25" x14ac:dyDescent="0.25">
      <c r="A122" s="200">
        <f t="shared" si="5"/>
        <v>481</v>
      </c>
      <c r="B122" s="231" t="str">
        <f>Suite&amp;" Electrical Room "&amp;SWThree</f>
        <v>G104 Electrical Room XXX</v>
      </c>
      <c r="C122" s="183" t="str">
        <f>"UPS "&amp;SWThree&amp;" Battery Cabinets"</f>
        <v>UPS XXX Battery Cabinets</v>
      </c>
      <c r="D122" s="187" t="s">
        <v>4846</v>
      </c>
      <c r="E122" s="183" t="s">
        <v>1464</v>
      </c>
      <c r="F122" s="193"/>
      <c r="G122" s="193"/>
    </row>
    <row r="123" spans="1:7" ht="56.25" x14ac:dyDescent="0.25">
      <c r="A123" s="200">
        <f t="shared" si="5"/>
        <v>482</v>
      </c>
      <c r="B123" s="231" t="str">
        <f>Suite&amp;" Electrical Room "&amp;SWThree</f>
        <v>G104 Electrical Room XXX</v>
      </c>
      <c r="C123" s="183" t="str">
        <f>"UPS "&amp;SWThree&amp;" Battery Cabinets"</f>
        <v>UPS XXX Battery Cabinets</v>
      </c>
      <c r="D123" s="186" t="s">
        <v>1518</v>
      </c>
      <c r="E123" s="183" t="s">
        <v>1464</v>
      </c>
      <c r="F123" s="193"/>
      <c r="G123" s="193"/>
    </row>
    <row r="124" spans="1:7" ht="56.25" x14ac:dyDescent="0.25">
      <c r="A124" s="200">
        <f t="shared" si="5"/>
        <v>483</v>
      </c>
      <c r="B124" s="231" t="str">
        <f>Suite&amp;" Electrical Room "&amp;SWThree</f>
        <v>G104 Electrical Room XXX</v>
      </c>
      <c r="C124" s="183" t="str">
        <f>"UPS "&amp;SWThree&amp;" Battery Cabinets"</f>
        <v>UPS XXX Battery Cabinets</v>
      </c>
      <c r="D124" s="187" t="s">
        <v>4832</v>
      </c>
      <c r="E124" s="183" t="s">
        <v>1464</v>
      </c>
      <c r="F124" s="193"/>
      <c r="G124" s="193"/>
    </row>
    <row r="125" spans="1:7" ht="56.25" x14ac:dyDescent="0.25">
      <c r="A125" s="200">
        <f t="shared" si="5"/>
        <v>484</v>
      </c>
      <c r="B125" s="231" t="str">
        <f>Suite&amp;" Electrical Room "&amp;SWThree</f>
        <v>G104 Electrical Room XXX</v>
      </c>
      <c r="C125" s="183" t="str">
        <f>"UPS "&amp;SWThree&amp;" Battery Cabinets"</f>
        <v>UPS XXX Battery Cabinets</v>
      </c>
      <c r="D125" s="186" t="s">
        <v>1518</v>
      </c>
      <c r="E125" s="183" t="s">
        <v>1464</v>
      </c>
      <c r="F125" s="193"/>
      <c r="G125" s="193"/>
    </row>
    <row r="126" spans="1:7" ht="56.25" x14ac:dyDescent="0.25">
      <c r="A126" s="200">
        <f t="shared" si="5"/>
        <v>485</v>
      </c>
      <c r="B126" s="231" t="str">
        <f>Suite&amp;" Electrical Room "&amp;SWThree</f>
        <v>G104 Electrical Room XXX</v>
      </c>
      <c r="C126" s="183" t="str">
        <f>"UPS "&amp;SWThree&amp;" Battery Cabinets"</f>
        <v>UPS XXX Battery Cabinets</v>
      </c>
      <c r="D126" s="187" t="s">
        <v>4833</v>
      </c>
      <c r="E126" s="183" t="s">
        <v>1464</v>
      </c>
      <c r="F126" s="193"/>
      <c r="G126" s="193"/>
    </row>
    <row r="127" spans="1:7" ht="56.25" x14ac:dyDescent="0.25">
      <c r="A127" s="200">
        <f t="shared" si="5"/>
        <v>486</v>
      </c>
      <c r="B127" s="231" t="str">
        <f>Suite&amp;" Electrical Room "&amp;SWThree</f>
        <v>G104 Electrical Room XXX</v>
      </c>
      <c r="C127" s="183" t="str">
        <f>"UPS "&amp;SWThree&amp;" Battery Cabinets"</f>
        <v>UPS XXX Battery Cabinets</v>
      </c>
      <c r="D127" s="186" t="s">
        <v>1518</v>
      </c>
      <c r="E127" s="183" t="s">
        <v>1464</v>
      </c>
      <c r="F127" s="193"/>
      <c r="G127" s="193"/>
    </row>
    <row r="128" spans="1:7" ht="56.25" x14ac:dyDescent="0.25">
      <c r="A128" s="200">
        <f t="shared" si="5"/>
        <v>487</v>
      </c>
      <c r="B128" s="231" t="str">
        <f>Suite&amp;" Electrical Room "&amp;SWThree</f>
        <v>G104 Electrical Room XXX</v>
      </c>
      <c r="C128" s="183" t="str">
        <f>"UPS "&amp;SWThree&amp;" Battery Cabinets"</f>
        <v>UPS XXX Battery Cabinets</v>
      </c>
      <c r="D128" s="187" t="s">
        <v>4834</v>
      </c>
      <c r="E128" s="183" t="s">
        <v>1464</v>
      </c>
      <c r="F128" s="193"/>
      <c r="G128" s="193"/>
    </row>
    <row r="129" spans="1:7" ht="56.25" x14ac:dyDescent="0.25">
      <c r="A129" s="200">
        <f t="shared" si="5"/>
        <v>488</v>
      </c>
      <c r="B129" s="231" t="str">
        <f>Suite&amp;" Electrical Room "&amp;SWThree</f>
        <v>G104 Electrical Room XXX</v>
      </c>
      <c r="C129" s="183" t="str">
        <f>"UPS "&amp;SWThree&amp;" Battery Cabinets"</f>
        <v>UPS XXX Battery Cabinets</v>
      </c>
      <c r="D129" s="186" t="s">
        <v>1518</v>
      </c>
      <c r="E129" s="183" t="s">
        <v>1464</v>
      </c>
      <c r="F129" s="193"/>
      <c r="G129" s="193"/>
    </row>
    <row r="130" spans="1:7" ht="37.5" x14ac:dyDescent="0.25">
      <c r="A130" s="200">
        <f t="shared" si="5"/>
        <v>489</v>
      </c>
      <c r="B130" s="231" t="str">
        <f>Suite&amp;" Electrical Room "&amp;SWThree</f>
        <v>G104 Electrical Room XXX</v>
      </c>
      <c r="C130" s="183" t="str">
        <f>"SW"&amp;SWThree</f>
        <v>SWXXX</v>
      </c>
      <c r="D130" s="187" t="s">
        <v>4814</v>
      </c>
      <c r="E130" s="183" t="s">
        <v>1464</v>
      </c>
      <c r="F130" s="193"/>
      <c r="G130" s="193"/>
    </row>
    <row r="131" spans="1:7" ht="37.5" x14ac:dyDescent="0.25">
      <c r="A131" s="200">
        <f t="shared" si="5"/>
        <v>490</v>
      </c>
      <c r="B131" s="231" t="str">
        <f>Suite&amp;" Electrical Room "&amp;SWThree</f>
        <v>G104 Electrical Room XXX</v>
      </c>
      <c r="C131" s="183" t="str">
        <f>"SW"&amp;SWThree</f>
        <v>SWXXX</v>
      </c>
      <c r="D131" s="186" t="s">
        <v>1518</v>
      </c>
      <c r="E131" s="183" t="s">
        <v>1464</v>
      </c>
      <c r="F131" s="193"/>
      <c r="G131" s="193"/>
    </row>
    <row r="132" spans="1:7" ht="37.5" x14ac:dyDescent="0.25">
      <c r="A132" s="200">
        <f t="shared" si="5"/>
        <v>491</v>
      </c>
      <c r="B132" s="231" t="str">
        <f>Suite&amp;" Electrical Room "&amp;SWThree</f>
        <v>G104 Electrical Room XXX</v>
      </c>
      <c r="C132" s="183" t="str">
        <f>"SW"&amp;SWThree</f>
        <v>SWXXX</v>
      </c>
      <c r="D132" s="187" t="s">
        <v>4809</v>
      </c>
      <c r="E132" s="183" t="s">
        <v>1464</v>
      </c>
      <c r="F132" s="193"/>
      <c r="G132" s="193"/>
    </row>
    <row r="133" spans="1:7" ht="37.5" x14ac:dyDescent="0.25">
      <c r="A133" s="200">
        <f t="shared" si="5"/>
        <v>492</v>
      </c>
      <c r="B133" s="231" t="str">
        <f>Suite&amp;" Electrical Room "&amp;SWThree</f>
        <v>G104 Electrical Room XXX</v>
      </c>
      <c r="C133" s="183" t="str">
        <f>"SW"&amp;SWThree</f>
        <v>SWXXX</v>
      </c>
      <c r="D133" s="186" t="s">
        <v>1518</v>
      </c>
      <c r="E133" s="183" t="s">
        <v>1464</v>
      </c>
      <c r="F133" s="193"/>
      <c r="G133" s="193"/>
    </row>
    <row r="134" spans="1:7" ht="37.5" x14ac:dyDescent="0.25">
      <c r="A134" s="200">
        <f t="shared" si="5"/>
        <v>493</v>
      </c>
      <c r="B134" s="231" t="str">
        <f>Suite&amp;" Electrical Room "&amp;SWThree</f>
        <v>G104 Electrical Room XXX</v>
      </c>
      <c r="C134" s="183" t="str">
        <f>"SW"&amp;SWThree</f>
        <v>SWXXX</v>
      </c>
      <c r="D134" s="187" t="s">
        <v>4815</v>
      </c>
      <c r="E134" s="183" t="s">
        <v>1464</v>
      </c>
      <c r="F134" s="193"/>
      <c r="G134" s="193"/>
    </row>
    <row r="135" spans="1:7" ht="37.5" x14ac:dyDescent="0.25">
      <c r="A135" s="200">
        <f t="shared" si="5"/>
        <v>494</v>
      </c>
      <c r="B135" s="231" t="str">
        <f>Suite&amp;" Electrical Room "&amp;SWThree</f>
        <v>G104 Electrical Room XXX</v>
      </c>
      <c r="C135" s="183" t="str">
        <f>"SW"&amp;SWThree</f>
        <v>SWXXX</v>
      </c>
      <c r="D135" s="187" t="s">
        <v>4810</v>
      </c>
      <c r="E135" s="183" t="s">
        <v>1464</v>
      </c>
      <c r="F135" s="193"/>
      <c r="G135" s="193"/>
    </row>
    <row r="136" spans="1:7" ht="56.25" x14ac:dyDescent="0.25">
      <c r="A136" s="200">
        <f t="shared" si="5"/>
        <v>495</v>
      </c>
      <c r="B136" s="231" t="str">
        <f>Suite&amp;" Electrical Room "&amp;SWThree</f>
        <v>G104 Electrical Room XXX</v>
      </c>
      <c r="C136" s="183" t="str">
        <f>"UPS "&amp;SWThree</f>
        <v>UPS XXX</v>
      </c>
      <c r="D136" s="187" t="s">
        <v>1688</v>
      </c>
      <c r="E136" s="183" t="s">
        <v>1464</v>
      </c>
      <c r="F136" s="193"/>
      <c r="G136" s="193"/>
    </row>
    <row r="137" spans="1:7" ht="37.5" x14ac:dyDescent="0.25">
      <c r="A137" s="200">
        <f t="shared" si="5"/>
        <v>496</v>
      </c>
      <c r="B137" s="231" t="str">
        <f>Suite&amp;" Electrical Room "&amp;SWThree</f>
        <v>G104 Electrical Room XXX</v>
      </c>
      <c r="C137" s="183" t="str">
        <f>"UPS "&amp;SWThree&amp;"1"</f>
        <v>UPS XXX1</v>
      </c>
      <c r="D137" s="186" t="s">
        <v>1689</v>
      </c>
      <c r="E137" s="183" t="s">
        <v>1464</v>
      </c>
      <c r="F137" s="193"/>
      <c r="G137" s="193"/>
    </row>
    <row r="138" spans="1:7" ht="39.75" x14ac:dyDescent="0.25">
      <c r="A138" s="200">
        <f t="shared" si="5"/>
        <v>497</v>
      </c>
      <c r="B138" s="231" t="str">
        <f>Suite&amp;" Electrical Room "&amp;SWThree</f>
        <v>G104 Electrical Room XXX</v>
      </c>
      <c r="C138" s="183" t="str">
        <f>"UPS "&amp;SWThree&amp;"1"</f>
        <v>UPS XXX1</v>
      </c>
      <c r="D138" s="187" t="s">
        <v>1690</v>
      </c>
      <c r="E138" s="183" t="s">
        <v>1464</v>
      </c>
      <c r="F138" s="193"/>
      <c r="G138" s="193"/>
    </row>
    <row r="139" spans="1:7" ht="39.75" x14ac:dyDescent="0.25">
      <c r="A139" s="200">
        <f t="shared" si="5"/>
        <v>498</v>
      </c>
      <c r="B139" s="231" t="str">
        <f>Suite&amp;" Electrical Room "&amp;SWThree</f>
        <v>G104 Electrical Room XXX</v>
      </c>
      <c r="C139" s="183" t="str">
        <f>"UPS "&amp;SWThree&amp;"2"</f>
        <v>UPS XXX2</v>
      </c>
      <c r="D139" s="187" t="s">
        <v>1690</v>
      </c>
      <c r="E139" s="183" t="s">
        <v>1464</v>
      </c>
      <c r="F139" s="193"/>
      <c r="G139" s="193"/>
    </row>
    <row r="140" spans="1:7" ht="18.75" customHeight="1" x14ac:dyDescent="0.25">
      <c r="A140" s="200">
        <f t="shared" si="5"/>
        <v>499</v>
      </c>
      <c r="B140" s="231" t="str">
        <f>Suite&amp;" Electrical Room "&amp;SWThree</f>
        <v>G104 Electrical Room XXX</v>
      </c>
      <c r="C140" s="183" t="str">
        <f>"UPS "&amp;SWThree</f>
        <v>UPS XXX</v>
      </c>
      <c r="D140" s="186" t="s">
        <v>4816</v>
      </c>
      <c r="E140" s="183" t="s">
        <v>1464</v>
      </c>
      <c r="F140" s="193"/>
      <c r="G140" s="193"/>
    </row>
    <row r="141" spans="1:7" ht="37.5" x14ac:dyDescent="0.25">
      <c r="A141" s="200">
        <f t="shared" si="5"/>
        <v>500</v>
      </c>
      <c r="B141" s="231" t="str">
        <f>Suite&amp;" Electrical Room "&amp;SWThree</f>
        <v>G104 Electrical Room XXX</v>
      </c>
      <c r="C141" s="183" t="str">
        <f>"UPS "&amp;SWThree&amp;"1"</f>
        <v>UPS XXX1</v>
      </c>
      <c r="D141" s="186" t="s">
        <v>1692</v>
      </c>
      <c r="E141" s="183" t="s">
        <v>1464</v>
      </c>
      <c r="F141" s="193"/>
      <c r="G141" s="193"/>
    </row>
    <row r="142" spans="1:7" ht="37.5" x14ac:dyDescent="0.25">
      <c r="A142" s="200">
        <f t="shared" si="5"/>
        <v>501</v>
      </c>
      <c r="B142" s="231" t="str">
        <f>Suite&amp;" Electrical Room "&amp;SWThree</f>
        <v>G104 Electrical Room XXX</v>
      </c>
      <c r="C142" s="183" t="str">
        <f>"UPS "&amp;SWThree&amp;"2"</f>
        <v>UPS XXX2</v>
      </c>
      <c r="D142" s="186" t="s">
        <v>1692</v>
      </c>
      <c r="E142" s="183" t="s">
        <v>1464</v>
      </c>
      <c r="F142" s="193"/>
      <c r="G142" s="193"/>
    </row>
    <row r="143" spans="1:7" ht="56.25" x14ac:dyDescent="0.25">
      <c r="A143" s="200">
        <f t="shared" si="5"/>
        <v>502</v>
      </c>
      <c r="B143" s="231" t="str">
        <f>Suite&amp;" Electrical Room "&amp;SWThree</f>
        <v>G104 Electrical Room XXX</v>
      </c>
      <c r="C143" s="183" t="str">
        <f>"UPS "&amp;SWThree&amp;" Battery Cabinets"</f>
        <v>UPS XXX Battery Cabinets</v>
      </c>
      <c r="D143" s="187" t="s">
        <v>4847</v>
      </c>
      <c r="E143" s="183" t="s">
        <v>1464</v>
      </c>
      <c r="F143" s="193"/>
      <c r="G143" s="193"/>
    </row>
    <row r="144" spans="1:7" ht="56.25" x14ac:dyDescent="0.25">
      <c r="A144" s="200">
        <f t="shared" si="5"/>
        <v>503</v>
      </c>
      <c r="B144" s="231" t="str">
        <f>Suite&amp;" Electrical Room "&amp;SWThree</f>
        <v>G104 Electrical Room XXX</v>
      </c>
      <c r="C144" s="183" t="str">
        <f>"UPS "&amp;SWThree&amp;" Battery Cabinets"</f>
        <v>UPS XXX Battery Cabinets</v>
      </c>
      <c r="D144" s="187" t="s">
        <v>4848</v>
      </c>
      <c r="E144" s="183" t="s">
        <v>1464</v>
      </c>
      <c r="F144" s="193"/>
      <c r="G144" s="193"/>
    </row>
    <row r="145" spans="1:7" ht="56.25" x14ac:dyDescent="0.25">
      <c r="A145" s="200">
        <f t="shared" si="5"/>
        <v>504</v>
      </c>
      <c r="B145" s="231" t="str">
        <f>Suite&amp;" Electrical Room "&amp;SWThree</f>
        <v>G104 Electrical Room XXX</v>
      </c>
      <c r="C145" s="183" t="str">
        <f>"UPS "&amp;SWThree&amp;" Battery Cabinets"</f>
        <v>UPS XXX Battery Cabinets</v>
      </c>
      <c r="D145" s="187" t="s">
        <v>4849</v>
      </c>
      <c r="E145" s="183" t="s">
        <v>1464</v>
      </c>
      <c r="F145" s="193"/>
      <c r="G145" s="193"/>
    </row>
    <row r="146" spans="1:7" ht="37.5" x14ac:dyDescent="0.25">
      <c r="A146" s="200">
        <f t="shared" si="5"/>
        <v>505</v>
      </c>
      <c r="B146" s="231" t="str">
        <f>Suite&amp;" Electrical Room "&amp;SWThree</f>
        <v>G104 Electrical Room XXX</v>
      </c>
      <c r="C146" s="183" t="str">
        <f>"UPS "&amp;SWThree&amp;"1"</f>
        <v>UPS XXX1</v>
      </c>
      <c r="D146" s="186" t="s">
        <v>1696</v>
      </c>
      <c r="E146" s="183" t="s">
        <v>1464</v>
      </c>
      <c r="F146" s="193"/>
      <c r="G146" s="193"/>
    </row>
    <row r="147" spans="1:7" ht="56.25" x14ac:dyDescent="0.25">
      <c r="A147" s="200">
        <f t="shared" si="5"/>
        <v>506</v>
      </c>
      <c r="B147" s="231" t="str">
        <f>Suite&amp;" Electrical Room "&amp;SWThree</f>
        <v>G104 Electrical Room XXX</v>
      </c>
      <c r="C147" s="183" t="str">
        <f>"UPS "&amp;SWThree&amp;" Battery Cabinets"</f>
        <v>UPS XXX Battery Cabinets</v>
      </c>
      <c r="D147" s="187" t="s">
        <v>4835</v>
      </c>
      <c r="E147" s="183" t="s">
        <v>1464</v>
      </c>
      <c r="F147" s="193"/>
      <c r="G147" s="193"/>
    </row>
    <row r="148" spans="1:7" ht="56.25" x14ac:dyDescent="0.25">
      <c r="A148" s="200">
        <f t="shared" si="5"/>
        <v>507</v>
      </c>
      <c r="B148" s="231" t="str">
        <f>Suite&amp;" Electrical Room "&amp;SWThree</f>
        <v>G104 Electrical Room XXX</v>
      </c>
      <c r="C148" s="183" t="str">
        <f>"UPS "&amp;SWThree&amp;" Battery Cabinets"</f>
        <v>UPS XXX Battery Cabinets</v>
      </c>
      <c r="D148" s="187" t="s">
        <v>4836</v>
      </c>
      <c r="E148" s="183" t="s">
        <v>1464</v>
      </c>
      <c r="F148" s="193"/>
      <c r="G148" s="193"/>
    </row>
    <row r="149" spans="1:7" ht="56.25" x14ac:dyDescent="0.25">
      <c r="A149" s="200">
        <f t="shared" si="5"/>
        <v>508</v>
      </c>
      <c r="B149" s="231" t="str">
        <f>Suite&amp;" Electrical Room "&amp;SWThree</f>
        <v>G104 Electrical Room XXX</v>
      </c>
      <c r="C149" s="183" t="str">
        <f>"UPS "&amp;SWThree&amp;" Battery Cabinets"</f>
        <v>UPS XXX Battery Cabinets</v>
      </c>
      <c r="D149" s="187" t="s">
        <v>4837</v>
      </c>
      <c r="E149" s="183" t="s">
        <v>1464</v>
      </c>
      <c r="F149" s="193"/>
      <c r="G149" s="193"/>
    </row>
    <row r="150" spans="1:7" ht="37.5" x14ac:dyDescent="0.25">
      <c r="A150" s="200">
        <f t="shared" si="5"/>
        <v>509</v>
      </c>
      <c r="B150" s="231" t="str">
        <f>Suite&amp;" Electrical Room "&amp;SWThree</f>
        <v>G104 Electrical Room XXX</v>
      </c>
      <c r="C150" s="183" t="str">
        <f>"UPS "&amp;SWThree&amp;"2"</f>
        <v>UPS XXX2</v>
      </c>
      <c r="D150" s="186" t="s">
        <v>1696</v>
      </c>
      <c r="E150" s="183" t="s">
        <v>1464</v>
      </c>
      <c r="F150" s="193"/>
      <c r="G150" s="193"/>
    </row>
    <row r="151" spans="1:7" ht="37.5" x14ac:dyDescent="0.25">
      <c r="A151" s="200">
        <f t="shared" si="5"/>
        <v>510</v>
      </c>
      <c r="B151" s="231" t="str">
        <f>Suite&amp;" Electrical Room "&amp;SWThree</f>
        <v>G104 Electrical Room XXX</v>
      </c>
      <c r="C151" s="183" t="str">
        <f>"UP"&amp;SWThree</f>
        <v>UPXXX</v>
      </c>
      <c r="D151" s="187" t="s">
        <v>4821</v>
      </c>
      <c r="E151" s="183" t="s">
        <v>1464</v>
      </c>
      <c r="F151" s="193"/>
      <c r="G151" s="193"/>
    </row>
    <row r="152" spans="1:7" ht="37.5" x14ac:dyDescent="0.25">
      <c r="A152" s="200">
        <f t="shared" si="5"/>
        <v>511</v>
      </c>
      <c r="B152" s="231" t="str">
        <f>Suite&amp;" Electrical Room "&amp;SWThree</f>
        <v>G104 Electrical Room XXX</v>
      </c>
      <c r="C152" s="183" t="str">
        <f>"UPS "&amp;SWThree&amp;"1"</f>
        <v>UPS XXX1</v>
      </c>
      <c r="D152" s="186" t="s">
        <v>1701</v>
      </c>
      <c r="E152" s="183" t="s">
        <v>1464</v>
      </c>
      <c r="F152" s="193"/>
      <c r="G152" s="193"/>
    </row>
    <row r="153" spans="1:7" ht="37.5" x14ac:dyDescent="0.25">
      <c r="A153" s="200">
        <f t="shared" si="5"/>
        <v>512</v>
      </c>
      <c r="B153" s="231" t="str">
        <f>Suite&amp;" Electrical Room "&amp;SWThree</f>
        <v>G104 Electrical Room XXX</v>
      </c>
      <c r="C153" s="183" t="str">
        <f>"UP"&amp;SWThree</f>
        <v>UPXXX</v>
      </c>
      <c r="D153" s="187" t="s">
        <v>4825</v>
      </c>
      <c r="E153" s="183" t="s">
        <v>1464</v>
      </c>
      <c r="F153" s="193"/>
      <c r="G153" s="193"/>
    </row>
    <row r="154" spans="1:7" ht="37.5" x14ac:dyDescent="0.25">
      <c r="A154" s="200">
        <f t="shared" si="5"/>
        <v>513</v>
      </c>
      <c r="B154" s="231" t="str">
        <f>Suite&amp;" Electrical Room "&amp;SWThree</f>
        <v>G104 Electrical Room XXX</v>
      </c>
      <c r="C154" s="183" t="str">
        <f>"UPS "&amp;SWThree&amp;"2"</f>
        <v>UPS XXX2</v>
      </c>
      <c r="D154" s="186" t="s">
        <v>1701</v>
      </c>
      <c r="E154" s="183" t="s">
        <v>1464</v>
      </c>
      <c r="F154" s="193"/>
      <c r="G154" s="193"/>
    </row>
    <row r="155" spans="1:7" ht="37.5" x14ac:dyDescent="0.25">
      <c r="A155" s="200">
        <f t="shared" ref="A155:A213" si="6">A154+1</f>
        <v>514</v>
      </c>
      <c r="B155" s="231" t="str">
        <f>Suite&amp;" Electrical Room "&amp;SWThree</f>
        <v>G104 Electrical Room XXX</v>
      </c>
      <c r="C155" s="183" t="str">
        <f>"UPS "&amp;SWThree</f>
        <v>UPS XXX</v>
      </c>
      <c r="D155" s="204" t="s">
        <v>4781</v>
      </c>
      <c r="E155" s="183" t="s">
        <v>1464</v>
      </c>
      <c r="F155" s="193"/>
      <c r="G155" s="193"/>
    </row>
    <row r="156" spans="1:7" x14ac:dyDescent="0.25">
      <c r="A156" s="200">
        <f t="shared" si="6"/>
        <v>515</v>
      </c>
      <c r="B156" s="714" t="s">
        <v>1602</v>
      </c>
      <c r="C156" s="714"/>
      <c r="D156" s="714"/>
      <c r="E156" s="714"/>
      <c r="F156" s="714"/>
      <c r="G156" s="714"/>
    </row>
    <row r="157" spans="1:7" ht="37.5" x14ac:dyDescent="0.25">
      <c r="A157" s="200">
        <f t="shared" si="6"/>
        <v>516</v>
      </c>
      <c r="B157" s="231" t="str">
        <f>Suite&amp;" Electrical Room "&amp;SWThree</f>
        <v>G104 Electrical Room XXX</v>
      </c>
      <c r="C157" s="183" t="str">
        <f>"UP"&amp;SWThree</f>
        <v>UPXXX</v>
      </c>
      <c r="D157" s="186" t="s">
        <v>4797</v>
      </c>
      <c r="E157" s="183" t="s">
        <v>1464</v>
      </c>
      <c r="F157" s="193"/>
      <c r="G157" s="193"/>
    </row>
    <row r="158" spans="1:7" ht="37.5" x14ac:dyDescent="0.25">
      <c r="A158" s="200">
        <f t="shared" si="6"/>
        <v>517</v>
      </c>
      <c r="B158" s="231" t="str">
        <f>Suite&amp;" Electrical Room "&amp;SWThree</f>
        <v>G104 Electrical Room XXX</v>
      </c>
      <c r="C158" s="183" t="str">
        <f>"UP"&amp;SWThree</f>
        <v>UPXXX</v>
      </c>
      <c r="D158" s="186" t="s">
        <v>4798</v>
      </c>
      <c r="E158" s="183" t="s">
        <v>1464</v>
      </c>
      <c r="F158" s="193"/>
      <c r="G158" s="193"/>
    </row>
    <row r="159" spans="1:7" ht="37.5" x14ac:dyDescent="0.25">
      <c r="A159" s="200">
        <f t="shared" si="6"/>
        <v>518</v>
      </c>
      <c r="B159" s="231" t="str">
        <f>Suite&amp;" Electrical Room "&amp;SWThree</f>
        <v>G104 Electrical Room XXX</v>
      </c>
      <c r="C159" s="183" t="str">
        <f>"UP"&amp;SWThree</f>
        <v>UPXXX</v>
      </c>
      <c r="D159" s="187" t="s">
        <v>1628</v>
      </c>
      <c r="E159" s="183" t="s">
        <v>1464</v>
      </c>
      <c r="F159" s="193"/>
      <c r="G159" s="193"/>
    </row>
    <row r="160" spans="1:7" ht="37.5" x14ac:dyDescent="0.25">
      <c r="A160" s="200">
        <f t="shared" si="6"/>
        <v>519</v>
      </c>
      <c r="B160" s="231" t="str">
        <f>Suite&amp;" Electrical Room "&amp;SWThree</f>
        <v>G104 Electrical Room XXX</v>
      </c>
      <c r="C160" s="183" t="str">
        <f>"UP"&amp;SWThree</f>
        <v>UPXXX</v>
      </c>
      <c r="D160" s="187" t="s">
        <v>1629</v>
      </c>
      <c r="E160" s="183" t="s">
        <v>1464</v>
      </c>
      <c r="F160" s="193"/>
      <c r="G160" s="193"/>
    </row>
    <row r="161" spans="1:7" ht="37.5" x14ac:dyDescent="0.25">
      <c r="A161" s="200">
        <f t="shared" si="6"/>
        <v>520</v>
      </c>
      <c r="B161" s="231" t="str">
        <f>Suite&amp;" Electrical Room "&amp;SWThree</f>
        <v>G104 Electrical Room XXX</v>
      </c>
      <c r="C161" s="183" t="str">
        <f>"UP"&amp;SWThree</f>
        <v>UPXXX</v>
      </c>
      <c r="D161" s="235" t="s">
        <v>4799</v>
      </c>
      <c r="E161" s="183" t="s">
        <v>1464</v>
      </c>
      <c r="F161" s="193"/>
      <c r="G161" s="193"/>
    </row>
    <row r="162" spans="1:7" ht="18.75" customHeight="1" x14ac:dyDescent="0.25">
      <c r="A162" s="200">
        <f t="shared" si="6"/>
        <v>521</v>
      </c>
      <c r="B162" s="231" t="str">
        <f>Suite&amp;" Electrical Room "&amp;SWThree</f>
        <v>G104 Electrical Room XXX</v>
      </c>
      <c r="C162" s="183" t="str">
        <f>"UP"&amp;SWThree</f>
        <v>UPXXX</v>
      </c>
      <c r="D162" s="187" t="s">
        <v>4800</v>
      </c>
      <c r="E162" s="183" t="s">
        <v>1464</v>
      </c>
      <c r="F162" s="193"/>
      <c r="G162" s="193"/>
    </row>
    <row r="163" spans="1:7" ht="37.5" x14ac:dyDescent="0.25">
      <c r="A163" s="200">
        <f t="shared" si="6"/>
        <v>522</v>
      </c>
      <c r="B163" s="231" t="str">
        <f>Suite&amp;" Electrical Room "&amp;SWThree</f>
        <v>G104 Electrical Room XXX</v>
      </c>
      <c r="C163" s="183" t="str">
        <f>"UP"&amp;SWThree</f>
        <v>UPXXX</v>
      </c>
      <c r="D163" s="187" t="s">
        <v>4801</v>
      </c>
      <c r="E163" s="183" t="s">
        <v>1464</v>
      </c>
      <c r="F163" s="193"/>
      <c r="G163" s="193"/>
    </row>
    <row r="164" spans="1:7" ht="37.5" x14ac:dyDescent="0.25">
      <c r="A164" s="200">
        <f t="shared" si="6"/>
        <v>523</v>
      </c>
      <c r="B164" s="231" t="str">
        <f>Suite&amp;" Electrical Room "&amp;SWThree</f>
        <v>G104 Electrical Room XXX</v>
      </c>
      <c r="C164" s="183" t="str">
        <f>"UP"&amp;SWThree</f>
        <v>UPXXX</v>
      </c>
      <c r="D164" s="187" t="s">
        <v>4802</v>
      </c>
      <c r="E164" s="183" t="s">
        <v>1464</v>
      </c>
      <c r="F164" s="193"/>
      <c r="G164" s="193"/>
    </row>
    <row r="165" spans="1:7" ht="37.5" x14ac:dyDescent="0.25">
      <c r="A165" s="200">
        <f t="shared" si="6"/>
        <v>524</v>
      </c>
      <c r="B165" s="231" t="str">
        <f>Suite&amp;" Electrical Room "&amp;SWThree</f>
        <v>G104 Electrical Room XXX</v>
      </c>
      <c r="C165" s="183" t="str">
        <f>"UP"&amp;SWThree</f>
        <v>UPXXX</v>
      </c>
      <c r="D165" s="187" t="s">
        <v>4788</v>
      </c>
      <c r="E165" s="183" t="s">
        <v>1464</v>
      </c>
      <c r="F165" s="193"/>
      <c r="G165" s="193"/>
    </row>
    <row r="166" spans="1:7" ht="37.5" x14ac:dyDescent="0.25">
      <c r="A166" s="200">
        <f t="shared" si="6"/>
        <v>525</v>
      </c>
      <c r="B166" s="231" t="str">
        <f>Suite&amp;" Electrical Room "&amp;SWThree</f>
        <v>G104 Electrical Room XXX</v>
      </c>
      <c r="C166" s="183" t="str">
        <f>"UP"&amp;SWThree</f>
        <v>UPXXX</v>
      </c>
      <c r="D166" s="187" t="s">
        <v>4789</v>
      </c>
      <c r="E166" s="183" t="s">
        <v>1464</v>
      </c>
      <c r="F166" s="193"/>
      <c r="G166" s="193"/>
    </row>
    <row r="167" spans="1:7" ht="37.5" x14ac:dyDescent="0.25">
      <c r="A167" s="200">
        <f t="shared" si="6"/>
        <v>526</v>
      </c>
      <c r="B167" s="231" t="str">
        <f>Suite&amp;" Electrical Room "&amp;SWThree</f>
        <v>G104 Electrical Room XXX</v>
      </c>
      <c r="C167" s="183" t="str">
        <f>"UP"&amp;SWThree</f>
        <v>UPXXX</v>
      </c>
      <c r="D167" s="235" t="s">
        <v>4783</v>
      </c>
      <c r="E167" s="183" t="s">
        <v>1464</v>
      </c>
      <c r="F167" s="193"/>
      <c r="G167" s="193"/>
    </row>
    <row r="168" spans="1:7" ht="37.5" x14ac:dyDescent="0.25">
      <c r="A168" s="200">
        <f t="shared" si="6"/>
        <v>527</v>
      </c>
      <c r="B168" s="231" t="str">
        <f>Suite&amp;" Electrical Room "&amp;SWThree</f>
        <v>G104 Electrical Room XXX</v>
      </c>
      <c r="C168" s="183" t="str">
        <f>"UP"&amp;SWThree</f>
        <v>UPXXX</v>
      </c>
      <c r="D168" s="186" t="str">
        <f>"VERIFY the readings in step " &amp; A157 &amp; " and " &amp; A167 &amp; " are within 3% of each other. (new kW divided by original kW must be ≤1.03 and ≥0.97)."</f>
        <v>VERIFY the readings in step 516 and 526 are within 3% of each other. (new kW divided by original kW must be ≤1.03 and ≥0.97).</v>
      </c>
      <c r="E168" s="183" t="s">
        <v>1464</v>
      </c>
      <c r="F168" s="193"/>
      <c r="G168" s="193"/>
    </row>
    <row r="169" spans="1:7" ht="37.5" x14ac:dyDescent="0.25">
      <c r="A169" s="200">
        <f t="shared" si="6"/>
        <v>528</v>
      </c>
      <c r="B169" s="231" t="str">
        <f>Suite&amp;" Electrical Room "&amp;SWThree</f>
        <v>G104 Electrical Room XXX</v>
      </c>
      <c r="C169" s="183" t="str">
        <f>"UP"&amp;SWThree</f>
        <v>UPXXX</v>
      </c>
      <c r="D169" s="187" t="s">
        <v>4803</v>
      </c>
      <c r="E169" s="183" t="s">
        <v>1464</v>
      </c>
      <c r="F169" s="193"/>
      <c r="G169" s="193"/>
    </row>
    <row r="170" spans="1:7" ht="37.5" x14ac:dyDescent="0.25">
      <c r="A170" s="200">
        <f t="shared" si="6"/>
        <v>529</v>
      </c>
      <c r="B170" s="231" t="str">
        <f>Suite&amp;" Electrical Room "&amp;SWThree</f>
        <v>G104 Electrical Room XXX</v>
      </c>
      <c r="C170" s="183" t="str">
        <f>"UP"&amp;SWThree</f>
        <v>UPXXX</v>
      </c>
      <c r="D170" s="187" t="s">
        <v>4804</v>
      </c>
      <c r="E170" s="183" t="s">
        <v>1464</v>
      </c>
      <c r="F170" s="193"/>
      <c r="G170" s="193"/>
    </row>
    <row r="171" spans="1:7" ht="37.5" x14ac:dyDescent="0.25">
      <c r="A171" s="200">
        <f t="shared" si="6"/>
        <v>530</v>
      </c>
      <c r="B171" s="231" t="str">
        <f>Suite&amp;" Electrical Room "&amp;SWThree</f>
        <v>G104 Electrical Room XXX</v>
      </c>
      <c r="C171" s="183" t="str">
        <f>"UP"&amp;SWThree</f>
        <v>UPXXX</v>
      </c>
      <c r="D171" s="204" t="s">
        <v>1501</v>
      </c>
      <c r="E171" s="183" t="s">
        <v>1464</v>
      </c>
      <c r="F171" s="193"/>
      <c r="G171" s="193"/>
    </row>
    <row r="172" spans="1:7" ht="37.5" x14ac:dyDescent="0.25">
      <c r="A172" s="200">
        <f t="shared" si="6"/>
        <v>531</v>
      </c>
      <c r="B172" s="231" t="str">
        <f>Suite&amp;" Electrical Room "&amp;SWThree</f>
        <v>G104 Electrical Room XXX</v>
      </c>
      <c r="C172" s="183" t="str">
        <f>"UP"&amp;SWThree</f>
        <v>UPXXX</v>
      </c>
      <c r="D172" s="187" t="s">
        <v>4805</v>
      </c>
      <c r="E172" s="183" t="s">
        <v>1464</v>
      </c>
      <c r="F172" s="193"/>
      <c r="G172" s="193"/>
    </row>
    <row r="173" spans="1:7" ht="37.5" x14ac:dyDescent="0.25">
      <c r="A173" s="200">
        <f t="shared" si="6"/>
        <v>532</v>
      </c>
      <c r="B173" s="231" t="str">
        <f>Suite&amp;" Electrical Room "&amp;SWThree</f>
        <v>G104 Electrical Room XXX</v>
      </c>
      <c r="C173" s="183" t="str">
        <f>"UP"&amp;SWThree</f>
        <v>UPXXX</v>
      </c>
      <c r="D173" s="187" t="s">
        <v>4806</v>
      </c>
      <c r="E173" s="183" t="s">
        <v>1464</v>
      </c>
      <c r="F173" s="193"/>
      <c r="G173" s="193"/>
    </row>
    <row r="174" spans="1:7" ht="37.5" x14ac:dyDescent="0.25">
      <c r="A174" s="200">
        <f t="shared" si="6"/>
        <v>533</v>
      </c>
      <c r="B174" s="231" t="str">
        <f>Suite&amp;" Electrical Room "&amp;SWThree</f>
        <v>G104 Electrical Room XXX</v>
      </c>
      <c r="C174" s="183" t="str">
        <f>"UP"&amp;SWThree</f>
        <v>UPXXX</v>
      </c>
      <c r="D174" s="235" t="s">
        <v>1643</v>
      </c>
      <c r="E174" s="183" t="s">
        <v>1464</v>
      </c>
      <c r="F174" s="193"/>
      <c r="G174" s="193"/>
    </row>
    <row r="175" spans="1:7" ht="37.5" x14ac:dyDescent="0.25">
      <c r="A175" s="200">
        <f t="shared" si="6"/>
        <v>534</v>
      </c>
      <c r="B175" s="231" t="str">
        <f>Suite&amp;" Electrical Room "&amp;SWThree</f>
        <v>G104 Electrical Room XXX</v>
      </c>
      <c r="C175" s="183" t="str">
        <f>"UP"&amp;SWThree</f>
        <v>UPXXX</v>
      </c>
      <c r="D175" s="187" t="s">
        <v>1644</v>
      </c>
      <c r="E175" s="183" t="s">
        <v>1464</v>
      </c>
      <c r="F175" s="193"/>
      <c r="G175" s="193"/>
    </row>
    <row r="176" spans="1:7" ht="37.5" x14ac:dyDescent="0.25">
      <c r="A176" s="200">
        <f t="shared" si="6"/>
        <v>535</v>
      </c>
      <c r="B176" s="231" t="str">
        <f>Suite&amp;" Electrical Room "&amp;SWThree</f>
        <v>G104 Electrical Room XXX</v>
      </c>
      <c r="C176" s="183" t="str">
        <f>"UP"&amp;SWThree</f>
        <v>UPXXX</v>
      </c>
      <c r="D176" s="187" t="s">
        <v>1645</v>
      </c>
      <c r="E176" s="183" t="s">
        <v>1464</v>
      </c>
      <c r="F176" s="193"/>
      <c r="G176" s="193"/>
    </row>
    <row r="177" spans="1:7" ht="37.5" x14ac:dyDescent="0.25">
      <c r="A177" s="200">
        <f t="shared" si="6"/>
        <v>536</v>
      </c>
      <c r="B177" s="231" t="str">
        <f>Suite&amp;" Electrical Room "&amp;SWThree</f>
        <v>G104 Electrical Room XXX</v>
      </c>
      <c r="C177" s="183" t="str">
        <f>"UP"&amp;SWThree</f>
        <v>UPXXX</v>
      </c>
      <c r="D177" s="204" t="s">
        <v>1646</v>
      </c>
      <c r="E177" s="183" t="s">
        <v>1464</v>
      </c>
      <c r="F177" s="193"/>
      <c r="G177" s="193"/>
    </row>
    <row r="178" spans="1:7" x14ac:dyDescent="0.25">
      <c r="A178" s="200">
        <f t="shared" si="6"/>
        <v>537</v>
      </c>
      <c r="B178" s="714" t="s">
        <v>1742</v>
      </c>
      <c r="C178" s="714"/>
      <c r="D178" s="714"/>
      <c r="E178" s="714"/>
      <c r="F178" s="714"/>
      <c r="G178" s="714"/>
    </row>
    <row r="179" spans="1:7" ht="37.5" x14ac:dyDescent="0.25">
      <c r="A179" s="200">
        <f t="shared" si="6"/>
        <v>538</v>
      </c>
      <c r="B179" s="231" t="str">
        <f>Suite&amp;" Electrical Room "&amp;SWThree</f>
        <v>G104 Electrical Room XXX</v>
      </c>
      <c r="C179" s="183" t="str">
        <f>"UPS "&amp;SWThree&amp;"1"</f>
        <v>UPS XXX1</v>
      </c>
      <c r="D179" s="187" t="s">
        <v>1714</v>
      </c>
      <c r="E179" s="183" t="s">
        <v>1464</v>
      </c>
      <c r="F179" s="193"/>
      <c r="G179" s="193"/>
    </row>
    <row r="180" spans="1:7" ht="37.5" x14ac:dyDescent="0.25">
      <c r="A180" s="200">
        <f t="shared" si="6"/>
        <v>539</v>
      </c>
      <c r="B180" s="231" t="str">
        <f>Suite&amp;" Electrical Room "&amp;SWThree</f>
        <v>G104 Electrical Room XXX</v>
      </c>
      <c r="C180" s="183" t="str">
        <f>"UPS "&amp;SWThree&amp;"1"</f>
        <v>UPS XXX1</v>
      </c>
      <c r="D180" s="186" t="s">
        <v>1715</v>
      </c>
      <c r="E180" s="183" t="s">
        <v>1464</v>
      </c>
      <c r="F180" s="193"/>
      <c r="G180" s="193"/>
    </row>
    <row r="181" spans="1:7" ht="37.5" x14ac:dyDescent="0.25">
      <c r="A181" s="200">
        <f t="shared" si="6"/>
        <v>540</v>
      </c>
      <c r="B181" s="231" t="str">
        <f>Suite&amp;" Electrical Room "&amp;SWThree</f>
        <v>G104 Electrical Room XXX</v>
      </c>
      <c r="C181" s="183" t="str">
        <f>"UPS "&amp;SWThree&amp;"1"</f>
        <v>UPS XXX1</v>
      </c>
      <c r="D181" s="187" t="s">
        <v>1716</v>
      </c>
      <c r="E181" s="183" t="s">
        <v>1464</v>
      </c>
      <c r="F181" s="193"/>
      <c r="G181" s="193"/>
    </row>
    <row r="182" spans="1:7" ht="37.5" x14ac:dyDescent="0.25">
      <c r="A182" s="200">
        <f t="shared" si="6"/>
        <v>541</v>
      </c>
      <c r="B182" s="231" t="str">
        <f>Suite&amp;" Electrical Room "&amp;SWThree</f>
        <v>G104 Electrical Room XXX</v>
      </c>
      <c r="C182" s="183" t="str">
        <f>"UPS "&amp;SWThree&amp;"2"</f>
        <v>UPS XXX2</v>
      </c>
      <c r="D182" s="187" t="s">
        <v>1714</v>
      </c>
      <c r="E182" s="183" t="s">
        <v>1464</v>
      </c>
      <c r="F182" s="193"/>
      <c r="G182" s="193"/>
    </row>
    <row r="183" spans="1:7" ht="37.5" x14ac:dyDescent="0.25">
      <c r="A183" s="200">
        <f t="shared" si="6"/>
        <v>542</v>
      </c>
      <c r="B183" s="231" t="str">
        <f>Suite&amp;" Electrical Room "&amp;SWThree</f>
        <v>G104 Electrical Room XXX</v>
      </c>
      <c r="C183" s="183" t="str">
        <f>"UPS "&amp;SWThree&amp;"2"</f>
        <v>UPS XXX2</v>
      </c>
      <c r="D183" s="186" t="s">
        <v>1715</v>
      </c>
      <c r="E183" s="183" t="s">
        <v>1464</v>
      </c>
      <c r="F183" s="193"/>
      <c r="G183" s="193"/>
    </row>
    <row r="184" spans="1:7" ht="37.5" x14ac:dyDescent="0.25">
      <c r="A184" s="200">
        <f t="shared" si="6"/>
        <v>543</v>
      </c>
      <c r="B184" s="231" t="str">
        <f>Suite&amp;" Electrical Room "&amp;SWThree</f>
        <v>G104 Electrical Room XXX</v>
      </c>
      <c r="C184" s="183" t="str">
        <f>"UPS "&amp;SWThree&amp;"2"</f>
        <v>UPS XXX2</v>
      </c>
      <c r="D184" s="187" t="s">
        <v>1716</v>
      </c>
      <c r="E184" s="183" t="s">
        <v>1464</v>
      </c>
      <c r="F184" s="193"/>
      <c r="G184" s="193"/>
    </row>
    <row r="185" spans="1:7" ht="37.5" x14ac:dyDescent="0.25">
      <c r="A185" s="200">
        <f t="shared" si="6"/>
        <v>544</v>
      </c>
      <c r="B185" s="231" t="str">
        <f>Suite&amp;" Electrical Room "&amp;SWThree</f>
        <v>G104 Electrical Room XXX</v>
      </c>
      <c r="C185" s="183" t="str">
        <f>"UPS "&amp;SWThree</f>
        <v>UPS XXX</v>
      </c>
      <c r="D185" s="204" t="s">
        <v>4817</v>
      </c>
      <c r="E185" s="183" t="s">
        <v>1464</v>
      </c>
      <c r="F185" s="193"/>
      <c r="G185" s="193"/>
    </row>
    <row r="186" spans="1:7" ht="37.5" x14ac:dyDescent="0.25">
      <c r="A186" s="200">
        <f t="shared" si="6"/>
        <v>545</v>
      </c>
      <c r="B186" s="231" t="str">
        <f>Suite&amp;" Electrical Room "&amp;SWThree</f>
        <v>G104 Electrical Room XXX</v>
      </c>
      <c r="C186" s="183" t="str">
        <f>"UPS "&amp;SWThree</f>
        <v>UPS XXX</v>
      </c>
      <c r="D186" s="186" t="s">
        <v>1718</v>
      </c>
      <c r="E186" s="183" t="s">
        <v>1464</v>
      </c>
      <c r="F186" s="193"/>
      <c r="G186" s="193"/>
    </row>
    <row r="187" spans="1:7" ht="37.5" x14ac:dyDescent="0.25">
      <c r="A187" s="200">
        <f t="shared" si="6"/>
        <v>546</v>
      </c>
      <c r="B187" s="231" t="str">
        <f>Suite&amp;" Electrical Room "&amp;SWThree</f>
        <v>G104 Electrical Room XXX</v>
      </c>
      <c r="C187" s="183" t="str">
        <f>"SCC "&amp;SWThree</f>
        <v>SCC XXX</v>
      </c>
      <c r="D187" s="204" t="s">
        <v>1557</v>
      </c>
      <c r="E187" s="183" t="s">
        <v>1464</v>
      </c>
      <c r="F187" s="193"/>
      <c r="G187" s="193"/>
    </row>
    <row r="188" spans="1:7" ht="37.5" x14ac:dyDescent="0.25">
      <c r="A188" s="200">
        <f t="shared" si="6"/>
        <v>547</v>
      </c>
      <c r="B188" s="231" t="str">
        <f>Suite&amp;" Electrical Room "&amp;SWThree</f>
        <v>G104 Electrical Room XXX</v>
      </c>
      <c r="C188" s="183" t="str">
        <f>"UPS "&amp;SWThree&amp;"1"</f>
        <v>UPS XXX1</v>
      </c>
      <c r="D188" s="186" t="s">
        <v>1719</v>
      </c>
      <c r="E188" s="183" t="s">
        <v>1464</v>
      </c>
      <c r="F188" s="193"/>
      <c r="G188" s="193"/>
    </row>
    <row r="189" spans="1:7" ht="37.5" x14ac:dyDescent="0.25">
      <c r="A189" s="200">
        <f t="shared" si="6"/>
        <v>548</v>
      </c>
      <c r="B189" s="231" t="str">
        <f>Suite&amp;" Electrical Room "&amp;SWThree</f>
        <v>G104 Electrical Room XXX</v>
      </c>
      <c r="C189" s="183" t="str">
        <f>"UPS "&amp;SWThree&amp;"2"</f>
        <v>UPS XXX2</v>
      </c>
      <c r="D189" s="186" t="s">
        <v>1719</v>
      </c>
      <c r="E189" s="183" t="s">
        <v>1464</v>
      </c>
      <c r="F189" s="193"/>
      <c r="G189" s="193"/>
    </row>
    <row r="190" spans="1:7" ht="37.5" hidden="1" x14ac:dyDescent="0.25">
      <c r="A190" s="200">
        <f t="shared" si="6"/>
        <v>549</v>
      </c>
      <c r="B190" s="500" t="str">
        <f>Suite&amp;" Electrical Room A"</f>
        <v>G104 Electrical Room A</v>
      </c>
      <c r="C190" s="499" t="s">
        <v>1466</v>
      </c>
      <c r="D190" s="191" t="s">
        <v>1467</v>
      </c>
      <c r="E190" s="499" t="s">
        <v>1464</v>
      </c>
      <c r="F190" s="500"/>
      <c r="G190" s="519"/>
    </row>
    <row r="191" spans="1:7" ht="37.5" hidden="1" x14ac:dyDescent="0.25">
      <c r="A191" s="200">
        <f t="shared" si="6"/>
        <v>550</v>
      </c>
      <c r="B191" s="500" t="str">
        <f>Suite&amp;" Electrical Room A"</f>
        <v>G104 Electrical Room A</v>
      </c>
      <c r="C191" s="499" t="s">
        <v>1466</v>
      </c>
      <c r="D191" s="233" t="str">
        <f>"Verify the readings in step " &amp; A190 &amp; " and " &amp;A10 &amp; " are within 3% of each other. (new kW divided by original kW must be ≤1.03 and ≥0.97)."</f>
        <v>Verify the readings in step 549 and 378 are within 3% of each other. (new kW divided by original kW must be ≤1.03 and ≥0.97).</v>
      </c>
      <c r="E191" s="499" t="s">
        <v>1464</v>
      </c>
      <c r="F191" s="500"/>
      <c r="G191" s="519"/>
    </row>
    <row r="192" spans="1:7" ht="37.5" hidden="1" x14ac:dyDescent="0.25">
      <c r="A192" s="200">
        <f t="shared" si="6"/>
        <v>551</v>
      </c>
      <c r="B192" s="500" t="str">
        <f>Suite&amp;" Electrical Room A"</f>
        <v>G104 Electrical Room A</v>
      </c>
      <c r="C192" s="499" t="s">
        <v>1468</v>
      </c>
      <c r="D192" s="191" t="s">
        <v>1469</v>
      </c>
      <c r="E192" s="499" t="s">
        <v>1464</v>
      </c>
      <c r="F192" s="500"/>
      <c r="G192" s="519"/>
    </row>
    <row r="193" spans="1:7" ht="37.5" hidden="1" x14ac:dyDescent="0.25">
      <c r="A193" s="200">
        <f t="shared" si="6"/>
        <v>552</v>
      </c>
      <c r="B193" s="500" t="str">
        <f>Suite&amp;" Electrical Room A"</f>
        <v>G104 Electrical Room A</v>
      </c>
      <c r="C193" s="499" t="s">
        <v>1468</v>
      </c>
      <c r="D193" s="233" t="str">
        <f>"Verify the readings in step " &amp; A192 &amp; " and " &amp;A11 &amp; " are within 3% of each other. (new kW divided by original kW must be ≤1.03 and ≥0.97)."</f>
        <v>Verify the readings in step 551 and 191 are within 3% of each other. (new kW divided by original kW must be ≤1.03 and ≥0.97).</v>
      </c>
      <c r="E193" s="499" t="s">
        <v>1464</v>
      </c>
      <c r="F193" s="500"/>
      <c r="G193" s="519"/>
    </row>
    <row r="194" spans="1:7" ht="37.5" hidden="1" x14ac:dyDescent="0.25">
      <c r="A194" s="200">
        <f t="shared" si="6"/>
        <v>553</v>
      </c>
      <c r="B194" s="231" t="str">
        <f>Suite&amp;" Electrical Room "&amp;SWTwo</f>
        <v>G104 Electrical Room XXX</v>
      </c>
      <c r="C194" s="183" t="str">
        <f>"UP"&amp;SWTwo</f>
        <v>UPXXX</v>
      </c>
      <c r="D194" s="235" t="s">
        <v>1626</v>
      </c>
      <c r="E194" s="183" t="s">
        <v>1464</v>
      </c>
      <c r="F194" s="193"/>
      <c r="G194" s="193"/>
    </row>
    <row r="195" spans="1:7" ht="37.5" hidden="1" x14ac:dyDescent="0.25">
      <c r="A195" s="200">
        <f t="shared" si="6"/>
        <v>554</v>
      </c>
      <c r="B195" s="231" t="str">
        <f>Suite&amp;" Electrical Room "&amp;SWTwo</f>
        <v>G104 Electrical Room XXX</v>
      </c>
      <c r="C195" s="183" t="str">
        <f>"UP"&amp;SWTwo</f>
        <v>UPXXX</v>
      </c>
      <c r="D195" s="186" t="str">
        <f>"VERIFY the readings in step " &amp; A12 &amp; " and " &amp; A194 &amp; " are within 3% of each other. (new kW divided by original kW must be ≤1.03 and ≥0.97)."</f>
        <v>VERIFY the readings in step 192 and 553 are within 3% of each other. (new kW divided by original kW must be ≤1.03 and ≥0.97).</v>
      </c>
      <c r="E195" s="183" t="s">
        <v>1464</v>
      </c>
      <c r="F195" s="193"/>
      <c r="G195" s="193"/>
    </row>
    <row r="196" spans="1:7" ht="37.5" hidden="1" x14ac:dyDescent="0.25">
      <c r="A196" s="200">
        <f t="shared" si="6"/>
        <v>555</v>
      </c>
      <c r="B196" s="500" t="str">
        <f>Suite&amp;" Electrical Room B"</f>
        <v>G104 Electrical Room B</v>
      </c>
      <c r="C196" s="499" t="s">
        <v>1472</v>
      </c>
      <c r="D196" s="191" t="s">
        <v>1473</v>
      </c>
      <c r="E196" s="499" t="s">
        <v>1464</v>
      </c>
      <c r="F196" s="500"/>
      <c r="G196" s="519"/>
    </row>
    <row r="197" spans="1:7" ht="37.5" hidden="1" x14ac:dyDescent="0.25">
      <c r="A197" s="200">
        <f t="shared" si="6"/>
        <v>556</v>
      </c>
      <c r="B197" s="500" t="str">
        <f>Suite&amp;" Electrical Room B"</f>
        <v>G104 Electrical Room B</v>
      </c>
      <c r="C197" s="499" t="s">
        <v>1472</v>
      </c>
      <c r="D197" s="233" t="str">
        <f>"Verify the readings in step " &amp; A196 &amp; " and " &amp;A13 &amp; " are within 3% of each other. (new kW divided by original kW must be ≤1.03 and ≥0.97)."</f>
        <v>Verify the readings in step 555 and 193 are within 3% of each other. (new kW divided by original kW must be ≤1.03 and ≥0.97).</v>
      </c>
      <c r="E197" s="499" t="s">
        <v>1464</v>
      </c>
      <c r="F197" s="500"/>
      <c r="G197" s="519"/>
    </row>
    <row r="198" spans="1:7" ht="37.5" hidden="1" x14ac:dyDescent="0.25">
      <c r="A198" s="200">
        <f t="shared" si="6"/>
        <v>557</v>
      </c>
      <c r="B198" s="500" t="str">
        <f>Suite&amp;" Electrical Room B"</f>
        <v>G104 Electrical Room B</v>
      </c>
      <c r="C198" s="499" t="s">
        <v>1474</v>
      </c>
      <c r="D198" s="191" t="s">
        <v>1475</v>
      </c>
      <c r="E198" s="499" t="s">
        <v>1464</v>
      </c>
      <c r="F198" s="500"/>
      <c r="G198" s="519"/>
    </row>
    <row r="199" spans="1:7" ht="37.5" hidden="1" x14ac:dyDescent="0.25">
      <c r="A199" s="200">
        <f t="shared" si="6"/>
        <v>558</v>
      </c>
      <c r="B199" s="500" t="str">
        <f>Suite&amp;" Electrical Room B"</f>
        <v>G104 Electrical Room B</v>
      </c>
      <c r="C199" s="499" t="s">
        <v>1474</v>
      </c>
      <c r="D199" s="233" t="str">
        <f>"Verify the readings in step " &amp; A198 &amp; " and " &amp;A14 &amp; " are within 3% of each other. (new kW divided by original kW must be ≤1.03 and ≥0.97)."</f>
        <v>Verify the readings in step 557 and 194 are within 3% of each other. (new kW divided by original kW must be ≤1.03 and ≥0.97).</v>
      </c>
      <c r="E199" s="499" t="s">
        <v>1464</v>
      </c>
      <c r="F199" s="500"/>
      <c r="G199" s="519"/>
    </row>
    <row r="200" spans="1:7" ht="37.5" hidden="1" x14ac:dyDescent="0.25">
      <c r="A200" s="200">
        <f t="shared" si="6"/>
        <v>559</v>
      </c>
      <c r="B200" s="500" t="str">
        <f>Suite&amp;" Electrical Room B"</f>
        <v>G104 Electrical Room B</v>
      </c>
      <c r="C200" s="499" t="s">
        <v>1522</v>
      </c>
      <c r="D200" s="191" t="s">
        <v>1477</v>
      </c>
      <c r="E200" s="499" t="s">
        <v>1464</v>
      </c>
      <c r="F200" s="500"/>
      <c r="G200" s="519"/>
    </row>
    <row r="201" spans="1:7" ht="37.5" hidden="1" x14ac:dyDescent="0.25">
      <c r="A201" s="200">
        <f t="shared" si="6"/>
        <v>560</v>
      </c>
      <c r="B201" s="500" t="str">
        <f>Suite&amp;" Electrical Room B"</f>
        <v>G104 Electrical Room B</v>
      </c>
      <c r="C201" s="499" t="s">
        <v>1522</v>
      </c>
      <c r="D201" s="233" t="str">
        <f>"Verify the readings in step " &amp; A200 &amp; " and " &amp; A167 &amp; " are within 3% of each other. (new kW divided by original kW must be ≤1.03 and ≥0.97)."</f>
        <v>Verify the readings in step 559 and 526 are within 3% of each other. (new kW divided by original kW must be ≤1.03 and ≥0.97).</v>
      </c>
      <c r="E201" s="499" t="s">
        <v>1464</v>
      </c>
      <c r="F201" s="500"/>
      <c r="G201" s="519"/>
    </row>
    <row r="202" spans="1:7" ht="37.5" x14ac:dyDescent="0.25">
      <c r="A202" s="200">
        <f t="shared" si="6"/>
        <v>561</v>
      </c>
      <c r="B202" s="500" t="str">
        <f>Suite&amp;" Electrical Room C"</f>
        <v>G104 Electrical Room C</v>
      </c>
      <c r="C202" s="499" t="s">
        <v>1478</v>
      </c>
      <c r="D202" s="191" t="s">
        <v>1479</v>
      </c>
      <c r="E202" s="499" t="s">
        <v>1464</v>
      </c>
      <c r="F202" s="500"/>
      <c r="G202" s="519"/>
    </row>
    <row r="203" spans="1:7" ht="37.5" x14ac:dyDescent="0.25">
      <c r="A203" s="200">
        <f t="shared" si="6"/>
        <v>562</v>
      </c>
      <c r="B203" s="500" t="str">
        <f>Suite&amp;" Electrical Room C"</f>
        <v>G104 Electrical Room C</v>
      </c>
      <c r="C203" s="499" t="s">
        <v>1478</v>
      </c>
      <c r="D203" s="233" t="str">
        <f>"Verify the readings in step " &amp; A202 &amp; " and " &amp;A16 &amp; " are within 3% of each other. (new kW divided by original kW must be ≤1.03 and ≥0.97)."</f>
        <v>Verify the readings in step 561 and 378 are within 3% of each other. (new kW divided by original kW must be ≤1.03 and ≥0.97).</v>
      </c>
      <c r="E203" s="499" t="s">
        <v>1464</v>
      </c>
      <c r="F203" s="500"/>
      <c r="G203" s="519"/>
    </row>
    <row r="204" spans="1:7" ht="37.5" x14ac:dyDescent="0.25">
      <c r="A204" s="200">
        <f t="shared" si="6"/>
        <v>563</v>
      </c>
      <c r="B204" s="500" t="str">
        <f>Suite&amp;" Electrical Room C"</f>
        <v>G104 Electrical Room C</v>
      </c>
      <c r="C204" s="499" t="s">
        <v>1480</v>
      </c>
      <c r="D204" s="191" t="s">
        <v>1481</v>
      </c>
      <c r="E204" s="499" t="s">
        <v>1464</v>
      </c>
      <c r="F204" s="500"/>
      <c r="G204" s="519"/>
    </row>
    <row r="205" spans="1:7" ht="37.5" x14ac:dyDescent="0.25">
      <c r="A205" s="200">
        <f t="shared" si="6"/>
        <v>564</v>
      </c>
      <c r="B205" s="500" t="str">
        <f>Suite&amp;" Electrical Room C"</f>
        <v>G104 Electrical Room C</v>
      </c>
      <c r="C205" s="499" t="s">
        <v>1480</v>
      </c>
      <c r="D205" s="233" t="str">
        <f>"Verify the readings in step " &amp; A204 &amp; " and " &amp;A17 &amp; " are within 3% of each other. (new kW divided by original kW must be ≤1.03 and ≥0.97)."</f>
        <v>Verify the readings in step 563 and 379 are within 3% of each other. (new kW divided by original kW must be ≤1.03 and ≥0.97).</v>
      </c>
      <c r="E205" s="499" t="s">
        <v>1464</v>
      </c>
      <c r="F205" s="500"/>
      <c r="G205" s="519"/>
    </row>
    <row r="206" spans="1:7" ht="37.5" x14ac:dyDescent="0.25">
      <c r="A206" s="200">
        <v>230</v>
      </c>
      <c r="B206" s="500" t="str">
        <f>Suite&amp;" Electrical Room C"</f>
        <v>G104 Electrical Room C</v>
      </c>
      <c r="C206" s="499" t="s">
        <v>1523</v>
      </c>
      <c r="D206" s="191" t="s">
        <v>1483</v>
      </c>
      <c r="E206" s="499" t="s">
        <v>1464</v>
      </c>
      <c r="F206" s="500"/>
      <c r="G206" s="519"/>
    </row>
    <row r="207" spans="1:7" ht="37.5" x14ac:dyDescent="0.25">
      <c r="A207" s="200">
        <f t="shared" ref="A207" si="7">A206+1</f>
        <v>231</v>
      </c>
      <c r="B207" s="500" t="str">
        <f>Suite&amp;" Electrical Room C"</f>
        <v>G104 Electrical Room C</v>
      </c>
      <c r="C207" s="499" t="s">
        <v>1523</v>
      </c>
      <c r="D207" s="233" t="str">
        <f>"Verify the readings in step " &amp; A206 &amp; " and " &amp; A167 &amp; " are within 3% of each other. (new kW divided by original kW must be ≤1.03 and ≥0.97)."</f>
        <v>Verify the readings in step 230 and 526 are within 3% of each other. (new kW divided by original kW must be ≤1.03 and ≥0.97).</v>
      </c>
      <c r="E207" s="499" t="s">
        <v>1464</v>
      </c>
      <c r="F207" s="500"/>
      <c r="G207" s="519"/>
    </row>
    <row r="208" spans="1:7" ht="37.5" x14ac:dyDescent="0.25">
      <c r="A208" s="200">
        <f t="shared" si="6"/>
        <v>232</v>
      </c>
      <c r="B208" s="500" t="str">
        <f>Suite&amp;" Electrical Room D"</f>
        <v>G104 Electrical Room D</v>
      </c>
      <c r="C208" s="499" t="s">
        <v>1484</v>
      </c>
      <c r="D208" s="191" t="s">
        <v>1485</v>
      </c>
      <c r="E208" s="499" t="s">
        <v>1464</v>
      </c>
      <c r="F208" s="500"/>
      <c r="G208" s="519"/>
    </row>
    <row r="209" spans="1:7" ht="37.5" x14ac:dyDescent="0.25">
      <c r="A209" s="200">
        <f t="shared" si="6"/>
        <v>233</v>
      </c>
      <c r="B209" s="500" t="str">
        <f>Suite&amp;" Electrical Room D"</f>
        <v>G104 Electrical Room D</v>
      </c>
      <c r="C209" s="499" t="s">
        <v>1484</v>
      </c>
      <c r="D209" s="233" t="str">
        <f>"Verify the readings in step " &amp; A208 &amp; " and " &amp;A19 &amp; " are within 3% of each other. (new kW divided by original kW must be ≤1.03 and ≥0.97)."</f>
        <v>Verify the readings in step 232 and 381 are within 3% of each other. (new kW divided by original kW must be ≤1.03 and ≥0.97).</v>
      </c>
      <c r="E209" s="499" t="s">
        <v>1464</v>
      </c>
      <c r="F209" s="500"/>
      <c r="G209" s="519"/>
    </row>
    <row r="210" spans="1:7" ht="37.5" x14ac:dyDescent="0.25">
      <c r="A210" s="200">
        <f t="shared" si="6"/>
        <v>234</v>
      </c>
      <c r="B210" s="500" t="str">
        <f>Suite&amp;" Electrical Room D"</f>
        <v>G104 Electrical Room D</v>
      </c>
      <c r="C210" s="499" t="s">
        <v>1486</v>
      </c>
      <c r="D210" s="191" t="s">
        <v>1487</v>
      </c>
      <c r="E210" s="499" t="s">
        <v>1464</v>
      </c>
      <c r="F210" s="500"/>
      <c r="G210" s="519"/>
    </row>
    <row r="211" spans="1:7" ht="37.5" x14ac:dyDescent="0.25">
      <c r="A211" s="200">
        <v>231</v>
      </c>
      <c r="B211" s="500" t="str">
        <f>Suite&amp;" Electrical Room D"</f>
        <v>G104 Electrical Room D</v>
      </c>
      <c r="C211" s="499" t="s">
        <v>1486</v>
      </c>
      <c r="D211" s="233" t="str">
        <f>"Verify the readings in step " &amp; A210 &amp; " and " &amp;A20 &amp; " are within 3% of each other. (new kW divided by original kW must be ≤1.03 and ≥0.97)."</f>
        <v>Verify the readings in step 234 and 382 are within 3% of each other. (new kW divided by original kW must be ≤1.03 and ≥0.97).</v>
      </c>
      <c r="E211" s="499" t="s">
        <v>1464</v>
      </c>
      <c r="F211" s="500"/>
      <c r="G211" s="519"/>
    </row>
    <row r="212" spans="1:7" ht="37.5" x14ac:dyDescent="0.25">
      <c r="A212" s="200">
        <f t="shared" ref="A212" si="8">A211+1</f>
        <v>232</v>
      </c>
      <c r="B212" s="500" t="str">
        <f>Suite&amp;" Electrical Room D"</f>
        <v>G104 Electrical Room D</v>
      </c>
      <c r="C212" s="499" t="s">
        <v>1524</v>
      </c>
      <c r="D212" s="191" t="s">
        <v>1489</v>
      </c>
      <c r="E212" s="499" t="s">
        <v>1464</v>
      </c>
      <c r="F212" s="500"/>
      <c r="G212" s="519"/>
    </row>
    <row r="213" spans="1:7" ht="37.5" x14ac:dyDescent="0.25">
      <c r="A213" s="200">
        <f t="shared" si="6"/>
        <v>233</v>
      </c>
      <c r="B213" s="500" t="str">
        <f>Suite&amp;" Electrical Room D"</f>
        <v>G104 Electrical Room D</v>
      </c>
      <c r="C213" s="499" t="s">
        <v>1524</v>
      </c>
      <c r="D213" s="233" t="str">
        <f>"Verify the readings in step " &amp; A212 &amp; " and " &amp; A21 &amp; " are within 3% of each other. (new kW divided by original kW must be ≤1.03 and ≥0.97)."</f>
        <v>Verify the readings in step 232 and 383 are within 3% of each other. (new kW divided by original kW must be ≤1.03 and ≥0.97).</v>
      </c>
      <c r="E213" s="499" t="s">
        <v>1464</v>
      </c>
      <c r="F213" s="500"/>
      <c r="G213" s="519"/>
    </row>
    <row r="214" spans="1:7" ht="37.5" x14ac:dyDescent="0.25">
      <c r="A214" s="200">
        <f>A201+1</f>
        <v>561</v>
      </c>
      <c r="B214" s="183" t="s">
        <v>1462</v>
      </c>
      <c r="C214" s="183" t="s">
        <v>84</v>
      </c>
      <c r="D214" s="252" t="str">
        <f>"Contact the engineer stationed on base to verify no abnormal conditions exist on the suite " &amp; Suite &amp; " electrical systems."</f>
        <v>Contact the engineer stationed on base to verify no abnormal conditions exist on the suite G104 electrical systems.</v>
      </c>
      <c r="E214" s="183" t="s">
        <v>1464</v>
      </c>
      <c r="F214" s="193"/>
      <c r="G214" s="193"/>
    </row>
  </sheetData>
  <sheetProtection formatCells="0" formatColumns="0" formatRows="0" insertRows="0" deleteRows="0" sort="0" autoFilter="0"/>
  <mergeCells count="12">
    <mergeCell ref="B110:G110"/>
    <mergeCell ref="B156:G156"/>
    <mergeCell ref="B178:G178"/>
    <mergeCell ref="A2:B2"/>
    <mergeCell ref="A4:C4"/>
    <mergeCell ref="B6:G6"/>
    <mergeCell ref="B8:G8"/>
    <mergeCell ref="C2:G2"/>
    <mergeCell ref="B28:G28"/>
    <mergeCell ref="B30:G30"/>
    <mergeCell ref="B45:G45"/>
    <mergeCell ref="B69:G6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F85-859D-4EB1-91B4-6D52BF798576}">
  <sheetPr codeName="NX_D">
    <pageSetUpPr fitToPage="1"/>
  </sheetPr>
  <dimension ref="A1:J214"/>
  <sheetViews>
    <sheetView view="pageBreakPreview" zoomScale="90" zoomScaleNormal="100" zoomScaleSheetLayoutView="90" workbookViewId="0">
      <selection activeCell="A205" sqref="A205:A214"/>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9" width="8.7109375" customWidth="1"/>
    <col min="10" max="10" width="67.85546875" customWidth="1"/>
    <col min="11" max="11" width="8.710937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ht="18.75" customHeight="1" x14ac:dyDescent="0.25">
      <c r="A6" s="200">
        <f>'NX-C'!A214+1</f>
        <v>562</v>
      </c>
      <c r="B6" s="712" t="s">
        <v>1461</v>
      </c>
      <c r="C6" s="712"/>
      <c r="D6" s="712"/>
      <c r="E6" s="712"/>
      <c r="F6" s="712"/>
      <c r="G6" s="712"/>
    </row>
    <row r="7" spans="1:9" ht="37.5" x14ac:dyDescent="0.25">
      <c r="A7" s="200">
        <f>A6+1</f>
        <v>563</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ht="18.75" customHeight="1" x14ac:dyDescent="0.25">
      <c r="A8" s="200">
        <f t="shared" ref="A8:A24" si="0">A7+1</f>
        <v>564</v>
      </c>
      <c r="B8" s="712" t="s">
        <v>1465</v>
      </c>
      <c r="C8" s="712"/>
      <c r="D8" s="712"/>
      <c r="E8" s="712"/>
      <c r="F8" s="712"/>
      <c r="G8" s="712"/>
    </row>
    <row r="9" spans="1:9" ht="56.25" x14ac:dyDescent="0.25">
      <c r="A9" s="200">
        <f t="shared" si="0"/>
        <v>565</v>
      </c>
      <c r="B9" s="231" t="str">
        <f>Suite&amp;" Electrical Rooms "&amp;SWThree&amp;" &amp; "&amp;SWFour</f>
        <v>G104 Electrical Rooms XXX &amp; XXX</v>
      </c>
      <c r="C9" s="183" t="str">
        <f>"UPS "&amp;SWThree&amp;" &amp; "&amp;SWFour</f>
        <v>UPS XXX &amp; XXX</v>
      </c>
      <c r="D9" s="186" t="s">
        <v>4920</v>
      </c>
      <c r="E9" s="183" t="s">
        <v>1464</v>
      </c>
      <c r="F9" s="193"/>
      <c r="G9" s="193"/>
    </row>
    <row r="10" spans="1:9" ht="37.5" hidden="1" x14ac:dyDescent="0.25">
      <c r="A10" s="200">
        <f t="shared" si="0"/>
        <v>566</v>
      </c>
      <c r="B10" s="500" t="str">
        <f>Suite&amp;" Electrical Room A"</f>
        <v>G104 Electrical Room A</v>
      </c>
      <c r="C10" s="499" t="s">
        <v>1466</v>
      </c>
      <c r="D10" s="191" t="s">
        <v>1467</v>
      </c>
      <c r="E10" s="499" t="s">
        <v>1464</v>
      </c>
      <c r="F10" s="500"/>
      <c r="G10" s="519"/>
    </row>
    <row r="11" spans="1:9" ht="37.5" hidden="1" x14ac:dyDescent="0.25">
      <c r="A11" s="200">
        <v>191</v>
      </c>
      <c r="B11" s="500" t="str">
        <f>Suite&amp;" Electrical Room A"</f>
        <v>G104 Electrical Room A</v>
      </c>
      <c r="C11" s="499" t="s">
        <v>1468</v>
      </c>
      <c r="D11" s="191" t="s">
        <v>1469</v>
      </c>
      <c r="E11" s="499" t="s">
        <v>1464</v>
      </c>
      <c r="F11" s="500"/>
      <c r="G11" s="519"/>
    </row>
    <row r="12" spans="1:9" ht="18.75" hidden="1" customHeight="1" x14ac:dyDescent="0.25">
      <c r="A12" s="200">
        <f t="shared" ref="A12" si="1">A11+1</f>
        <v>192</v>
      </c>
      <c r="B12" s="231" t="str">
        <f>Suite&amp;" Electrical Room "&amp;SWTwo</f>
        <v>G104 Electrical Room XXX</v>
      </c>
      <c r="C12" s="183" t="s">
        <v>1470</v>
      </c>
      <c r="D12" s="186" t="s">
        <v>2101</v>
      </c>
      <c r="E12" s="183" t="s">
        <v>1464</v>
      </c>
      <c r="F12" s="193"/>
      <c r="G12" s="193"/>
    </row>
    <row r="13" spans="1:9" ht="37.5" hidden="1" x14ac:dyDescent="0.25">
      <c r="A13" s="200">
        <f t="shared" si="0"/>
        <v>193</v>
      </c>
      <c r="B13" s="500" t="str">
        <f>Suite&amp;" Electrical Room B"</f>
        <v>G104 Electrical Room B</v>
      </c>
      <c r="C13" s="499" t="s">
        <v>1472</v>
      </c>
      <c r="D13" s="191" t="s">
        <v>1473</v>
      </c>
      <c r="E13" s="499" t="s">
        <v>1464</v>
      </c>
      <c r="F13" s="500"/>
      <c r="G13" s="519"/>
    </row>
    <row r="14" spans="1:9" ht="18.75" hidden="1" customHeight="1" x14ac:dyDescent="0.25">
      <c r="A14" s="200">
        <f t="shared" si="0"/>
        <v>194</v>
      </c>
      <c r="B14" s="500" t="str">
        <f>Suite&amp;" Electrical Room B"</f>
        <v>G104 Electrical Room B</v>
      </c>
      <c r="C14" s="499" t="s">
        <v>1474</v>
      </c>
      <c r="D14" s="191" t="s">
        <v>1475</v>
      </c>
      <c r="E14" s="499" t="s">
        <v>1464</v>
      </c>
      <c r="F14" s="500"/>
      <c r="G14" s="519"/>
    </row>
    <row r="15" spans="1:9" ht="37.5" hidden="1" x14ac:dyDescent="0.25">
      <c r="A15" s="200">
        <f t="shared" si="0"/>
        <v>195</v>
      </c>
      <c r="B15" s="500" t="str">
        <f>Suite&amp;" Electrical Room B"</f>
        <v>G104 Electrical Room B</v>
      </c>
      <c r="C15" s="499" t="s">
        <v>1476</v>
      </c>
      <c r="D15" s="191" t="s">
        <v>1477</v>
      </c>
      <c r="E15" s="499" t="s">
        <v>1464</v>
      </c>
      <c r="F15" s="500"/>
      <c r="G15" s="519"/>
    </row>
    <row r="16" spans="1:9" ht="37.5" x14ac:dyDescent="0.25">
      <c r="A16" s="200">
        <f>A9+1</f>
        <v>566</v>
      </c>
      <c r="B16" s="500" t="str">
        <f>Suite&amp;" Electrical Room C"</f>
        <v>G104 Electrical Room C</v>
      </c>
      <c r="C16" s="499" t="s">
        <v>1478</v>
      </c>
      <c r="D16" s="191" t="s">
        <v>1479</v>
      </c>
      <c r="E16" s="499" t="s">
        <v>1464</v>
      </c>
      <c r="F16" s="500"/>
      <c r="G16" s="519"/>
    </row>
    <row r="17" spans="1:7" ht="37.5" x14ac:dyDescent="0.25">
      <c r="A17" s="200">
        <f t="shared" ref="A17" si="2">A16+1</f>
        <v>567</v>
      </c>
      <c r="B17" s="500" t="str">
        <f>Suite&amp;" Electrical Room C"</f>
        <v>G104 Electrical Room C</v>
      </c>
      <c r="C17" s="499" t="s">
        <v>1480</v>
      </c>
      <c r="D17" s="191" t="s">
        <v>1481</v>
      </c>
      <c r="E17" s="499" t="s">
        <v>1464</v>
      </c>
      <c r="F17" s="500"/>
      <c r="G17" s="519"/>
    </row>
    <row r="18" spans="1:7" ht="37.5" x14ac:dyDescent="0.25">
      <c r="A18" s="200">
        <f t="shared" si="0"/>
        <v>568</v>
      </c>
      <c r="B18" s="500" t="str">
        <f>Suite&amp;" Electrical Room C"</f>
        <v>G104 Electrical Room C</v>
      </c>
      <c r="C18" s="499" t="s">
        <v>1482</v>
      </c>
      <c r="D18" s="191" t="s">
        <v>1483</v>
      </c>
      <c r="E18" s="499" t="s">
        <v>1464</v>
      </c>
      <c r="F18" s="500"/>
      <c r="G18" s="519"/>
    </row>
    <row r="19" spans="1:7" ht="37.5" x14ac:dyDescent="0.25">
      <c r="A19" s="200">
        <f t="shared" si="0"/>
        <v>569</v>
      </c>
      <c r="B19" s="500" t="str">
        <f>Suite&amp;" Electrical Room D"</f>
        <v>G104 Electrical Room D</v>
      </c>
      <c r="C19" s="499" t="s">
        <v>1484</v>
      </c>
      <c r="D19" s="191" t="s">
        <v>1485</v>
      </c>
      <c r="E19" s="499" t="s">
        <v>1464</v>
      </c>
      <c r="F19" s="500"/>
      <c r="G19" s="519"/>
    </row>
    <row r="20" spans="1:7" ht="37.5" x14ac:dyDescent="0.25">
      <c r="A20" s="200">
        <f t="shared" si="0"/>
        <v>570</v>
      </c>
      <c r="B20" s="500" t="str">
        <f>Suite&amp;" Electrical Room D"</f>
        <v>G104 Electrical Room D</v>
      </c>
      <c r="C20" s="499" t="s">
        <v>1486</v>
      </c>
      <c r="D20" s="191" t="s">
        <v>1487</v>
      </c>
      <c r="E20" s="499" t="s">
        <v>1464</v>
      </c>
      <c r="F20" s="500"/>
      <c r="G20" s="519"/>
    </row>
    <row r="21" spans="1:7" ht="37.5" x14ac:dyDescent="0.25">
      <c r="A21" s="200">
        <f t="shared" si="0"/>
        <v>571</v>
      </c>
      <c r="B21" s="500" t="str">
        <f>Suite&amp;" Electrical Room D"</f>
        <v>G104 Electrical Room D</v>
      </c>
      <c r="C21" s="499" t="s">
        <v>1488</v>
      </c>
      <c r="D21" s="191" t="s">
        <v>1489</v>
      </c>
      <c r="E21" s="499" t="s">
        <v>1464</v>
      </c>
      <c r="F21" s="500"/>
      <c r="G21" s="519"/>
    </row>
    <row r="22" spans="1:7" ht="37.5" hidden="1" x14ac:dyDescent="0.25">
      <c r="A22" s="200">
        <f t="shared" si="0"/>
        <v>572</v>
      </c>
      <c r="B22" s="500" t="str">
        <f>Suite&amp;" Electrical Room F"</f>
        <v>G104 Electrical Room F</v>
      </c>
      <c r="C22" s="499" t="s">
        <v>1490</v>
      </c>
      <c r="D22" s="191" t="s">
        <v>1491</v>
      </c>
      <c r="E22" s="499" t="s">
        <v>1464</v>
      </c>
      <c r="F22" s="500"/>
      <c r="G22" s="519"/>
    </row>
    <row r="23" spans="1:7" ht="37.5" hidden="1" x14ac:dyDescent="0.25">
      <c r="A23" s="200">
        <f t="shared" si="0"/>
        <v>573</v>
      </c>
      <c r="B23" s="500" t="str">
        <f>Suite&amp;" Electrical Room F"</f>
        <v>G104 Electrical Room F</v>
      </c>
      <c r="C23" s="499" t="s">
        <v>1492</v>
      </c>
      <c r="D23" s="191" t="s">
        <v>1493</v>
      </c>
      <c r="E23" s="499" t="s">
        <v>1464</v>
      </c>
      <c r="F23" s="500"/>
      <c r="G23" s="519"/>
    </row>
    <row r="24" spans="1:7" ht="37.5" hidden="1" x14ac:dyDescent="0.25">
      <c r="A24" s="200">
        <f t="shared" si="0"/>
        <v>574</v>
      </c>
      <c r="B24" s="500" t="str">
        <f>Suite&amp;" Electrical Room F"</f>
        <v>G104 Electrical Room F</v>
      </c>
      <c r="C24" s="499" t="s">
        <v>1494</v>
      </c>
      <c r="D24" s="191" t="s">
        <v>1495</v>
      </c>
      <c r="E24" s="499" t="s">
        <v>1464</v>
      </c>
      <c r="F24" s="500"/>
      <c r="G24" s="519"/>
    </row>
    <row r="25" spans="1:7" ht="56.25" x14ac:dyDescent="0.25">
      <c r="A25" s="200">
        <f>A21+1</f>
        <v>572</v>
      </c>
      <c r="B25" s="500" t="str" cm="1">
        <f t="array" ref="B25">Suite &amp; " Electrical Rooms"</f>
        <v>G104 Electrical Rooms</v>
      </c>
      <c r="C25" s="499" t="str" cm="1">
        <f t="array" ref="C25">Suite &amp; " UPS System"</f>
        <v>G104 UPS System</v>
      </c>
      <c r="D25" s="190" t="s">
        <v>4621</v>
      </c>
      <c r="E25" s="499" t="s">
        <v>1464</v>
      </c>
      <c r="F25" s="500"/>
      <c r="G25" s="519"/>
    </row>
    <row r="26" spans="1:7" ht="37.5" x14ac:dyDescent="0.25">
      <c r="A26" s="200">
        <f>A25+1</f>
        <v>573</v>
      </c>
      <c r="B26" s="500" t="str" cm="1">
        <f t="array" ref="B26">Suite &amp; " Electrical Rooms"</f>
        <v>G104 Electrical Rooms</v>
      </c>
      <c r="C26" s="499" t="str" cm="1">
        <f t="array" ref="C26">Suite &amp; " UPS System"</f>
        <v>G104 UPS System</v>
      </c>
      <c r="D26" s="191" t="str" cm="1">
        <f t="array" ref="D26">"Verify output kW readings on all UPS modules do not exceed " &amp; ROUNDDOWN(IF(POD="DR", (NumberOfSW-1)/NumberOfSW, 0.5)*(UPSkW), 0) &amp; " kW."</f>
        <v>Verify output kW readings on all UPS modules do not exceed 281 kW.</v>
      </c>
      <c r="E26" s="499" t="s">
        <v>1464</v>
      </c>
      <c r="F26" s="500"/>
      <c r="G26" s="519"/>
    </row>
    <row r="27" spans="1:7" ht="56.25" x14ac:dyDescent="0.25">
      <c r="A27" s="200">
        <f t="shared" ref="A27:A90" si="3">A26+1</f>
        <v>574</v>
      </c>
      <c r="B27" s="231" t="str">
        <f>Suite&amp;" Electrical Rooms "&amp;SWThree&amp;" &amp; "&amp;SWFour</f>
        <v>G104 Electrical Rooms XXX &amp; XXX</v>
      </c>
      <c r="C27" s="183" t="str">
        <f>"UPS "&amp;SWThree&amp;" &amp; "&amp;SWFour</f>
        <v>UPS XXX &amp; XXX</v>
      </c>
      <c r="D27" s="186" t="s">
        <v>1559</v>
      </c>
      <c r="E27" s="183" t="s">
        <v>1464</v>
      </c>
      <c r="F27" s="193"/>
      <c r="G27" s="193"/>
    </row>
    <row r="28" spans="1:7" x14ac:dyDescent="0.25">
      <c r="A28" s="200">
        <f t="shared" si="3"/>
        <v>575</v>
      </c>
      <c r="B28" s="712" t="s">
        <v>1743</v>
      </c>
      <c r="C28" s="712"/>
      <c r="D28" s="712"/>
      <c r="E28" s="712"/>
      <c r="F28" s="712"/>
      <c r="G28" s="712"/>
    </row>
    <row r="29" spans="1:7" ht="18.75" customHeight="1" x14ac:dyDescent="0.25">
      <c r="A29" s="200">
        <f t="shared" si="3"/>
        <v>576</v>
      </c>
      <c r="B29" s="231" t="str">
        <f>Suite&amp;" Electrical Room "&amp;SWFour</f>
        <v>G104 Electrical Room XXX</v>
      </c>
      <c r="C29" s="183" t="str">
        <f>"UP"&amp;SWFour</f>
        <v>UPXXX</v>
      </c>
      <c r="D29" s="233" t="s">
        <v>4915</v>
      </c>
      <c r="E29" s="183" t="s">
        <v>1464</v>
      </c>
      <c r="F29" s="193"/>
      <c r="G29" s="193"/>
    </row>
    <row r="30" spans="1:7" x14ac:dyDescent="0.25">
      <c r="A30" s="200">
        <f t="shared" si="3"/>
        <v>577</v>
      </c>
      <c r="B30" s="714" t="s">
        <v>1744</v>
      </c>
      <c r="C30" s="714"/>
      <c r="D30" s="714"/>
      <c r="E30" s="714"/>
      <c r="F30" s="714"/>
      <c r="G30" s="714"/>
    </row>
    <row r="31" spans="1:7" ht="37.5" x14ac:dyDescent="0.25">
      <c r="A31" s="200">
        <f t="shared" si="3"/>
        <v>578</v>
      </c>
      <c r="B31" s="231" t="str">
        <f>Suite&amp;" Electrical Room "&amp;SWFour</f>
        <v>G104 Electrical Room XXX</v>
      </c>
      <c r="C31" s="183" t="str">
        <f>"UPS "&amp;SWFour&amp;"1"</f>
        <v>UPS XXX1</v>
      </c>
      <c r="D31" s="186" t="s">
        <v>4914</v>
      </c>
      <c r="E31" s="183" t="s">
        <v>1464</v>
      </c>
      <c r="F31" s="193"/>
      <c r="G31" s="193"/>
    </row>
    <row r="32" spans="1:7" ht="37.5" x14ac:dyDescent="0.25">
      <c r="A32" s="200">
        <f t="shared" si="3"/>
        <v>579</v>
      </c>
      <c r="B32" s="231" t="str">
        <f>Suite&amp;" Electrical Room "&amp;SWFour</f>
        <v>G104 Electrical Room XXX</v>
      </c>
      <c r="C32" s="183" t="str">
        <f>"UPS "&amp;SWFour&amp;"1"</f>
        <v>UPS XXX1</v>
      </c>
      <c r="D32" s="186" t="s">
        <v>4908</v>
      </c>
      <c r="E32" s="183" t="s">
        <v>1464</v>
      </c>
      <c r="F32" s="193"/>
      <c r="G32" s="193"/>
    </row>
    <row r="33" spans="1:7" ht="37.5" x14ac:dyDescent="0.25">
      <c r="A33" s="200">
        <f t="shared" si="3"/>
        <v>580</v>
      </c>
      <c r="B33" s="231" t="str">
        <f>Suite&amp;" Electrical Room "&amp;SWFour</f>
        <v>G104 Electrical Room XXX</v>
      </c>
      <c r="C33" s="183" t="str">
        <f>"UPS "&amp;SWFour&amp;"1"</f>
        <v>UPS XXX1</v>
      </c>
      <c r="D33" s="186" t="s">
        <v>1620</v>
      </c>
      <c r="E33" s="183" t="s">
        <v>1464</v>
      </c>
      <c r="F33" s="193"/>
      <c r="G33" s="193"/>
    </row>
    <row r="34" spans="1:7" ht="37.5" x14ac:dyDescent="0.25">
      <c r="A34" s="200">
        <f t="shared" si="3"/>
        <v>581</v>
      </c>
      <c r="B34" s="231" t="str">
        <f>Suite&amp;" Electrical Room "&amp;SWFour</f>
        <v>G104 Electrical Room XXX</v>
      </c>
      <c r="C34" s="183" t="str">
        <f>"UPS "&amp;SWFour&amp;"1"</f>
        <v>UPS XXX1</v>
      </c>
      <c r="D34" s="186" t="s">
        <v>4909</v>
      </c>
      <c r="E34" s="183" t="s">
        <v>1464</v>
      </c>
      <c r="F34" s="193"/>
      <c r="G34" s="193"/>
    </row>
    <row r="35" spans="1:7" ht="56.25" x14ac:dyDescent="0.25">
      <c r="A35" s="200">
        <f t="shared" si="3"/>
        <v>582</v>
      </c>
      <c r="B35" s="231" t="str">
        <f>Suite&amp;" Electrical Room "&amp;SWFour</f>
        <v>G104 Electrical Room XXX</v>
      </c>
      <c r="C35" s="183" t="str">
        <f>"UPS "&amp;SWFour&amp;"1"</f>
        <v>UPS XXX1</v>
      </c>
      <c r="D35" s="186" t="s">
        <v>1622</v>
      </c>
      <c r="E35" s="183" t="s">
        <v>1464</v>
      </c>
      <c r="F35" s="193"/>
      <c r="G35" s="193"/>
    </row>
    <row r="36" spans="1:7" ht="37.5" x14ac:dyDescent="0.25">
      <c r="A36" s="200">
        <f t="shared" si="3"/>
        <v>583</v>
      </c>
      <c r="B36" s="231" t="str">
        <f>Suite&amp;" Electrical Room "&amp;SWFour</f>
        <v>G104 Electrical Room XXX</v>
      </c>
      <c r="C36" s="183" t="str">
        <f>"UPS "&amp;SWFour&amp;"2"</f>
        <v>UPS XXX2</v>
      </c>
      <c r="D36" s="186" t="s">
        <v>4910</v>
      </c>
      <c r="E36" s="183" t="s">
        <v>1464</v>
      </c>
      <c r="F36" s="193"/>
      <c r="G36" s="193"/>
    </row>
    <row r="37" spans="1:7" ht="37.5" x14ac:dyDescent="0.25">
      <c r="A37" s="200">
        <f t="shared" si="3"/>
        <v>584</v>
      </c>
      <c r="B37" s="231" t="str">
        <f>Suite&amp;" Electrical Room "&amp;SWFour</f>
        <v>G104 Electrical Room XXX</v>
      </c>
      <c r="C37" s="183" t="str">
        <f>"UPS "&amp;SWFour&amp;"2"</f>
        <v>UPS XXX2</v>
      </c>
      <c r="D37" s="186" t="s">
        <v>1620</v>
      </c>
      <c r="E37" s="183" t="s">
        <v>1464</v>
      </c>
      <c r="F37" s="193"/>
      <c r="G37" s="193"/>
    </row>
    <row r="38" spans="1:7" ht="37.5" x14ac:dyDescent="0.25">
      <c r="A38" s="200">
        <f t="shared" si="3"/>
        <v>585</v>
      </c>
      <c r="B38" s="231" t="str">
        <f>Suite&amp;" Electrical Room "&amp;SWFour</f>
        <v>G104 Electrical Room XXX</v>
      </c>
      <c r="C38" s="183" t="str">
        <f>"UPS "&amp;SWFour&amp;"2"</f>
        <v>UPS XXX2</v>
      </c>
      <c r="D38" s="186" t="s">
        <v>4909</v>
      </c>
      <c r="E38" s="183" t="s">
        <v>1464</v>
      </c>
      <c r="F38" s="193"/>
      <c r="G38" s="193"/>
    </row>
    <row r="39" spans="1:7" ht="37.5" x14ac:dyDescent="0.25">
      <c r="A39" s="200">
        <f t="shared" si="3"/>
        <v>586</v>
      </c>
      <c r="B39" s="231" t="str">
        <f>Suite&amp;" Electrical Room "&amp;SWFour</f>
        <v>G104 Electrical Room XXX</v>
      </c>
      <c r="C39" s="183" t="str">
        <f>"UPS "&amp;SWFour&amp;"2"</f>
        <v>UPS XXX2</v>
      </c>
      <c r="D39" s="186" t="s">
        <v>4870</v>
      </c>
      <c r="E39" s="183" t="s">
        <v>1464</v>
      </c>
      <c r="F39" s="193"/>
      <c r="G39" s="193"/>
    </row>
    <row r="40" spans="1:7" ht="56.25" x14ac:dyDescent="0.25">
      <c r="A40" s="200">
        <f t="shared" si="3"/>
        <v>587</v>
      </c>
      <c r="B40" s="231" t="str">
        <f>Suite&amp;" Electrical Room "&amp;SWFour</f>
        <v>G104 Electrical Room XXX</v>
      </c>
      <c r="C40" s="183" t="str">
        <f>"UPS "&amp;SWFour&amp;"2"</f>
        <v>UPS XXX2</v>
      </c>
      <c r="D40" s="186" t="s">
        <v>1622</v>
      </c>
      <c r="E40" s="183" t="s">
        <v>1464</v>
      </c>
      <c r="F40" s="193"/>
      <c r="G40" s="193"/>
    </row>
    <row r="41" spans="1:7" ht="37.5" x14ac:dyDescent="0.25">
      <c r="A41" s="200">
        <f t="shared" si="3"/>
        <v>588</v>
      </c>
      <c r="B41" s="231" t="str">
        <f>Suite&amp;" Electrical Room "&amp;SWFour</f>
        <v>G104 Electrical Room XXX</v>
      </c>
      <c r="C41" s="183" t="str">
        <f>"UPS "&amp;SWFour&amp;"2"</f>
        <v>UPS XXX2</v>
      </c>
      <c r="D41" s="186" t="s">
        <v>4921</v>
      </c>
      <c r="E41" s="183" t="s">
        <v>1464</v>
      </c>
      <c r="F41" s="193"/>
      <c r="G41" s="193"/>
    </row>
    <row r="42" spans="1:7" ht="37.5" x14ac:dyDescent="0.25">
      <c r="A42" s="200">
        <f t="shared" si="3"/>
        <v>589</v>
      </c>
      <c r="B42" s="231" t="str">
        <f>Suite&amp;" Electrical Room "&amp;SWFour</f>
        <v>G104 Electrical Room XXX</v>
      </c>
      <c r="C42" s="183" t="str">
        <f>"UPS "&amp;SWFour</f>
        <v>UPS XXX</v>
      </c>
      <c r="D42" s="186" t="s">
        <v>1501</v>
      </c>
      <c r="E42" s="183" t="s">
        <v>1464</v>
      </c>
      <c r="F42" s="193"/>
      <c r="G42" s="193"/>
    </row>
    <row r="43" spans="1:7" ht="37.5" x14ac:dyDescent="0.25">
      <c r="A43" s="200">
        <f t="shared" si="3"/>
        <v>590</v>
      </c>
      <c r="B43" s="231" t="str">
        <f>Suite&amp;" Electrical Room "&amp;SWFour</f>
        <v>G104 Electrical Room XXX</v>
      </c>
      <c r="C43" s="183" t="str">
        <f>"UP"&amp;SWFour</f>
        <v>UPXXX</v>
      </c>
      <c r="D43" s="233" t="s">
        <v>4917</v>
      </c>
      <c r="E43" s="183" t="s">
        <v>1464</v>
      </c>
      <c r="F43" s="193"/>
      <c r="G43" s="193"/>
    </row>
    <row r="44" spans="1:7" ht="37.5" x14ac:dyDescent="0.25">
      <c r="A44" s="200">
        <f t="shared" si="3"/>
        <v>591</v>
      </c>
      <c r="B44" s="231" t="str">
        <f>Suite&amp;" Electrical Room "&amp;SWFour</f>
        <v>G104 Electrical Room XXX</v>
      </c>
      <c r="C44" s="183" t="str">
        <f>"UP"&amp;SWFour</f>
        <v>UPXXX</v>
      </c>
      <c r="D44" s="186" t="str">
        <f>"Verify the readings in step " &amp; A21 &amp; " and " &amp; A43 &amp; " are within 3% of each other. (new kW divided by original kW must be ≤1.03 and ≥0.97)."</f>
        <v>Verify the readings in step 571 and 590 are within 3% of each other. (new kW divided by original kW must be ≤1.03 and ≥0.97).</v>
      </c>
      <c r="E44" s="183" t="s">
        <v>1464</v>
      </c>
      <c r="F44" s="193"/>
      <c r="G44" s="193"/>
    </row>
    <row r="45" spans="1:7" x14ac:dyDescent="0.25">
      <c r="A45" s="200">
        <f t="shared" si="3"/>
        <v>592</v>
      </c>
      <c r="B45" s="714" t="s">
        <v>1502</v>
      </c>
      <c r="C45" s="714"/>
      <c r="D45" s="714"/>
      <c r="E45" s="714"/>
      <c r="F45" s="714"/>
      <c r="G45" s="714"/>
    </row>
    <row r="46" spans="1:7" ht="37.5" x14ac:dyDescent="0.25">
      <c r="A46" s="200">
        <f t="shared" si="3"/>
        <v>593</v>
      </c>
      <c r="B46" s="231" t="str">
        <f>Suite&amp;" Electrical Room "&amp;SWFour</f>
        <v>G104 Electrical Room XXX</v>
      </c>
      <c r="C46" s="183" t="str">
        <f>"UP"&amp;SWFour</f>
        <v>UPXXX</v>
      </c>
      <c r="D46" s="235" t="s">
        <v>1503</v>
      </c>
      <c r="E46" s="183" t="s">
        <v>1464</v>
      </c>
      <c r="F46" s="193"/>
      <c r="G46" s="193"/>
    </row>
    <row r="47" spans="1:7" ht="37.5" x14ac:dyDescent="0.25">
      <c r="A47" s="200">
        <f t="shared" si="3"/>
        <v>594</v>
      </c>
      <c r="B47" s="231" t="str">
        <f>Suite&amp;" Electrical Room "&amp;SWFour</f>
        <v>G104 Electrical Room XXX</v>
      </c>
      <c r="C47" s="183" t="str">
        <f>"UP"&amp;SWFour</f>
        <v>UPXXX</v>
      </c>
      <c r="D47" s="187" t="s">
        <v>1628</v>
      </c>
      <c r="E47" s="183" t="s">
        <v>1464</v>
      </c>
      <c r="F47" s="193"/>
      <c r="G47" s="193"/>
    </row>
    <row r="48" spans="1:7" ht="37.5" x14ac:dyDescent="0.25">
      <c r="A48" s="200">
        <f t="shared" si="3"/>
        <v>595</v>
      </c>
      <c r="B48" s="231" t="str">
        <f>Suite&amp;" Electrical Room "&amp;SWFour</f>
        <v>G104 Electrical Room XXX</v>
      </c>
      <c r="C48" s="183" t="str">
        <f>"UP"&amp;SWFour</f>
        <v>UPXXX</v>
      </c>
      <c r="D48" s="187" t="s">
        <v>1629</v>
      </c>
      <c r="E48" s="183" t="s">
        <v>1464</v>
      </c>
      <c r="F48" s="193"/>
      <c r="G48" s="193"/>
    </row>
    <row r="49" spans="1:7" ht="37.5" x14ac:dyDescent="0.25">
      <c r="A49" s="200">
        <f t="shared" si="3"/>
        <v>596</v>
      </c>
      <c r="B49" s="231" t="str">
        <f>Suite&amp;" Electrical Room "&amp;SWFour</f>
        <v>G104 Electrical Room XXX</v>
      </c>
      <c r="C49" s="183" t="str">
        <f>"UP"&amp;SWFour</f>
        <v>UPXXX</v>
      </c>
      <c r="D49" s="235" t="s">
        <v>4893</v>
      </c>
      <c r="E49" s="183" t="s">
        <v>1464</v>
      </c>
      <c r="F49" s="193"/>
      <c r="G49" s="193"/>
    </row>
    <row r="50" spans="1:7" ht="37.5" x14ac:dyDescent="0.25">
      <c r="A50" s="200">
        <f t="shared" si="3"/>
        <v>597</v>
      </c>
      <c r="B50" s="231" t="str">
        <f>Suite&amp;" Electrical Room "&amp;SWFour</f>
        <v>G104 Electrical Room XXX</v>
      </c>
      <c r="C50" s="183" t="str">
        <f>"UP"&amp;SWFour</f>
        <v>UPXXX</v>
      </c>
      <c r="D50" s="187" t="s">
        <v>4894</v>
      </c>
      <c r="E50" s="183" t="s">
        <v>1464</v>
      </c>
      <c r="F50" s="193"/>
      <c r="G50" s="193"/>
    </row>
    <row r="51" spans="1:7" ht="37.5" x14ac:dyDescent="0.25">
      <c r="A51" s="200">
        <f t="shared" si="3"/>
        <v>598</v>
      </c>
      <c r="B51" s="231" t="str">
        <f>Suite&amp;" Electrical Room "&amp;SWFour</f>
        <v>G104 Electrical Room XXX</v>
      </c>
      <c r="C51" s="183" t="str">
        <f>"UP"&amp;SWFour</f>
        <v>UPXXX</v>
      </c>
      <c r="D51" s="187" t="s">
        <v>4895</v>
      </c>
      <c r="E51" s="183" t="s">
        <v>1464</v>
      </c>
      <c r="F51" s="193"/>
      <c r="G51" s="193"/>
    </row>
    <row r="52" spans="1:7" ht="37.5" x14ac:dyDescent="0.25">
      <c r="A52" s="200">
        <f t="shared" si="3"/>
        <v>599</v>
      </c>
      <c r="B52" s="231" t="str">
        <f>Suite&amp;" Electrical Room "&amp;SWFour</f>
        <v>G104 Electrical Room XXX</v>
      </c>
      <c r="C52" s="183" t="str">
        <f>"UP"&amp;SWFour</f>
        <v>UPXXX</v>
      </c>
      <c r="D52" s="187" t="s">
        <v>4922</v>
      </c>
      <c r="E52" s="183" t="s">
        <v>1464</v>
      </c>
      <c r="F52" s="193"/>
      <c r="G52" s="193"/>
    </row>
    <row r="53" spans="1:7" ht="18.75" customHeight="1" x14ac:dyDescent="0.25">
      <c r="A53" s="200">
        <f t="shared" si="3"/>
        <v>600</v>
      </c>
      <c r="B53" s="231" t="str">
        <f>Suite&amp;" Electrical Room "&amp;SWFour</f>
        <v>G104 Electrical Room XXX</v>
      </c>
      <c r="C53" s="183" t="str">
        <f>"UP"&amp;SWFour</f>
        <v>UPXXX</v>
      </c>
      <c r="D53" s="187" t="s">
        <v>4923</v>
      </c>
      <c r="E53" s="183" t="s">
        <v>1464</v>
      </c>
      <c r="F53" s="193"/>
      <c r="G53" s="193"/>
    </row>
    <row r="54" spans="1:7" ht="37.5" x14ac:dyDescent="0.25">
      <c r="A54" s="200">
        <f t="shared" si="3"/>
        <v>601</v>
      </c>
      <c r="B54" s="231" t="str">
        <f>Suite&amp;" Electrical Room "&amp;SWFour</f>
        <v>G104 Electrical Room XXX</v>
      </c>
      <c r="C54" s="183" t="str">
        <f>"UP"&amp;SWFour</f>
        <v>UPXXX</v>
      </c>
      <c r="D54" s="187" t="s">
        <v>4924</v>
      </c>
      <c r="E54" s="183" t="s">
        <v>1464</v>
      </c>
      <c r="F54" s="193"/>
      <c r="G54" s="193"/>
    </row>
    <row r="55" spans="1:7" ht="37.5" x14ac:dyDescent="0.25">
      <c r="A55" s="200">
        <f t="shared" si="3"/>
        <v>602</v>
      </c>
      <c r="B55" s="231" t="str">
        <f>Suite&amp;" Electrical Room "&amp;SWFour</f>
        <v>G104 Electrical Room XXX</v>
      </c>
      <c r="C55" s="183" t="str">
        <f>"UP"&amp;SWFour</f>
        <v>UPXXX</v>
      </c>
      <c r="D55" s="187" t="s">
        <v>4925</v>
      </c>
      <c r="E55" s="183" t="s">
        <v>1464</v>
      </c>
      <c r="F55" s="193"/>
      <c r="G55" s="193"/>
    </row>
    <row r="56" spans="1:7" ht="37.5" x14ac:dyDescent="0.25">
      <c r="A56" s="200">
        <f t="shared" si="3"/>
        <v>603</v>
      </c>
      <c r="B56" s="231" t="str">
        <f>Suite&amp;" Electrical Room "&amp;SWFour</f>
        <v>G104 Electrical Room XXX</v>
      </c>
      <c r="C56" s="183" t="str">
        <f>"UP"&amp;SWFour</f>
        <v>UPXXX</v>
      </c>
      <c r="D56" s="233" t="s">
        <v>4916</v>
      </c>
      <c r="E56" s="183" t="s">
        <v>1464</v>
      </c>
      <c r="F56" s="193"/>
      <c r="G56" s="193"/>
    </row>
    <row r="57" spans="1:7" ht="56.25" x14ac:dyDescent="0.25">
      <c r="A57" s="200">
        <f t="shared" si="3"/>
        <v>604</v>
      </c>
      <c r="B57" s="231" t="str">
        <f>Suite&amp;" Electrical Room "&amp;SWFour</f>
        <v>G104 Electrical Room XXX</v>
      </c>
      <c r="C57" s="183" t="str">
        <f>"UP"&amp;SWFour</f>
        <v>UPXXX</v>
      </c>
      <c r="D57" s="186" t="s">
        <v>4896</v>
      </c>
      <c r="E57" s="183" t="s">
        <v>1464</v>
      </c>
      <c r="F57" s="193"/>
      <c r="G57" s="193"/>
    </row>
    <row r="58" spans="1:7" ht="37.5" x14ac:dyDescent="0.25">
      <c r="A58" s="200">
        <f t="shared" si="3"/>
        <v>605</v>
      </c>
      <c r="B58" s="231" t="str">
        <f>Suite&amp;" Electrical Room "&amp;SWFour</f>
        <v>G104 Electrical Room XXX</v>
      </c>
      <c r="C58" s="183" t="str">
        <f>"UP"&amp;SWFour</f>
        <v>UPXXX</v>
      </c>
      <c r="D58" s="187" t="s">
        <v>4897</v>
      </c>
      <c r="E58" s="183" t="s">
        <v>1464</v>
      </c>
      <c r="F58" s="193"/>
      <c r="G58" s="193"/>
    </row>
    <row r="59" spans="1:7" ht="37.5" x14ac:dyDescent="0.25">
      <c r="A59" s="200">
        <f t="shared" si="3"/>
        <v>606</v>
      </c>
      <c r="B59" s="231" t="str">
        <f>Suite&amp;" Electrical Room "&amp;SWFour</f>
        <v>G104 Electrical Room XXX</v>
      </c>
      <c r="C59" s="183" t="str">
        <f>"UP"&amp;SWFour</f>
        <v>UPXXX</v>
      </c>
      <c r="D59" s="187" t="s">
        <v>4926</v>
      </c>
      <c r="E59" s="183" t="s">
        <v>1464</v>
      </c>
      <c r="F59" s="193"/>
      <c r="G59" s="193"/>
    </row>
    <row r="60" spans="1:7" ht="37.5" x14ac:dyDescent="0.25">
      <c r="A60" s="200">
        <f t="shared" si="3"/>
        <v>607</v>
      </c>
      <c r="B60" s="231" t="str">
        <f>Suite&amp;" Electrical Room "&amp;SWFour</f>
        <v>G104 Electrical Room XXX</v>
      </c>
      <c r="C60" s="183" t="str">
        <f>"UP"&amp;SWFour</f>
        <v>UPXXX</v>
      </c>
      <c r="D60" s="204" t="s">
        <v>1506</v>
      </c>
      <c r="E60" s="183" t="s">
        <v>1464</v>
      </c>
      <c r="F60" s="193"/>
      <c r="G60" s="193"/>
    </row>
    <row r="61" spans="1:7" ht="37.5" x14ac:dyDescent="0.25">
      <c r="A61" s="200">
        <f t="shared" si="3"/>
        <v>608</v>
      </c>
      <c r="B61" s="231" t="str">
        <f>Suite&amp;" Electrical Room "&amp;SWFour</f>
        <v>G104 Electrical Room XXX</v>
      </c>
      <c r="C61" s="183" t="str">
        <f>"UP"&amp;SWFour</f>
        <v>UPXXX</v>
      </c>
      <c r="D61" s="235" t="s">
        <v>4917</v>
      </c>
      <c r="E61" s="183" t="s">
        <v>1464</v>
      </c>
      <c r="F61" s="193"/>
      <c r="G61" s="193"/>
    </row>
    <row r="62" spans="1:7" ht="37.5" x14ac:dyDescent="0.25">
      <c r="A62" s="200">
        <f t="shared" si="3"/>
        <v>609</v>
      </c>
      <c r="B62" s="231" t="str">
        <f>Suite&amp;" Electrical Room "&amp;SWFour</f>
        <v>G104 Electrical Room XXX</v>
      </c>
      <c r="C62" s="183" t="str">
        <f>"UP"&amp;SWFour</f>
        <v>UPXXX</v>
      </c>
      <c r="D62" s="186" t="str">
        <f>"Verify the readings in step " &amp; A43 &amp; " and " &amp; A61 &amp; " are within 3% of each other. (new kW divided by original kW must be ≤1.03 and ≥0.97)."</f>
        <v>Verify the readings in step 590 and 608 are within 3% of each other. (new kW divided by original kW must be ≤1.03 and ≥0.97).</v>
      </c>
      <c r="E62" s="183" t="s">
        <v>1464</v>
      </c>
      <c r="F62" s="193"/>
      <c r="G62" s="193"/>
    </row>
    <row r="63" spans="1:7" ht="37.5" x14ac:dyDescent="0.25">
      <c r="A63" s="200">
        <f t="shared" si="3"/>
        <v>610</v>
      </c>
      <c r="B63" s="231" t="str">
        <f>Suite&amp;" Electrical Room "&amp;SWFour</f>
        <v>G104 Electrical Room XXX</v>
      </c>
      <c r="C63" s="183" t="str">
        <f>"UP"&amp;SWFour</f>
        <v>UPXXX</v>
      </c>
      <c r="D63" s="187" t="s">
        <v>4898</v>
      </c>
      <c r="E63" s="183" t="s">
        <v>1464</v>
      </c>
      <c r="F63" s="193"/>
      <c r="G63" s="193"/>
    </row>
    <row r="64" spans="1:7" ht="37.5" x14ac:dyDescent="0.25">
      <c r="A64" s="200">
        <f t="shared" si="3"/>
        <v>611</v>
      </c>
      <c r="B64" s="231" t="str">
        <f>Suite&amp;" Electrical Room "&amp;SWFour</f>
        <v>G104 Electrical Room XXX</v>
      </c>
      <c r="C64" s="183" t="str">
        <f>"UP"&amp;SWFour</f>
        <v>UPXXX</v>
      </c>
      <c r="D64" s="187" t="s">
        <v>4899</v>
      </c>
      <c r="E64" s="183" t="s">
        <v>1464</v>
      </c>
      <c r="F64" s="193"/>
      <c r="G64" s="193"/>
    </row>
    <row r="65" spans="1:7" ht="37.5" x14ac:dyDescent="0.25">
      <c r="A65" s="200">
        <f t="shared" si="3"/>
        <v>612</v>
      </c>
      <c r="B65" s="231" t="str">
        <f>Suite&amp;" Electrical Room "&amp;SWFour</f>
        <v>G104 Electrical Room XXX</v>
      </c>
      <c r="C65" s="183" t="str">
        <f>"UP"&amp;SWFour</f>
        <v>UPXXX</v>
      </c>
      <c r="D65" s="235" t="s">
        <v>1507</v>
      </c>
      <c r="E65" s="183" t="s">
        <v>1464</v>
      </c>
      <c r="F65" s="193"/>
      <c r="G65" s="193"/>
    </row>
    <row r="66" spans="1:7" ht="37.5" x14ac:dyDescent="0.25">
      <c r="A66" s="200">
        <f t="shared" si="3"/>
        <v>613</v>
      </c>
      <c r="B66" s="231" t="str">
        <f>Suite&amp;" Electrical Room "&amp;SWFour</f>
        <v>G104 Electrical Room XXX</v>
      </c>
      <c r="C66" s="183" t="str">
        <f>"UP"&amp;SWFour</f>
        <v>UPXXX</v>
      </c>
      <c r="D66" s="187" t="s">
        <v>1644</v>
      </c>
      <c r="E66" s="183" t="s">
        <v>1464</v>
      </c>
      <c r="F66" s="193"/>
      <c r="G66" s="193"/>
    </row>
    <row r="67" spans="1:7" ht="37.5" x14ac:dyDescent="0.25">
      <c r="A67" s="200">
        <f t="shared" si="3"/>
        <v>614</v>
      </c>
      <c r="B67" s="231" t="str">
        <f>Suite&amp;" Electrical Room "&amp;SWFour</f>
        <v>G104 Electrical Room XXX</v>
      </c>
      <c r="C67" s="183" t="str">
        <f>"UP"&amp;SWFour</f>
        <v>UPXXX</v>
      </c>
      <c r="D67" s="187" t="s">
        <v>1645</v>
      </c>
      <c r="E67" s="183" t="s">
        <v>1464</v>
      </c>
      <c r="F67" s="193"/>
      <c r="G67" s="193"/>
    </row>
    <row r="68" spans="1:7" ht="37.5" x14ac:dyDescent="0.25">
      <c r="A68" s="200">
        <f t="shared" si="3"/>
        <v>615</v>
      </c>
      <c r="B68" s="231" t="str">
        <f>Suite&amp;" Electrical Room "&amp;SWFour</f>
        <v>G104 Electrical Room XXX</v>
      </c>
      <c r="C68" s="183" t="str">
        <f>"UP"&amp;SWFour</f>
        <v>UPXXX</v>
      </c>
      <c r="D68" s="204" t="s">
        <v>1646</v>
      </c>
      <c r="E68" s="183" t="s">
        <v>1464</v>
      </c>
      <c r="F68" s="193"/>
      <c r="G68" s="193"/>
    </row>
    <row r="69" spans="1:7" x14ac:dyDescent="0.25">
      <c r="A69" s="200">
        <f t="shared" si="3"/>
        <v>616</v>
      </c>
      <c r="B69" s="714" t="s">
        <v>1745</v>
      </c>
      <c r="C69" s="714"/>
      <c r="D69" s="714"/>
      <c r="E69" s="714"/>
      <c r="F69" s="714"/>
      <c r="G69" s="714"/>
    </row>
    <row r="70" spans="1:7" ht="37.5" x14ac:dyDescent="0.25">
      <c r="A70" s="200">
        <f t="shared" si="3"/>
        <v>617</v>
      </c>
      <c r="B70" s="231" t="str">
        <f>Suite&amp;" Electrical Room "&amp;SWFour</f>
        <v>G104 Electrical Room XXX</v>
      </c>
      <c r="C70" s="183" t="str">
        <f>"UP"&amp;SWFour</f>
        <v>UPXXX</v>
      </c>
      <c r="D70" s="187" t="s">
        <v>4850</v>
      </c>
      <c r="E70" s="183" t="s">
        <v>1464</v>
      </c>
      <c r="F70" s="193"/>
      <c r="G70" s="193"/>
    </row>
    <row r="71" spans="1:7" ht="37.5" x14ac:dyDescent="0.25">
      <c r="A71" s="200">
        <f t="shared" si="3"/>
        <v>618</v>
      </c>
      <c r="B71" s="231" t="str">
        <f>Suite&amp;" Electrical Room "&amp;SWFour</f>
        <v>G104 Electrical Room XXX</v>
      </c>
      <c r="C71" s="183" t="str">
        <f>"UP"&amp;SWFour</f>
        <v>UPXXX</v>
      </c>
      <c r="D71" s="187" t="s">
        <v>4851</v>
      </c>
      <c r="E71" s="183" t="s">
        <v>1464</v>
      </c>
      <c r="F71" s="193"/>
      <c r="G71" s="193"/>
    </row>
    <row r="72" spans="1:7" ht="37.5" x14ac:dyDescent="0.25">
      <c r="A72" s="200">
        <f t="shared" si="3"/>
        <v>619</v>
      </c>
      <c r="B72" s="231" t="str">
        <f>Suite&amp;" Electrical Room "&amp;SWFour</f>
        <v>G104 Electrical Room XXX</v>
      </c>
      <c r="C72" s="183" t="str">
        <f>"UP"&amp;SWFour</f>
        <v>UPXXX</v>
      </c>
      <c r="D72" s="186" t="s">
        <v>1518</v>
      </c>
      <c r="E72" s="183" t="s">
        <v>1464</v>
      </c>
      <c r="F72" s="193"/>
      <c r="G72" s="193"/>
    </row>
    <row r="73" spans="1:7" ht="37.5" x14ac:dyDescent="0.25">
      <c r="A73" s="200">
        <f t="shared" si="3"/>
        <v>620</v>
      </c>
      <c r="B73" s="231" t="str">
        <f>Suite&amp;" Electrical Room "&amp;SWFour</f>
        <v>G104 Electrical Room XXX</v>
      </c>
      <c r="C73" s="183" t="str">
        <f>"UPS "&amp;SWFour&amp;"1"</f>
        <v>UPS XXX1</v>
      </c>
      <c r="D73" s="186" t="s">
        <v>1650</v>
      </c>
      <c r="E73" s="183" t="s">
        <v>1464</v>
      </c>
      <c r="F73" s="193"/>
      <c r="G73" s="193"/>
    </row>
    <row r="74" spans="1:7" ht="37.5" x14ac:dyDescent="0.25">
      <c r="A74" s="200">
        <f t="shared" si="3"/>
        <v>621</v>
      </c>
      <c r="B74" s="231" t="str">
        <f>Suite&amp;" Electrical Room "&amp;SWFour</f>
        <v>G104 Electrical Room XXX</v>
      </c>
      <c r="C74" s="183" t="str">
        <f>"UP"&amp;SWFour</f>
        <v>UPXXX</v>
      </c>
      <c r="D74" s="187" t="s">
        <v>4871</v>
      </c>
      <c r="E74" s="183" t="s">
        <v>1464</v>
      </c>
      <c r="F74" s="193"/>
      <c r="G74" s="193"/>
    </row>
    <row r="75" spans="1:7" ht="37.5" x14ac:dyDescent="0.25">
      <c r="A75" s="200">
        <f t="shared" si="3"/>
        <v>622</v>
      </c>
      <c r="B75" s="231" t="str">
        <f>Suite&amp;" Electrical Room "&amp;SWFour</f>
        <v>G104 Electrical Room XXX</v>
      </c>
      <c r="C75" s="183" t="str">
        <f>"UP"&amp;SWFour</f>
        <v>UPXXX</v>
      </c>
      <c r="D75" s="187" t="s">
        <v>4872</v>
      </c>
      <c r="E75" s="183" t="s">
        <v>1464</v>
      </c>
      <c r="F75" s="193"/>
      <c r="G75" s="193"/>
    </row>
    <row r="76" spans="1:7" ht="37.5" x14ac:dyDescent="0.25">
      <c r="A76" s="200">
        <f t="shared" si="3"/>
        <v>623</v>
      </c>
      <c r="B76" s="231" t="str">
        <f>Suite&amp;" Electrical Room "&amp;SWFour</f>
        <v>G104 Electrical Room XXX</v>
      </c>
      <c r="C76" s="183" t="str">
        <f>"UP"&amp;SWFour</f>
        <v>UPXXX</v>
      </c>
      <c r="D76" s="186" t="s">
        <v>1518</v>
      </c>
      <c r="E76" s="183" t="s">
        <v>1464</v>
      </c>
      <c r="F76" s="193"/>
      <c r="G76" s="193"/>
    </row>
    <row r="77" spans="1:7" ht="37.5" x14ac:dyDescent="0.25">
      <c r="A77" s="200">
        <f t="shared" si="3"/>
        <v>624</v>
      </c>
      <c r="B77" s="231" t="str">
        <f>Suite&amp;" Electrical Room "&amp;SWFour</f>
        <v>G104 Electrical Room XXX</v>
      </c>
      <c r="C77" s="183" t="str">
        <f>"UPS "&amp;SWFour&amp;"2"</f>
        <v>UPS XXX2</v>
      </c>
      <c r="D77" s="186" t="s">
        <v>1650</v>
      </c>
      <c r="E77" s="183" t="s">
        <v>1464</v>
      </c>
      <c r="F77" s="193"/>
      <c r="G77" s="193"/>
    </row>
    <row r="78" spans="1:7" ht="56.25" x14ac:dyDescent="0.25">
      <c r="A78" s="200">
        <f t="shared" si="3"/>
        <v>625</v>
      </c>
      <c r="B78" s="231" t="str">
        <f>Suite&amp;" Electrical Room "&amp;SWFour</f>
        <v>G104 Electrical Room XXX</v>
      </c>
      <c r="C78" s="183" t="str">
        <f>"UPS "&amp;SWFour&amp;" Battery Cabinets"</f>
        <v>UPS XXX Battery Cabinets</v>
      </c>
      <c r="D78" s="187" t="s">
        <v>4852</v>
      </c>
      <c r="E78" s="183" t="s">
        <v>1464</v>
      </c>
      <c r="F78" s="193"/>
      <c r="G78" s="193"/>
    </row>
    <row r="79" spans="1:7" ht="56.25" x14ac:dyDescent="0.25">
      <c r="A79" s="200">
        <f t="shared" si="3"/>
        <v>626</v>
      </c>
      <c r="B79" s="231" t="str">
        <f>Suite&amp;" Electrical Room "&amp;SWFour</f>
        <v>G104 Electrical Room XXX</v>
      </c>
      <c r="C79" s="183" t="str">
        <f>"UPS "&amp;SWFour&amp;" Battery Cabinets"</f>
        <v>UPS XXX Battery Cabinets</v>
      </c>
      <c r="D79" s="187" t="s">
        <v>4853</v>
      </c>
      <c r="E79" s="183" t="s">
        <v>1464</v>
      </c>
      <c r="F79" s="193"/>
      <c r="G79" s="193"/>
    </row>
    <row r="80" spans="1:7" ht="56.25" x14ac:dyDescent="0.25">
      <c r="A80" s="200">
        <f t="shared" si="3"/>
        <v>627</v>
      </c>
      <c r="B80" s="231" t="str">
        <f>Suite&amp;" Electrical Room "&amp;SWFour</f>
        <v>G104 Electrical Room XXX</v>
      </c>
      <c r="C80" s="183" t="str">
        <f>"UPS "&amp;SWFour&amp;" Battery Cabinets"</f>
        <v>UPS XXX Battery Cabinets</v>
      </c>
      <c r="D80" s="186" t="s">
        <v>1518</v>
      </c>
      <c r="E80" s="183" t="s">
        <v>1464</v>
      </c>
      <c r="F80" s="193"/>
      <c r="G80" s="193"/>
    </row>
    <row r="81" spans="1:7" ht="56.25" x14ac:dyDescent="0.25">
      <c r="A81" s="200">
        <f t="shared" si="3"/>
        <v>628</v>
      </c>
      <c r="B81" s="231" t="str">
        <f>Suite&amp;" Electrical Room "&amp;SWFour</f>
        <v>G104 Electrical Room XXX</v>
      </c>
      <c r="C81" s="183" t="str">
        <f>"UPS "&amp;SWFour&amp;" Battery Cabinets"</f>
        <v>UPS XXX Battery Cabinets</v>
      </c>
      <c r="D81" s="187" t="s">
        <v>4854</v>
      </c>
      <c r="E81" s="183" t="s">
        <v>1464</v>
      </c>
      <c r="F81" s="193"/>
      <c r="G81" s="193"/>
    </row>
    <row r="82" spans="1:7" ht="56.25" x14ac:dyDescent="0.25">
      <c r="A82" s="200">
        <f t="shared" si="3"/>
        <v>629</v>
      </c>
      <c r="B82" s="231" t="str">
        <f>Suite&amp;" Electrical Room "&amp;SWFour</f>
        <v>G104 Electrical Room XXX</v>
      </c>
      <c r="C82" s="183" t="str">
        <f>"UPS "&amp;SWFour&amp;" Battery Cabinets"</f>
        <v>UPS XXX Battery Cabinets</v>
      </c>
      <c r="D82" s="187" t="s">
        <v>4855</v>
      </c>
      <c r="E82" s="183" t="s">
        <v>1464</v>
      </c>
      <c r="F82" s="193"/>
      <c r="G82" s="193"/>
    </row>
    <row r="83" spans="1:7" ht="56.25" x14ac:dyDescent="0.25">
      <c r="A83" s="200">
        <f t="shared" si="3"/>
        <v>630</v>
      </c>
      <c r="B83" s="231" t="str">
        <f>Suite&amp;" Electrical Room "&amp;SWFour</f>
        <v>G104 Electrical Room XXX</v>
      </c>
      <c r="C83" s="183" t="str">
        <f>"UPS "&amp;SWFour&amp;" Battery Cabinets"</f>
        <v>UPS XXX Battery Cabinets</v>
      </c>
      <c r="D83" s="186" t="s">
        <v>1518</v>
      </c>
      <c r="E83" s="183" t="s">
        <v>1464</v>
      </c>
      <c r="F83" s="193"/>
      <c r="G83" s="193"/>
    </row>
    <row r="84" spans="1:7" ht="56.25" x14ac:dyDescent="0.25">
      <c r="A84" s="200">
        <f t="shared" si="3"/>
        <v>631</v>
      </c>
      <c r="B84" s="231" t="str">
        <f>Suite&amp;" Electrical Room "&amp;SWFour</f>
        <v>G104 Electrical Room XXX</v>
      </c>
      <c r="C84" s="183" t="str">
        <f>"UPS "&amp;SWFour&amp;" Battery Cabinets"</f>
        <v>UPS XXX Battery Cabinets</v>
      </c>
      <c r="D84" s="187" t="s">
        <v>4856</v>
      </c>
      <c r="E84" s="183" t="s">
        <v>1464</v>
      </c>
      <c r="F84" s="193"/>
      <c r="G84" s="193"/>
    </row>
    <row r="85" spans="1:7" ht="56.25" x14ac:dyDescent="0.25">
      <c r="A85" s="200">
        <f t="shared" si="3"/>
        <v>632</v>
      </c>
      <c r="B85" s="231" t="str">
        <f>Suite&amp;" Electrical Room "&amp;SWFour</f>
        <v>G104 Electrical Room XXX</v>
      </c>
      <c r="C85" s="183" t="str">
        <f>"UPS "&amp;SWFour&amp;" Battery Cabinets"</f>
        <v>UPS XXX Battery Cabinets</v>
      </c>
      <c r="D85" s="187" t="s">
        <v>4857</v>
      </c>
      <c r="E85" s="183" t="s">
        <v>1464</v>
      </c>
      <c r="F85" s="193"/>
      <c r="G85" s="193"/>
    </row>
    <row r="86" spans="1:7" ht="56.25" x14ac:dyDescent="0.25">
      <c r="A86" s="200">
        <f t="shared" si="3"/>
        <v>633</v>
      </c>
      <c r="B86" s="231" t="str">
        <f>Suite&amp;" Electrical Room "&amp;SWFour</f>
        <v>G104 Electrical Room XXX</v>
      </c>
      <c r="C86" s="183" t="str">
        <f>"UPS "&amp;SWFour&amp;" Battery Cabinets"</f>
        <v>UPS XXX Battery Cabinets</v>
      </c>
      <c r="D86" s="186" t="s">
        <v>1518</v>
      </c>
      <c r="E86" s="183" t="s">
        <v>1464</v>
      </c>
      <c r="F86" s="193"/>
      <c r="G86" s="193"/>
    </row>
    <row r="87" spans="1:7" ht="56.25" x14ac:dyDescent="0.25">
      <c r="A87" s="200">
        <f t="shared" si="3"/>
        <v>634</v>
      </c>
      <c r="B87" s="231" t="str">
        <f>Suite&amp;" Electrical Room "&amp;SWFour</f>
        <v>G104 Electrical Room XXX</v>
      </c>
      <c r="C87" s="183" t="str">
        <f>"UPS "&amp;SWFour&amp;" Battery Cabinets"</f>
        <v>UPS XXX Battery Cabinets</v>
      </c>
      <c r="D87" s="186" t="s">
        <v>1659</v>
      </c>
      <c r="E87" s="183" t="s">
        <v>1464</v>
      </c>
      <c r="F87" s="193"/>
      <c r="G87" s="193"/>
    </row>
    <row r="88" spans="1:7" ht="56.25" x14ac:dyDescent="0.25">
      <c r="A88" s="200">
        <f t="shared" si="3"/>
        <v>635</v>
      </c>
      <c r="B88" s="231" t="str">
        <f>Suite&amp;" Electrical Room "&amp;SWFour</f>
        <v>G104 Electrical Room XXX</v>
      </c>
      <c r="C88" s="183" t="str">
        <f>"UPS "&amp;SWFour&amp;" Battery Cabinets"</f>
        <v>UPS XXX Battery Cabinets</v>
      </c>
      <c r="D88" s="187" t="s">
        <v>4873</v>
      </c>
      <c r="E88" s="183" t="s">
        <v>1464</v>
      </c>
      <c r="F88" s="193"/>
      <c r="G88" s="193"/>
    </row>
    <row r="89" spans="1:7" ht="56.25" x14ac:dyDescent="0.25">
      <c r="A89" s="200">
        <f t="shared" si="3"/>
        <v>636</v>
      </c>
      <c r="B89" s="231" t="str">
        <f>Suite&amp;" Electrical Room "&amp;SWFour</f>
        <v>G104 Electrical Room XXX</v>
      </c>
      <c r="C89" s="183" t="str">
        <f>"UPS "&amp;SWFour&amp;" Battery Cabinets"</f>
        <v>UPS XXX Battery Cabinets</v>
      </c>
      <c r="D89" s="187" t="s">
        <v>4874</v>
      </c>
      <c r="E89" s="183" t="s">
        <v>1464</v>
      </c>
      <c r="F89" s="193"/>
      <c r="G89" s="193"/>
    </row>
    <row r="90" spans="1:7" ht="56.25" x14ac:dyDescent="0.25">
      <c r="A90" s="200">
        <f t="shared" si="3"/>
        <v>637</v>
      </c>
      <c r="B90" s="231" t="str">
        <f>Suite&amp;" Electrical Room "&amp;SWFour</f>
        <v>G104 Electrical Room XXX</v>
      </c>
      <c r="C90" s="183" t="str">
        <f>"UPS "&amp;SWFour&amp;" Battery Cabinets"</f>
        <v>UPS XXX Battery Cabinets</v>
      </c>
      <c r="D90" s="186" t="s">
        <v>1518</v>
      </c>
      <c r="E90" s="183" t="s">
        <v>1464</v>
      </c>
      <c r="F90" s="193"/>
      <c r="G90" s="193"/>
    </row>
    <row r="91" spans="1:7" ht="56.25" x14ac:dyDescent="0.25">
      <c r="A91" s="200">
        <f t="shared" ref="A91:A154" si="4">A90+1</f>
        <v>638</v>
      </c>
      <c r="B91" s="231" t="str">
        <f>Suite&amp;" Electrical Room "&amp;SWFour</f>
        <v>G104 Electrical Room XXX</v>
      </c>
      <c r="C91" s="183" t="str">
        <f>"UPS "&amp;SWFour&amp;" Battery Cabinets"</f>
        <v>UPS XXX Battery Cabinets</v>
      </c>
      <c r="D91" s="187" t="s">
        <v>4875</v>
      </c>
      <c r="E91" s="183" t="s">
        <v>1464</v>
      </c>
      <c r="F91" s="193"/>
      <c r="G91" s="193"/>
    </row>
    <row r="92" spans="1:7" ht="56.25" x14ac:dyDescent="0.25">
      <c r="A92" s="200">
        <f t="shared" si="4"/>
        <v>639</v>
      </c>
      <c r="B92" s="231" t="str">
        <f>Suite&amp;" Electrical Room "&amp;SWFour</f>
        <v>G104 Electrical Room XXX</v>
      </c>
      <c r="C92" s="183" t="str">
        <f>"UPS "&amp;SWFour&amp;" Battery Cabinets"</f>
        <v>UPS XXX Battery Cabinets</v>
      </c>
      <c r="D92" s="187" t="s">
        <v>4876</v>
      </c>
      <c r="E92" s="183" t="s">
        <v>1464</v>
      </c>
      <c r="F92" s="193"/>
      <c r="G92" s="193"/>
    </row>
    <row r="93" spans="1:7" ht="56.25" x14ac:dyDescent="0.25">
      <c r="A93" s="200">
        <f t="shared" si="4"/>
        <v>640</v>
      </c>
      <c r="B93" s="231" t="str">
        <f>Suite&amp;" Electrical Room "&amp;SWFour</f>
        <v>G104 Electrical Room XXX</v>
      </c>
      <c r="C93" s="183" t="str">
        <f>"UPS "&amp;SWFour&amp;" Battery Cabinets"</f>
        <v>UPS XXX Battery Cabinets</v>
      </c>
      <c r="D93" s="186" t="s">
        <v>1518</v>
      </c>
      <c r="E93" s="183" t="s">
        <v>1464</v>
      </c>
      <c r="F93" s="193"/>
      <c r="G93" s="193"/>
    </row>
    <row r="94" spans="1:7" ht="18.75" customHeight="1" x14ac:dyDescent="0.25">
      <c r="A94" s="200">
        <f t="shared" si="4"/>
        <v>641</v>
      </c>
      <c r="B94" s="231" t="str">
        <f>Suite&amp;" Electrical Room "&amp;SWFour</f>
        <v>G104 Electrical Room XXX</v>
      </c>
      <c r="C94" s="183" t="str">
        <f>"UPS "&amp;SWFour&amp;" Battery Cabinets"</f>
        <v>UPS XXX Battery Cabinets</v>
      </c>
      <c r="D94" s="187" t="s">
        <v>4877</v>
      </c>
      <c r="E94" s="183" t="s">
        <v>1464</v>
      </c>
      <c r="F94" s="193"/>
      <c r="G94" s="193"/>
    </row>
    <row r="95" spans="1:7" ht="56.25" x14ac:dyDescent="0.25">
      <c r="A95" s="200">
        <f t="shared" si="4"/>
        <v>642</v>
      </c>
      <c r="B95" s="231" t="str">
        <f>Suite&amp;" Electrical Room "&amp;SWFour</f>
        <v>G104 Electrical Room XXX</v>
      </c>
      <c r="C95" s="183" t="str">
        <f>"UPS "&amp;SWFour&amp;" Battery Cabinets"</f>
        <v>UPS XXX Battery Cabinets</v>
      </c>
      <c r="D95" s="187" t="s">
        <v>4878</v>
      </c>
      <c r="E95" s="183" t="s">
        <v>1464</v>
      </c>
      <c r="F95" s="193"/>
      <c r="G95" s="193"/>
    </row>
    <row r="96" spans="1:7" ht="56.25" x14ac:dyDescent="0.25">
      <c r="A96" s="200">
        <f t="shared" si="4"/>
        <v>643</v>
      </c>
      <c r="B96" s="231" t="str">
        <f>Suite&amp;" Electrical Room "&amp;SWFour</f>
        <v>G104 Electrical Room XXX</v>
      </c>
      <c r="C96" s="183" t="str">
        <f>"UPS "&amp;SWFour&amp;" Battery Cabinets"</f>
        <v>UPS XXX Battery Cabinets</v>
      </c>
      <c r="D96" s="186" t="s">
        <v>1518</v>
      </c>
      <c r="E96" s="183" t="s">
        <v>1464</v>
      </c>
      <c r="F96" s="193"/>
      <c r="G96" s="193"/>
    </row>
    <row r="97" spans="1:7" ht="37.5" x14ac:dyDescent="0.25">
      <c r="A97" s="200">
        <f t="shared" si="4"/>
        <v>644</v>
      </c>
      <c r="B97" s="231" t="str">
        <f>Suite&amp;" Electrical Room "&amp;SWFour</f>
        <v>G104 Electrical Room XXX</v>
      </c>
      <c r="C97" s="183" t="str">
        <f>"UPS "&amp;SWFour&amp;"2"</f>
        <v>UPS XXX2</v>
      </c>
      <c r="D97" s="186" t="s">
        <v>1659</v>
      </c>
      <c r="E97" s="183" t="s">
        <v>1464</v>
      </c>
      <c r="F97" s="193"/>
      <c r="G97" s="193"/>
    </row>
    <row r="98" spans="1:7" ht="39.75" x14ac:dyDescent="0.25">
      <c r="A98" s="200">
        <f t="shared" si="4"/>
        <v>645</v>
      </c>
      <c r="B98" s="231" t="str">
        <f>Suite&amp;" Electrical Room "&amp;SWFour</f>
        <v>G104 Electrical Room XXX</v>
      </c>
      <c r="C98" s="183" t="str">
        <f>"UPS "&amp;SWFour&amp;"1"</f>
        <v>UPS XXX1</v>
      </c>
      <c r="D98" s="187" t="s">
        <v>1666</v>
      </c>
      <c r="E98" s="183" t="s">
        <v>1464</v>
      </c>
      <c r="F98" s="193"/>
      <c r="G98" s="193"/>
    </row>
    <row r="99" spans="1:7" ht="37.5" x14ac:dyDescent="0.25">
      <c r="A99" s="200">
        <f t="shared" si="4"/>
        <v>646</v>
      </c>
      <c r="B99" s="231" t="str">
        <f>Suite&amp;" Electrical Room "&amp;SWFour</f>
        <v>G104 Electrical Room XXX</v>
      </c>
      <c r="C99" s="183" t="str">
        <f>"UPS "&amp;SWFour&amp;"1"</f>
        <v>UPS XXX1</v>
      </c>
      <c r="D99" s="186" t="s">
        <v>1667</v>
      </c>
      <c r="E99" s="183" t="s">
        <v>1464</v>
      </c>
      <c r="F99" s="193"/>
      <c r="G99" s="193"/>
    </row>
    <row r="100" spans="1:7" ht="39.75" x14ac:dyDescent="0.25">
      <c r="A100" s="200">
        <f t="shared" si="4"/>
        <v>647</v>
      </c>
      <c r="B100" s="231" t="str">
        <f>Suite&amp;" Electrical Room "&amp;SWFour</f>
        <v>G104 Electrical Room XXX</v>
      </c>
      <c r="C100" s="183" t="str">
        <f>"UPS "&amp;SWFour&amp;"2"</f>
        <v>UPS XXX2</v>
      </c>
      <c r="D100" s="187" t="s">
        <v>1666</v>
      </c>
      <c r="E100" s="183" t="s">
        <v>1464</v>
      </c>
      <c r="F100" s="193"/>
      <c r="G100" s="193"/>
    </row>
    <row r="101" spans="1:7" ht="37.5" x14ac:dyDescent="0.25">
      <c r="A101" s="200">
        <f t="shared" si="4"/>
        <v>648</v>
      </c>
      <c r="B101" s="231" t="str">
        <f>Suite&amp;" Electrical Room "&amp;SWFour</f>
        <v>G104 Electrical Room XXX</v>
      </c>
      <c r="C101" s="183" t="str">
        <f>"UPS "&amp;SWFour&amp;"2"</f>
        <v>UPS XXX2</v>
      </c>
      <c r="D101" s="186" t="s">
        <v>1667</v>
      </c>
      <c r="E101" s="183" t="s">
        <v>1464</v>
      </c>
      <c r="F101" s="193"/>
      <c r="G101" s="193"/>
    </row>
    <row r="102" spans="1:7" ht="37.5" x14ac:dyDescent="0.25">
      <c r="A102" s="200">
        <f t="shared" si="4"/>
        <v>649</v>
      </c>
      <c r="B102" s="231" t="str">
        <f>Suite&amp;" Electrical Room "&amp;SWFour</f>
        <v>G104 Electrical Room XXX</v>
      </c>
      <c r="C102" s="183" t="str">
        <f>"SW"&amp;SWFour</f>
        <v>SWXXX</v>
      </c>
      <c r="D102" s="187" t="s">
        <v>4858</v>
      </c>
      <c r="E102" s="183" t="s">
        <v>1464</v>
      </c>
      <c r="F102" s="193"/>
      <c r="G102" s="193"/>
    </row>
    <row r="103" spans="1:7" ht="37.5" x14ac:dyDescent="0.25">
      <c r="A103" s="200">
        <f t="shared" si="4"/>
        <v>650</v>
      </c>
      <c r="B103" s="231" t="str">
        <f>Suite&amp;" Electrical Room "&amp;SWFour</f>
        <v>G104 Electrical Room XXX</v>
      </c>
      <c r="C103" s="183" t="str">
        <f>"SW"&amp;SWFour</f>
        <v>SWXXX</v>
      </c>
      <c r="D103" s="187" t="s">
        <v>4859</v>
      </c>
      <c r="E103" s="183" t="s">
        <v>1464</v>
      </c>
      <c r="F103" s="193"/>
      <c r="G103" s="193"/>
    </row>
    <row r="104" spans="1:7" ht="37.5" x14ac:dyDescent="0.25">
      <c r="A104" s="200">
        <f t="shared" si="4"/>
        <v>651</v>
      </c>
      <c r="B104" s="231" t="str">
        <f>Suite&amp;" Electrical Room "&amp;SWFour</f>
        <v>G104 Electrical Room XXX</v>
      </c>
      <c r="C104" s="183" t="str">
        <f>"SW"&amp;SWFour</f>
        <v>SWXXX</v>
      </c>
      <c r="D104" s="186" t="s">
        <v>1518</v>
      </c>
      <c r="E104" s="183" t="s">
        <v>1464</v>
      </c>
      <c r="F104" s="193"/>
      <c r="G104" s="193"/>
    </row>
    <row r="105" spans="1:7" ht="37.5" x14ac:dyDescent="0.25">
      <c r="A105" s="200">
        <f t="shared" si="4"/>
        <v>652</v>
      </c>
      <c r="B105" s="231" t="str">
        <f>Suite&amp;" Electrical Room "&amp;SWFour</f>
        <v>G104 Electrical Room XXX</v>
      </c>
      <c r="C105" s="183" t="str">
        <f>"SW"&amp;SWFour</f>
        <v>SWXXX</v>
      </c>
      <c r="D105" s="187" t="s">
        <v>4879</v>
      </c>
      <c r="E105" s="183" t="s">
        <v>1464</v>
      </c>
      <c r="F105" s="193"/>
      <c r="G105" s="193"/>
    </row>
    <row r="106" spans="1:7" ht="37.5" x14ac:dyDescent="0.25">
      <c r="A106" s="200">
        <f t="shared" si="4"/>
        <v>653</v>
      </c>
      <c r="B106" s="231" t="str">
        <f>Suite&amp;" Electrical Room "&amp;SWFour</f>
        <v>G104 Electrical Room XXX</v>
      </c>
      <c r="C106" s="183" t="str">
        <f>"SW"&amp;SWFour</f>
        <v>SWXXX</v>
      </c>
      <c r="D106" s="187" t="s">
        <v>4880</v>
      </c>
      <c r="E106" s="183" t="s">
        <v>1464</v>
      </c>
      <c r="F106" s="193"/>
      <c r="G106" s="193"/>
    </row>
    <row r="107" spans="1:7" ht="37.5" x14ac:dyDescent="0.25">
      <c r="A107" s="200">
        <f t="shared" si="4"/>
        <v>654</v>
      </c>
      <c r="B107" s="231" t="str">
        <f>Suite&amp;" Electrical Room "&amp;SWFour</f>
        <v>G104 Electrical Room XXX</v>
      </c>
      <c r="C107" s="183" t="str">
        <f>"SW"&amp;SWFour</f>
        <v>SWXXX</v>
      </c>
      <c r="D107" s="186" t="s">
        <v>1518</v>
      </c>
      <c r="E107" s="183" t="s">
        <v>1464</v>
      </c>
      <c r="F107" s="193"/>
      <c r="G107" s="193"/>
    </row>
    <row r="108" spans="1:7" ht="37.5" x14ac:dyDescent="0.25">
      <c r="A108" s="200">
        <f t="shared" si="4"/>
        <v>655</v>
      </c>
      <c r="B108" s="231" t="str">
        <f>Suite&amp;" Electrical Room "&amp;SWFour</f>
        <v>G104 Electrical Room XXX</v>
      </c>
      <c r="C108" s="183" t="str">
        <f>"SW"&amp;SWFour</f>
        <v>SWXXX</v>
      </c>
      <c r="D108" s="204" t="s">
        <v>4906</v>
      </c>
      <c r="E108" s="183" t="s">
        <v>1464</v>
      </c>
      <c r="F108" s="193"/>
      <c r="G108" s="193"/>
    </row>
    <row r="109" spans="1:7" ht="37.5" x14ac:dyDescent="0.25">
      <c r="A109" s="200">
        <f t="shared" si="4"/>
        <v>656</v>
      </c>
      <c r="B109" s="231" t="str">
        <f>Suite&amp;" Electrical Room "&amp;SWFour</f>
        <v>G104 Electrical Room XXX</v>
      </c>
      <c r="C109" s="183" t="str">
        <f>"SW"&amp;SWFour</f>
        <v>SWXXX</v>
      </c>
      <c r="D109" s="186" t="s">
        <v>1584</v>
      </c>
      <c r="E109" s="183" t="s">
        <v>1464</v>
      </c>
      <c r="F109" s="193"/>
      <c r="G109" s="193"/>
    </row>
    <row r="110" spans="1:7" x14ac:dyDescent="0.25">
      <c r="A110" s="200">
        <f t="shared" si="4"/>
        <v>657</v>
      </c>
      <c r="B110" s="714" t="s">
        <v>1746</v>
      </c>
      <c r="C110" s="714"/>
      <c r="D110" s="714"/>
      <c r="E110" s="714"/>
      <c r="F110" s="714"/>
      <c r="G110" s="714"/>
    </row>
    <row r="111" spans="1:7" ht="37.5" x14ac:dyDescent="0.25">
      <c r="A111" s="200">
        <f t="shared" si="4"/>
        <v>658</v>
      </c>
      <c r="B111" s="528" t="str">
        <f>Suite&amp;" Electrical Room "&amp;SWFour</f>
        <v>G104 Electrical Room XXX</v>
      </c>
      <c r="C111" s="388" t="str">
        <f>"UPS "&amp;SWFour</f>
        <v>UPS XXX</v>
      </c>
      <c r="D111" s="190" t="s">
        <v>4927</v>
      </c>
      <c r="E111" s="388" t="s">
        <v>1464</v>
      </c>
      <c r="F111" s="193"/>
      <c r="G111" s="193"/>
    </row>
    <row r="112" spans="1:7" ht="37.5" x14ac:dyDescent="0.25">
      <c r="A112" s="200">
        <f t="shared" si="4"/>
        <v>659</v>
      </c>
      <c r="B112" s="528" t="str">
        <f>Suite&amp;" Electrical Room "&amp;SWFour</f>
        <v>G104 Electrical Room XXX</v>
      </c>
      <c r="C112" s="388" t="str">
        <f>"UPS "&amp;SWFour</f>
        <v>UPS XXX</v>
      </c>
      <c r="D112" s="190" t="str" cm="1">
        <f t="array" ref="D112">"By my signature below I certify that UPS-" &amp; SWFour &amp; "1 and UPS-" &amp; SWFour &amp; "2 are ready to be returned to service."</f>
        <v>By my signature below I certify that UPS-XXX1 and UPS-XXX2 are ready to be returned to service.</v>
      </c>
      <c r="E112" s="388" t="s">
        <v>1529</v>
      </c>
      <c r="F112" s="193"/>
      <c r="G112" s="193"/>
    </row>
    <row r="113" spans="1:7" ht="37.5" x14ac:dyDescent="0.25">
      <c r="A113" s="200">
        <f t="shared" si="4"/>
        <v>660</v>
      </c>
      <c r="B113" s="528" t="str">
        <f>Suite&amp;" Electrical Room "&amp;SWFour</f>
        <v>G104 Electrical Room XXX</v>
      </c>
      <c r="C113" s="388" t="str">
        <f>"UPS "&amp;SWFour</f>
        <v>UPS XXX</v>
      </c>
      <c r="D113" s="191" t="s">
        <v>1675</v>
      </c>
      <c r="E113" s="388" t="s">
        <v>1529</v>
      </c>
      <c r="F113" s="193"/>
      <c r="G113" s="193"/>
    </row>
    <row r="114" spans="1:7" ht="37.5" x14ac:dyDescent="0.25">
      <c r="A114" s="200">
        <f t="shared" si="4"/>
        <v>661</v>
      </c>
      <c r="B114" s="231" t="str">
        <f>Suite&amp;" Electrical Room "&amp;SWFour</f>
        <v>G104 Electrical Room XXX</v>
      </c>
      <c r="C114" s="183" t="str">
        <f>"UP"&amp;SWFour</f>
        <v>UPXXX</v>
      </c>
      <c r="D114" s="187" t="s">
        <v>4860</v>
      </c>
      <c r="E114" s="183" t="s">
        <v>1464</v>
      </c>
      <c r="F114" s="193"/>
      <c r="G114" s="193"/>
    </row>
    <row r="115" spans="1:7" ht="37.5" x14ac:dyDescent="0.25">
      <c r="A115" s="200">
        <f t="shared" si="4"/>
        <v>662</v>
      </c>
      <c r="B115" s="231" t="str">
        <f>Suite&amp;" Electrical Room "&amp;SWFour</f>
        <v>G104 Electrical Room XXX</v>
      </c>
      <c r="C115" s="183" t="str">
        <f>"UP"&amp;SWFour</f>
        <v>UPXXX</v>
      </c>
      <c r="D115" s="186" t="s">
        <v>1518</v>
      </c>
      <c r="E115" s="183" t="s">
        <v>1464</v>
      </c>
      <c r="F115" s="193"/>
      <c r="G115" s="193"/>
    </row>
    <row r="116" spans="1:7" ht="37.5" x14ac:dyDescent="0.25">
      <c r="A116" s="200">
        <f t="shared" si="4"/>
        <v>663</v>
      </c>
      <c r="B116" s="231" t="str">
        <f>Suite&amp;" Electrical Room "&amp;SWFour</f>
        <v>G104 Electrical Room XXX</v>
      </c>
      <c r="C116" s="183" t="str">
        <f>"UP"&amp;SWFour</f>
        <v>UPXXX</v>
      </c>
      <c r="D116" s="187" t="s">
        <v>4881</v>
      </c>
      <c r="E116" s="183" t="s">
        <v>1464</v>
      </c>
      <c r="F116" s="193"/>
      <c r="G116" s="193"/>
    </row>
    <row r="117" spans="1:7" ht="37.5" x14ac:dyDescent="0.25">
      <c r="A117" s="200">
        <f t="shared" si="4"/>
        <v>664</v>
      </c>
      <c r="B117" s="231" t="str">
        <f>Suite&amp;" Electrical Room "&amp;SWFour</f>
        <v>G104 Electrical Room XXX</v>
      </c>
      <c r="C117" s="183" t="str">
        <f>"UP"&amp;SWFour</f>
        <v>UPXXX</v>
      </c>
      <c r="D117" s="186" t="s">
        <v>1518</v>
      </c>
      <c r="E117" s="183" t="s">
        <v>1464</v>
      </c>
      <c r="F117" s="193"/>
      <c r="G117" s="193"/>
    </row>
    <row r="118" spans="1:7" ht="56.25" x14ac:dyDescent="0.25">
      <c r="A118" s="200">
        <f t="shared" si="4"/>
        <v>665</v>
      </c>
      <c r="B118" s="231" t="str">
        <f>Suite&amp;" Electrical Room "&amp;SWFour</f>
        <v>G104 Electrical Room XXX</v>
      </c>
      <c r="C118" s="183" t="str">
        <f>"UPS "&amp;SWFour&amp;" Battery Cabinets"</f>
        <v>UPS XXX Battery Cabinets</v>
      </c>
      <c r="D118" s="187" t="s">
        <v>4861</v>
      </c>
      <c r="E118" s="183" t="s">
        <v>1464</v>
      </c>
      <c r="F118" s="193"/>
      <c r="G118" s="193"/>
    </row>
    <row r="119" spans="1:7" ht="56.25" x14ac:dyDescent="0.25">
      <c r="A119" s="200">
        <f t="shared" si="4"/>
        <v>666</v>
      </c>
      <c r="B119" s="231" t="str">
        <f>Suite&amp;" Electrical Room "&amp;SWFour</f>
        <v>G104 Electrical Room XXX</v>
      </c>
      <c r="C119" s="183" t="str">
        <f>"UPS "&amp;SWFour&amp;" Battery Cabinets"</f>
        <v>UPS XXX Battery Cabinets</v>
      </c>
      <c r="D119" s="186" t="s">
        <v>1518</v>
      </c>
      <c r="E119" s="183" t="s">
        <v>1464</v>
      </c>
      <c r="F119" s="193"/>
      <c r="G119" s="193"/>
    </row>
    <row r="120" spans="1:7" ht="56.25" x14ac:dyDescent="0.25">
      <c r="A120" s="200">
        <f t="shared" si="4"/>
        <v>667</v>
      </c>
      <c r="B120" s="231" t="str">
        <f>Suite&amp;" Electrical Room "&amp;SWFour</f>
        <v>G104 Electrical Room XXX</v>
      </c>
      <c r="C120" s="183" t="str">
        <f>"UPS "&amp;SWFour&amp;" Battery Cabinets"</f>
        <v>UPS XXX Battery Cabinets</v>
      </c>
      <c r="D120" s="187" t="s">
        <v>4862</v>
      </c>
      <c r="E120" s="183" t="s">
        <v>1464</v>
      </c>
      <c r="F120" s="193"/>
      <c r="G120" s="193"/>
    </row>
    <row r="121" spans="1:7" ht="56.25" x14ac:dyDescent="0.25">
      <c r="A121" s="200">
        <f t="shared" si="4"/>
        <v>668</v>
      </c>
      <c r="B121" s="231" t="str">
        <f>Suite&amp;" Electrical Room "&amp;SWFour</f>
        <v>G104 Electrical Room XXX</v>
      </c>
      <c r="C121" s="183" t="str">
        <f>"UPS "&amp;SWFour&amp;" Battery Cabinets"</f>
        <v>UPS XXX Battery Cabinets</v>
      </c>
      <c r="D121" s="186" t="s">
        <v>1518</v>
      </c>
      <c r="E121" s="183" t="s">
        <v>1464</v>
      </c>
      <c r="F121" s="193"/>
      <c r="G121" s="193"/>
    </row>
    <row r="122" spans="1:7" ht="56.25" x14ac:dyDescent="0.25">
      <c r="A122" s="200">
        <f t="shared" si="4"/>
        <v>669</v>
      </c>
      <c r="B122" s="231" t="str">
        <f>Suite&amp;" Electrical Room "&amp;SWFour</f>
        <v>G104 Electrical Room XXX</v>
      </c>
      <c r="C122" s="183" t="str">
        <f>"UPS "&amp;SWFour&amp;" Battery Cabinets"</f>
        <v>UPS XXX Battery Cabinets</v>
      </c>
      <c r="D122" s="187" t="s">
        <v>4863</v>
      </c>
      <c r="E122" s="183" t="s">
        <v>1464</v>
      </c>
      <c r="F122" s="193"/>
      <c r="G122" s="193"/>
    </row>
    <row r="123" spans="1:7" ht="56.25" x14ac:dyDescent="0.25">
      <c r="A123" s="200">
        <f t="shared" si="4"/>
        <v>670</v>
      </c>
      <c r="B123" s="231" t="str">
        <f>Suite&amp;" Electrical Room "&amp;SWFour</f>
        <v>G104 Electrical Room XXX</v>
      </c>
      <c r="C123" s="183" t="str">
        <f>"UPS "&amp;SWFour&amp;" Battery Cabinets"</f>
        <v>UPS XXX Battery Cabinets</v>
      </c>
      <c r="D123" s="186" t="s">
        <v>1518</v>
      </c>
      <c r="E123" s="183" t="s">
        <v>1464</v>
      </c>
      <c r="F123" s="193"/>
      <c r="G123" s="193"/>
    </row>
    <row r="124" spans="1:7" ht="56.25" x14ac:dyDescent="0.25">
      <c r="A124" s="200">
        <f t="shared" si="4"/>
        <v>671</v>
      </c>
      <c r="B124" s="231" t="str">
        <f>Suite&amp;" Electrical Room "&amp;SWFour</f>
        <v>G104 Electrical Room XXX</v>
      </c>
      <c r="C124" s="183" t="str">
        <f>"UPS "&amp;SWFour&amp;" Battery Cabinets"</f>
        <v>UPS XXX Battery Cabinets</v>
      </c>
      <c r="D124" s="187" t="s">
        <v>4882</v>
      </c>
      <c r="E124" s="183" t="s">
        <v>1464</v>
      </c>
      <c r="F124" s="193"/>
      <c r="G124" s="193"/>
    </row>
    <row r="125" spans="1:7" ht="56.25" x14ac:dyDescent="0.25">
      <c r="A125" s="200">
        <f t="shared" si="4"/>
        <v>672</v>
      </c>
      <c r="B125" s="231" t="str">
        <f>Suite&amp;" Electrical Room "&amp;SWFour</f>
        <v>G104 Electrical Room XXX</v>
      </c>
      <c r="C125" s="183" t="str">
        <f>"UPS "&amp;SWFour&amp;" Battery Cabinets"</f>
        <v>UPS XXX Battery Cabinets</v>
      </c>
      <c r="D125" s="186" t="s">
        <v>1518</v>
      </c>
      <c r="E125" s="183" t="s">
        <v>1464</v>
      </c>
      <c r="F125" s="193"/>
      <c r="G125" s="193"/>
    </row>
    <row r="126" spans="1:7" ht="56.25" x14ac:dyDescent="0.25">
      <c r="A126" s="200">
        <f t="shared" si="4"/>
        <v>673</v>
      </c>
      <c r="B126" s="231" t="str">
        <f>Suite&amp;" Electrical Room "&amp;SWFour</f>
        <v>G104 Electrical Room XXX</v>
      </c>
      <c r="C126" s="183" t="str">
        <f>"UPS "&amp;SWFour&amp;" Battery Cabinets"</f>
        <v>UPS XXX Battery Cabinets</v>
      </c>
      <c r="D126" s="187" t="s">
        <v>4883</v>
      </c>
      <c r="E126" s="183" t="s">
        <v>1464</v>
      </c>
      <c r="F126" s="193"/>
      <c r="G126" s="193"/>
    </row>
    <row r="127" spans="1:7" ht="56.25" x14ac:dyDescent="0.25">
      <c r="A127" s="200">
        <f t="shared" si="4"/>
        <v>674</v>
      </c>
      <c r="B127" s="231" t="str">
        <f>Suite&amp;" Electrical Room "&amp;SWFour</f>
        <v>G104 Electrical Room XXX</v>
      </c>
      <c r="C127" s="183" t="str">
        <f>"UPS "&amp;SWFour&amp;" Battery Cabinets"</f>
        <v>UPS XXX Battery Cabinets</v>
      </c>
      <c r="D127" s="186" t="s">
        <v>1518</v>
      </c>
      <c r="E127" s="183" t="s">
        <v>1464</v>
      </c>
      <c r="F127" s="193"/>
      <c r="G127" s="193"/>
    </row>
    <row r="128" spans="1:7" ht="56.25" x14ac:dyDescent="0.25">
      <c r="A128" s="200">
        <f t="shared" si="4"/>
        <v>675</v>
      </c>
      <c r="B128" s="231" t="str">
        <f>Suite&amp;" Electrical Room "&amp;SWFour</f>
        <v>G104 Electrical Room XXX</v>
      </c>
      <c r="C128" s="183" t="str">
        <f>"UPS "&amp;SWFour&amp;" Battery Cabinets"</f>
        <v>UPS XXX Battery Cabinets</v>
      </c>
      <c r="D128" s="187" t="s">
        <v>4884</v>
      </c>
      <c r="E128" s="183" t="s">
        <v>1464</v>
      </c>
      <c r="F128" s="193"/>
      <c r="G128" s="193"/>
    </row>
    <row r="129" spans="1:10" ht="56.25" x14ac:dyDescent="0.25">
      <c r="A129" s="200">
        <f t="shared" si="4"/>
        <v>676</v>
      </c>
      <c r="B129" s="231" t="str">
        <f>Suite&amp;" Electrical Room "&amp;SWFour</f>
        <v>G104 Electrical Room XXX</v>
      </c>
      <c r="C129" s="183" t="str">
        <f>"UPS "&amp;SWFour&amp;" Battery Cabinets"</f>
        <v>UPS XXX Battery Cabinets</v>
      </c>
      <c r="D129" s="186" t="s">
        <v>1518</v>
      </c>
      <c r="E129" s="183" t="s">
        <v>1464</v>
      </c>
      <c r="F129" s="193"/>
      <c r="G129" s="193"/>
    </row>
    <row r="130" spans="1:10" ht="37.5" x14ac:dyDescent="0.25">
      <c r="A130" s="200">
        <f t="shared" si="4"/>
        <v>677</v>
      </c>
      <c r="B130" s="231" t="str">
        <f>Suite&amp;" Electrical Room "&amp;SWFour</f>
        <v>G104 Electrical Room XXX</v>
      </c>
      <c r="C130" s="183" t="str">
        <f>"SW"&amp;SWFour</f>
        <v>SWXXX</v>
      </c>
      <c r="D130" s="187" t="s">
        <v>4864</v>
      </c>
      <c r="E130" s="183" t="s">
        <v>1464</v>
      </c>
      <c r="F130" s="193"/>
      <c r="G130" s="193"/>
    </row>
    <row r="131" spans="1:10" ht="37.5" x14ac:dyDescent="0.25">
      <c r="A131" s="200">
        <f t="shared" si="4"/>
        <v>678</v>
      </c>
      <c r="B131" s="231" t="str">
        <f>Suite&amp;" Electrical Room "&amp;SWFour</f>
        <v>G104 Electrical Room XXX</v>
      </c>
      <c r="C131" s="183" t="str">
        <f>"SW"&amp;SWFour</f>
        <v>SWXXX</v>
      </c>
      <c r="D131" s="186" t="s">
        <v>1518</v>
      </c>
      <c r="E131" s="183" t="s">
        <v>1464</v>
      </c>
      <c r="F131" s="193"/>
      <c r="G131" s="193"/>
    </row>
    <row r="132" spans="1:10" ht="37.5" x14ac:dyDescent="0.25">
      <c r="A132" s="200">
        <f t="shared" si="4"/>
        <v>679</v>
      </c>
      <c r="B132" s="231" t="str">
        <f>Suite&amp;" Electrical Room "&amp;SWFour</f>
        <v>G104 Electrical Room XXX</v>
      </c>
      <c r="C132" s="183" t="str">
        <f>"SW"&amp;SWFour</f>
        <v>SWXXX</v>
      </c>
      <c r="D132" s="187" t="s">
        <v>4885</v>
      </c>
      <c r="E132" s="183" t="s">
        <v>1464</v>
      </c>
      <c r="F132" s="193"/>
      <c r="G132" s="193"/>
    </row>
    <row r="133" spans="1:10" ht="37.5" x14ac:dyDescent="0.25">
      <c r="A133" s="200">
        <f t="shared" si="4"/>
        <v>680</v>
      </c>
      <c r="B133" s="231" t="str">
        <f>Suite&amp;" Electrical Room "&amp;SWFour</f>
        <v>G104 Electrical Room XXX</v>
      </c>
      <c r="C133" s="183" t="str">
        <f>"SW"&amp;SWFour</f>
        <v>SWXXX</v>
      </c>
      <c r="D133" s="186" t="s">
        <v>1518</v>
      </c>
      <c r="E133" s="183" t="s">
        <v>1464</v>
      </c>
      <c r="F133" s="193"/>
      <c r="G133" s="193"/>
    </row>
    <row r="134" spans="1:10" ht="37.5" x14ac:dyDescent="0.25">
      <c r="A134" s="200">
        <f t="shared" si="4"/>
        <v>681</v>
      </c>
      <c r="B134" s="231" t="str">
        <f>Suite&amp;" Electrical Room "&amp;SWFour</f>
        <v>G104 Electrical Room XXX</v>
      </c>
      <c r="C134" s="183" t="str">
        <f>"SW"&amp;SWFour</f>
        <v>SWXXX</v>
      </c>
      <c r="D134" s="187" t="s">
        <v>4865</v>
      </c>
      <c r="E134" s="183" t="s">
        <v>1464</v>
      </c>
      <c r="F134" s="193"/>
      <c r="G134" s="193"/>
    </row>
    <row r="135" spans="1:10" ht="37.5" x14ac:dyDescent="0.25">
      <c r="A135" s="200">
        <f t="shared" si="4"/>
        <v>682</v>
      </c>
      <c r="B135" s="231" t="str">
        <f>Suite&amp;" Electrical Room "&amp;SWFour</f>
        <v>G104 Electrical Room XXX</v>
      </c>
      <c r="C135" s="183" t="str">
        <f>"SW"&amp;SWFour</f>
        <v>SWXXX</v>
      </c>
      <c r="D135" s="187" t="s">
        <v>4886</v>
      </c>
      <c r="E135" s="183" t="s">
        <v>1464</v>
      </c>
      <c r="F135" s="193"/>
      <c r="G135" s="193"/>
    </row>
    <row r="136" spans="1:10" ht="56.25" x14ac:dyDescent="0.25">
      <c r="A136" s="200">
        <f t="shared" si="4"/>
        <v>683</v>
      </c>
      <c r="B136" s="231" t="str">
        <f>Suite&amp;" Electrical Room "&amp;SWFour</f>
        <v>G104 Electrical Room XXX</v>
      </c>
      <c r="C136" s="183" t="str">
        <f>"UPS "&amp;SWFour</f>
        <v>UPS XXX</v>
      </c>
      <c r="D136" s="187" t="s">
        <v>4911</v>
      </c>
      <c r="E136" s="183" t="s">
        <v>1464</v>
      </c>
      <c r="F136" s="193"/>
      <c r="G136" s="193"/>
    </row>
    <row r="137" spans="1:10" ht="37.5" x14ac:dyDescent="0.25">
      <c r="A137" s="200">
        <f t="shared" si="4"/>
        <v>684</v>
      </c>
      <c r="B137" s="231" t="str">
        <f>Suite&amp;" Electrical Room "&amp;SWFour</f>
        <v>G104 Electrical Room XXX</v>
      </c>
      <c r="C137" s="183" t="str">
        <f>"UPS "&amp;SWFour&amp;"1"</f>
        <v>UPS XXX1</v>
      </c>
      <c r="D137" s="186" t="s">
        <v>1689</v>
      </c>
      <c r="E137" s="183" t="s">
        <v>1464</v>
      </c>
      <c r="F137" s="193"/>
      <c r="G137" s="193"/>
    </row>
    <row r="138" spans="1:10" ht="39.75" x14ac:dyDescent="0.25">
      <c r="A138" s="200">
        <f t="shared" si="4"/>
        <v>685</v>
      </c>
      <c r="B138" s="231" t="str">
        <f>Suite&amp;" Electrical Room "&amp;SWFour</f>
        <v>G104 Electrical Room XXX</v>
      </c>
      <c r="C138" s="183" t="str">
        <f>"UPS "&amp;SWFour&amp;"1"</f>
        <v>UPS XXX1</v>
      </c>
      <c r="D138" s="187" t="s">
        <v>1690</v>
      </c>
      <c r="E138" s="183" t="s">
        <v>1464</v>
      </c>
      <c r="F138" s="193"/>
      <c r="G138" s="193"/>
    </row>
    <row r="139" spans="1:10" ht="39.75" x14ac:dyDescent="0.25">
      <c r="A139" s="200">
        <f t="shared" si="4"/>
        <v>686</v>
      </c>
      <c r="B139" s="231" t="str">
        <f>Suite&amp;" Electrical Room "&amp;SWFour</f>
        <v>G104 Electrical Room XXX</v>
      </c>
      <c r="C139" s="183" t="str">
        <f>"UPS "&amp;SWFour&amp;"2"</f>
        <v>UPS XXX2</v>
      </c>
      <c r="D139" s="187" t="s">
        <v>1690</v>
      </c>
      <c r="E139" s="183" t="s">
        <v>1464</v>
      </c>
      <c r="F139" s="193"/>
      <c r="G139" s="193"/>
    </row>
    <row r="140" spans="1:10" ht="18.75" customHeight="1" x14ac:dyDescent="0.25">
      <c r="A140" s="200">
        <f t="shared" si="4"/>
        <v>687</v>
      </c>
      <c r="B140" s="231" t="str">
        <f>Suite&amp;" Electrical Room "&amp;SWFour</f>
        <v>G104 Electrical Room XXX</v>
      </c>
      <c r="C140" s="183" t="str">
        <f>"UPS "&amp;SWFour</f>
        <v>UPS XXX</v>
      </c>
      <c r="D140" s="186" t="s">
        <v>4887</v>
      </c>
      <c r="E140" s="183" t="s">
        <v>1464</v>
      </c>
      <c r="F140" s="193"/>
      <c r="G140" s="193"/>
    </row>
    <row r="141" spans="1:10" ht="37.5" x14ac:dyDescent="0.25">
      <c r="A141" s="200">
        <f t="shared" si="4"/>
        <v>688</v>
      </c>
      <c r="B141" s="231" t="str">
        <f>Suite&amp;" Electrical Room "&amp;SWFour</f>
        <v>G104 Electrical Room XXX</v>
      </c>
      <c r="C141" s="183" t="str">
        <f>"UPS "&amp;SWFour&amp;"1"</f>
        <v>UPS XXX1</v>
      </c>
      <c r="D141" s="186" t="s">
        <v>4928</v>
      </c>
      <c r="E141" s="183" t="s">
        <v>1464</v>
      </c>
      <c r="F141" s="193"/>
      <c r="G141" s="193"/>
    </row>
    <row r="142" spans="1:10" ht="37.5" x14ac:dyDescent="0.25">
      <c r="A142" s="200">
        <f t="shared" si="4"/>
        <v>689</v>
      </c>
      <c r="B142" s="231" t="str">
        <f>Suite&amp;" Electrical Room "&amp;SWFour</f>
        <v>G104 Electrical Room XXX</v>
      </c>
      <c r="C142" s="183" t="str">
        <f>"UPS "&amp;SWFour&amp;"2"</f>
        <v>UPS XXX2</v>
      </c>
      <c r="D142" s="186" t="s">
        <v>4928</v>
      </c>
      <c r="E142" s="183" t="s">
        <v>1464</v>
      </c>
      <c r="F142" s="193"/>
      <c r="G142" s="193"/>
    </row>
    <row r="143" spans="1:10" ht="56.25" x14ac:dyDescent="0.25">
      <c r="A143" s="200">
        <f t="shared" si="4"/>
        <v>690</v>
      </c>
      <c r="B143" s="231" t="str">
        <f>Suite&amp;" Electrical Room "&amp;SWFour</f>
        <v>G104 Electrical Room XXX</v>
      </c>
      <c r="C143" s="183" t="str">
        <f>"UPS "&amp;SWFour&amp;" Battery Cabinets"</f>
        <v>UPS XXX Battery Cabinets</v>
      </c>
      <c r="D143" s="187" t="s">
        <v>4866</v>
      </c>
      <c r="E143" s="183" t="s">
        <v>1464</v>
      </c>
      <c r="F143" s="193"/>
      <c r="G143" s="193"/>
      <c r="J143" s="151"/>
    </row>
    <row r="144" spans="1:10" ht="56.25" x14ac:dyDescent="0.25">
      <c r="A144" s="200">
        <f t="shared" si="4"/>
        <v>691</v>
      </c>
      <c r="B144" s="231" t="str">
        <f>Suite&amp;" Electrical Room "&amp;SWFour</f>
        <v>G104 Electrical Room XXX</v>
      </c>
      <c r="C144" s="183" t="str">
        <f>"UPS "&amp;SWFour&amp;" Battery Cabinets"</f>
        <v>UPS XXX Battery Cabinets</v>
      </c>
      <c r="D144" s="187" t="s">
        <v>4867</v>
      </c>
      <c r="E144" s="183" t="s">
        <v>1464</v>
      </c>
      <c r="F144" s="193"/>
      <c r="G144" s="193"/>
      <c r="J144" s="151"/>
    </row>
    <row r="145" spans="1:10" ht="56.25" x14ac:dyDescent="0.25">
      <c r="A145" s="200">
        <f t="shared" si="4"/>
        <v>692</v>
      </c>
      <c r="B145" s="231" t="str">
        <f>Suite&amp;" Electrical Room "&amp;SWFour</f>
        <v>G104 Electrical Room XXX</v>
      </c>
      <c r="C145" s="183" t="str">
        <f>"UPS "&amp;SWFour&amp;" Battery Cabinets"</f>
        <v>UPS XXX Battery Cabinets</v>
      </c>
      <c r="D145" s="187" t="s">
        <v>4868</v>
      </c>
      <c r="E145" s="183" t="s">
        <v>1464</v>
      </c>
      <c r="F145" s="193"/>
      <c r="G145" s="193"/>
      <c r="J145" s="152"/>
    </row>
    <row r="146" spans="1:10" ht="37.5" x14ac:dyDescent="0.25">
      <c r="A146" s="200">
        <f t="shared" si="4"/>
        <v>693</v>
      </c>
      <c r="B146" s="231" t="str">
        <f>Suite&amp;" Electrical Room "&amp;SWFour</f>
        <v>G104 Electrical Room XXX</v>
      </c>
      <c r="C146" s="183" t="str">
        <f>"UPS "&amp;SWFour&amp;"1"</f>
        <v>UPS XXX1</v>
      </c>
      <c r="D146" s="186" t="s">
        <v>1696</v>
      </c>
      <c r="E146" s="183" t="s">
        <v>1464</v>
      </c>
      <c r="F146" s="193"/>
      <c r="G146" s="193"/>
      <c r="J146" s="151"/>
    </row>
    <row r="147" spans="1:10" ht="56.25" x14ac:dyDescent="0.25">
      <c r="A147" s="200">
        <f t="shared" si="4"/>
        <v>694</v>
      </c>
      <c r="B147" s="231" t="str">
        <f>Suite&amp;" Electrical Room "&amp;SWFour</f>
        <v>G104 Electrical Room XXX</v>
      </c>
      <c r="C147" s="183" t="str">
        <f>"UPS "&amp;SWFour&amp;" Battery Cabinets"</f>
        <v>UPS XXX Battery Cabinets</v>
      </c>
      <c r="D147" s="187" t="s">
        <v>4888</v>
      </c>
      <c r="E147" s="183" t="s">
        <v>1464</v>
      </c>
      <c r="F147" s="193"/>
      <c r="G147" s="193"/>
      <c r="J147" s="151"/>
    </row>
    <row r="148" spans="1:10" ht="56.25" x14ac:dyDescent="0.25">
      <c r="A148" s="200">
        <f t="shared" si="4"/>
        <v>695</v>
      </c>
      <c r="B148" s="231" t="str">
        <f>Suite&amp;" Electrical Room "&amp;SWFour</f>
        <v>G104 Electrical Room XXX</v>
      </c>
      <c r="C148" s="183" t="str">
        <f>"UPS "&amp;SWFour&amp;" Battery Cabinets"</f>
        <v>UPS XXX Battery Cabinets</v>
      </c>
      <c r="D148" s="187" t="s">
        <v>4889</v>
      </c>
      <c r="E148" s="183" t="s">
        <v>1464</v>
      </c>
      <c r="F148" s="193"/>
      <c r="G148" s="193"/>
      <c r="J148" s="151"/>
    </row>
    <row r="149" spans="1:10" ht="56.25" x14ac:dyDescent="0.25">
      <c r="A149" s="200">
        <f t="shared" si="4"/>
        <v>696</v>
      </c>
      <c r="B149" s="231" t="str">
        <f>Suite&amp;" Electrical Room "&amp;SWFour</f>
        <v>G104 Electrical Room XXX</v>
      </c>
      <c r="C149" s="183" t="str">
        <f>"UPS "&amp;SWFour&amp;" Battery Cabinets"</f>
        <v>UPS XXX Battery Cabinets</v>
      </c>
      <c r="D149" s="187" t="s">
        <v>4890</v>
      </c>
      <c r="E149" s="183" t="s">
        <v>1464</v>
      </c>
      <c r="F149" s="193"/>
      <c r="G149" s="193"/>
      <c r="J149" s="151"/>
    </row>
    <row r="150" spans="1:10" ht="37.5" x14ac:dyDescent="0.25">
      <c r="A150" s="200">
        <f t="shared" si="4"/>
        <v>697</v>
      </c>
      <c r="B150" s="231" t="str">
        <f>Suite&amp;" Electrical Room "&amp;SWFour</f>
        <v>G104 Electrical Room XXX</v>
      </c>
      <c r="C150" s="183" t="str">
        <f>"UPS "&amp;SWFour&amp;"2"</f>
        <v>UPS XXX2</v>
      </c>
      <c r="D150" s="186" t="s">
        <v>1696</v>
      </c>
      <c r="E150" s="183" t="s">
        <v>1464</v>
      </c>
      <c r="F150" s="193"/>
      <c r="G150" s="193"/>
      <c r="J150" s="151"/>
    </row>
    <row r="151" spans="1:10" ht="37.5" x14ac:dyDescent="0.25">
      <c r="A151" s="200">
        <f t="shared" si="4"/>
        <v>698</v>
      </c>
      <c r="B151" s="231" t="str">
        <f>Suite&amp;" Electrical Room "&amp;SWFour</f>
        <v>G104 Electrical Room XXX</v>
      </c>
      <c r="C151" s="183" t="str">
        <f>"UP"&amp;SWFour</f>
        <v>UPXXX</v>
      </c>
      <c r="D151" s="187" t="s">
        <v>4869</v>
      </c>
      <c r="E151" s="183" t="s">
        <v>1464</v>
      </c>
      <c r="F151" s="193"/>
      <c r="G151" s="193"/>
      <c r="J151" s="4"/>
    </row>
    <row r="152" spans="1:10" ht="37.5" x14ac:dyDescent="0.25">
      <c r="A152" s="200">
        <f t="shared" si="4"/>
        <v>699</v>
      </c>
      <c r="B152" s="231" t="str">
        <f>Suite&amp;" Electrical Room "&amp;SWFour</f>
        <v>G104 Electrical Room XXX</v>
      </c>
      <c r="C152" s="183" t="str">
        <f>"UPS "&amp;SWFour&amp;"1"</f>
        <v>UPS XXX1</v>
      </c>
      <c r="D152" s="186" t="s">
        <v>1701</v>
      </c>
      <c r="E152" s="183" t="s">
        <v>1464</v>
      </c>
      <c r="F152" s="193"/>
      <c r="G152" s="193"/>
      <c r="J152" s="4"/>
    </row>
    <row r="153" spans="1:10" ht="37.5" x14ac:dyDescent="0.25">
      <c r="A153" s="200">
        <f t="shared" si="4"/>
        <v>700</v>
      </c>
      <c r="B153" s="231" t="str">
        <f>Suite&amp;" Electrical Room "&amp;SWFour</f>
        <v>G104 Electrical Room XXX</v>
      </c>
      <c r="C153" s="183" t="str">
        <f>"UP"&amp;SWFour</f>
        <v>UPXXX</v>
      </c>
      <c r="D153" s="187" t="s">
        <v>4891</v>
      </c>
      <c r="E153" s="183" t="s">
        <v>1464</v>
      </c>
      <c r="F153" s="193"/>
      <c r="G153" s="193"/>
    </row>
    <row r="154" spans="1:10" ht="37.5" x14ac:dyDescent="0.25">
      <c r="A154" s="200">
        <f t="shared" si="4"/>
        <v>701</v>
      </c>
      <c r="B154" s="231" t="str">
        <f>Suite&amp;" Electrical Room "&amp;SWFour</f>
        <v>G104 Electrical Room XXX</v>
      </c>
      <c r="C154" s="183" t="str">
        <f>"UPS "&amp;SWFour&amp;"2"</f>
        <v>UPS XXX2</v>
      </c>
      <c r="D154" s="186" t="s">
        <v>1701</v>
      </c>
      <c r="E154" s="183" t="s">
        <v>1464</v>
      </c>
      <c r="F154" s="193"/>
      <c r="G154" s="193"/>
    </row>
    <row r="155" spans="1:10" ht="37.5" x14ac:dyDescent="0.25">
      <c r="A155" s="200">
        <f t="shared" ref="A155:A214" si="5">A154+1</f>
        <v>702</v>
      </c>
      <c r="B155" s="231" t="str">
        <f>Suite&amp;" Electrical Room "&amp;SWFour</f>
        <v>G104 Electrical Room XXX</v>
      </c>
      <c r="C155" s="183" t="str">
        <f>"UPS "&amp;SWFour</f>
        <v>UPS XXX</v>
      </c>
      <c r="D155" s="204" t="s">
        <v>4907</v>
      </c>
      <c r="E155" s="183" t="s">
        <v>1464</v>
      </c>
      <c r="F155" s="193"/>
      <c r="G155" s="193"/>
    </row>
    <row r="156" spans="1:10" x14ac:dyDescent="0.25">
      <c r="A156" s="200">
        <f t="shared" si="5"/>
        <v>703</v>
      </c>
      <c r="B156" s="714" t="s">
        <v>1602</v>
      </c>
      <c r="C156" s="714"/>
      <c r="D156" s="714"/>
      <c r="E156" s="714"/>
      <c r="F156" s="714"/>
      <c r="G156" s="714"/>
    </row>
    <row r="157" spans="1:10" ht="37.5" x14ac:dyDescent="0.25">
      <c r="A157" s="200">
        <f t="shared" si="5"/>
        <v>704</v>
      </c>
      <c r="B157" s="231" t="str">
        <f>Suite&amp;" Electrical Room "&amp;SWFour</f>
        <v>G104 Electrical Room XXX</v>
      </c>
      <c r="C157" s="183" t="str">
        <f>"UP"&amp;SWFour</f>
        <v>UPXXX</v>
      </c>
      <c r="D157" s="186" t="s">
        <v>4918</v>
      </c>
      <c r="E157" s="183" t="s">
        <v>1464</v>
      </c>
      <c r="F157" s="193"/>
      <c r="G157" s="193"/>
    </row>
    <row r="158" spans="1:10" ht="37.5" x14ac:dyDescent="0.25">
      <c r="A158" s="200">
        <f t="shared" si="5"/>
        <v>705</v>
      </c>
      <c r="B158" s="231" t="str">
        <f>Suite&amp;" Electrical Room "&amp;SWFour</f>
        <v>G104 Electrical Room XXX</v>
      </c>
      <c r="C158" s="183" t="str">
        <f>"UP"&amp;SWFour</f>
        <v>UPXXX</v>
      </c>
      <c r="D158" s="186" t="s">
        <v>4929</v>
      </c>
      <c r="E158" s="183" t="s">
        <v>1464</v>
      </c>
      <c r="F158" s="193"/>
      <c r="G158" s="193"/>
    </row>
    <row r="159" spans="1:10" ht="37.5" x14ac:dyDescent="0.25">
      <c r="A159" s="200">
        <f t="shared" si="5"/>
        <v>706</v>
      </c>
      <c r="B159" s="231" t="str">
        <f>Suite&amp;" Electrical Room "&amp;SWFour</f>
        <v>G104 Electrical Room XXX</v>
      </c>
      <c r="C159" s="183" t="str">
        <f>"UP"&amp;SWFour</f>
        <v>UPXXX</v>
      </c>
      <c r="D159" s="187" t="s">
        <v>1628</v>
      </c>
      <c r="E159" s="183" t="s">
        <v>1464</v>
      </c>
      <c r="F159" s="193"/>
      <c r="G159" s="193"/>
    </row>
    <row r="160" spans="1:10" ht="37.5" x14ac:dyDescent="0.25">
      <c r="A160" s="200">
        <f t="shared" si="5"/>
        <v>707</v>
      </c>
      <c r="B160" s="231" t="str">
        <f>Suite&amp;" Electrical Room "&amp;SWFour</f>
        <v>G104 Electrical Room XXX</v>
      </c>
      <c r="C160" s="183" t="str">
        <f>"UP"&amp;SWFour</f>
        <v>UPXXX</v>
      </c>
      <c r="D160" s="187" t="s">
        <v>1629</v>
      </c>
      <c r="E160" s="183" t="s">
        <v>1464</v>
      </c>
      <c r="F160" s="193"/>
      <c r="G160" s="193"/>
    </row>
    <row r="161" spans="1:7" ht="37.5" x14ac:dyDescent="0.25">
      <c r="A161" s="200">
        <f t="shared" si="5"/>
        <v>708</v>
      </c>
      <c r="B161" s="231" t="str">
        <f>Suite&amp;" Electrical Room "&amp;SWFour</f>
        <v>G104 Electrical Room XXX</v>
      </c>
      <c r="C161" s="183" t="str">
        <f>"UP"&amp;SWFour</f>
        <v>UPXXX</v>
      </c>
      <c r="D161" s="235" t="s">
        <v>4900</v>
      </c>
      <c r="E161" s="183" t="s">
        <v>1464</v>
      </c>
      <c r="F161" s="193"/>
      <c r="G161" s="193"/>
    </row>
    <row r="162" spans="1:7" ht="18.75" customHeight="1" x14ac:dyDescent="0.25">
      <c r="A162" s="200">
        <f t="shared" si="5"/>
        <v>709</v>
      </c>
      <c r="B162" s="231" t="str">
        <f>Suite&amp;" Electrical Room "&amp;SWFour</f>
        <v>G104 Electrical Room XXX</v>
      </c>
      <c r="C162" s="183" t="str">
        <f>"UP"&amp;SWFour</f>
        <v>UPXXX</v>
      </c>
      <c r="D162" s="187" t="s">
        <v>4901</v>
      </c>
      <c r="E162" s="183" t="s">
        <v>1464</v>
      </c>
      <c r="F162" s="193"/>
      <c r="G162" s="193"/>
    </row>
    <row r="163" spans="1:7" ht="37.5" x14ac:dyDescent="0.25">
      <c r="A163" s="200">
        <f t="shared" si="5"/>
        <v>710</v>
      </c>
      <c r="B163" s="231" t="str">
        <f>Suite&amp;" Electrical Room "&amp;SWFour</f>
        <v>G104 Electrical Room XXX</v>
      </c>
      <c r="C163" s="183" t="str">
        <f>"UP"&amp;SWFour</f>
        <v>UPXXX</v>
      </c>
      <c r="D163" s="187" t="s">
        <v>4902</v>
      </c>
      <c r="E163" s="183" t="s">
        <v>1464</v>
      </c>
      <c r="F163" s="193"/>
      <c r="G163" s="193"/>
    </row>
    <row r="164" spans="1:7" ht="37.5" x14ac:dyDescent="0.25">
      <c r="A164" s="200">
        <f t="shared" si="5"/>
        <v>711</v>
      </c>
      <c r="B164" s="231" t="str">
        <f>Suite&amp;" Electrical Room "&amp;SWFour</f>
        <v>G104 Electrical Room XXX</v>
      </c>
      <c r="C164" s="183" t="str">
        <f>"UP"&amp;SWFour</f>
        <v>UPXXX</v>
      </c>
      <c r="D164" s="187" t="s">
        <v>4930</v>
      </c>
      <c r="E164" s="183" t="s">
        <v>1464</v>
      </c>
      <c r="F164" s="193"/>
      <c r="G164" s="193"/>
    </row>
    <row r="165" spans="1:7" ht="37.5" x14ac:dyDescent="0.25">
      <c r="A165" s="200">
        <f t="shared" si="5"/>
        <v>712</v>
      </c>
      <c r="B165" s="231" t="str">
        <f>Suite&amp;" Electrical Room "&amp;SWFour</f>
        <v>G104 Electrical Room XXX</v>
      </c>
      <c r="C165" s="183" t="str">
        <f>"UP"&amp;SWFour</f>
        <v>UPXXX</v>
      </c>
      <c r="D165" s="187" t="s">
        <v>4923</v>
      </c>
      <c r="E165" s="183" t="s">
        <v>1464</v>
      </c>
      <c r="F165" s="193"/>
      <c r="G165" s="193"/>
    </row>
    <row r="166" spans="1:7" ht="37.5" x14ac:dyDescent="0.25">
      <c r="A166" s="200">
        <f t="shared" si="5"/>
        <v>713</v>
      </c>
      <c r="B166" s="231" t="str">
        <f>Suite&amp;" Electrical Room "&amp;SWFour</f>
        <v>G104 Electrical Room XXX</v>
      </c>
      <c r="C166" s="183" t="str">
        <f>"UP"&amp;SWFour</f>
        <v>UPXXX</v>
      </c>
      <c r="D166" s="187" t="s">
        <v>4924</v>
      </c>
      <c r="E166" s="183" t="s">
        <v>1464</v>
      </c>
      <c r="F166" s="193"/>
      <c r="G166" s="193"/>
    </row>
    <row r="167" spans="1:7" ht="37.5" x14ac:dyDescent="0.25">
      <c r="A167" s="200">
        <f t="shared" si="5"/>
        <v>714</v>
      </c>
      <c r="B167" s="231" t="str">
        <f>Suite&amp;" Electrical Room "&amp;SWFour</f>
        <v>G104 Electrical Room XXX</v>
      </c>
      <c r="C167" s="183" t="str">
        <f>"UP"&amp;SWFour</f>
        <v>UPXXX</v>
      </c>
      <c r="D167" s="235" t="s">
        <v>4917</v>
      </c>
      <c r="E167" s="183" t="s">
        <v>1464</v>
      </c>
      <c r="F167" s="193"/>
      <c r="G167" s="193"/>
    </row>
    <row r="168" spans="1:7" ht="37.5" x14ac:dyDescent="0.25">
      <c r="A168" s="200">
        <f t="shared" si="5"/>
        <v>715</v>
      </c>
      <c r="B168" s="231" t="str">
        <f>Suite&amp;" Electrical Room "&amp;SWFour</f>
        <v>G104 Electrical Room XXX</v>
      </c>
      <c r="C168" s="183" t="str">
        <f>"UP"&amp;SWFour</f>
        <v>UPXXX</v>
      </c>
      <c r="D168" s="186" t="str">
        <f>"Verify the readings in step " &amp; A157 &amp; " and " &amp; A167 &amp; " are within 3% of each other. (new kW divided by original kW must be ≤1.03 and ≥0.97)."</f>
        <v>Verify the readings in step 704 and 714 are within 3% of each other. (new kW divided by original kW must be ≤1.03 and ≥0.97).</v>
      </c>
      <c r="E168" s="183" t="s">
        <v>1464</v>
      </c>
      <c r="F168" s="193"/>
      <c r="G168" s="193"/>
    </row>
    <row r="169" spans="1:7" ht="37.5" x14ac:dyDescent="0.25">
      <c r="A169" s="200">
        <f t="shared" si="5"/>
        <v>716</v>
      </c>
      <c r="B169" s="231" t="str">
        <f>Suite&amp;" Electrical Room "&amp;SWFour</f>
        <v>G104 Electrical Room XXX</v>
      </c>
      <c r="C169" s="183" t="str">
        <f>"UP"&amp;SWFour</f>
        <v>UPXXX</v>
      </c>
      <c r="D169" s="187" t="s">
        <v>4903</v>
      </c>
      <c r="E169" s="183" t="s">
        <v>1464</v>
      </c>
      <c r="F169" s="193"/>
      <c r="G169" s="193"/>
    </row>
    <row r="170" spans="1:7" ht="37.5" x14ac:dyDescent="0.25">
      <c r="A170" s="200">
        <f t="shared" si="5"/>
        <v>717</v>
      </c>
      <c r="B170" s="231" t="str">
        <f>Suite&amp;" Electrical Room "&amp;SWFour</f>
        <v>G104 Electrical Room XXX</v>
      </c>
      <c r="C170" s="183" t="str">
        <f>"UP"&amp;SWFour</f>
        <v>UPXXX</v>
      </c>
      <c r="D170" s="187" t="s">
        <v>4931</v>
      </c>
      <c r="E170" s="183" t="s">
        <v>1464</v>
      </c>
      <c r="F170" s="193"/>
      <c r="G170" s="193"/>
    </row>
    <row r="171" spans="1:7" ht="37.5" x14ac:dyDescent="0.25">
      <c r="A171" s="200">
        <f t="shared" si="5"/>
        <v>718</v>
      </c>
      <c r="B171" s="231" t="str">
        <f>Suite&amp;" Electrical Room "&amp;SWFour</f>
        <v>G104 Electrical Room XXX</v>
      </c>
      <c r="C171" s="183" t="str">
        <f>"UP"&amp;SWFour</f>
        <v>UPXXX</v>
      </c>
      <c r="D171" s="204" t="s">
        <v>1501</v>
      </c>
      <c r="E171" s="183" t="s">
        <v>1464</v>
      </c>
      <c r="F171" s="193"/>
      <c r="G171" s="193"/>
    </row>
    <row r="172" spans="1:7" ht="37.5" x14ac:dyDescent="0.25">
      <c r="A172" s="200">
        <f t="shared" si="5"/>
        <v>719</v>
      </c>
      <c r="B172" s="231" t="str">
        <f>Suite&amp;" Electrical Room "&amp;SWFour</f>
        <v>G104 Electrical Room XXX</v>
      </c>
      <c r="C172" s="183" t="str">
        <f>"UP"&amp;SWFour</f>
        <v>UPXXX</v>
      </c>
      <c r="D172" s="187" t="s">
        <v>4904</v>
      </c>
      <c r="E172" s="183" t="s">
        <v>1464</v>
      </c>
      <c r="F172" s="193"/>
      <c r="G172" s="193"/>
    </row>
    <row r="173" spans="1:7" ht="37.5" x14ac:dyDescent="0.25">
      <c r="A173" s="200">
        <f t="shared" si="5"/>
        <v>720</v>
      </c>
      <c r="B173" s="231" t="str">
        <f>Suite&amp;" Electrical Room "&amp;SWFour</f>
        <v>G104 Electrical Room XXX</v>
      </c>
      <c r="C173" s="183" t="str">
        <f>"UP"&amp;SWFour</f>
        <v>UPXXX</v>
      </c>
      <c r="D173" s="187" t="s">
        <v>4905</v>
      </c>
      <c r="E173" s="183" t="s">
        <v>1464</v>
      </c>
      <c r="F173" s="193"/>
      <c r="G173" s="193"/>
    </row>
    <row r="174" spans="1:7" ht="37.5" x14ac:dyDescent="0.25">
      <c r="A174" s="200">
        <f t="shared" si="5"/>
        <v>721</v>
      </c>
      <c r="B174" s="231" t="str">
        <f>Suite&amp;" Electrical Room "&amp;SWFour</f>
        <v>G104 Electrical Room XXX</v>
      </c>
      <c r="C174" s="183" t="str">
        <f>"UP"&amp;SWFour</f>
        <v>UPXXX</v>
      </c>
      <c r="D174" s="235" t="s">
        <v>1507</v>
      </c>
      <c r="E174" s="183" t="s">
        <v>1464</v>
      </c>
      <c r="F174" s="193"/>
      <c r="G174" s="193"/>
    </row>
    <row r="175" spans="1:7" ht="37.5" x14ac:dyDescent="0.25">
      <c r="A175" s="200">
        <f t="shared" si="5"/>
        <v>722</v>
      </c>
      <c r="B175" s="231" t="str">
        <f>Suite&amp;" Electrical Room "&amp;SWFour</f>
        <v>G104 Electrical Room XXX</v>
      </c>
      <c r="C175" s="183" t="str">
        <f>"UP"&amp;SWFour</f>
        <v>UPXXX</v>
      </c>
      <c r="D175" s="187" t="s">
        <v>1644</v>
      </c>
      <c r="E175" s="183" t="s">
        <v>1464</v>
      </c>
      <c r="F175" s="193"/>
      <c r="G175" s="193"/>
    </row>
    <row r="176" spans="1:7" ht="37.5" x14ac:dyDescent="0.25">
      <c r="A176" s="200">
        <f t="shared" si="5"/>
        <v>723</v>
      </c>
      <c r="B176" s="231" t="str">
        <f>Suite&amp;" Electrical Room "&amp;SWFour</f>
        <v>G104 Electrical Room XXX</v>
      </c>
      <c r="C176" s="183" t="str">
        <f>"UP"&amp;SWFour</f>
        <v>UPXXX</v>
      </c>
      <c r="D176" s="187" t="s">
        <v>1645</v>
      </c>
      <c r="E176" s="183" t="s">
        <v>1464</v>
      </c>
      <c r="F176" s="193"/>
      <c r="G176" s="193"/>
    </row>
    <row r="177" spans="1:7" ht="37.5" x14ac:dyDescent="0.25">
      <c r="A177" s="200">
        <f t="shared" si="5"/>
        <v>724</v>
      </c>
      <c r="B177" s="231" t="str">
        <f>Suite&amp;" Electrical Room "&amp;SWFour</f>
        <v>G104 Electrical Room XXX</v>
      </c>
      <c r="C177" s="183" t="str">
        <f>"UP"&amp;SWFour</f>
        <v>UPXXX</v>
      </c>
      <c r="D177" s="204" t="s">
        <v>1646</v>
      </c>
      <c r="E177" s="183" t="s">
        <v>1464</v>
      </c>
      <c r="F177" s="193"/>
      <c r="G177" s="193"/>
    </row>
    <row r="178" spans="1:7" x14ac:dyDescent="0.25">
      <c r="A178" s="200">
        <f t="shared" si="5"/>
        <v>725</v>
      </c>
      <c r="B178" s="714" t="s">
        <v>1747</v>
      </c>
      <c r="C178" s="714"/>
      <c r="D178" s="714"/>
      <c r="E178" s="714"/>
      <c r="F178" s="714"/>
      <c r="G178" s="714"/>
    </row>
    <row r="179" spans="1:7" ht="37.5" x14ac:dyDescent="0.25">
      <c r="A179" s="200">
        <f t="shared" si="5"/>
        <v>726</v>
      </c>
      <c r="B179" s="231" t="str">
        <f>Suite&amp;" Electrical Room "&amp;SWFour</f>
        <v>G104 Electrical Room XXX</v>
      </c>
      <c r="C179" s="183" t="str">
        <f>"UPS "&amp;SWFour&amp;"1"</f>
        <v>UPS XXX1</v>
      </c>
      <c r="D179" s="187" t="s">
        <v>4912</v>
      </c>
      <c r="E179" s="183" t="s">
        <v>1464</v>
      </c>
      <c r="F179" s="193"/>
      <c r="G179" s="193"/>
    </row>
    <row r="180" spans="1:7" ht="37.5" x14ac:dyDescent="0.25">
      <c r="A180" s="200">
        <f t="shared" si="5"/>
        <v>727</v>
      </c>
      <c r="B180" s="231" t="str">
        <f>Suite&amp;" Electrical Room "&amp;SWFour</f>
        <v>G104 Electrical Room XXX</v>
      </c>
      <c r="C180" s="183" t="str">
        <f>"UPS "&amp;SWFour&amp;"1"</f>
        <v>UPS XXX1</v>
      </c>
      <c r="D180" s="186" t="s">
        <v>1715</v>
      </c>
      <c r="E180" s="183" t="s">
        <v>1464</v>
      </c>
      <c r="F180" s="193"/>
      <c r="G180" s="193"/>
    </row>
    <row r="181" spans="1:7" ht="37.5" x14ac:dyDescent="0.25">
      <c r="A181" s="200">
        <f t="shared" si="5"/>
        <v>728</v>
      </c>
      <c r="B181" s="231" t="str">
        <f>Suite&amp;" Electrical Room "&amp;SWFour</f>
        <v>G104 Electrical Room XXX</v>
      </c>
      <c r="C181" s="183" t="str">
        <f>"UPS "&amp;SWFour&amp;"1"</f>
        <v>UPS XXX1</v>
      </c>
      <c r="D181" s="187" t="s">
        <v>4913</v>
      </c>
      <c r="E181" s="183" t="s">
        <v>1464</v>
      </c>
      <c r="F181" s="193"/>
      <c r="G181" s="193"/>
    </row>
    <row r="182" spans="1:7" ht="37.5" x14ac:dyDescent="0.25">
      <c r="A182" s="200">
        <f t="shared" si="5"/>
        <v>729</v>
      </c>
      <c r="B182" s="231" t="str">
        <f>Suite&amp;" Electrical Room "&amp;SWFour</f>
        <v>G104 Electrical Room XXX</v>
      </c>
      <c r="C182" s="183" t="str">
        <f>"UPS "&amp;SWFour&amp;"2"</f>
        <v>UPS XXX2</v>
      </c>
      <c r="D182" s="187" t="s">
        <v>4912</v>
      </c>
      <c r="E182" s="183" t="s">
        <v>1464</v>
      </c>
      <c r="F182" s="193"/>
      <c r="G182" s="193"/>
    </row>
    <row r="183" spans="1:7" ht="37.5" x14ac:dyDescent="0.25">
      <c r="A183" s="200">
        <f t="shared" si="5"/>
        <v>730</v>
      </c>
      <c r="B183" s="231" t="str">
        <f>Suite&amp;" Electrical Room "&amp;SWFour</f>
        <v>G104 Electrical Room XXX</v>
      </c>
      <c r="C183" s="183" t="str">
        <f>"UPS "&amp;SWFour&amp;"2"</f>
        <v>UPS XXX2</v>
      </c>
      <c r="D183" s="186" t="s">
        <v>1715</v>
      </c>
      <c r="E183" s="183" t="s">
        <v>1464</v>
      </c>
      <c r="F183" s="193"/>
      <c r="G183" s="193"/>
    </row>
    <row r="184" spans="1:7" ht="37.5" x14ac:dyDescent="0.25">
      <c r="A184" s="200">
        <f t="shared" si="5"/>
        <v>731</v>
      </c>
      <c r="B184" s="231" t="str">
        <f>Suite&amp;" Electrical Room "&amp;SWFour</f>
        <v>G104 Electrical Room XXX</v>
      </c>
      <c r="C184" s="183" t="str">
        <f>"UPS "&amp;SWFour&amp;"2"</f>
        <v>UPS XXX2</v>
      </c>
      <c r="D184" s="187" t="s">
        <v>4913</v>
      </c>
      <c r="E184" s="183" t="s">
        <v>1464</v>
      </c>
      <c r="F184" s="193"/>
      <c r="G184" s="193"/>
    </row>
    <row r="185" spans="1:7" ht="37.5" x14ac:dyDescent="0.25">
      <c r="A185" s="200">
        <f t="shared" si="5"/>
        <v>732</v>
      </c>
      <c r="B185" s="231" t="str">
        <f>Suite&amp;" Electrical Room "&amp;SWFour</f>
        <v>G104 Electrical Room XXX</v>
      </c>
      <c r="C185" s="183" t="str">
        <f>"UPS "&amp;SWFour</f>
        <v>UPS XXX</v>
      </c>
      <c r="D185" s="204" t="s">
        <v>4892</v>
      </c>
      <c r="E185" s="183" t="s">
        <v>1464</v>
      </c>
      <c r="F185" s="193"/>
      <c r="G185" s="193"/>
    </row>
    <row r="186" spans="1:7" ht="37.5" x14ac:dyDescent="0.25">
      <c r="A186" s="200">
        <f t="shared" si="5"/>
        <v>733</v>
      </c>
      <c r="B186" s="231" t="str">
        <f>Suite&amp;" Electrical Room "&amp;SWFour</f>
        <v>G104 Electrical Room XXX</v>
      </c>
      <c r="C186" s="183" t="str">
        <f>"UPS "&amp;SWFour</f>
        <v>UPS XXX</v>
      </c>
      <c r="D186" s="186" t="s">
        <v>1718</v>
      </c>
      <c r="E186" s="183" t="s">
        <v>1464</v>
      </c>
      <c r="F186" s="193"/>
      <c r="G186" s="193"/>
    </row>
    <row r="187" spans="1:7" ht="37.5" x14ac:dyDescent="0.25">
      <c r="A187" s="200">
        <f t="shared" si="5"/>
        <v>734</v>
      </c>
      <c r="B187" s="231" t="str">
        <f>Suite&amp;" Electrical Room "&amp;SWFour</f>
        <v>G104 Electrical Room XXX</v>
      </c>
      <c r="C187" s="183" t="str">
        <f>"SCC "&amp;SWFour</f>
        <v>SCC XXX</v>
      </c>
      <c r="D187" s="204" t="s">
        <v>1557</v>
      </c>
      <c r="E187" s="183" t="s">
        <v>1464</v>
      </c>
      <c r="F187" s="193"/>
      <c r="G187" s="193"/>
    </row>
    <row r="188" spans="1:7" ht="37.5" x14ac:dyDescent="0.25">
      <c r="A188" s="200">
        <f t="shared" si="5"/>
        <v>735</v>
      </c>
      <c r="B188" s="231" t="str">
        <f>Suite&amp;" Electrical Room "&amp;SWFour</f>
        <v>G104 Electrical Room XXX</v>
      </c>
      <c r="C188" s="183" t="str">
        <f>"UPS "&amp;SWFour&amp;"1"</f>
        <v>UPS XXX1</v>
      </c>
      <c r="D188" s="186" t="s">
        <v>4932</v>
      </c>
      <c r="E188" s="183" t="s">
        <v>1464</v>
      </c>
      <c r="F188" s="193"/>
      <c r="G188" s="193"/>
    </row>
    <row r="189" spans="1:7" ht="37.5" x14ac:dyDescent="0.25">
      <c r="A189" s="200">
        <f t="shared" si="5"/>
        <v>736</v>
      </c>
      <c r="B189" s="231" t="str">
        <f>Suite&amp;" Electrical Room "&amp;SWFour</f>
        <v>G104 Electrical Room XXX</v>
      </c>
      <c r="C189" s="183" t="str">
        <f>"UPS "&amp;SWFour&amp;"2"</f>
        <v>UPS XXX2</v>
      </c>
      <c r="D189" s="186" t="s">
        <v>4932</v>
      </c>
      <c r="E189" s="183" t="s">
        <v>1464</v>
      </c>
      <c r="F189" s="193"/>
      <c r="G189" s="193"/>
    </row>
    <row r="190" spans="1:7" ht="37.5" x14ac:dyDescent="0.25">
      <c r="A190" s="200">
        <f t="shared" si="5"/>
        <v>737</v>
      </c>
      <c r="B190" s="500" t="str">
        <f>Suite&amp;" Electrical Room A"</f>
        <v>G104 Electrical Room A</v>
      </c>
      <c r="C190" s="499" t="s">
        <v>1466</v>
      </c>
      <c r="D190" s="191" t="s">
        <v>1467</v>
      </c>
      <c r="E190" s="499" t="s">
        <v>1464</v>
      </c>
      <c r="F190" s="500"/>
      <c r="G190" s="519"/>
    </row>
    <row r="191" spans="1:7" ht="37.5" x14ac:dyDescent="0.25">
      <c r="A191" s="200">
        <f t="shared" si="5"/>
        <v>738</v>
      </c>
      <c r="B191" s="500" t="str">
        <f>Suite&amp;" Electrical Room A"</f>
        <v>G104 Electrical Room A</v>
      </c>
      <c r="C191" s="499" t="s">
        <v>1466</v>
      </c>
      <c r="D191" s="233" t="str">
        <f>"Verify the readings in step " &amp; A190 &amp; " and " &amp;A10 &amp; " are within 3% of each other. (new kW divided by original kW must be ≤1.03 and ≥0.97)."</f>
        <v>Verify the readings in step 737 and 566 are within 3% of each other. (new kW divided by original kW must be ≤1.03 and ≥0.97).</v>
      </c>
      <c r="E191" s="499" t="s">
        <v>1464</v>
      </c>
      <c r="F191" s="500"/>
      <c r="G191" s="519"/>
    </row>
    <row r="192" spans="1:7" ht="37.5" x14ac:dyDescent="0.25">
      <c r="A192" s="200">
        <f t="shared" si="5"/>
        <v>739</v>
      </c>
      <c r="B192" s="500" t="str">
        <f>Suite&amp;" Electrical Room A"</f>
        <v>G104 Electrical Room A</v>
      </c>
      <c r="C192" s="499" t="s">
        <v>1468</v>
      </c>
      <c r="D192" s="191" t="s">
        <v>1469</v>
      </c>
      <c r="E192" s="499" t="s">
        <v>1464</v>
      </c>
      <c r="F192" s="500"/>
      <c r="G192" s="519"/>
    </row>
    <row r="193" spans="1:7" ht="37.5" x14ac:dyDescent="0.25">
      <c r="A193" s="200">
        <f t="shared" si="5"/>
        <v>740</v>
      </c>
      <c r="B193" s="500" t="str">
        <f>Suite&amp;" Electrical Room A"</f>
        <v>G104 Electrical Room A</v>
      </c>
      <c r="C193" s="499" t="s">
        <v>1468</v>
      </c>
      <c r="D193" s="233" t="str">
        <f>"Verify the readings in step " &amp; A192 &amp; " and " &amp;A11 &amp; " are within 3% of each other. (new kW divided by original kW must be ≤1.03 and ≥0.97)."</f>
        <v>Verify the readings in step 739 and 191 are within 3% of each other. (new kW divided by original kW must be ≤1.03 and ≥0.97).</v>
      </c>
      <c r="E193" s="499" t="s">
        <v>1464</v>
      </c>
      <c r="F193" s="500"/>
      <c r="G193" s="519"/>
    </row>
    <row r="194" spans="1:7" ht="37.5" x14ac:dyDescent="0.25">
      <c r="A194" s="200">
        <f t="shared" si="5"/>
        <v>741</v>
      </c>
      <c r="B194" s="231" t="str">
        <f>Suite&amp;" Electrical Room "&amp;SWTwo</f>
        <v>G104 Electrical Room XXX</v>
      </c>
      <c r="C194" s="183" t="str">
        <f>"UP"&amp;SWTwo</f>
        <v>UPXXX</v>
      </c>
      <c r="D194" s="235" t="s">
        <v>4919</v>
      </c>
      <c r="E194" s="183" t="s">
        <v>1464</v>
      </c>
      <c r="F194" s="193"/>
      <c r="G194" s="193"/>
    </row>
    <row r="195" spans="1:7" ht="37.5" x14ac:dyDescent="0.25">
      <c r="A195" s="200">
        <f t="shared" si="5"/>
        <v>742</v>
      </c>
      <c r="B195" s="231" t="str">
        <f>Suite&amp;" Electrical Room "&amp;SWTwo</f>
        <v>G104 Electrical Room XXX</v>
      </c>
      <c r="C195" s="183" t="str">
        <f>"UP"&amp;SWTwo</f>
        <v>UPXXX</v>
      </c>
      <c r="D195" s="186" t="str">
        <f>"Verify the readings in step " &amp; A12 &amp; " and " &amp; A194 &amp; " are within 3% of each other. (new kW divided by original kW must be ≤1.03 and ≥0.97)."</f>
        <v>Verify the readings in step 192 and 741 are within 3% of each other. (new kW divided by original kW must be ≤1.03 and ≥0.97).</v>
      </c>
      <c r="E195" s="183" t="s">
        <v>1464</v>
      </c>
      <c r="F195" s="193"/>
      <c r="G195" s="193"/>
    </row>
    <row r="196" spans="1:7" ht="37.5" x14ac:dyDescent="0.25">
      <c r="A196" s="200">
        <f t="shared" si="5"/>
        <v>743</v>
      </c>
      <c r="B196" s="500" t="str">
        <f>Suite&amp;" Electrical Room B"</f>
        <v>G104 Electrical Room B</v>
      </c>
      <c r="C196" s="499" t="s">
        <v>1472</v>
      </c>
      <c r="D196" s="191" t="s">
        <v>1473</v>
      </c>
      <c r="E196" s="499" t="s">
        <v>1464</v>
      </c>
      <c r="F196" s="500"/>
      <c r="G196" s="519"/>
    </row>
    <row r="197" spans="1:7" ht="37.5" x14ac:dyDescent="0.25">
      <c r="A197" s="200">
        <f t="shared" si="5"/>
        <v>744</v>
      </c>
      <c r="B197" s="500" t="str">
        <f>Suite&amp;" Electrical Room B"</f>
        <v>G104 Electrical Room B</v>
      </c>
      <c r="C197" s="499" t="s">
        <v>1472</v>
      </c>
      <c r="D197" s="233" t="str">
        <f>"Verify the readings in step " &amp; A196 &amp; " and " &amp;A13 &amp; " are within 3% of each other. (new kW divided by original kW must be ≤1.03 and ≥0.97)."</f>
        <v>Verify the readings in step 743 and 193 are within 3% of each other. (new kW divided by original kW must be ≤1.03 and ≥0.97).</v>
      </c>
      <c r="E197" s="499" t="s">
        <v>1464</v>
      </c>
      <c r="F197" s="500"/>
      <c r="G197" s="519"/>
    </row>
    <row r="198" spans="1:7" ht="37.5" x14ac:dyDescent="0.25">
      <c r="A198" s="200">
        <f t="shared" si="5"/>
        <v>745</v>
      </c>
      <c r="B198" s="500" t="str">
        <f>Suite&amp;" Electrical Room B"</f>
        <v>G104 Electrical Room B</v>
      </c>
      <c r="C198" s="499" t="s">
        <v>1474</v>
      </c>
      <c r="D198" s="191" t="s">
        <v>1475</v>
      </c>
      <c r="E198" s="499" t="s">
        <v>1464</v>
      </c>
      <c r="F198" s="500"/>
      <c r="G198" s="519"/>
    </row>
    <row r="199" spans="1:7" ht="37.5" x14ac:dyDescent="0.25">
      <c r="A199" s="200">
        <f t="shared" si="5"/>
        <v>746</v>
      </c>
      <c r="B199" s="500" t="str">
        <f>Suite&amp;" Electrical Room B"</f>
        <v>G104 Electrical Room B</v>
      </c>
      <c r="C199" s="499" t="s">
        <v>1474</v>
      </c>
      <c r="D199" s="233" t="str">
        <f>"Verify the readings in step " &amp; A198 &amp; " and " &amp;A14 &amp; " are within 3% of each other. (new kW divided by original kW must be ≤1.03 and ≥0.97)."</f>
        <v>Verify the readings in step 745 and 194 are within 3% of each other. (new kW divided by original kW must be ≤1.03 and ≥0.97).</v>
      </c>
      <c r="E199" s="499" t="s">
        <v>1464</v>
      </c>
      <c r="F199" s="500"/>
      <c r="G199" s="519"/>
    </row>
    <row r="200" spans="1:7" ht="37.5" x14ac:dyDescent="0.25">
      <c r="A200" s="200">
        <f t="shared" si="5"/>
        <v>747</v>
      </c>
      <c r="B200" s="500" t="str">
        <f>Suite&amp;" Electrical Room B"</f>
        <v>G104 Electrical Room B</v>
      </c>
      <c r="C200" s="499" t="s">
        <v>1522</v>
      </c>
      <c r="D200" s="191" t="s">
        <v>1477</v>
      </c>
      <c r="E200" s="499" t="s">
        <v>1464</v>
      </c>
      <c r="F200" s="500"/>
      <c r="G200" s="519"/>
    </row>
    <row r="201" spans="1:7" ht="37.5" x14ac:dyDescent="0.25">
      <c r="A201" s="200">
        <f t="shared" si="5"/>
        <v>748</v>
      </c>
      <c r="B201" s="500" t="str">
        <f>Suite&amp;" Electrical Room B"</f>
        <v>G104 Electrical Room B</v>
      </c>
      <c r="C201" s="499" t="s">
        <v>1522</v>
      </c>
      <c r="D201" s="233" t="str">
        <f>"Verify the readings in step " &amp; A200 &amp; " and " &amp; A167 &amp; " are within 3% of each other. (new kW divided by original kW must be ≤1.03 and ≥0.97)."</f>
        <v>Verify the readings in step 747 and 714 are within 3% of each other. (new kW divided by original kW must be ≤1.03 and ≥0.97).</v>
      </c>
      <c r="E201" s="499" t="s">
        <v>1464</v>
      </c>
      <c r="F201" s="500"/>
      <c r="G201" s="519"/>
    </row>
    <row r="202" spans="1:7" ht="37.5" x14ac:dyDescent="0.25">
      <c r="A202" s="200">
        <f t="shared" si="5"/>
        <v>749</v>
      </c>
      <c r="B202" s="500" t="str">
        <f>Suite&amp;" Electrical Room C"</f>
        <v>G104 Electrical Room C</v>
      </c>
      <c r="C202" s="499" t="s">
        <v>1478</v>
      </c>
      <c r="D202" s="191" t="s">
        <v>1479</v>
      </c>
      <c r="E202" s="499" t="s">
        <v>1464</v>
      </c>
      <c r="F202" s="500"/>
      <c r="G202" s="519"/>
    </row>
    <row r="203" spans="1:7" ht="37.5" x14ac:dyDescent="0.25">
      <c r="A203" s="200">
        <f t="shared" si="5"/>
        <v>750</v>
      </c>
      <c r="B203" s="500" t="str">
        <f>Suite&amp;" Electrical Room C"</f>
        <v>G104 Electrical Room C</v>
      </c>
      <c r="C203" s="499" t="s">
        <v>1478</v>
      </c>
      <c r="D203" s="233" t="str">
        <f>"Verify the readings in step " &amp; A202 &amp; " and " &amp;A16 &amp; " are within 3% of each other. (new kW divided by original kW must be ≤1.03 and ≥0.97)."</f>
        <v>Verify the readings in step 749 and 566 are within 3% of each other. (new kW divided by original kW must be ≤1.03 and ≥0.97).</v>
      </c>
      <c r="E203" s="499" t="s">
        <v>1464</v>
      </c>
      <c r="F203" s="500"/>
      <c r="G203" s="519"/>
    </row>
    <row r="204" spans="1:7" ht="37.5" x14ac:dyDescent="0.25">
      <c r="A204" s="200">
        <f t="shared" si="5"/>
        <v>751</v>
      </c>
      <c r="B204" s="500" t="str">
        <f>Suite&amp;" Electrical Room C"</f>
        <v>G104 Electrical Room C</v>
      </c>
      <c r="C204" s="499" t="s">
        <v>1480</v>
      </c>
      <c r="D204" s="191" t="s">
        <v>1481</v>
      </c>
      <c r="E204" s="499" t="s">
        <v>1464</v>
      </c>
      <c r="F204" s="500"/>
      <c r="G204" s="519"/>
    </row>
    <row r="205" spans="1:7" ht="37.5" x14ac:dyDescent="0.25">
      <c r="A205" s="200">
        <f t="shared" si="5"/>
        <v>752</v>
      </c>
      <c r="B205" s="500" t="str">
        <f>Suite&amp;" Electrical Room C"</f>
        <v>G104 Electrical Room C</v>
      </c>
      <c r="C205" s="499" t="s">
        <v>1480</v>
      </c>
      <c r="D205" s="233" t="str">
        <f>"Verify the readings in step " &amp; A204 &amp; " and " &amp;A17 &amp; " are within 3% of each other. (new kW divided by original kW must be ≤1.03 and ≥0.97)."</f>
        <v>Verify the readings in step 751 and 567 are within 3% of each other. (new kW divided by original kW must be ≤1.03 and ≥0.97).</v>
      </c>
      <c r="E205" s="499" t="s">
        <v>1464</v>
      </c>
      <c r="F205" s="500"/>
      <c r="G205" s="519"/>
    </row>
    <row r="206" spans="1:7" ht="37.5" x14ac:dyDescent="0.25">
      <c r="A206" s="200">
        <f t="shared" si="5"/>
        <v>753</v>
      </c>
      <c r="B206" s="500" t="str">
        <f>Suite&amp;" Electrical Room C"</f>
        <v>G104 Electrical Room C</v>
      </c>
      <c r="C206" s="499" t="s">
        <v>1523</v>
      </c>
      <c r="D206" s="191" t="s">
        <v>1483</v>
      </c>
      <c r="E206" s="499" t="s">
        <v>1464</v>
      </c>
      <c r="F206" s="500"/>
      <c r="G206" s="519"/>
    </row>
    <row r="207" spans="1:7" ht="37.5" x14ac:dyDescent="0.25">
      <c r="A207" s="200">
        <f t="shared" si="5"/>
        <v>754</v>
      </c>
      <c r="B207" s="500" t="str">
        <f>Suite&amp;" Electrical Room C"</f>
        <v>G104 Electrical Room C</v>
      </c>
      <c r="C207" s="499" t="s">
        <v>1523</v>
      </c>
      <c r="D207" s="233" t="str">
        <f>"Verify the readings in step " &amp; A206 &amp; " and " &amp; A18 &amp; " are within 3% of each other. (new kW divided by original kW must be ≤1.03 and ≥0.97)."</f>
        <v>Verify the readings in step 753 and 568 are within 3% of each other. (new kW divided by original kW must be ≤1.03 and ≥0.97).</v>
      </c>
      <c r="E207" s="499" t="s">
        <v>1464</v>
      </c>
      <c r="F207" s="500"/>
      <c r="G207" s="519"/>
    </row>
    <row r="208" spans="1:7" ht="37.5" x14ac:dyDescent="0.25">
      <c r="A208" s="200">
        <f t="shared" si="5"/>
        <v>755</v>
      </c>
      <c r="B208" s="500" t="str">
        <f>Suite&amp;" Electrical Room D"</f>
        <v>G104 Electrical Room D</v>
      </c>
      <c r="C208" s="499" t="s">
        <v>1484</v>
      </c>
      <c r="D208" s="191" t="s">
        <v>1485</v>
      </c>
      <c r="E208" s="499" t="s">
        <v>1464</v>
      </c>
      <c r="F208" s="500"/>
      <c r="G208" s="519"/>
    </row>
    <row r="209" spans="1:7" ht="37.5" x14ac:dyDescent="0.25">
      <c r="A209" s="200">
        <f t="shared" si="5"/>
        <v>756</v>
      </c>
      <c r="B209" s="500" t="str">
        <f>Suite&amp;" Electrical Room D"</f>
        <v>G104 Electrical Room D</v>
      </c>
      <c r="C209" s="499" t="s">
        <v>1484</v>
      </c>
      <c r="D209" s="233" t="str">
        <f>"Verify the readings in step " &amp; A208 &amp; " and " &amp;A19 &amp; " are within 3% of each other. (new kW divided by original kW must be ≤1.03 and ≥0.97)."</f>
        <v>Verify the readings in step 755 and 569 are within 3% of each other. (new kW divided by original kW must be ≤1.03 and ≥0.97).</v>
      </c>
      <c r="E209" s="499" t="s">
        <v>1464</v>
      </c>
      <c r="F209" s="500"/>
      <c r="G209" s="519"/>
    </row>
    <row r="210" spans="1:7" ht="37.5" x14ac:dyDescent="0.25">
      <c r="A210" s="200">
        <f t="shared" si="5"/>
        <v>757</v>
      </c>
      <c r="B210" s="500" t="str">
        <f>Suite&amp;" Electrical Room D"</f>
        <v>G104 Electrical Room D</v>
      </c>
      <c r="C210" s="499" t="s">
        <v>1486</v>
      </c>
      <c r="D210" s="191" t="s">
        <v>1487</v>
      </c>
      <c r="E210" s="499" t="s">
        <v>1464</v>
      </c>
      <c r="F210" s="500"/>
      <c r="G210" s="519"/>
    </row>
    <row r="211" spans="1:7" ht="37.5" x14ac:dyDescent="0.25">
      <c r="A211" s="200">
        <f t="shared" si="5"/>
        <v>758</v>
      </c>
      <c r="B211" s="500" t="str">
        <f>Suite&amp;" Electrical Room D"</f>
        <v>G104 Electrical Room D</v>
      </c>
      <c r="C211" s="499" t="s">
        <v>1486</v>
      </c>
      <c r="D211" s="233" t="str">
        <f>"Verify the readings in step " &amp; A210 &amp; " and " &amp;A20 &amp; " are within 3% of each other. (new kW divided by original kW must be ≤1.03 and ≥0.97)."</f>
        <v>Verify the readings in step 757 and 570 are within 3% of each other. (new kW divided by original kW must be ≤1.03 and ≥0.97).</v>
      </c>
      <c r="E211" s="499" t="s">
        <v>1464</v>
      </c>
      <c r="F211" s="500"/>
      <c r="G211" s="519"/>
    </row>
    <row r="212" spans="1:7" ht="37.5" x14ac:dyDescent="0.25">
      <c r="A212" s="200">
        <f t="shared" si="5"/>
        <v>759</v>
      </c>
      <c r="B212" s="500" t="str">
        <f>Suite&amp;" Electrical Room D"</f>
        <v>G104 Electrical Room D</v>
      </c>
      <c r="C212" s="499" t="s">
        <v>1524</v>
      </c>
      <c r="D212" s="191" t="s">
        <v>1489</v>
      </c>
      <c r="E212" s="499" t="s">
        <v>1464</v>
      </c>
      <c r="F212" s="500"/>
      <c r="G212" s="519"/>
    </row>
    <row r="213" spans="1:7" ht="37.5" x14ac:dyDescent="0.25">
      <c r="A213" s="200">
        <f t="shared" si="5"/>
        <v>760</v>
      </c>
      <c r="B213" s="500" t="str">
        <f>Suite&amp;" Electrical Room D"</f>
        <v>G104 Electrical Room D</v>
      </c>
      <c r="C213" s="499" t="s">
        <v>1524</v>
      </c>
      <c r="D213" s="233" t="str">
        <f>"Verify the readings in step " &amp; A212 &amp; " and " &amp; A167 &amp; " are within 3% of each other. (new kW divided by original kW must be ≤1.03 and ≥0.97)."</f>
        <v>Verify the readings in step 759 and 714 are within 3% of each other. (new kW divided by original kW must be ≤1.03 and ≥0.97).</v>
      </c>
      <c r="E213" s="499" t="s">
        <v>1464</v>
      </c>
      <c r="F213" s="500"/>
      <c r="G213" s="519"/>
    </row>
    <row r="214" spans="1:7" ht="37.5" x14ac:dyDescent="0.25">
      <c r="A214" s="200">
        <f t="shared" si="5"/>
        <v>761</v>
      </c>
      <c r="B214" s="183" t="s">
        <v>1462</v>
      </c>
      <c r="C214" s="183" t="s">
        <v>84</v>
      </c>
      <c r="D214" s="252" t="str">
        <f>"Contact the engineer stationed on base to Verify no abnormal conditions exist on the suite " &amp; Suite &amp; " electrical systems."</f>
        <v>Contact the engineer stationed on base to Verify no abnormal conditions exist on the suite G104 electrical systems.</v>
      </c>
      <c r="E214" s="183" t="s">
        <v>1464</v>
      </c>
      <c r="F214" s="193"/>
      <c r="G214" s="193"/>
    </row>
  </sheetData>
  <sheetProtection formatCells="0" formatColumns="0" formatRows="0" insertRows="0" deleteRows="0" sort="0" autoFilter="0"/>
  <mergeCells count="12">
    <mergeCell ref="B110:G110"/>
    <mergeCell ref="B156:G156"/>
    <mergeCell ref="B178:G178"/>
    <mergeCell ref="A2:B2"/>
    <mergeCell ref="C2:G2"/>
    <mergeCell ref="A4:C4"/>
    <mergeCell ref="B6:G6"/>
    <mergeCell ref="B8:G8"/>
    <mergeCell ref="B28:G28"/>
    <mergeCell ref="B30:G30"/>
    <mergeCell ref="B45:G45"/>
    <mergeCell ref="B69:G6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381A3-5A77-42DA-9384-3C557A39A929}">
  <sheetPr codeName="MGE_A">
    <pageSetUpPr fitToPage="1"/>
  </sheetPr>
  <dimension ref="A1:I191"/>
  <sheetViews>
    <sheetView view="pageBreakPreview" topLeftCell="A172" zoomScale="90" zoomScaleNormal="100" zoomScaleSheetLayoutView="90" workbookViewId="0">
      <selection activeCell="A6" sqref="A6:A18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51">
        <v>1</v>
      </c>
      <c r="B6" s="712" t="s">
        <v>1461</v>
      </c>
      <c r="C6" s="712"/>
      <c r="D6" s="715"/>
      <c r="E6" s="712"/>
      <c r="F6" s="712"/>
      <c r="G6" s="712"/>
    </row>
    <row r="7" spans="1:9" ht="37.5" x14ac:dyDescent="0.25">
      <c r="A7" s="251">
        <v>2</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x14ac:dyDescent="0.25">
      <c r="A8" s="251">
        <v>3</v>
      </c>
      <c r="B8" s="713" t="s">
        <v>1465</v>
      </c>
      <c r="C8" s="713"/>
      <c r="D8" s="713"/>
      <c r="E8" s="713"/>
      <c r="F8" s="713"/>
      <c r="G8" s="713"/>
    </row>
    <row r="9" spans="1:9" ht="37.5" x14ac:dyDescent="0.25">
      <c r="A9" s="251">
        <v>4</v>
      </c>
      <c r="B9" s="231" t="str">
        <f>Suite&amp;" Electrical Rooms"</f>
        <v>G104 Electrical Rooms</v>
      </c>
      <c r="C9" s="183" t="str" cm="1">
        <f t="array" ref="C9">Suite &amp; " UPS Systems"</f>
        <v>G104 UPS Systems</v>
      </c>
      <c r="D9" s="252" t="str">
        <f>"VERIFY all "&amp;Suite&amp;" UPS systems are on-line with no critical alarms present."</f>
        <v>VERIFY all G104 UPS systems are on-line with no critical alarms present.</v>
      </c>
      <c r="E9" s="183" t="s">
        <v>1464</v>
      </c>
      <c r="F9" s="193"/>
      <c r="G9" s="193"/>
    </row>
    <row r="10" spans="1:9" ht="37.5" x14ac:dyDescent="0.25">
      <c r="A10" s="251">
        <v>5</v>
      </c>
      <c r="B10" s="231" t="str">
        <f>Suite&amp;" Electrical Room "&amp;SWOne</f>
        <v>G104 Electrical Room XXX</v>
      </c>
      <c r="C10" s="183" t="str">
        <f>"UPS "&amp;SWOne&amp;"1"</f>
        <v>UPS XXX1</v>
      </c>
      <c r="D10" s="252" t="str" cm="1">
        <f t="array" ref="D10">"NOTATE the output kW reading at UPS-" &amp; SWOne &amp; "1:  ___________"</f>
        <v>NOTATE the output kW reading at UPS-XXX1:  ___________</v>
      </c>
      <c r="E10" s="183" t="s">
        <v>1464</v>
      </c>
      <c r="F10" s="193"/>
      <c r="G10" s="193"/>
    </row>
    <row r="11" spans="1:9" ht="37.5" x14ac:dyDescent="0.25">
      <c r="A11" s="251">
        <v>6</v>
      </c>
      <c r="B11" s="231" t="str">
        <f>Suite&amp;" Electrical Room "&amp;SWOne</f>
        <v>G104 Electrical Room XXX</v>
      </c>
      <c r="C11" s="183" t="str">
        <f>"UPS "&amp;SWOne&amp;"2"</f>
        <v>UPS XXX2</v>
      </c>
      <c r="D11" s="252" t="str" cm="1">
        <f t="array" ref="D11">"NOTATE the output kW reading at UPS-" &amp; SWOne &amp; "2:  ___________"</f>
        <v>NOTATE the output kW reading at UPS-XXX2:  ___________</v>
      </c>
      <c r="E11" s="183" t="s">
        <v>1464</v>
      </c>
      <c r="F11" s="193"/>
      <c r="G11" s="193"/>
    </row>
    <row r="12" spans="1:9" ht="37.5" x14ac:dyDescent="0.25">
      <c r="A12" s="251">
        <v>7</v>
      </c>
      <c r="B12" s="231" t="str">
        <f>Suite&amp;" Electrical Room "&amp;SWOne</f>
        <v>G104 Electrical Room XXX</v>
      </c>
      <c r="C12" s="183" t="str">
        <f>"UP"&amp;SWOne</f>
        <v>UPXXX</v>
      </c>
      <c r="D12" s="252" t="str" cm="1">
        <f t="array" ref="D12">"NOTATE the kW reading at UP" &amp; SWOne &amp; " Critical Bus Panel Meter: _________"</f>
        <v>NOTATE the kW reading at UPXXX Critical Bus Panel Meter: _________</v>
      </c>
      <c r="E12" s="183" t="s">
        <v>1464</v>
      </c>
      <c r="F12" s="193"/>
      <c r="G12" s="193"/>
    </row>
    <row r="13" spans="1:9" ht="37.5" x14ac:dyDescent="0.25">
      <c r="A13" s="251">
        <v>8</v>
      </c>
      <c r="B13" s="231" t="str">
        <f>Suite&amp;" Electrical Room "&amp;SWTwo</f>
        <v>G104 Electrical Room XXX</v>
      </c>
      <c r="C13" s="183" t="str">
        <f>"UPS "&amp;SWTwo&amp;"1"</f>
        <v>UPS XXX1</v>
      </c>
      <c r="D13" s="252" t="str" cm="1">
        <f t="array" ref="D13">"NOTATE the output kW reading at UPS-" &amp; SWTwo &amp; "1:  ___________"</f>
        <v>NOTATE the output kW reading at UPS-XXX1:  ___________</v>
      </c>
      <c r="E13" s="183" t="s">
        <v>1464</v>
      </c>
      <c r="F13" s="193"/>
      <c r="G13" s="193"/>
    </row>
    <row r="14" spans="1:9" ht="37.5" x14ac:dyDescent="0.25">
      <c r="A14" s="251">
        <v>9</v>
      </c>
      <c r="B14" s="231" t="str">
        <f>Suite&amp;" Electrical Room "&amp;SWTwo</f>
        <v>G104 Electrical Room XXX</v>
      </c>
      <c r="C14" s="183" t="str">
        <f>"UPS "&amp;SWTwo&amp;"2"</f>
        <v>UPS XXX2</v>
      </c>
      <c r="D14" s="252" t="str" cm="1">
        <f t="array" ref="D14">"NOTATE the output kW reading at UPS-" &amp; SWTwo &amp; "2:  ___________"</f>
        <v>NOTATE the output kW reading at UPS-XXX2:  ___________</v>
      </c>
      <c r="E14" s="183" t="s">
        <v>1464</v>
      </c>
      <c r="F14" s="193"/>
      <c r="G14" s="193"/>
    </row>
    <row r="15" spans="1:9" ht="37.5" x14ac:dyDescent="0.25">
      <c r="A15" s="251">
        <v>10</v>
      </c>
      <c r="B15" s="231" t="str">
        <f>Suite&amp;" Electrical Room "&amp;SWTwo</f>
        <v>G104 Electrical Room XXX</v>
      </c>
      <c r="C15" s="183" t="str">
        <f>"UP"&amp;SWTwo</f>
        <v>UPXXX</v>
      </c>
      <c r="D15" s="252" t="str" cm="1">
        <f t="array" ref="D15">"NOTATE the kW reading at UP" &amp; SWTwo &amp; " Critical Bus Panel Meter: _________"</f>
        <v>NOTATE the kW reading at UPXXX Critical Bus Panel Meter: _________</v>
      </c>
      <c r="E15" s="183" t="s">
        <v>1464</v>
      </c>
      <c r="F15" s="193"/>
      <c r="G15" s="193"/>
    </row>
    <row r="16" spans="1:9" ht="56.25" x14ac:dyDescent="0.25">
      <c r="A16" s="251">
        <v>11</v>
      </c>
      <c r="B16" s="500" t="str" cm="1">
        <f t="array" ref="B16">Suite &amp; " Electrical Rooms"</f>
        <v>G104 Electrical Rooms</v>
      </c>
      <c r="C16" s="499" t="str" cm="1">
        <f t="array" ref="C16">Suite &amp; " UPS System"</f>
        <v>G104 UPS System</v>
      </c>
      <c r="D16" s="190" t="s">
        <v>4621</v>
      </c>
      <c r="E16" s="499" t="s">
        <v>1464</v>
      </c>
      <c r="F16" s="500"/>
      <c r="G16" s="519"/>
    </row>
    <row r="17" spans="1:7" ht="37.5" x14ac:dyDescent="0.25">
      <c r="A17" s="251">
        <v>12</v>
      </c>
      <c r="B17" s="500" t="str" cm="1">
        <f t="array" ref="B17">Suite &amp; " Electrical Rooms"</f>
        <v>G104 Electrical Rooms</v>
      </c>
      <c r="C17" s="499" t="str" cm="1">
        <f t="array" ref="C17">Suite &amp; " UPS System"</f>
        <v>G104 UPS System</v>
      </c>
      <c r="D17" s="191" t="str" cm="1">
        <f t="array" ref="D17">"Verify output kW readings on all UPS modules do not exceed " &amp; ROUNDDOWN(IF(POD="DR", (NumberOfSW-1)/NumberOfSW, 0.5)*(UPSkW), 0) &amp; " kW."</f>
        <v>Verify output kW readings on all UPS modules do not exceed 281 kW.</v>
      </c>
      <c r="E17" s="499" t="s">
        <v>1464</v>
      </c>
      <c r="F17" s="500"/>
      <c r="G17" s="519"/>
    </row>
    <row r="18" spans="1:7" ht="37.5" x14ac:dyDescent="0.25">
      <c r="A18" s="251">
        <v>13</v>
      </c>
      <c r="B18" s="231" t="str">
        <f>Suite&amp;" Electrical Rooms"</f>
        <v>G104 Electrical Rooms</v>
      </c>
      <c r="C18" s="183" t="str" cm="1">
        <f t="array" ref="C18">Suite &amp; " UPS Systems"</f>
        <v>G104 UPS Systems</v>
      </c>
      <c r="D18" s="184" t="s">
        <v>1559</v>
      </c>
      <c r="E18" s="183" t="s">
        <v>1464</v>
      </c>
      <c r="F18" s="193"/>
      <c r="G18" s="193"/>
    </row>
    <row r="19" spans="1:7" x14ac:dyDescent="0.25">
      <c r="A19" s="251">
        <v>14</v>
      </c>
      <c r="B19" s="713" t="str" cm="1">
        <f t="array" ref="B19">"Prepare UP"&amp;SWOne&amp;" for Transfer to Maintenance Bypass"</f>
        <v>Prepare UPXXX for Transfer to Maintenance Bypass</v>
      </c>
      <c r="C19" s="713"/>
      <c r="D19" s="713"/>
      <c r="E19" s="713"/>
      <c r="F19" s="713"/>
      <c r="G19" s="713"/>
    </row>
    <row r="20" spans="1:7" ht="37.5" x14ac:dyDescent="0.25">
      <c r="A20" s="251">
        <v>15</v>
      </c>
      <c r="B20" s="231" t="str">
        <f>Suite&amp;" Electrical Room "&amp;SWOne</f>
        <v>G104 Electrical Room XXX</v>
      </c>
      <c r="C20" s="183" t="str">
        <f>"UP"&amp;SWOne</f>
        <v>UPXXX</v>
      </c>
      <c r="D20" s="233" t="str" cm="1">
        <f t="array" ref="D20">"Pump the MBUP" &amp; SWOne &amp; " breaker charging handle repeatedly to compress the charging spring and charge the breaker."</f>
        <v>Pump the MBUPXXX breaker charging handle repeatedly to compress the charging spring and charge the breaker.</v>
      </c>
      <c r="E20" s="183" t="s">
        <v>1464</v>
      </c>
      <c r="F20" s="193"/>
      <c r="G20" s="193"/>
    </row>
    <row r="21" spans="1:7" x14ac:dyDescent="0.25">
      <c r="A21" s="251">
        <v>16</v>
      </c>
      <c r="B21" s="711" t="str" cm="1">
        <f t="array" ref="B21">"Transfer UPS System " &amp; SWOne &amp; " to Static Bypass"</f>
        <v>Transfer UPS System XXX to Static Bypass</v>
      </c>
      <c r="C21" s="711"/>
      <c r="D21" s="711"/>
      <c r="E21" s="711"/>
      <c r="F21" s="711"/>
      <c r="G21" s="711"/>
    </row>
    <row r="22" spans="1:7" ht="56.25" x14ac:dyDescent="0.25">
      <c r="A22" s="251">
        <v>17</v>
      </c>
      <c r="B22" s="231" t="str">
        <f>Suite&amp;" Electrical Room "&amp;SWOne</f>
        <v>G104 Electrical Room XXX</v>
      </c>
      <c r="C22" s="183" t="str">
        <f>"UPS "&amp;SWOne&amp;"1"</f>
        <v>UPS XXX1</v>
      </c>
      <c r="D22" s="233" t="s">
        <v>1748</v>
      </c>
      <c r="E22" s="183" t="s">
        <v>1464</v>
      </c>
      <c r="F22" s="193"/>
      <c r="G22" s="193"/>
    </row>
    <row r="23" spans="1:7" ht="37.5" x14ac:dyDescent="0.25">
      <c r="A23" s="251">
        <v>18</v>
      </c>
      <c r="B23" s="231" t="str">
        <f>Suite&amp;" Electrical Room "&amp;SWOne</f>
        <v>G104 Electrical Room XXX</v>
      </c>
      <c r="C23" s="183" t="str">
        <f>"UPS "&amp;SWOne&amp;"1"</f>
        <v>UPS XXX1</v>
      </c>
      <c r="D23" s="233" t="s">
        <v>1749</v>
      </c>
      <c r="E23" s="183" t="s">
        <v>1464</v>
      </c>
      <c r="F23" s="193"/>
      <c r="G23" s="193"/>
    </row>
    <row r="24" spans="1:7" ht="75" x14ac:dyDescent="0.25">
      <c r="A24" s="251">
        <v>19</v>
      </c>
      <c r="B24" s="231" t="str">
        <f>Suite&amp;" Electrical Room "&amp;SWOne</f>
        <v>G104 Electrical Room XXX</v>
      </c>
      <c r="C24" s="183" t="str">
        <f>"UPS "&amp;SWOne&amp;"2"</f>
        <v>UPS XXX2</v>
      </c>
      <c r="D24" s="233" t="s">
        <v>1750</v>
      </c>
      <c r="E24" s="183" t="s">
        <v>1464</v>
      </c>
      <c r="F24" s="193"/>
      <c r="G24" s="193"/>
    </row>
    <row r="25" spans="1:7" ht="37.5" x14ac:dyDescent="0.25">
      <c r="A25" s="251">
        <v>20</v>
      </c>
      <c r="B25" s="231" t="str">
        <f>Suite&amp;" Electrical Room "&amp;SWOne</f>
        <v>G104 Electrical Room XXX</v>
      </c>
      <c r="C25" s="183" t="str">
        <f>"UPS "&amp;SWOne&amp;"2"</f>
        <v>UPS XXX2</v>
      </c>
      <c r="D25" s="233" t="s">
        <v>1749</v>
      </c>
      <c r="E25" s="183" t="s">
        <v>1464</v>
      </c>
      <c r="F25" s="193"/>
      <c r="G25" s="193"/>
    </row>
    <row r="26" spans="1:7" ht="37.5" x14ac:dyDescent="0.25">
      <c r="A26" s="251">
        <v>21</v>
      </c>
      <c r="B26" s="231" t="str">
        <f>Suite&amp;" Electrical Room "&amp;SWOne</f>
        <v>G104 Electrical Room XXX</v>
      </c>
      <c r="C26" s="183" t="str">
        <f>"SCC "&amp;SWOne</f>
        <v>SCC XXX</v>
      </c>
      <c r="D26" s="233" t="s">
        <v>1751</v>
      </c>
      <c r="E26" s="183" t="s">
        <v>1464</v>
      </c>
      <c r="F26" s="193"/>
      <c r="G26" s="193"/>
    </row>
    <row r="27" spans="1:7" ht="37.5" x14ac:dyDescent="0.25">
      <c r="A27" s="251">
        <v>22</v>
      </c>
      <c r="B27" s="231" t="str">
        <f>Suite&amp;" Electrical Room "&amp;SWOne</f>
        <v>G104 Electrical Room XXX</v>
      </c>
      <c r="C27" s="183" t="str">
        <f>"SCC "&amp;SWOne</f>
        <v>SCC XXX</v>
      </c>
      <c r="D27" s="233" t="s">
        <v>1752</v>
      </c>
      <c r="E27" s="183" t="s">
        <v>1464</v>
      </c>
      <c r="F27" s="193"/>
      <c r="G27" s="193"/>
    </row>
    <row r="28" spans="1:7" ht="37.5" x14ac:dyDescent="0.25">
      <c r="A28" s="251">
        <v>23</v>
      </c>
      <c r="B28" s="231" t="str">
        <f>Suite&amp;" Electrical Room "&amp;SWOne</f>
        <v>G104 Electrical Room XXX</v>
      </c>
      <c r="C28" s="183" t="str">
        <f>"SCC "&amp;SWOne</f>
        <v>SCC XXX</v>
      </c>
      <c r="D28" s="233" t="s">
        <v>1749</v>
      </c>
      <c r="E28" s="183" t="s">
        <v>1464</v>
      </c>
      <c r="F28" s="193"/>
      <c r="G28" s="193"/>
    </row>
    <row r="29" spans="1:7" ht="37.5" x14ac:dyDescent="0.25">
      <c r="A29" s="251">
        <v>24</v>
      </c>
      <c r="B29" s="231" t="str">
        <f>Suite&amp;" Electrical Room "&amp;SWOne</f>
        <v>G104 Electrical Room XXX</v>
      </c>
      <c r="C29" s="183" t="str">
        <f>"SCC "&amp;SWOne</f>
        <v>SCC XXX</v>
      </c>
      <c r="D29" s="233" t="s">
        <v>1501</v>
      </c>
      <c r="E29" s="183" t="s">
        <v>1464</v>
      </c>
      <c r="F29" s="193"/>
      <c r="G29" s="193"/>
    </row>
    <row r="30" spans="1:7" ht="37.5" x14ac:dyDescent="0.25">
      <c r="A30" s="251">
        <v>25</v>
      </c>
      <c r="B30" s="231" t="str">
        <f>Suite&amp;" Electrical Room "&amp;SWOne</f>
        <v>G104 Electrical Room XXX</v>
      </c>
      <c r="C30" s="183" t="str">
        <f>"UP"&amp;SWOne</f>
        <v>UPXXX</v>
      </c>
      <c r="D30" s="233" t="str" cm="1">
        <f t="array" ref="D30">"NOTATE the kW reading at UP" &amp; SWOne &amp; " Critical Bus Panel Meter: _________"</f>
        <v>NOTATE the kW reading at UPXXX Critical Bus Panel Meter: _________</v>
      </c>
      <c r="E30" s="183" t="s">
        <v>1464</v>
      </c>
      <c r="F30" s="193"/>
      <c r="G30" s="193"/>
    </row>
    <row r="31" spans="1:7" ht="37.5" x14ac:dyDescent="0.25">
      <c r="A31" s="251">
        <v>26</v>
      </c>
      <c r="B31" s="231" t="str">
        <f>Suite&amp;" Electrical Room "&amp;SWOne</f>
        <v>G104 Electrical Room XXX</v>
      </c>
      <c r="C31" s="183" t="str">
        <f>"UP"&amp;SWOne</f>
        <v>UPXXX</v>
      </c>
      <c r="D31" s="233" t="str">
        <f>"VERIFY the readings in step " &amp; A12 &amp; " and " &amp; A30 &amp; " are within 3% of each other. (new kW divided by original kW must be ≤1.03 and ≥0.97)."</f>
        <v>VERIFY the readings in step 7 and 25 are within 3% of each other. (new kW divided by original kW must be ≤1.03 and ≥0.97).</v>
      </c>
      <c r="E31" s="183" t="s">
        <v>1464</v>
      </c>
      <c r="F31" s="193"/>
      <c r="G31" s="193"/>
    </row>
    <row r="32" spans="1:7" x14ac:dyDescent="0.25">
      <c r="A32" s="251">
        <v>27</v>
      </c>
      <c r="B32" s="711" t="s">
        <v>1502</v>
      </c>
      <c r="C32" s="711"/>
      <c r="D32" s="711"/>
      <c r="E32" s="711"/>
      <c r="F32" s="711"/>
      <c r="G32" s="711"/>
    </row>
    <row r="33" spans="1:7" ht="37.5" x14ac:dyDescent="0.25">
      <c r="A33" s="251">
        <v>28</v>
      </c>
      <c r="B33" s="231" t="str">
        <f>Suite&amp;" Electrical Room "&amp;SWOne</f>
        <v>G104 Electrical Room XXX</v>
      </c>
      <c r="C33" s="183" t="str">
        <f t="shared" ref="C33:C58" si="0">"UP"&amp;SWOne</f>
        <v>UPXXX</v>
      </c>
      <c r="D33" s="233" t="s">
        <v>1568</v>
      </c>
      <c r="E33" s="183" t="s">
        <v>1464</v>
      </c>
      <c r="F33" s="193"/>
      <c r="G33" s="193"/>
    </row>
    <row r="34" spans="1:7" ht="37.5" x14ac:dyDescent="0.25">
      <c r="A34" s="251">
        <v>29</v>
      </c>
      <c r="B34" s="231" t="str">
        <f>Suite&amp;" Electrical Room "&amp;SWOne</f>
        <v>G104 Electrical Room XXX</v>
      </c>
      <c r="C34" s="183" t="str">
        <f t="shared" si="0"/>
        <v>UPXXX</v>
      </c>
      <c r="D34" s="186" t="s">
        <v>1569</v>
      </c>
      <c r="E34" s="183" t="s">
        <v>1464</v>
      </c>
      <c r="F34" s="193"/>
      <c r="G34" s="193"/>
    </row>
    <row r="35" spans="1:7" ht="37.5" x14ac:dyDescent="0.25">
      <c r="A35" s="251">
        <v>30</v>
      </c>
      <c r="B35" s="231" t="str">
        <f>Suite&amp;" Electrical Room "&amp;SWOne</f>
        <v>G104 Electrical Room XXX</v>
      </c>
      <c r="C35" s="183" t="str">
        <f t="shared" si="0"/>
        <v>UPXXX</v>
      </c>
      <c r="D35" s="186" t="s">
        <v>1570</v>
      </c>
      <c r="E35" s="183" t="s">
        <v>1464</v>
      </c>
      <c r="F35" s="193"/>
      <c r="G35" s="193"/>
    </row>
    <row r="36" spans="1:7" ht="37.5" x14ac:dyDescent="0.25">
      <c r="A36" s="251">
        <v>31</v>
      </c>
      <c r="B36" s="231" t="str">
        <f>Suite&amp;" Electrical Room "&amp;SWOne</f>
        <v>G104 Electrical Room XXX</v>
      </c>
      <c r="C36" s="183" t="str">
        <f t="shared" si="0"/>
        <v>UPXXX</v>
      </c>
      <c r="D36" s="233" t="str" cm="1">
        <f t="array" ref="D36">"INSERT the interlock key into the MBUP" &amp; SWOne &amp; " breaker lock cylinder."</f>
        <v>INSERT the interlock key into the MBUPXXX breaker lock cylinder.</v>
      </c>
      <c r="E36" s="183" t="s">
        <v>1464</v>
      </c>
      <c r="F36" s="193"/>
      <c r="G36" s="193"/>
    </row>
    <row r="37" spans="1:7" ht="37.5" x14ac:dyDescent="0.25">
      <c r="A37" s="251">
        <v>32</v>
      </c>
      <c r="B37" s="231" t="str">
        <f>Suite&amp;" Electrical Room "&amp;SWOne</f>
        <v>G104 Electrical Room XXX</v>
      </c>
      <c r="C37" s="183" t="str">
        <f t="shared" si="0"/>
        <v>UPXXX</v>
      </c>
      <c r="D37" s="186" t="str" cm="1">
        <f t="array" ref="D37">"ROTATE the interlock key 180 degrees to UNLOCK the MBUP" &amp; SWOne &amp; " breaker."</f>
        <v>ROTATE the interlock key 180 degrees to UNLOCK the MBUPXXX breaker.</v>
      </c>
      <c r="E37" s="183" t="s">
        <v>1464</v>
      </c>
      <c r="F37" s="193"/>
      <c r="G37" s="193"/>
    </row>
    <row r="38" spans="1:7" ht="37.5" x14ac:dyDescent="0.25">
      <c r="A38" s="251">
        <v>33</v>
      </c>
      <c r="B38" s="231" t="str">
        <f>Suite&amp;" Electrical Room "&amp;SWOne</f>
        <v>G104 Electrical Room XXX</v>
      </c>
      <c r="C38" s="183" t="str">
        <f t="shared" si="0"/>
        <v>UPXXX</v>
      </c>
      <c r="D38" s="233" t="str" cm="1">
        <f t="array" ref="D38">"Close breaker MBUP" &amp; SWOne &amp; "."</f>
        <v>Close breaker MBUPXXX.</v>
      </c>
      <c r="E38" s="183" t="s">
        <v>1464</v>
      </c>
      <c r="F38" s="193"/>
      <c r="G38" s="193"/>
    </row>
    <row r="39" spans="1:7" ht="37.5" x14ac:dyDescent="0.25">
      <c r="A39" s="251">
        <v>34</v>
      </c>
      <c r="B39" s="231" t="str">
        <f>Suite&amp;" Electrical Room "&amp;SWOne</f>
        <v>G104 Electrical Room XXX</v>
      </c>
      <c r="C39" s="183" t="str">
        <f t="shared" si="0"/>
        <v>UPXXX</v>
      </c>
      <c r="D39" s="186" t="str" cm="1">
        <f t="array" ref="D39">"VERIFY MBUP" &amp; SWOne &amp; " breaker flag indicates CLOSED."</f>
        <v>VERIFY MBUPXXX breaker flag indicates CLOSED.</v>
      </c>
      <c r="E39" s="183" t="s">
        <v>1464</v>
      </c>
      <c r="F39" s="193"/>
      <c r="G39" s="193"/>
    </row>
    <row r="40" spans="1:7" ht="37.5" x14ac:dyDescent="0.25">
      <c r="A40" s="251">
        <v>35</v>
      </c>
      <c r="B40" s="231" t="str">
        <f>Suite&amp;" Electrical Room "&amp;SWOne</f>
        <v>G104 Electrical Room XXX</v>
      </c>
      <c r="C40" s="183" t="str">
        <f t="shared" si="0"/>
        <v>UPXXX</v>
      </c>
      <c r="D40" s="233" t="str" cm="1">
        <f t="array" ref="D40">"VERIFY breaker MBUP" &amp; SWOne &amp; " is carrying a portion of critical customer load using breaker mounted metering."</f>
        <v>VERIFY breaker MBUPXXX is carrying a portion of critical customer load using breaker mounted metering.</v>
      </c>
      <c r="E40" s="183" t="s">
        <v>1464</v>
      </c>
      <c r="F40" s="193"/>
      <c r="G40" s="193"/>
    </row>
    <row r="41" spans="1:7" ht="37.5" x14ac:dyDescent="0.25">
      <c r="A41" s="251">
        <v>36</v>
      </c>
      <c r="B41" s="231" t="str">
        <f>Suite&amp;" Electrical Room "&amp;SWOne</f>
        <v>G104 Electrical Room XXX</v>
      </c>
      <c r="C41" s="183" t="str">
        <f t="shared" si="0"/>
        <v>UPXXX</v>
      </c>
      <c r="D41" s="233" t="str" cm="1">
        <f t="array" ref="D41">"VERIFY breaker MCBUP" &amp; SWOne &amp; " is carrying a portion of critical customer load using breaker mounted metering."</f>
        <v>VERIFY breaker MCBUPXXX is carrying a portion of critical customer load using breaker mounted metering.</v>
      </c>
      <c r="E41" s="183" t="s">
        <v>1464</v>
      </c>
      <c r="F41" s="193"/>
      <c r="G41" s="193"/>
    </row>
    <row r="42" spans="1:7" ht="37.5" x14ac:dyDescent="0.25">
      <c r="A42" s="251">
        <v>37</v>
      </c>
      <c r="B42" s="231" t="str">
        <f>Suite&amp;" Electrical Room "&amp;SWOne</f>
        <v>G104 Electrical Room XXX</v>
      </c>
      <c r="C42" s="183" t="str">
        <f>"UP"&amp;SWOne</f>
        <v>UPXXX</v>
      </c>
      <c r="D42" s="233" t="str" cm="1">
        <f t="array" ref="D42">"NOTATE the kW reading at UP" &amp; SWOne &amp; " Critical Bus Panel Meter: _________"</f>
        <v>NOTATE the kW reading at UPXXX Critical Bus Panel Meter: _________</v>
      </c>
      <c r="E42" s="183" t="s">
        <v>1464</v>
      </c>
      <c r="F42" s="193"/>
      <c r="G42" s="193"/>
    </row>
    <row r="43" spans="1:7" ht="37.5" x14ac:dyDescent="0.25">
      <c r="A43" s="251">
        <v>38</v>
      </c>
      <c r="B43" s="231" t="str">
        <f>Suite&amp;" Electrical Room "&amp;SWOne</f>
        <v>G104 Electrical Room XXX</v>
      </c>
      <c r="C43" s="183" t="str">
        <f>"UP"&amp;SWOne</f>
        <v>UPXXX</v>
      </c>
      <c r="D43" s="233" t="str">
        <f>"VERIFY the readings in step " &amp; A30 &amp; " and " &amp; A42 &amp; " are within 3% of each other. (new kW divided by original kW must be ≤1.03 and ≥0.97)."</f>
        <v>VERIFY the readings in step 25 and 37 are within 3% of each other. (new kW divided by original kW must be ≤1.03 and ≥0.97).</v>
      </c>
      <c r="E43" s="183" t="s">
        <v>1464</v>
      </c>
      <c r="F43" s="193"/>
      <c r="G43" s="193"/>
    </row>
    <row r="44" spans="1:7" ht="37.5" x14ac:dyDescent="0.25">
      <c r="A44" s="251">
        <v>39</v>
      </c>
      <c r="B44" s="231" t="str">
        <f>Suite&amp;" Electrical Room "&amp;SWOne</f>
        <v>G104 Electrical Room XXX</v>
      </c>
      <c r="C44" s="183" t="str">
        <f t="shared" si="0"/>
        <v>UPXXX</v>
      </c>
      <c r="D44" s="233" t="str" cm="1">
        <f t="array" ref="D44">"Pump the MCBUP" &amp; SWOne &amp; " breaker charging handle repeatedly to compress the charging spring and charge the breaker."</f>
        <v>Pump the MCBUPXXX breaker charging handle repeatedly to compress the charging spring and charge the breaker.</v>
      </c>
      <c r="E44" s="183" t="s">
        <v>1464</v>
      </c>
      <c r="F44" s="193"/>
      <c r="G44" s="193"/>
    </row>
    <row r="45" spans="1:7" ht="56.25" x14ac:dyDescent="0.25">
      <c r="A45" s="251">
        <v>40</v>
      </c>
      <c r="B45" s="231" t="str">
        <f>Suite&amp;" Electrical Room "&amp;SWOne</f>
        <v>G104 Electrical Room XXX</v>
      </c>
      <c r="C45" s="183" t="str">
        <f t="shared" si="0"/>
        <v>UPXXX</v>
      </c>
      <c r="D45" s="233" t="str" cm="1">
        <f t="array" ref="D45">"Note: If breaker MCBUP" &amp; SWOne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row>
    <row r="46" spans="1:7" ht="37.5" x14ac:dyDescent="0.25">
      <c r="A46" s="251">
        <v>41</v>
      </c>
      <c r="B46" s="231" t="str">
        <f>Suite&amp;" Electrical Room "&amp;SWOne</f>
        <v>G104 Electrical Room XXX</v>
      </c>
      <c r="C46" s="183" t="str">
        <f t="shared" si="0"/>
        <v>UPXXX</v>
      </c>
      <c r="D46" s="233" t="str" cm="1">
        <f t="array" ref="D46">"OPEN breaker MCBUP" &amp; SWOne &amp; "."</f>
        <v>OPEN breaker MCBUPXXX.</v>
      </c>
      <c r="E46" s="183" t="s">
        <v>1464</v>
      </c>
      <c r="F46" s="193"/>
      <c r="G46" s="193"/>
    </row>
    <row r="47" spans="1:7" ht="37.5" x14ac:dyDescent="0.25">
      <c r="A47" s="251">
        <v>42</v>
      </c>
      <c r="B47" s="231" t="str">
        <f>Suite&amp;" Electrical Room "&amp;SWOne</f>
        <v>G104 Electrical Room XXX</v>
      </c>
      <c r="C47" s="183" t="str">
        <f t="shared" si="0"/>
        <v>UPXXX</v>
      </c>
      <c r="D47" s="233" t="s">
        <v>1506</v>
      </c>
      <c r="E47" s="183" t="s">
        <v>1464</v>
      </c>
      <c r="F47" s="193"/>
      <c r="G47" s="193"/>
    </row>
    <row r="48" spans="1:7" ht="37.5" x14ac:dyDescent="0.25">
      <c r="A48" s="251">
        <v>43</v>
      </c>
      <c r="B48" s="231" t="str">
        <f>Suite&amp;" Electrical Room "&amp;SWOne</f>
        <v>G104 Electrical Room XXX</v>
      </c>
      <c r="C48" s="183" t="str">
        <f t="shared" si="0"/>
        <v>UPXXX</v>
      </c>
      <c r="D48" s="186" t="str" cm="1">
        <f t="array" ref="D48">"VERIFY MCBUP" &amp; SWOne &amp; " breaker flag indicates OPEN."</f>
        <v>VERIFY MCBUPXXX breaker flag indicates OPEN.</v>
      </c>
      <c r="E48" s="183" t="s">
        <v>1464</v>
      </c>
      <c r="F48" s="193"/>
      <c r="G48" s="193"/>
    </row>
    <row r="49" spans="1:7" ht="37.5" x14ac:dyDescent="0.25">
      <c r="A49" s="251">
        <v>44</v>
      </c>
      <c r="B49" s="231" t="str">
        <f>Suite&amp;" Electrical Room "&amp;SWOne</f>
        <v>G104 Electrical Room XXX</v>
      </c>
      <c r="C49" s="183" t="str">
        <f t="shared" si="0"/>
        <v>UPXXX</v>
      </c>
      <c r="D49" s="233" t="str" cm="1">
        <f t="array" ref="D49">"Apply LOTO to breaker MCBUP" &amp; SWOne &amp; "."</f>
        <v>Apply LOTO to breaker MCBUPXXX.</v>
      </c>
      <c r="E49" s="183" t="s">
        <v>1464</v>
      </c>
      <c r="F49" s="193"/>
      <c r="G49" s="193"/>
    </row>
    <row r="50" spans="1:7" ht="37.5" x14ac:dyDescent="0.25">
      <c r="A50" s="251">
        <v>45</v>
      </c>
      <c r="B50" s="231" t="str">
        <f>Suite&amp;" Electrical Room "&amp;SWOne</f>
        <v>G104 Electrical Room XXX</v>
      </c>
      <c r="C50" s="183" t="str">
        <f t="shared" si="0"/>
        <v>UPXXX</v>
      </c>
      <c r="D50" s="186" t="s">
        <v>1518</v>
      </c>
      <c r="E50" s="183" t="s">
        <v>1464</v>
      </c>
      <c r="F50" s="193"/>
      <c r="G50" s="193"/>
    </row>
    <row r="51" spans="1:7" ht="37.5" x14ac:dyDescent="0.25">
      <c r="A51" s="251">
        <v>46</v>
      </c>
      <c r="B51" s="231" t="str">
        <f>Suite&amp;" Electrical Room "&amp;SWOne</f>
        <v>G104 Electrical Room XXX</v>
      </c>
      <c r="C51" s="183" t="str">
        <f>"UP"&amp;SWOne</f>
        <v>UPXXX</v>
      </c>
      <c r="D51" s="233" t="str" cm="1">
        <f t="array" ref="D51">"NOTATE the kW reading at UP" &amp; SWOne &amp; " Critical Bus Panel Meter: _________"</f>
        <v>NOTATE the kW reading at UPXXX Critical Bus Panel Meter: _________</v>
      </c>
      <c r="E51" s="183" t="s">
        <v>1464</v>
      </c>
      <c r="F51" s="193"/>
      <c r="G51" s="193"/>
    </row>
    <row r="52" spans="1:7" ht="37.5" x14ac:dyDescent="0.25">
      <c r="A52" s="251">
        <v>47</v>
      </c>
      <c r="B52" s="231" t="str">
        <f>Suite&amp;" Electrical Room "&amp;SWOne</f>
        <v>G104 Electrical Room XXX</v>
      </c>
      <c r="C52" s="183" t="str">
        <f>"UP"&amp;SWOne</f>
        <v>UPXXX</v>
      </c>
      <c r="D52" s="233" t="str">
        <f>"VERIFY the readings in step " &amp; A42 &amp; " and " &amp; A51 &amp; " are within 3% of each other. (new kW divided by original kW must be ≤1.03 and ≥0.97)."</f>
        <v>VERIFY the readings in step 37 and 46 are within 3% of each other. (new kW divided by original kW must be ≤1.03 and ≥0.97).</v>
      </c>
      <c r="E52" s="183" t="s">
        <v>1464</v>
      </c>
      <c r="F52" s="193"/>
      <c r="G52" s="193"/>
    </row>
    <row r="53" spans="1:7" ht="37.5" x14ac:dyDescent="0.25">
      <c r="A53" s="251">
        <v>48</v>
      </c>
      <c r="B53" s="231" t="str">
        <f>Suite&amp;" Electrical Room "&amp;SWOne</f>
        <v>G104 Electrical Room XXX</v>
      </c>
      <c r="C53" s="183" t="str">
        <f t="shared" si="0"/>
        <v>UPXXX</v>
      </c>
      <c r="D53" s="186" t="str" cm="1">
        <f t="array" ref="D53">"ROTATE the interlock key 180 degrees to LOCK the MCBUP"&amp;SWOne&amp;" breaker while simultaneously pulling the lock tab."</f>
        <v>ROTATE the interlock key 180 degrees to LOCK the MCBUPXXX breaker while simultaneously pulling the lock tab.</v>
      </c>
      <c r="E53" s="183" t="s">
        <v>1464</v>
      </c>
      <c r="F53" s="193"/>
      <c r="G53" s="193"/>
    </row>
    <row r="54" spans="1:7" ht="37.5" x14ac:dyDescent="0.25">
      <c r="A54" s="251">
        <v>49</v>
      </c>
      <c r="B54" s="231" t="str">
        <f>Suite&amp;" Electrical Room "&amp;SWOne</f>
        <v>G104 Electrical Room XXX</v>
      </c>
      <c r="C54" s="183" t="str">
        <f t="shared" si="0"/>
        <v>UPXXX</v>
      </c>
      <c r="D54" s="186" t="str" cm="1">
        <f t="array" ref="D54">"REMOVE the interlock key from the MCBUP"&amp;SWOne&amp;" breaker lock cylinder."</f>
        <v>REMOVE the interlock key from the MCBUPXXX breaker lock cylinder.</v>
      </c>
      <c r="E54" s="183" t="s">
        <v>1464</v>
      </c>
      <c r="F54" s="193"/>
      <c r="G54" s="193"/>
    </row>
    <row r="55" spans="1:7" ht="37.5" x14ac:dyDescent="0.25">
      <c r="A55" s="251">
        <v>50</v>
      </c>
      <c r="B55" s="231" t="str">
        <f>Suite&amp;" Electrical Room "&amp;SWOne</f>
        <v>G104 Electrical Room XXX</v>
      </c>
      <c r="C55" s="183" t="str">
        <f t="shared" si="0"/>
        <v>UPXXX</v>
      </c>
      <c r="D55" s="233" t="s">
        <v>1573</v>
      </c>
      <c r="E55" s="183" t="s">
        <v>1464</v>
      </c>
      <c r="F55" s="193"/>
      <c r="G55" s="193"/>
    </row>
    <row r="56" spans="1:7" ht="37.5" x14ac:dyDescent="0.25">
      <c r="A56" s="251">
        <v>51</v>
      </c>
      <c r="B56" s="231" t="str">
        <f>Suite&amp;" Electrical Room "&amp;SWOne</f>
        <v>G104 Electrical Room XXX</v>
      </c>
      <c r="C56" s="183" t="str">
        <f t="shared" si="0"/>
        <v>UPXXX</v>
      </c>
      <c r="D56" s="186" t="s">
        <v>1574</v>
      </c>
      <c r="E56" s="183" t="s">
        <v>1464</v>
      </c>
      <c r="F56" s="193"/>
      <c r="G56" s="193"/>
    </row>
    <row r="57" spans="1:7" ht="37.5" x14ac:dyDescent="0.25">
      <c r="A57" s="251">
        <v>52</v>
      </c>
      <c r="B57" s="231" t="str">
        <f>Suite&amp;" Electrical Room "&amp;SWOne</f>
        <v>G104 Electrical Room XXX</v>
      </c>
      <c r="C57" s="183" t="str">
        <f t="shared" si="0"/>
        <v>UPXXX</v>
      </c>
      <c r="D57" s="186" t="s">
        <v>1575</v>
      </c>
      <c r="E57" s="183" t="s">
        <v>1464</v>
      </c>
      <c r="F57" s="193"/>
      <c r="G57" s="193"/>
    </row>
    <row r="58" spans="1:7" ht="37.5" x14ac:dyDescent="0.25">
      <c r="A58" s="251">
        <v>53</v>
      </c>
      <c r="B58" s="231" t="str">
        <f>Suite&amp;" Electrical Room "&amp;SWOne</f>
        <v>G104 Electrical Room XXX</v>
      </c>
      <c r="C58" s="183" t="str">
        <f t="shared" si="0"/>
        <v>UPXXX</v>
      </c>
      <c r="D58" s="186" t="s">
        <v>1510</v>
      </c>
      <c r="E58" s="183" t="s">
        <v>1464</v>
      </c>
      <c r="F58" s="193"/>
      <c r="G58" s="193"/>
    </row>
    <row r="59" spans="1:7" ht="37.5" x14ac:dyDescent="0.25">
      <c r="A59" s="251">
        <v>54</v>
      </c>
      <c r="B59" s="231" t="str">
        <f>Suite&amp;" Electrical Room "&amp;SWOne</f>
        <v>G104 Electrical Room XXX</v>
      </c>
      <c r="C59" s="183" t="str">
        <f>"UP"&amp;SWOne</f>
        <v>UPXXX</v>
      </c>
      <c r="D59" s="233" t="str" cm="1">
        <f t="array" ref="D59">"NOTATE the kW reading at UP" &amp; SWOne &amp; " Critical Bus Panel Meter: _________"</f>
        <v>NOTATE the kW reading at UPXXX Critical Bus Panel Meter: _________</v>
      </c>
      <c r="E59" s="183" t="s">
        <v>1464</v>
      </c>
      <c r="F59" s="193"/>
      <c r="G59" s="193"/>
    </row>
    <row r="60" spans="1:7" ht="37.5" x14ac:dyDescent="0.25">
      <c r="A60" s="251">
        <v>55</v>
      </c>
      <c r="B60" s="231" t="str">
        <f>Suite&amp;" Electrical Room "&amp;SWOne</f>
        <v>G104 Electrical Room XXX</v>
      </c>
      <c r="C60" s="183" t="str">
        <f>"UP"&amp;SWOne</f>
        <v>UPXXX</v>
      </c>
      <c r="D60" s="233" t="str">
        <f>"VERIFY the readings in step " &amp; A51 &amp; " and " &amp; A59 &amp; " are within 3% of each other. (new kW divided by original kW must be ≤1.03 and ≥0.97)."</f>
        <v>VERIFY the readings in step 46 and 54 are within 3% of each other. (new kW divided by original kW must be ≤1.03 and ≥0.97).</v>
      </c>
      <c r="E60" s="183" t="s">
        <v>1464</v>
      </c>
      <c r="F60" s="193"/>
      <c r="G60" s="193"/>
    </row>
    <row r="61" spans="1:7" x14ac:dyDescent="0.25">
      <c r="A61" s="251">
        <v>56</v>
      </c>
      <c r="B61" s="711" t="str" cm="1">
        <f t="array" ref="B61">"Shutdown UPS System " &amp; SWOne</f>
        <v>Shutdown UPS System XXX</v>
      </c>
      <c r="C61" s="711"/>
      <c r="D61" s="711"/>
      <c r="E61" s="711"/>
      <c r="F61" s="711"/>
      <c r="G61" s="711"/>
    </row>
    <row r="62" spans="1:7" ht="37.5" x14ac:dyDescent="0.25">
      <c r="A62" s="251">
        <v>57</v>
      </c>
      <c r="B62" s="231" t="str">
        <f>Suite&amp;" Electrical Room "&amp;SWOne</f>
        <v>G104 Electrical Room XXX</v>
      </c>
      <c r="C62" s="183" t="str">
        <f>"UPS "&amp;SWOne&amp;"1"</f>
        <v>UPS XXX1</v>
      </c>
      <c r="D62" s="233" t="s">
        <v>1753</v>
      </c>
      <c r="E62" s="183" t="s">
        <v>1464</v>
      </c>
      <c r="F62" s="193"/>
      <c r="G62" s="193"/>
    </row>
    <row r="63" spans="1:7" ht="37.5" x14ac:dyDescent="0.25">
      <c r="A63" s="251">
        <v>58</v>
      </c>
      <c r="B63" s="231" t="str">
        <f>Suite&amp;" Electrical Room "&amp;SWOne</f>
        <v>G104 Electrical Room XXX</v>
      </c>
      <c r="C63" s="183" t="str">
        <f>"UPS "&amp;SWOne&amp;"2"</f>
        <v>UPS XXX2</v>
      </c>
      <c r="D63" s="233" t="s">
        <v>1753</v>
      </c>
      <c r="E63" s="183" t="s">
        <v>1464</v>
      </c>
      <c r="F63" s="193"/>
      <c r="G63" s="193"/>
    </row>
    <row r="64" spans="1:7" ht="56.25" x14ac:dyDescent="0.25">
      <c r="A64" s="251">
        <v>59</v>
      </c>
      <c r="B64" s="231" t="str">
        <f>Suite&amp;" Electrical Room "&amp;SWOne</f>
        <v>G104 Electrical Room XXX</v>
      </c>
      <c r="C64" s="183" t="str">
        <f t="shared" ref="C64:C81" si="1">"UPS "&amp;SWOne&amp;" Battery Cabinets"</f>
        <v>UPS XXX Battery Cabinets</v>
      </c>
      <c r="D64" s="186" t="str" cm="1">
        <f t="array" ref="D64">"OPEN the Cabinet " &amp; SWOne &amp; "1-1 battery breaker."</f>
        <v>OPEN the Cabinet XXX1-1 battery breaker.</v>
      </c>
      <c r="E64" s="183" t="s">
        <v>1464</v>
      </c>
      <c r="F64" s="193"/>
      <c r="G64" s="193"/>
    </row>
    <row r="65" spans="1:7" ht="56.25" x14ac:dyDescent="0.25">
      <c r="A65" s="251">
        <v>60</v>
      </c>
      <c r="B65" s="231" t="str">
        <f>Suite&amp;" Electrical Room "&amp;SWOne</f>
        <v>G104 Electrical Room XXX</v>
      </c>
      <c r="C65" s="183" t="str">
        <f t="shared" si="1"/>
        <v>UPS XXX Battery Cabinets</v>
      </c>
      <c r="D65" s="186" t="str" cm="1">
        <f t="array" ref="D65">"Apply LOTO to the Cabinet " &amp; SWOne &amp; "1-1 battery breaker."</f>
        <v>Apply LOTO to the Cabinet XXX1-1 battery breaker.</v>
      </c>
      <c r="E65" s="183" t="s">
        <v>1464</v>
      </c>
      <c r="F65" s="193"/>
      <c r="G65" s="193"/>
    </row>
    <row r="66" spans="1:7" ht="56.25" x14ac:dyDescent="0.25">
      <c r="A66" s="251">
        <v>61</v>
      </c>
      <c r="B66" s="231" t="str">
        <f>Suite&amp;" Electrical Room "&amp;SWOne</f>
        <v>G104 Electrical Room XXX</v>
      </c>
      <c r="C66" s="183" t="str">
        <f t="shared" si="1"/>
        <v>UPS XXX Battery Cabinets</v>
      </c>
      <c r="D66" s="186" t="s">
        <v>1518</v>
      </c>
      <c r="E66" s="183" t="s">
        <v>1464</v>
      </c>
      <c r="F66" s="193"/>
      <c r="G66" s="193"/>
    </row>
    <row r="67" spans="1:7" ht="56.25" x14ac:dyDescent="0.25">
      <c r="A67" s="251">
        <v>62</v>
      </c>
      <c r="B67" s="231" t="str">
        <f>Suite&amp;" Electrical Room "&amp;SWOne</f>
        <v>G104 Electrical Room XXX</v>
      </c>
      <c r="C67" s="183" t="str">
        <f t="shared" si="1"/>
        <v>UPS XXX Battery Cabinets</v>
      </c>
      <c r="D67" s="186" t="str" cm="1">
        <f t="array" ref="D67">"OPEN the Cabinet " &amp; SWOne &amp; "1-2 battery breaker."</f>
        <v>OPEN the Cabinet XXX1-2 battery breaker.</v>
      </c>
      <c r="E67" s="183" t="s">
        <v>1464</v>
      </c>
      <c r="F67" s="193"/>
      <c r="G67" s="193"/>
    </row>
    <row r="68" spans="1:7" ht="56.25" x14ac:dyDescent="0.25">
      <c r="A68" s="251">
        <v>63</v>
      </c>
      <c r="B68" s="231" t="str">
        <f>Suite&amp;" Electrical Room "&amp;SWOne</f>
        <v>G104 Electrical Room XXX</v>
      </c>
      <c r="C68" s="183" t="str">
        <f t="shared" si="1"/>
        <v>UPS XXX Battery Cabinets</v>
      </c>
      <c r="D68" s="186" t="str" cm="1">
        <f t="array" ref="D68">"Apply LOTO to the Cabinet " &amp; SWOne &amp; "1-2 battery breaker."</f>
        <v>Apply LOTO to the Cabinet XXX1-2 battery breaker.</v>
      </c>
      <c r="E68" s="183" t="s">
        <v>1464</v>
      </c>
      <c r="F68" s="193"/>
      <c r="G68" s="193"/>
    </row>
    <row r="69" spans="1:7" ht="56.25" x14ac:dyDescent="0.25">
      <c r="A69" s="251">
        <v>64</v>
      </c>
      <c r="B69" s="231" t="str">
        <f>Suite&amp;" Electrical Room "&amp;SWOne</f>
        <v>G104 Electrical Room XXX</v>
      </c>
      <c r="C69" s="183" t="str">
        <f t="shared" si="1"/>
        <v>UPS XXX Battery Cabinets</v>
      </c>
      <c r="D69" s="186" t="s">
        <v>1518</v>
      </c>
      <c r="E69" s="183" t="s">
        <v>1464</v>
      </c>
      <c r="F69" s="193"/>
      <c r="G69" s="193"/>
    </row>
    <row r="70" spans="1:7" ht="56.25" x14ac:dyDescent="0.25">
      <c r="A70" s="251">
        <v>65</v>
      </c>
      <c r="B70" s="231" t="str">
        <f>Suite&amp;" Electrical Room "&amp;SWOne</f>
        <v>G104 Electrical Room XXX</v>
      </c>
      <c r="C70" s="183" t="str">
        <f t="shared" si="1"/>
        <v>UPS XXX Battery Cabinets</v>
      </c>
      <c r="D70" s="186" t="str" cm="1">
        <f t="array" ref="D70">"OPEN the Cabinet " &amp; SWOne &amp; "1-3 battery breaker."</f>
        <v>OPEN the Cabinet XXX1-3 battery breaker.</v>
      </c>
      <c r="E70" s="183" t="s">
        <v>1464</v>
      </c>
      <c r="F70" s="193"/>
      <c r="G70" s="193"/>
    </row>
    <row r="71" spans="1:7" ht="56.25" x14ac:dyDescent="0.25">
      <c r="A71" s="251">
        <v>66</v>
      </c>
      <c r="B71" s="231" t="str">
        <f>Suite&amp;" Electrical Room "&amp;SWOne</f>
        <v>G104 Electrical Room XXX</v>
      </c>
      <c r="C71" s="183" t="str">
        <f t="shared" si="1"/>
        <v>UPS XXX Battery Cabinets</v>
      </c>
      <c r="D71" s="186" t="str" cm="1">
        <f t="array" ref="D71">"Apply LOTO to the Cabinet " &amp; SWOne &amp; "1-3 battery breaker."</f>
        <v>Apply LOTO to the Cabinet XXX1-3 battery breaker.</v>
      </c>
      <c r="E71" s="183" t="s">
        <v>1464</v>
      </c>
      <c r="F71" s="193"/>
      <c r="G71" s="193"/>
    </row>
    <row r="72" spans="1:7" ht="56.25" x14ac:dyDescent="0.25">
      <c r="A72" s="251">
        <v>67</v>
      </c>
      <c r="B72" s="231" t="str">
        <f>Suite&amp;" Electrical Room "&amp;SWOne</f>
        <v>G104 Electrical Room XXX</v>
      </c>
      <c r="C72" s="183" t="str">
        <f t="shared" si="1"/>
        <v>UPS XXX Battery Cabinets</v>
      </c>
      <c r="D72" s="186" t="s">
        <v>1518</v>
      </c>
      <c r="E72" s="183" t="s">
        <v>1464</v>
      </c>
      <c r="F72" s="193"/>
      <c r="G72" s="193"/>
    </row>
    <row r="73" spans="1:7" ht="56.25" x14ac:dyDescent="0.25">
      <c r="A73" s="251">
        <v>68</v>
      </c>
      <c r="B73" s="231" t="str">
        <f>Suite&amp;" Electrical Room "&amp;SWOne</f>
        <v>G104 Electrical Room XXX</v>
      </c>
      <c r="C73" s="183" t="str">
        <f t="shared" si="1"/>
        <v>UPS XXX Battery Cabinets</v>
      </c>
      <c r="D73" s="186" t="str" cm="1">
        <f t="array" ref="D73">"OPEN the Cabinet " &amp; SWOne &amp; "2-1 battery breaker."</f>
        <v>OPEN the Cabinet XXX2-1 battery breaker.</v>
      </c>
      <c r="E73" s="183" t="s">
        <v>1464</v>
      </c>
      <c r="F73" s="193"/>
      <c r="G73" s="193"/>
    </row>
    <row r="74" spans="1:7" ht="56.25" x14ac:dyDescent="0.25">
      <c r="A74" s="251">
        <v>69</v>
      </c>
      <c r="B74" s="231" t="str">
        <f>Suite&amp;" Electrical Room "&amp;SWOne</f>
        <v>G104 Electrical Room XXX</v>
      </c>
      <c r="C74" s="183" t="str">
        <f t="shared" si="1"/>
        <v>UPS XXX Battery Cabinets</v>
      </c>
      <c r="D74" s="186" t="str" cm="1">
        <f t="array" ref="D74">"Apply LOTO to the Cabinet " &amp; SWOne &amp; "2-1 battery breaker."</f>
        <v>Apply LOTO to the Cabinet XXX2-1 battery breaker.</v>
      </c>
      <c r="E74" s="183" t="s">
        <v>1464</v>
      </c>
      <c r="F74" s="193"/>
      <c r="G74" s="193"/>
    </row>
    <row r="75" spans="1:7" ht="56.25" x14ac:dyDescent="0.25">
      <c r="A75" s="251">
        <v>70</v>
      </c>
      <c r="B75" s="231" t="str">
        <f>Suite&amp;" Electrical Room "&amp;SWOne</f>
        <v>G104 Electrical Room XXX</v>
      </c>
      <c r="C75" s="183" t="str">
        <f t="shared" si="1"/>
        <v>UPS XXX Battery Cabinets</v>
      </c>
      <c r="D75" s="186" t="s">
        <v>1518</v>
      </c>
      <c r="E75" s="183" t="s">
        <v>1464</v>
      </c>
      <c r="F75" s="193"/>
      <c r="G75" s="193"/>
    </row>
    <row r="76" spans="1:7" ht="56.25" x14ac:dyDescent="0.25">
      <c r="A76" s="251">
        <v>71</v>
      </c>
      <c r="B76" s="231" t="str">
        <f>Suite&amp;" Electrical Room "&amp;SWOne</f>
        <v>G104 Electrical Room XXX</v>
      </c>
      <c r="C76" s="183" t="str">
        <f t="shared" si="1"/>
        <v>UPS XXX Battery Cabinets</v>
      </c>
      <c r="D76" s="186" t="str" cm="1">
        <f t="array" ref="D76">"OPEN the Cabinet " &amp; SWOne &amp; "2-2 battery breaker."</f>
        <v>OPEN the Cabinet XXX2-2 battery breaker.</v>
      </c>
      <c r="E76" s="183" t="s">
        <v>1464</v>
      </c>
      <c r="F76" s="193"/>
      <c r="G76" s="193"/>
    </row>
    <row r="77" spans="1:7" ht="56.25" x14ac:dyDescent="0.25">
      <c r="A77" s="251">
        <v>72</v>
      </c>
      <c r="B77" s="231" t="str">
        <f>Suite&amp;" Electrical Room "&amp;SWOne</f>
        <v>G104 Electrical Room XXX</v>
      </c>
      <c r="C77" s="183" t="str">
        <f t="shared" si="1"/>
        <v>UPS XXX Battery Cabinets</v>
      </c>
      <c r="D77" s="186" t="str" cm="1">
        <f t="array" ref="D77">"Apply LOTO to the Cabinet " &amp; SWOne &amp; "2-2 battery breaker."</f>
        <v>Apply LOTO to the Cabinet XXX2-2 battery breaker.</v>
      </c>
      <c r="E77" s="183" t="s">
        <v>1464</v>
      </c>
      <c r="F77" s="193"/>
      <c r="G77" s="193"/>
    </row>
    <row r="78" spans="1:7" ht="56.25" x14ac:dyDescent="0.25">
      <c r="A78" s="251">
        <v>73</v>
      </c>
      <c r="B78" s="231" t="str">
        <f>Suite&amp;" Electrical Room "&amp;SWOne</f>
        <v>G104 Electrical Room XXX</v>
      </c>
      <c r="C78" s="183" t="str">
        <f t="shared" si="1"/>
        <v>UPS XXX Battery Cabinets</v>
      </c>
      <c r="D78" s="186" t="s">
        <v>1518</v>
      </c>
      <c r="E78" s="183" t="s">
        <v>1464</v>
      </c>
      <c r="F78" s="193"/>
      <c r="G78" s="193"/>
    </row>
    <row r="79" spans="1:7" ht="56.25" x14ac:dyDescent="0.25">
      <c r="A79" s="251">
        <v>74</v>
      </c>
      <c r="B79" s="231" t="str">
        <f>Suite&amp;" Electrical Room "&amp;SWOne</f>
        <v>G104 Electrical Room XXX</v>
      </c>
      <c r="C79" s="183" t="str">
        <f t="shared" si="1"/>
        <v>UPS XXX Battery Cabinets</v>
      </c>
      <c r="D79" s="186" t="str" cm="1">
        <f t="array" ref="D79">"OPEN the Cabinet " &amp; SWOne &amp; "2-3 battery breaker."</f>
        <v>OPEN the Cabinet XXX2-3 battery breaker.</v>
      </c>
      <c r="E79" s="183" t="s">
        <v>1464</v>
      </c>
      <c r="F79" s="193"/>
      <c r="G79" s="193"/>
    </row>
    <row r="80" spans="1:7" ht="56.25" x14ac:dyDescent="0.25">
      <c r="A80" s="251">
        <v>75</v>
      </c>
      <c r="B80" s="231" t="str">
        <f>Suite&amp;" Electrical Room "&amp;SWOne</f>
        <v>G104 Electrical Room XXX</v>
      </c>
      <c r="C80" s="183" t="str">
        <f t="shared" si="1"/>
        <v>UPS XXX Battery Cabinets</v>
      </c>
      <c r="D80" s="186" t="str" cm="1">
        <f t="array" ref="D80">"Apply LOTO to the Cabinet " &amp; SWOne &amp; "2-3 battery breaker."</f>
        <v>Apply LOTO to the Cabinet XXX2-3 battery breaker.</v>
      </c>
      <c r="E80" s="183" t="s">
        <v>1464</v>
      </c>
      <c r="F80" s="193"/>
      <c r="G80" s="193"/>
    </row>
    <row r="81" spans="1:7" ht="56.25" x14ac:dyDescent="0.25">
      <c r="A81" s="251">
        <v>76</v>
      </c>
      <c r="B81" s="231" t="str">
        <f>Suite&amp;" Electrical Room "&amp;SWOne</f>
        <v>G104 Electrical Room XXX</v>
      </c>
      <c r="C81" s="183" t="str">
        <f t="shared" si="1"/>
        <v>UPS XXX Battery Cabinets</v>
      </c>
      <c r="D81" s="186" t="s">
        <v>1518</v>
      </c>
      <c r="E81" s="183" t="s">
        <v>1464</v>
      </c>
      <c r="F81" s="193"/>
      <c r="G81" s="193"/>
    </row>
    <row r="82" spans="1:7" ht="37.5" x14ac:dyDescent="0.25">
      <c r="A82" s="251">
        <v>77</v>
      </c>
      <c r="B82" s="231" t="str">
        <f>Suite&amp;" Electrical Room "&amp;SWOne</f>
        <v>G104 Electrical Room XXX</v>
      </c>
      <c r="C82" s="183" t="str">
        <f>"UPS "&amp;SWOne&amp;"1"</f>
        <v>UPS XXX1</v>
      </c>
      <c r="D82" s="233" t="s">
        <v>1754</v>
      </c>
      <c r="E82" s="183" t="s">
        <v>1464</v>
      </c>
      <c r="F82" s="193"/>
      <c r="G82" s="193"/>
    </row>
    <row r="83" spans="1:7" ht="37.5" x14ac:dyDescent="0.25">
      <c r="A83" s="251">
        <v>78</v>
      </c>
      <c r="B83" s="231" t="str">
        <f>Suite&amp;" Electrical Room "&amp;SWOne</f>
        <v>G104 Electrical Room XXX</v>
      </c>
      <c r="C83" s="183" t="str">
        <f>"UPS "&amp;SWOne&amp;"2"</f>
        <v>UPS XXX2</v>
      </c>
      <c r="D83" s="233" t="s">
        <v>1754</v>
      </c>
      <c r="E83" s="183" t="s">
        <v>1464</v>
      </c>
      <c r="F83" s="193"/>
      <c r="G83" s="193"/>
    </row>
    <row r="84" spans="1:7" ht="37.5" x14ac:dyDescent="0.25">
      <c r="A84" s="251">
        <v>79</v>
      </c>
      <c r="B84" s="231" t="str">
        <f>Suite&amp;" Electrical Room "&amp;SWOne</f>
        <v>G104 Electrical Room XXX</v>
      </c>
      <c r="C84" s="183" t="str">
        <f>"SCC "&amp;SWOne</f>
        <v>SCC XXX</v>
      </c>
      <c r="D84" s="233" t="s">
        <v>1755</v>
      </c>
      <c r="E84" s="183" t="s">
        <v>1464</v>
      </c>
      <c r="F84" s="193"/>
      <c r="G84" s="193"/>
    </row>
    <row r="85" spans="1:7" ht="37.5" x14ac:dyDescent="0.25">
      <c r="A85" s="251">
        <v>80</v>
      </c>
      <c r="B85" s="231" t="str">
        <f>Suite&amp;" Electrical Room "&amp;SWOne</f>
        <v>G104 Electrical Room XXX</v>
      </c>
      <c r="C85" s="183" t="str">
        <f>"SCC "&amp;SWOne</f>
        <v>SCC XXX</v>
      </c>
      <c r="D85" s="233" t="s">
        <v>1756</v>
      </c>
      <c r="E85" s="183" t="s">
        <v>1464</v>
      </c>
      <c r="F85" s="193"/>
      <c r="G85" s="193"/>
    </row>
    <row r="86" spans="1:7" ht="37.5" x14ac:dyDescent="0.25">
      <c r="A86" s="251">
        <v>81</v>
      </c>
      <c r="B86" s="231" t="str">
        <f>Suite&amp;" Electrical Room "&amp;SWOne</f>
        <v>G104 Electrical Room XXX</v>
      </c>
      <c r="C86" s="183" t="str">
        <f>"SCC "&amp;SWOne</f>
        <v>SCC XXX</v>
      </c>
      <c r="D86" s="233" t="s">
        <v>1757</v>
      </c>
      <c r="E86" s="183" t="s">
        <v>1464</v>
      </c>
      <c r="F86" s="193"/>
      <c r="G86" s="193"/>
    </row>
    <row r="87" spans="1:7" ht="37.5" x14ac:dyDescent="0.25">
      <c r="A87" s="251">
        <v>82</v>
      </c>
      <c r="B87" s="231" t="str">
        <f>Suite&amp;" Electrical Room "&amp;SWOne</f>
        <v>G104 Electrical Room XXX</v>
      </c>
      <c r="C87" s="183" t="str">
        <f t="shared" ref="C87:C98" si="2">"SW"&amp;SWOne</f>
        <v>SWXXX</v>
      </c>
      <c r="D87" s="233" t="s">
        <v>1758</v>
      </c>
      <c r="E87" s="183" t="s">
        <v>1464</v>
      </c>
      <c r="F87" s="193"/>
      <c r="G87" s="193"/>
    </row>
    <row r="88" spans="1:7" ht="37.5" x14ac:dyDescent="0.25">
      <c r="A88" s="251">
        <v>83</v>
      </c>
      <c r="B88" s="231" t="str">
        <f>Suite&amp;" Electrical Room "&amp;SWOne</f>
        <v>G104 Electrical Room XXX</v>
      </c>
      <c r="C88" s="183" t="str">
        <f t="shared" si="2"/>
        <v>SWXXX</v>
      </c>
      <c r="D88" s="186" t="str" cm="1">
        <f t="array" ref="D88">"OPEN breaker UPS-" &amp; SWOne &amp; "1."</f>
        <v>OPEN breaker UPS-XXX1.</v>
      </c>
      <c r="E88" s="183" t="s">
        <v>1464</v>
      </c>
      <c r="F88" s="193"/>
      <c r="G88" s="193"/>
    </row>
    <row r="89" spans="1:7" ht="37.5" x14ac:dyDescent="0.25">
      <c r="A89" s="251">
        <v>84</v>
      </c>
      <c r="B89" s="231" t="str">
        <f>Suite&amp;" Electrical Room "&amp;SWOne</f>
        <v>G104 Electrical Room XXX</v>
      </c>
      <c r="C89" s="183" t="str">
        <f t="shared" si="2"/>
        <v>SWXXX</v>
      </c>
      <c r="D89" s="186" t="str" cm="1">
        <f t="array" ref="D89">"Apply LOTO to breaker UPS-" &amp; SWOne &amp; "1."</f>
        <v>Apply LOTO to breaker UPS-XXX1.</v>
      </c>
      <c r="E89" s="183" t="s">
        <v>1464</v>
      </c>
      <c r="F89" s="193"/>
      <c r="G89" s="193"/>
    </row>
    <row r="90" spans="1:7" ht="37.5" x14ac:dyDescent="0.25">
      <c r="A90" s="251">
        <v>85</v>
      </c>
      <c r="B90" s="231" t="str">
        <f>Suite&amp;" Electrical Room "&amp;SWOne</f>
        <v>G104 Electrical Room XXX</v>
      </c>
      <c r="C90" s="183" t="str">
        <f t="shared" si="2"/>
        <v>SWXXX</v>
      </c>
      <c r="D90" s="186" t="s">
        <v>1518</v>
      </c>
      <c r="E90" s="183" t="s">
        <v>1464</v>
      </c>
      <c r="F90" s="193"/>
      <c r="G90" s="193"/>
    </row>
    <row r="91" spans="1:7" ht="37.5" x14ac:dyDescent="0.25">
      <c r="A91" s="251">
        <v>86</v>
      </c>
      <c r="B91" s="231" t="str">
        <f>Suite&amp;" Electrical Room "&amp;SWOne</f>
        <v>G104 Electrical Room XXX</v>
      </c>
      <c r="C91" s="183" t="str">
        <f t="shared" si="2"/>
        <v>SWXXX</v>
      </c>
      <c r="D91" s="186" t="str" cm="1">
        <f t="array" ref="D91">"OPEN breaker UPS-" &amp; SWOne &amp; "2."</f>
        <v>OPEN breaker UPS-XXX2.</v>
      </c>
      <c r="E91" s="183" t="s">
        <v>1464</v>
      </c>
      <c r="F91" s="193"/>
      <c r="G91" s="193"/>
    </row>
    <row r="92" spans="1:7" ht="37.5" x14ac:dyDescent="0.25">
      <c r="A92" s="251">
        <v>87</v>
      </c>
      <c r="B92" s="231" t="str">
        <f>Suite&amp;" Electrical Room "&amp;SWOne</f>
        <v>G104 Electrical Room XXX</v>
      </c>
      <c r="C92" s="183" t="str">
        <f t="shared" si="2"/>
        <v>SWXXX</v>
      </c>
      <c r="D92" s="186" t="str" cm="1">
        <f t="array" ref="D92">"Apply LOTO to breaker UPS-" &amp; SWOne &amp; "2."</f>
        <v>Apply LOTO to breaker UPS-XXX2.</v>
      </c>
      <c r="E92" s="183" t="s">
        <v>1464</v>
      </c>
      <c r="F92" s="193"/>
      <c r="G92" s="193"/>
    </row>
    <row r="93" spans="1:7" ht="37.5" x14ac:dyDescent="0.25">
      <c r="A93" s="251">
        <v>88</v>
      </c>
      <c r="B93" s="231" t="str">
        <f>Suite&amp;" Electrical Room "&amp;SWOne</f>
        <v>G104 Electrical Room XXX</v>
      </c>
      <c r="C93" s="183" t="str">
        <f t="shared" si="2"/>
        <v>SWXXX</v>
      </c>
      <c r="D93" s="186" t="s">
        <v>1518</v>
      </c>
      <c r="E93" s="183" t="s">
        <v>1464</v>
      </c>
      <c r="F93" s="193"/>
      <c r="G93" s="193"/>
    </row>
    <row r="94" spans="1:7" ht="37.5" x14ac:dyDescent="0.25">
      <c r="A94" s="251">
        <v>89</v>
      </c>
      <c r="B94" s="231" t="str">
        <f>Suite&amp;" Electrical Room "&amp;SWOne</f>
        <v>G104 Electrical Room XXX</v>
      </c>
      <c r="C94" s="183" t="str">
        <f t="shared" si="2"/>
        <v>SWXXX</v>
      </c>
      <c r="D94" s="186" t="str" cm="1">
        <f t="array" ref="D94">"OPEN breaker SCC-" &amp; SWOne &amp; "."</f>
        <v>OPEN breaker SCC-XXX.</v>
      </c>
      <c r="E94" s="183" t="s">
        <v>1464</v>
      </c>
      <c r="F94" s="193"/>
      <c r="G94" s="193"/>
    </row>
    <row r="95" spans="1:7" ht="37.5" x14ac:dyDescent="0.25">
      <c r="A95" s="251">
        <v>90</v>
      </c>
      <c r="B95" s="231" t="str">
        <f>Suite&amp;" Electrical Room "&amp;SWOne</f>
        <v>G104 Electrical Room XXX</v>
      </c>
      <c r="C95" s="183" t="str">
        <f t="shared" si="2"/>
        <v>SWXXX</v>
      </c>
      <c r="D95" s="186" t="str" cm="1">
        <f t="array" ref="D95">"Apply LOTO to breaker SCC-" &amp; SWOne &amp; "."</f>
        <v>Apply LOTO to breaker SCC-XXX.</v>
      </c>
      <c r="E95" s="183" t="s">
        <v>1464</v>
      </c>
      <c r="F95" s="193"/>
      <c r="G95" s="193"/>
    </row>
    <row r="96" spans="1:7" ht="37.5" x14ac:dyDescent="0.25">
      <c r="A96" s="251">
        <v>91</v>
      </c>
      <c r="B96" s="231" t="str">
        <f>Suite&amp;" Electrical Room "&amp;SWOne</f>
        <v>G104 Electrical Room XXX</v>
      </c>
      <c r="C96" s="183" t="str">
        <f t="shared" si="2"/>
        <v>SWXXX</v>
      </c>
      <c r="D96" s="186" t="s">
        <v>1518</v>
      </c>
      <c r="E96" s="183" t="s">
        <v>1464</v>
      </c>
      <c r="F96" s="193"/>
      <c r="G96" s="193"/>
    </row>
    <row r="97" spans="1:7" ht="37.5" x14ac:dyDescent="0.25">
      <c r="A97" s="251">
        <v>92</v>
      </c>
      <c r="B97" s="231" t="str">
        <f>Suite&amp;" Electrical Room "&amp;SWOne</f>
        <v>G104 Electrical Room XXX</v>
      </c>
      <c r="C97" s="183" t="str">
        <f t="shared" si="2"/>
        <v>SWXXX</v>
      </c>
      <c r="D97" s="233" t="str" cm="1">
        <f t="array" ref="D97">"UPS SYSTEM " &amp; SWOne &amp; " is now completely offline. Critical Customer Load remains on Maintenance Bypass Source."</f>
        <v>UPS SYSTEM XXX is now completely offline. Critical Customer Load remains on Maintenance Bypass Source.</v>
      </c>
      <c r="E97" s="183" t="s">
        <v>1464</v>
      </c>
      <c r="F97" s="193"/>
      <c r="G97" s="193"/>
    </row>
    <row r="98" spans="1:7" ht="37.5" x14ac:dyDescent="0.25">
      <c r="A98" s="251">
        <v>93</v>
      </c>
      <c r="B98" s="231" t="str">
        <f>Suite&amp;" Electrical Room "&amp;SWOne</f>
        <v>G104 Electrical Room XXX</v>
      </c>
      <c r="C98" s="183" t="str">
        <f t="shared" si="2"/>
        <v>SWXXX</v>
      </c>
      <c r="D98" s="233" t="s">
        <v>1584</v>
      </c>
      <c r="E98" s="183" t="s">
        <v>1464</v>
      </c>
      <c r="F98" s="193"/>
      <c r="G98" s="193"/>
    </row>
    <row r="99" spans="1:7" x14ac:dyDescent="0.25">
      <c r="A99" s="251">
        <v>94</v>
      </c>
      <c r="B99" s="711" t="str" cm="1">
        <f t="array" ref="B99">"Restart UPS System " &amp; SWOne</f>
        <v>Restart UPS System XXX</v>
      </c>
      <c r="C99" s="711"/>
      <c r="D99" s="711"/>
      <c r="E99" s="711"/>
      <c r="F99" s="711"/>
      <c r="G99" s="711"/>
    </row>
    <row r="100" spans="1:7" ht="37.5" x14ac:dyDescent="0.25">
      <c r="A100" s="251">
        <v>95</v>
      </c>
      <c r="B100" s="231" t="str">
        <f>Suite&amp;" Electrical Room "&amp;SWOne</f>
        <v>G104 Electrical Room XXX</v>
      </c>
      <c r="C100" s="183" t="str">
        <f>"UPS "&amp;SWOne</f>
        <v>UPS XXX</v>
      </c>
      <c r="D100" s="233" t="s">
        <v>1585</v>
      </c>
      <c r="E100" s="183" t="s">
        <v>1464</v>
      </c>
      <c r="F100" s="193"/>
      <c r="G100" s="193"/>
    </row>
    <row r="101" spans="1:7" ht="37.5" x14ac:dyDescent="0.25">
      <c r="A101" s="251">
        <v>96</v>
      </c>
      <c r="B101" s="231" t="str">
        <f>Suite&amp;" Electrical Room "&amp;SWOne</f>
        <v>G104 Electrical Room XXX</v>
      </c>
      <c r="C101" s="183" t="str">
        <f>"UPS "&amp;SWOne</f>
        <v>UPS XXX</v>
      </c>
      <c r="D101" s="252" t="str" cm="1">
        <f t="array" ref="D101">"By my signature below I certify that UPS-" &amp; SWOne &amp; " is ready to be returned to service."</f>
        <v>By my signature below I certify that UPS-XXX is ready to be returned to service.</v>
      </c>
      <c r="E101" s="183" t="s">
        <v>1529</v>
      </c>
      <c r="F101" s="193"/>
      <c r="G101" s="193"/>
    </row>
    <row r="102" spans="1:7" ht="37.5" x14ac:dyDescent="0.25">
      <c r="A102" s="251">
        <v>97</v>
      </c>
      <c r="B102" s="231" t="str">
        <f>Suite&amp;" Electrical Room "&amp;SWOne</f>
        <v>G104 Electrical Room XXX</v>
      </c>
      <c r="C102" s="183" t="str">
        <f>"UPS "&amp;SWOne</f>
        <v>UPS XXX</v>
      </c>
      <c r="D102" s="184" t="s">
        <v>1586</v>
      </c>
      <c r="E102" s="183" t="s">
        <v>1529</v>
      </c>
      <c r="F102" s="193"/>
      <c r="G102" s="193"/>
    </row>
    <row r="103" spans="1:7" ht="37.5" x14ac:dyDescent="0.25">
      <c r="A103" s="251">
        <v>98</v>
      </c>
      <c r="B103" s="231" t="str">
        <f>Suite&amp;" Electrical Room "&amp;SWOne</f>
        <v>G104 Electrical Room XXX</v>
      </c>
      <c r="C103" s="183" t="str">
        <f>"UP"&amp;SWOne</f>
        <v>UPXXX</v>
      </c>
      <c r="D103" s="233" t="str" cm="1">
        <f t="array" ref="D103">"NOTATE the kW reading at UP" &amp; SWOne &amp; " Critical Bus Panel Meter: _________"</f>
        <v>NOTATE the kW reading at UPXXX Critical Bus Panel Meter: _________</v>
      </c>
      <c r="E103" s="183" t="s">
        <v>1464</v>
      </c>
      <c r="F103" s="193"/>
      <c r="G103" s="193"/>
    </row>
    <row r="104" spans="1:7" ht="37.5" x14ac:dyDescent="0.25">
      <c r="A104" s="251">
        <v>99</v>
      </c>
      <c r="B104" s="231" t="str">
        <f>Suite&amp;" Electrical Room "&amp;SWOne</f>
        <v>G104 Electrical Room XXX</v>
      </c>
      <c r="C104" s="183" t="str">
        <f>"UP"&amp;SWOne</f>
        <v>UPXXX</v>
      </c>
      <c r="D104" s="233" t="str">
        <f>"VERIFY the readings in step " &amp; A59 &amp; " and " &amp; A103 &amp; " are within 3% of each other. (new kW divided by original kW must be ≤1.03 and ≥0.97)."</f>
        <v>VERIFY the readings in step 54 and 98 are within 3% of each other. (new kW divided by original kW must be ≤1.03 and ≥0.97).</v>
      </c>
      <c r="E104" s="183" t="s">
        <v>1464</v>
      </c>
      <c r="F104" s="193"/>
      <c r="G104" s="193"/>
    </row>
    <row r="105" spans="1:7" ht="56.25" x14ac:dyDescent="0.25">
      <c r="A105" s="251">
        <v>100</v>
      </c>
      <c r="B105" s="231" t="str">
        <f>Suite&amp;" Electrical Room "&amp;SWOne</f>
        <v>G104 Electrical Room XXX</v>
      </c>
      <c r="C105" s="183" t="str">
        <f t="shared" ref="C105:C116" si="3">"UPS "&amp;SWOne&amp;" Battery Cabinets"</f>
        <v>UPS XXX Battery Cabinets</v>
      </c>
      <c r="D105" s="186" t="str" cm="1">
        <f t="array" ref="D105">"Remove LOTO from the Cabinet " &amp; SWOne &amp; "1-1 battery breaker."</f>
        <v>Remove LOTO from the Cabinet XXX1-1 battery breaker.</v>
      </c>
      <c r="E105" s="183" t="s">
        <v>1464</v>
      </c>
      <c r="F105" s="193"/>
      <c r="G105" s="193"/>
    </row>
    <row r="106" spans="1:7" ht="56.25" x14ac:dyDescent="0.25">
      <c r="A106" s="251">
        <v>101</v>
      </c>
      <c r="B106" s="231" t="str">
        <f>Suite&amp;" Electrical Room "&amp;SWOne</f>
        <v>G104 Electrical Room XXX</v>
      </c>
      <c r="C106" s="183" t="str">
        <f t="shared" si="3"/>
        <v>UPS XXX Battery Cabinets</v>
      </c>
      <c r="D106" s="186" t="s">
        <v>1518</v>
      </c>
      <c r="E106" s="183" t="s">
        <v>1464</v>
      </c>
      <c r="F106" s="193"/>
      <c r="G106" s="193"/>
    </row>
    <row r="107" spans="1:7" ht="56.25" x14ac:dyDescent="0.25">
      <c r="A107" s="251">
        <v>102</v>
      </c>
      <c r="B107" s="231" t="str">
        <f>Suite&amp;" Electrical Room "&amp;SWOne</f>
        <v>G104 Electrical Room XXX</v>
      </c>
      <c r="C107" s="183" t="str">
        <f t="shared" si="3"/>
        <v>UPS XXX Battery Cabinets</v>
      </c>
      <c r="D107" s="186" t="str" cm="1">
        <f t="array" ref="D107">"Remove LOTO from the Cabinet " &amp; SWOne &amp; "1-2 battery breaker."</f>
        <v>Remove LOTO from the Cabinet XXX1-2 battery breaker.</v>
      </c>
      <c r="E107" s="183" t="s">
        <v>1464</v>
      </c>
      <c r="F107" s="193"/>
      <c r="G107" s="193"/>
    </row>
    <row r="108" spans="1:7" ht="56.25" x14ac:dyDescent="0.25">
      <c r="A108" s="251">
        <v>103</v>
      </c>
      <c r="B108" s="231" t="str">
        <f>Suite&amp;" Electrical Room "&amp;SWOne</f>
        <v>G104 Electrical Room XXX</v>
      </c>
      <c r="C108" s="183" t="str">
        <f t="shared" si="3"/>
        <v>UPS XXX Battery Cabinets</v>
      </c>
      <c r="D108" s="186" t="s">
        <v>1518</v>
      </c>
      <c r="E108" s="183" t="s">
        <v>1464</v>
      </c>
      <c r="F108" s="193"/>
      <c r="G108" s="193"/>
    </row>
    <row r="109" spans="1:7" ht="56.25" x14ac:dyDescent="0.25">
      <c r="A109" s="251">
        <v>104</v>
      </c>
      <c r="B109" s="231" t="str">
        <f>Suite&amp;" Electrical Room "&amp;SWOne</f>
        <v>G104 Electrical Room XXX</v>
      </c>
      <c r="C109" s="183" t="str">
        <f t="shared" si="3"/>
        <v>UPS XXX Battery Cabinets</v>
      </c>
      <c r="D109" s="186" t="str" cm="1">
        <f t="array" ref="D109">"Remove LOTO from the Cabinet " &amp; SWOne &amp; "1-3 battery breaker."</f>
        <v>Remove LOTO from the Cabinet XXX1-3 battery breaker.</v>
      </c>
      <c r="E109" s="183" t="s">
        <v>1464</v>
      </c>
      <c r="F109" s="193"/>
      <c r="G109" s="193"/>
    </row>
    <row r="110" spans="1:7" ht="56.25" x14ac:dyDescent="0.25">
      <c r="A110" s="251">
        <v>105</v>
      </c>
      <c r="B110" s="231" t="str">
        <f>Suite&amp;" Electrical Room "&amp;SWOne</f>
        <v>G104 Electrical Room XXX</v>
      </c>
      <c r="C110" s="183" t="str">
        <f t="shared" si="3"/>
        <v>UPS XXX Battery Cabinets</v>
      </c>
      <c r="D110" s="186" t="s">
        <v>1518</v>
      </c>
      <c r="E110" s="183" t="s">
        <v>1464</v>
      </c>
      <c r="F110" s="193"/>
      <c r="G110" s="193"/>
    </row>
    <row r="111" spans="1:7" ht="56.25" x14ac:dyDescent="0.25">
      <c r="A111" s="251">
        <v>106</v>
      </c>
      <c r="B111" s="231" t="str">
        <f>Suite&amp;" Electrical Room "&amp;SWOne</f>
        <v>G104 Electrical Room XXX</v>
      </c>
      <c r="C111" s="183" t="str">
        <f t="shared" si="3"/>
        <v>UPS XXX Battery Cabinets</v>
      </c>
      <c r="D111" s="186" t="str" cm="1">
        <f t="array" ref="D111">"Remove LOTO from the Cabinet " &amp; SWOne &amp; "2-1 battery breaker."</f>
        <v>Remove LOTO from the Cabinet XXX2-1 battery breaker.</v>
      </c>
      <c r="E111" s="183" t="s">
        <v>1464</v>
      </c>
      <c r="F111" s="193"/>
      <c r="G111" s="193"/>
    </row>
    <row r="112" spans="1:7" ht="56.25" x14ac:dyDescent="0.25">
      <c r="A112" s="251">
        <v>107</v>
      </c>
      <c r="B112" s="231" t="str">
        <f>Suite&amp;" Electrical Room "&amp;SWOne</f>
        <v>G104 Electrical Room XXX</v>
      </c>
      <c r="C112" s="183" t="str">
        <f t="shared" si="3"/>
        <v>UPS XXX Battery Cabinets</v>
      </c>
      <c r="D112" s="186" t="s">
        <v>1518</v>
      </c>
      <c r="E112" s="183" t="s">
        <v>1464</v>
      </c>
      <c r="F112" s="193"/>
      <c r="G112" s="193"/>
    </row>
    <row r="113" spans="1:7" ht="56.25" x14ac:dyDescent="0.25">
      <c r="A113" s="251">
        <v>108</v>
      </c>
      <c r="B113" s="231" t="str">
        <f>Suite&amp;" Electrical Room "&amp;SWOne</f>
        <v>G104 Electrical Room XXX</v>
      </c>
      <c r="C113" s="183" t="str">
        <f t="shared" si="3"/>
        <v>UPS XXX Battery Cabinets</v>
      </c>
      <c r="D113" s="186" t="str" cm="1">
        <f t="array" ref="D113">"Remove LOTO from the Cabinet " &amp; SWOne &amp; "2-2 battery breaker."</f>
        <v>Remove LOTO from the Cabinet XXX2-2 battery breaker.</v>
      </c>
      <c r="E113" s="183" t="s">
        <v>1464</v>
      </c>
      <c r="F113" s="193"/>
      <c r="G113" s="193"/>
    </row>
    <row r="114" spans="1:7" ht="56.25" x14ac:dyDescent="0.25">
      <c r="A114" s="251">
        <v>109</v>
      </c>
      <c r="B114" s="231" t="str">
        <f>Suite&amp;" Electrical Room "&amp;SWOne</f>
        <v>G104 Electrical Room XXX</v>
      </c>
      <c r="C114" s="183" t="str">
        <f t="shared" si="3"/>
        <v>UPS XXX Battery Cabinets</v>
      </c>
      <c r="D114" s="186" t="s">
        <v>1518</v>
      </c>
      <c r="E114" s="183" t="s">
        <v>1464</v>
      </c>
      <c r="F114" s="193"/>
      <c r="G114" s="193"/>
    </row>
    <row r="115" spans="1:7" ht="56.25" x14ac:dyDescent="0.25">
      <c r="A115" s="251">
        <v>110</v>
      </c>
      <c r="B115" s="231" t="str">
        <f>Suite&amp;" Electrical Room "&amp;SWOne</f>
        <v>G104 Electrical Room XXX</v>
      </c>
      <c r="C115" s="183" t="str">
        <f t="shared" si="3"/>
        <v>UPS XXX Battery Cabinets</v>
      </c>
      <c r="D115" s="186" t="str" cm="1">
        <f t="array" ref="D115">"Remove LOTO from the Cabinet " &amp; SWOne &amp; "2-3 battery breaker."</f>
        <v>Remove LOTO from the Cabinet XXX2-3 battery breaker.</v>
      </c>
      <c r="E115" s="183" t="s">
        <v>1464</v>
      </c>
      <c r="F115" s="193"/>
      <c r="G115" s="193"/>
    </row>
    <row r="116" spans="1:7" ht="56.25" x14ac:dyDescent="0.25">
      <c r="A116" s="251">
        <v>111</v>
      </c>
      <c r="B116" s="231" t="str">
        <f>Suite&amp;" Electrical Room "&amp;SWOne</f>
        <v>G104 Electrical Room XXX</v>
      </c>
      <c r="C116" s="183" t="str">
        <f t="shared" si="3"/>
        <v>UPS XXX Battery Cabinets</v>
      </c>
      <c r="D116" s="186" t="s">
        <v>1518</v>
      </c>
      <c r="E116" s="183" t="s">
        <v>1464</v>
      </c>
      <c r="F116" s="193"/>
      <c r="G116" s="193"/>
    </row>
    <row r="117" spans="1:7" ht="37.5" x14ac:dyDescent="0.25">
      <c r="A117" s="251">
        <v>112</v>
      </c>
      <c r="B117" s="231" t="str">
        <f>Suite&amp;" Electrical Room "&amp;SWOne</f>
        <v>G104 Electrical Room XXX</v>
      </c>
      <c r="C117" s="183" t="str">
        <f>"UP"&amp;SWOne</f>
        <v>UPXXX</v>
      </c>
      <c r="D117" s="233" t="str" cm="1">
        <f t="array" ref="D117">"Remove LOTO from breaker MCBUP" &amp; SWOne &amp; "."</f>
        <v>Remove LOTO from breaker MCBUPXXX.</v>
      </c>
      <c r="E117" s="183" t="s">
        <v>1464</v>
      </c>
      <c r="F117" s="193"/>
      <c r="G117" s="193"/>
    </row>
    <row r="118" spans="1:7" ht="37.5" x14ac:dyDescent="0.25">
      <c r="A118" s="251">
        <v>113</v>
      </c>
      <c r="B118" s="231" t="str">
        <f>Suite&amp;" Electrical Room "&amp;SWOne</f>
        <v>G104 Electrical Room XXX</v>
      </c>
      <c r="C118" s="183" t="str">
        <f>"UP"&amp;SWOne</f>
        <v>UPXXX</v>
      </c>
      <c r="D118" s="186" t="s">
        <v>1518</v>
      </c>
      <c r="E118" s="183" t="s">
        <v>1464</v>
      </c>
      <c r="F118" s="193"/>
      <c r="G118" s="193"/>
    </row>
    <row r="119" spans="1:7" ht="37.5" x14ac:dyDescent="0.25">
      <c r="A119" s="251">
        <v>114</v>
      </c>
      <c r="B119" s="231" t="str">
        <f>Suite&amp;" Electrical Room "&amp;SWOne</f>
        <v>G104 Electrical Room XXX</v>
      </c>
      <c r="C119" s="183" t="str">
        <f>"SW"&amp;SWOne</f>
        <v>SWXXX</v>
      </c>
      <c r="D119" s="186" t="str" cm="1">
        <f t="array" ref="D119">"Remove LOTO from breaker UPS-" &amp; SWOne &amp; "1."</f>
        <v>Remove LOTO from breaker UPS-XXX1.</v>
      </c>
      <c r="E119" s="183" t="s">
        <v>1464</v>
      </c>
      <c r="F119" s="193"/>
      <c r="G119" s="193"/>
    </row>
    <row r="120" spans="1:7" ht="37.5" x14ac:dyDescent="0.25">
      <c r="A120" s="251">
        <v>115</v>
      </c>
      <c r="B120" s="231" t="str">
        <f>Suite&amp;" Electrical Room "&amp;SWOne</f>
        <v>G104 Electrical Room XXX</v>
      </c>
      <c r="C120" s="183" t="str">
        <f>"SW"&amp;SWOne</f>
        <v>SWXXX</v>
      </c>
      <c r="D120" s="186" t="s">
        <v>1518</v>
      </c>
      <c r="E120" s="183" t="s">
        <v>1464</v>
      </c>
      <c r="F120" s="193"/>
      <c r="G120" s="193"/>
    </row>
    <row r="121" spans="1:7" ht="37.5" x14ac:dyDescent="0.25">
      <c r="A121" s="251">
        <v>116</v>
      </c>
      <c r="B121" s="231" t="str">
        <f>Suite&amp;" Electrical Room "&amp;SWOne</f>
        <v>G104 Electrical Room XXX</v>
      </c>
      <c r="C121" s="183" t="str">
        <f>"SW"&amp;SWOne</f>
        <v>SWXXX</v>
      </c>
      <c r="D121" s="186" t="str" cm="1">
        <f t="array" ref="D121">"Remove LOTO from breaker UPS-" &amp; SWOne &amp; "2."</f>
        <v>Remove LOTO from breaker UPS-XXX2.</v>
      </c>
      <c r="E121" s="183" t="s">
        <v>1464</v>
      </c>
      <c r="F121" s="193"/>
      <c r="G121" s="193"/>
    </row>
    <row r="122" spans="1:7" ht="37.5" x14ac:dyDescent="0.25">
      <c r="A122" s="251">
        <v>117</v>
      </c>
      <c r="B122" s="231" t="str">
        <f>Suite&amp;" Electrical Room "&amp;SWOne</f>
        <v>G104 Electrical Room XXX</v>
      </c>
      <c r="C122" s="183" t="str">
        <f>"SW"&amp;SWOne</f>
        <v>SWXXX</v>
      </c>
      <c r="D122" s="186" t="s">
        <v>1518</v>
      </c>
      <c r="E122" s="183" t="s">
        <v>1464</v>
      </c>
      <c r="F122" s="193"/>
      <c r="G122" s="193"/>
    </row>
    <row r="123" spans="1:7" ht="37.5" x14ac:dyDescent="0.25">
      <c r="A123" s="251">
        <v>118</v>
      </c>
      <c r="B123" s="231" t="str">
        <f>Suite&amp;" Electrical Room "&amp;SWOne</f>
        <v>G104 Electrical Room XXX</v>
      </c>
      <c r="C123" s="183" t="str">
        <f>"SW"&amp;SWOne</f>
        <v>SWXXX</v>
      </c>
      <c r="D123" s="186" t="str" cm="1">
        <f t="array" ref="D123">"Remove LOTO from breaker SCC-" &amp; SWOne &amp; "."</f>
        <v>Remove LOTO from breaker SCC-XXX.</v>
      </c>
      <c r="E123" s="183" t="s">
        <v>1464</v>
      </c>
      <c r="F123" s="193"/>
      <c r="G123" s="193"/>
    </row>
    <row r="124" spans="1:7" ht="37.5" x14ac:dyDescent="0.25">
      <c r="A124" s="251">
        <v>119</v>
      </c>
      <c r="B124" s="231" t="str">
        <f>Suite&amp;" Electrical Room "&amp;SWOne</f>
        <v>G104 Electrical Room XXX</v>
      </c>
      <c r="C124" s="183" t="str">
        <f>"SW"&amp;SWOne</f>
        <v>SWXXX</v>
      </c>
      <c r="D124" s="186" t="s">
        <v>1518</v>
      </c>
      <c r="E124" s="183" t="s">
        <v>1464</v>
      </c>
      <c r="F124" s="193"/>
      <c r="G124" s="193"/>
    </row>
    <row r="125" spans="1:7" ht="37.5" x14ac:dyDescent="0.25">
      <c r="A125" s="251">
        <v>120</v>
      </c>
      <c r="B125" s="231" t="str">
        <f>Suite&amp;" Electrical Room "&amp;SWOne</f>
        <v>G104 Electrical Room XXX</v>
      </c>
      <c r="C125" s="183" t="str">
        <f>"SW"&amp;SWOne</f>
        <v>SWXXX</v>
      </c>
      <c r="D125" s="186" t="str" cm="1">
        <f t="array" ref="D125">"Close breaker UPS-" &amp; SWOne &amp; "1."</f>
        <v>Close breaker UPS-XXX1.</v>
      </c>
      <c r="E125" s="183" t="s">
        <v>1464</v>
      </c>
      <c r="F125" s="193"/>
      <c r="G125" s="193"/>
    </row>
    <row r="126" spans="1:7" ht="37.5" x14ac:dyDescent="0.25">
      <c r="A126" s="251">
        <v>121</v>
      </c>
      <c r="B126" s="231" t="str">
        <f>Suite&amp;" Electrical Room "&amp;SWOne</f>
        <v>G104 Electrical Room XXX</v>
      </c>
      <c r="C126" s="183" t="str">
        <f>"SW"&amp;SWOne</f>
        <v>SWXXX</v>
      </c>
      <c r="D126" s="186" t="str" cm="1">
        <f t="array" ref="D126">"Close breaker UPS-" &amp; SWOne &amp; "2."</f>
        <v>Close breaker UPS-XXX2.</v>
      </c>
      <c r="E126" s="183" t="s">
        <v>1464</v>
      </c>
      <c r="F126" s="193"/>
      <c r="G126" s="193"/>
    </row>
    <row r="127" spans="1:7" ht="37.5" x14ac:dyDescent="0.25">
      <c r="A127" s="251">
        <v>122</v>
      </c>
      <c r="B127" s="231" t="str">
        <f>Suite&amp;" Electrical Room "&amp;SWOne</f>
        <v>G104 Electrical Room XXX</v>
      </c>
      <c r="C127" s="183" t="str">
        <f>"SW"&amp;SWOne</f>
        <v>SWXXX</v>
      </c>
      <c r="D127" s="186" t="str" cm="1">
        <f t="array" ref="D127">"Close breaker SCC-" &amp; SWOne &amp; "."</f>
        <v>Close breaker SCC-XXX.</v>
      </c>
      <c r="E127" s="183" t="s">
        <v>1464</v>
      </c>
      <c r="F127" s="193"/>
      <c r="G127" s="193"/>
    </row>
    <row r="128" spans="1:7" ht="37.5" x14ac:dyDescent="0.25">
      <c r="A128" s="251">
        <v>123</v>
      </c>
      <c r="B128" s="231" t="str">
        <f>Suite&amp;" Electrical Room "&amp;SWOne</f>
        <v>G104 Electrical Room XXX</v>
      </c>
      <c r="C128" s="183" t="str">
        <f>"SCC "&amp;SWOne</f>
        <v>SCC XXX</v>
      </c>
      <c r="D128" s="233" t="s">
        <v>1755</v>
      </c>
      <c r="E128" s="183" t="s">
        <v>1464</v>
      </c>
      <c r="F128" s="193"/>
      <c r="G128" s="193"/>
    </row>
    <row r="129" spans="1:7" ht="37.5" x14ac:dyDescent="0.25">
      <c r="A129" s="251">
        <v>124</v>
      </c>
      <c r="B129" s="231" t="str">
        <f>Suite&amp;" Electrical Room "&amp;SWOne</f>
        <v>G104 Electrical Room XXX</v>
      </c>
      <c r="C129" s="183" t="str">
        <f>"SCC "&amp;SWOne</f>
        <v>SCC XXX</v>
      </c>
      <c r="D129" s="233" t="s">
        <v>1759</v>
      </c>
      <c r="E129" s="183" t="s">
        <v>1464</v>
      </c>
      <c r="F129" s="193"/>
      <c r="G129" s="193"/>
    </row>
    <row r="130" spans="1:7" ht="37.5" x14ac:dyDescent="0.25">
      <c r="A130" s="251">
        <v>125</v>
      </c>
      <c r="B130" s="231" t="str">
        <f>Suite&amp;" Electrical Room "&amp;SWOne</f>
        <v>G104 Electrical Room XXX</v>
      </c>
      <c r="C130" s="183" t="str">
        <f>"SCC "&amp;SWOne</f>
        <v>SCC XXX</v>
      </c>
      <c r="D130" s="233" t="s">
        <v>1760</v>
      </c>
      <c r="E130" s="183" t="s">
        <v>1464</v>
      </c>
      <c r="F130" s="193"/>
      <c r="G130" s="193"/>
    </row>
    <row r="131" spans="1:7" ht="37.5" x14ac:dyDescent="0.25">
      <c r="A131" s="251">
        <v>126</v>
      </c>
      <c r="B131" s="231" t="str">
        <f>Suite&amp;" Electrical Room "&amp;SWOne</f>
        <v>G104 Electrical Room XXX</v>
      </c>
      <c r="C131" s="183" t="str">
        <f>"SCC "&amp;SWOne</f>
        <v>SCC XXX</v>
      </c>
      <c r="D131" s="233" t="s">
        <v>1761</v>
      </c>
      <c r="E131" s="183" t="s">
        <v>1464</v>
      </c>
      <c r="F131" s="193"/>
      <c r="G131" s="193"/>
    </row>
    <row r="132" spans="1:7" ht="37.5" x14ac:dyDescent="0.25">
      <c r="A132" s="251">
        <v>127</v>
      </c>
      <c r="B132" s="231" t="str">
        <f>Suite&amp;" Electrical Room "&amp;SWOne</f>
        <v>G104 Electrical Room XXX</v>
      </c>
      <c r="C132" s="183" t="str">
        <f>"UPS "&amp;SWOne&amp;"1"</f>
        <v>UPS XXX1</v>
      </c>
      <c r="D132" s="233" t="s">
        <v>1762</v>
      </c>
      <c r="E132" s="183" t="s">
        <v>1464</v>
      </c>
      <c r="F132" s="193"/>
      <c r="G132" s="193"/>
    </row>
    <row r="133" spans="1:7" ht="37.5" x14ac:dyDescent="0.25">
      <c r="A133" s="251">
        <v>128</v>
      </c>
      <c r="B133" s="231" t="str">
        <f>Suite&amp;" Electrical Room "&amp;SWOne</f>
        <v>G104 Electrical Room XXX</v>
      </c>
      <c r="C133" s="183" t="str">
        <f>"UPS "&amp;SWOne&amp;"1"</f>
        <v>UPS XXX1</v>
      </c>
      <c r="D133" s="233" t="s">
        <v>1749</v>
      </c>
      <c r="E133" s="183" t="s">
        <v>1464</v>
      </c>
      <c r="F133" s="193"/>
      <c r="G133" s="193"/>
    </row>
    <row r="134" spans="1:7" ht="37.5" x14ac:dyDescent="0.25">
      <c r="A134" s="251">
        <v>129</v>
      </c>
      <c r="B134" s="231" t="str">
        <f>Suite&amp;" Electrical Room "&amp;SWOne</f>
        <v>G104 Electrical Room XXX</v>
      </c>
      <c r="C134" s="183" t="str">
        <f>"UPS "&amp;SWOne&amp;"2"</f>
        <v>UPS XXX2</v>
      </c>
      <c r="D134" s="233" t="s">
        <v>1762</v>
      </c>
      <c r="E134" s="183" t="s">
        <v>1464</v>
      </c>
      <c r="F134" s="193"/>
      <c r="G134" s="193"/>
    </row>
    <row r="135" spans="1:7" ht="37.5" x14ac:dyDescent="0.25">
      <c r="A135" s="251">
        <v>130</v>
      </c>
      <c r="B135" s="231" t="str">
        <f>Suite&amp;" Electrical Room "&amp;SWOne</f>
        <v>G104 Electrical Room XXX</v>
      </c>
      <c r="C135" s="183" t="str">
        <f>"UPS "&amp;SWOne&amp;"2"</f>
        <v>UPS XXX2</v>
      </c>
      <c r="D135" s="233" t="s">
        <v>1749</v>
      </c>
      <c r="E135" s="183" t="s">
        <v>1464</v>
      </c>
      <c r="F135" s="193"/>
      <c r="G135" s="193"/>
    </row>
    <row r="136" spans="1:7" ht="37.5" x14ac:dyDescent="0.25">
      <c r="A136" s="251">
        <v>131</v>
      </c>
      <c r="B136" s="231" t="str">
        <f>Suite&amp;" Electrical Room "&amp;SWOne</f>
        <v>G104 Electrical Room XXX</v>
      </c>
      <c r="C136" s="183" t="str">
        <f>"SCC "&amp;SWOne</f>
        <v>SCC XXX</v>
      </c>
      <c r="D136" s="233" t="s">
        <v>1749</v>
      </c>
      <c r="E136" s="183" t="s">
        <v>1464</v>
      </c>
      <c r="F136" s="193"/>
      <c r="G136" s="193"/>
    </row>
    <row r="137" spans="1:7" ht="56.25" x14ac:dyDescent="0.25">
      <c r="A137" s="251">
        <v>132</v>
      </c>
      <c r="B137" s="231" t="str">
        <f>Suite&amp;" Electrical Room "&amp;SWOne</f>
        <v>G104 Electrical Room XXX</v>
      </c>
      <c r="C137" s="183" t="str">
        <f t="shared" ref="C137:C142" si="4">"UPS "&amp;SWOne&amp;" Battery Cabinets"</f>
        <v>UPS XXX Battery Cabinets</v>
      </c>
      <c r="D137" s="186" t="str" cm="1">
        <f t="array" ref="D137">"CLOSE the Cabinet " &amp; SWOne &amp; "1-1 battery breaker."</f>
        <v>CLOSE the Cabinet XXX1-1 battery breaker.</v>
      </c>
      <c r="E137" s="183" t="s">
        <v>1464</v>
      </c>
      <c r="F137" s="193"/>
      <c r="G137" s="193"/>
    </row>
    <row r="138" spans="1:7" ht="56.25" x14ac:dyDescent="0.25">
      <c r="A138" s="251">
        <v>133</v>
      </c>
      <c r="B138" s="231" t="str">
        <f>Suite&amp;" Electrical Room "&amp;SWOne</f>
        <v>G104 Electrical Room XXX</v>
      </c>
      <c r="C138" s="183" t="str">
        <f t="shared" si="4"/>
        <v>UPS XXX Battery Cabinets</v>
      </c>
      <c r="D138" s="186" t="str" cm="1">
        <f t="array" ref="D138">"CLOSE the Cabinet " &amp; SWOne &amp; "1-2 battery breaker."</f>
        <v>CLOSE the Cabinet XXX1-2 battery breaker.</v>
      </c>
      <c r="E138" s="183" t="s">
        <v>1464</v>
      </c>
      <c r="F138" s="193"/>
      <c r="G138" s="193"/>
    </row>
    <row r="139" spans="1:7" ht="56.25" x14ac:dyDescent="0.25">
      <c r="A139" s="251">
        <v>134</v>
      </c>
      <c r="B139" s="231" t="str">
        <f>Suite&amp;" Electrical Room "&amp;SWOne</f>
        <v>G104 Electrical Room XXX</v>
      </c>
      <c r="C139" s="183" t="str">
        <f t="shared" si="4"/>
        <v>UPS XXX Battery Cabinets</v>
      </c>
      <c r="D139" s="186" t="str" cm="1">
        <f t="array" ref="D139">"CLOSE the Cabinet " &amp; SWOne &amp; "1-3 battery breaker."</f>
        <v>CLOSE the Cabinet XXX1-3 battery breaker.</v>
      </c>
      <c r="E139" s="183" t="s">
        <v>1464</v>
      </c>
      <c r="F139" s="193"/>
      <c r="G139" s="193"/>
    </row>
    <row r="140" spans="1:7" ht="56.25" x14ac:dyDescent="0.25">
      <c r="A140" s="251">
        <v>135</v>
      </c>
      <c r="B140" s="231" t="str">
        <f>Suite&amp;" Electrical Room "&amp;SWOne</f>
        <v>G104 Electrical Room XXX</v>
      </c>
      <c r="C140" s="183" t="str">
        <f t="shared" si="4"/>
        <v>UPS XXX Battery Cabinets</v>
      </c>
      <c r="D140" s="186" t="str" cm="1">
        <f t="array" ref="D140">"CLOSE the Cabinet " &amp; SWOne &amp; "2-1 battery breaker."</f>
        <v>CLOSE the Cabinet XXX2-1 battery breaker.</v>
      </c>
      <c r="E140" s="183" t="s">
        <v>1464</v>
      </c>
      <c r="F140" s="193"/>
      <c r="G140" s="193"/>
    </row>
    <row r="141" spans="1:7" ht="56.25" x14ac:dyDescent="0.25">
      <c r="A141" s="251">
        <v>136</v>
      </c>
      <c r="B141" s="231" t="str">
        <f>Suite&amp;" Electrical Room "&amp;SWOne</f>
        <v>G104 Electrical Room XXX</v>
      </c>
      <c r="C141" s="183" t="str">
        <f t="shared" si="4"/>
        <v>UPS XXX Battery Cabinets</v>
      </c>
      <c r="D141" s="186" t="str" cm="1">
        <f t="array" ref="D141">"CLOSE the Cabinet " &amp; SWOne &amp; "2-2 battery breaker."</f>
        <v>CLOSE the Cabinet XXX2-2 battery breaker.</v>
      </c>
      <c r="E141" s="183" t="s">
        <v>1464</v>
      </c>
      <c r="F141" s="193"/>
      <c r="G141" s="193"/>
    </row>
    <row r="142" spans="1:7" ht="56.25" x14ac:dyDescent="0.25">
      <c r="A142" s="251">
        <v>137</v>
      </c>
      <c r="B142" s="231" t="str">
        <f>Suite&amp;" Electrical Room "&amp;SWOne</f>
        <v>G104 Electrical Room XXX</v>
      </c>
      <c r="C142" s="183" t="str">
        <f t="shared" si="4"/>
        <v>UPS XXX Battery Cabinets</v>
      </c>
      <c r="D142" s="186" t="str" cm="1">
        <f t="array" ref="D142">"CLOSE the Cabinet " &amp; SWOne &amp; "2-3 battery breaker."</f>
        <v>CLOSE the Cabinet XXX2-3 battery breaker.</v>
      </c>
      <c r="E142" s="183" t="s">
        <v>1464</v>
      </c>
      <c r="F142" s="193"/>
      <c r="G142" s="193"/>
    </row>
    <row r="143" spans="1:7" ht="37.5" x14ac:dyDescent="0.25">
      <c r="A143" s="251">
        <v>138</v>
      </c>
      <c r="B143" s="231" t="str">
        <f>Suite&amp;" Electrical Room "&amp;SWOne</f>
        <v>G104 Electrical Room XXX</v>
      </c>
      <c r="C143" s="183" t="str">
        <f>"UPS "&amp;SWOne&amp;"1"</f>
        <v>UPS XXX1</v>
      </c>
      <c r="D143" s="233" t="s">
        <v>1763</v>
      </c>
      <c r="E143" s="183" t="s">
        <v>1464</v>
      </c>
      <c r="F143" s="193"/>
      <c r="G143" s="193"/>
    </row>
    <row r="144" spans="1:7" ht="37.5" x14ac:dyDescent="0.25">
      <c r="A144" s="251">
        <v>139</v>
      </c>
      <c r="B144" s="231" t="str">
        <f>Suite&amp;" Electrical Room "&amp;SWOne</f>
        <v>G104 Electrical Room XXX</v>
      </c>
      <c r="C144" s="183" t="str">
        <f>"UPS "&amp;SWOne&amp;"2"</f>
        <v>UPS XXX2</v>
      </c>
      <c r="D144" s="233" t="s">
        <v>1763</v>
      </c>
      <c r="E144" s="183" t="s">
        <v>1464</v>
      </c>
      <c r="F144" s="193"/>
      <c r="G144" s="193"/>
    </row>
    <row r="145" spans="1:7" ht="37.5" x14ac:dyDescent="0.25">
      <c r="A145" s="251">
        <v>140</v>
      </c>
      <c r="B145" s="231" t="str">
        <f>Suite&amp;" Electrical Room "&amp;SWOne</f>
        <v>G104 Electrical Room XXX</v>
      </c>
      <c r="C145" s="183" t="str">
        <f>"UPS "&amp;SWOne</f>
        <v>UPS XXX</v>
      </c>
      <c r="D145" s="233" t="str" cm="1">
        <f t="array" ref="D145">"UPS SYSTEM "&amp; SWOne &amp;" is now online and ready to accept load. Critical Customer Load remains on Maintenance Bypass Source."</f>
        <v>UPS SYSTEM XXX is now online and ready to accept load. Critical Customer Load remains on Maintenance Bypass Source.</v>
      </c>
      <c r="E145" s="183" t="s">
        <v>1464</v>
      </c>
      <c r="F145" s="193"/>
      <c r="G145" s="193"/>
    </row>
    <row r="146" spans="1:7" x14ac:dyDescent="0.25">
      <c r="A146" s="251">
        <v>141</v>
      </c>
      <c r="B146" s="711" t="s">
        <v>1602</v>
      </c>
      <c r="C146" s="711"/>
      <c r="D146" s="711"/>
      <c r="E146" s="711"/>
      <c r="F146" s="711"/>
      <c r="G146" s="711"/>
    </row>
    <row r="147" spans="1:7" ht="37.5" x14ac:dyDescent="0.25">
      <c r="A147" s="251">
        <v>142</v>
      </c>
      <c r="B147" s="231" t="str">
        <f>Suite&amp;" Electrical Room "&amp;SWOne</f>
        <v>G104 Electrical Room XXX</v>
      </c>
      <c r="C147" s="183" t="str">
        <f>"UP"&amp;SWOne</f>
        <v>UPXXX</v>
      </c>
      <c r="D147" s="233" t="str" cm="1">
        <f t="array" ref="D147">"NOTATE the kW reading at UP" &amp; SWOne &amp; " Critical Bus Panel Meter: _________"</f>
        <v>NOTATE the kW reading at UPXXX Critical Bus Panel Meter: _________</v>
      </c>
      <c r="E147" s="183" t="s">
        <v>1464</v>
      </c>
      <c r="F147" s="193"/>
      <c r="G147" s="193"/>
    </row>
    <row r="148" spans="1:7" ht="37.5" x14ac:dyDescent="0.25">
      <c r="A148" s="251">
        <v>143</v>
      </c>
      <c r="B148" s="231" t="str">
        <f>Suite&amp;" Electrical Room "&amp;SWOne</f>
        <v>G104 Electrical Room XXX</v>
      </c>
      <c r="C148" s="183" t="str">
        <f>"UP"&amp;SWOne</f>
        <v>UPXXX</v>
      </c>
      <c r="D148" s="233" t="str">
        <f>"VERIFY the readings in step " &amp; A103 &amp; " and " &amp; A147 &amp; " are within 3% of each other. (new kW divided by original kW must be ≤1.03 and ≥0.97)."</f>
        <v>VERIFY the readings in step 98 and 142 are within 3% of each other. (new kW divided by original kW must be ≤1.03 and ≥0.97).</v>
      </c>
      <c r="E148" s="183" t="s">
        <v>1464</v>
      </c>
      <c r="F148" s="193"/>
      <c r="G148" s="193"/>
    </row>
    <row r="149" spans="1:7" ht="37.5" x14ac:dyDescent="0.25">
      <c r="A149" s="251">
        <v>144</v>
      </c>
      <c r="B149" s="231" t="str">
        <f>Suite&amp;" Electrical Room "&amp;SWOne</f>
        <v>G104 Electrical Room XXX</v>
      </c>
      <c r="C149" s="183" t="str">
        <f t="shared" ref="C149" si="5">"UP"&amp;SWOne</f>
        <v>UPXXX</v>
      </c>
      <c r="D149" s="186" t="s">
        <v>1569</v>
      </c>
      <c r="E149" s="183" t="s">
        <v>1464</v>
      </c>
      <c r="F149" s="193"/>
      <c r="G149" s="193"/>
    </row>
    <row r="150" spans="1:7" ht="37.5" x14ac:dyDescent="0.25">
      <c r="A150" s="251">
        <v>145</v>
      </c>
      <c r="B150" s="231" t="str">
        <f>Suite&amp;" Electrical Room "&amp;SWOne</f>
        <v>G104 Electrical Room XXX</v>
      </c>
      <c r="C150" s="183" t="str">
        <f t="shared" ref="C150:C169" si="6">"UP"&amp;SWOne</f>
        <v>UPXXX</v>
      </c>
      <c r="D150" s="186" t="s">
        <v>1570</v>
      </c>
      <c r="E150" s="183" t="s">
        <v>1464</v>
      </c>
      <c r="F150" s="193"/>
      <c r="G150" s="193"/>
    </row>
    <row r="151" spans="1:7" ht="37.5" x14ac:dyDescent="0.25">
      <c r="A151" s="251">
        <v>146</v>
      </c>
      <c r="B151" s="231" t="str">
        <f>Suite&amp;" Electrical Room "&amp;SWOne</f>
        <v>G104 Electrical Room XXX</v>
      </c>
      <c r="C151" s="183" t="str">
        <f t="shared" si="6"/>
        <v>UPXXX</v>
      </c>
      <c r="D151" s="233" t="str" cm="1">
        <f t="array" ref="D151">"INSERT the interlock key into the MCBUP" &amp; SWOne &amp; " breaker lock cylinder."</f>
        <v>INSERT the interlock key into the MCBUPXXX breaker lock cylinder.</v>
      </c>
      <c r="E151" s="183" t="s">
        <v>1464</v>
      </c>
      <c r="F151" s="193"/>
      <c r="G151" s="193"/>
    </row>
    <row r="152" spans="1:7" ht="37.5" x14ac:dyDescent="0.25">
      <c r="A152" s="251">
        <v>147</v>
      </c>
      <c r="B152" s="231" t="str">
        <f>Suite&amp;" Electrical Room "&amp;SWOne</f>
        <v>G104 Electrical Room XXX</v>
      </c>
      <c r="C152" s="183" t="str">
        <f t="shared" si="6"/>
        <v>UPXXX</v>
      </c>
      <c r="D152" s="186" t="str" cm="1">
        <f t="array" ref="D152">"ROTATE the interlock key 180 degrees to UNLOCK the MCBUP" &amp; SWOne &amp; " breaker."</f>
        <v>ROTATE the interlock key 180 degrees to UNLOCK the MCBUPXXX breaker.</v>
      </c>
      <c r="E152" s="183" t="s">
        <v>1464</v>
      </c>
      <c r="F152" s="193"/>
      <c r="G152" s="193"/>
    </row>
    <row r="153" spans="1:7" ht="37.5" x14ac:dyDescent="0.25">
      <c r="A153" s="251">
        <v>148</v>
      </c>
      <c r="B153" s="231" t="str">
        <f>Suite&amp;" Electrical Room "&amp;SWOne</f>
        <v>G104 Electrical Room XXX</v>
      </c>
      <c r="C153" s="183" t="str">
        <f t="shared" si="6"/>
        <v>UPXXX</v>
      </c>
      <c r="D153" s="233" t="str" cm="1">
        <f t="array" ref="D153">"Close breaker MCBUP"&amp;SWOne&amp;"."</f>
        <v>Close breaker MCBUPXXX.</v>
      </c>
      <c r="E153" s="183" t="s">
        <v>1464</v>
      </c>
      <c r="F153" s="193"/>
      <c r="G153" s="193"/>
    </row>
    <row r="154" spans="1:7" ht="37.5" x14ac:dyDescent="0.25">
      <c r="A154" s="251">
        <v>149</v>
      </c>
      <c r="B154" s="231" t="str">
        <f>Suite&amp;" Electrical Room "&amp;SWOne</f>
        <v>G104 Electrical Room XXX</v>
      </c>
      <c r="C154" s="183" t="str">
        <f t="shared" si="6"/>
        <v>UPXXX</v>
      </c>
      <c r="D154" s="186" t="str" cm="1">
        <f t="array" ref="D154">"VERIFY MCBUP" &amp; SWOne &amp; " breaker flag indicates CLOSED."</f>
        <v>VERIFY MCBUPXXX breaker flag indicates CLOSED.</v>
      </c>
      <c r="E154" s="183" t="s">
        <v>1464</v>
      </c>
      <c r="F154" s="193"/>
      <c r="G154" s="193"/>
    </row>
    <row r="155" spans="1:7" ht="37.5" x14ac:dyDescent="0.25">
      <c r="A155" s="251">
        <v>150</v>
      </c>
      <c r="B155" s="231" t="str">
        <f>Suite&amp;" Electrical Room "&amp;SWOne</f>
        <v>G104 Electrical Room XXX</v>
      </c>
      <c r="C155" s="183" t="str">
        <f t="shared" si="6"/>
        <v>UPXXX</v>
      </c>
      <c r="D155" s="233" t="str" cm="1">
        <f t="array" ref="D155">"VERIFY breaker MCBUP"&amp;SWOne&amp;" is carrying a portion of critical customer load using breaker mounted metering."</f>
        <v>VERIFY breaker MCBUPXXX is carrying a portion of critical customer load using breaker mounted metering.</v>
      </c>
      <c r="E155" s="183" t="s">
        <v>1464</v>
      </c>
      <c r="F155" s="193"/>
      <c r="G155" s="193"/>
    </row>
    <row r="156" spans="1:7" ht="37.5" x14ac:dyDescent="0.25">
      <c r="A156" s="251">
        <v>151</v>
      </c>
      <c r="B156" s="231" t="str">
        <f>Suite&amp;" Electrical Room "&amp;SWOne</f>
        <v>G104 Electrical Room XXX</v>
      </c>
      <c r="C156" s="183" t="str">
        <f t="shared" si="6"/>
        <v>UPXXX</v>
      </c>
      <c r="D156" s="233" t="str" cm="1">
        <f t="array" ref="D156">"VERIFY breaker MBUP"&amp;SWOne&amp;" is carrying a portion of critical customer load using breaker mounted metering."</f>
        <v>VERIFY breaker MBUPXXX is carrying a portion of critical customer load using breaker mounted metering.</v>
      </c>
      <c r="E156" s="183" t="s">
        <v>1464</v>
      </c>
      <c r="F156" s="193"/>
      <c r="G156" s="193"/>
    </row>
    <row r="157" spans="1:7" ht="37.5" x14ac:dyDescent="0.25">
      <c r="A157" s="251">
        <v>152</v>
      </c>
      <c r="B157" s="231" t="str">
        <f>Suite&amp;" Electrical Room "&amp;SWOne</f>
        <v>G104 Electrical Room XXX</v>
      </c>
      <c r="C157" s="183" t="str">
        <f t="shared" si="6"/>
        <v>UPXXX</v>
      </c>
      <c r="D157" s="233" t="str" cm="1">
        <f t="array" ref="D157">"NOTATE the kW reading at UP" &amp; SWOne &amp; " Critical Bus Panel Meter: _________"</f>
        <v>NOTATE the kW reading at UPXXX Critical Bus Panel Meter: _________</v>
      </c>
      <c r="E157" s="183" t="s">
        <v>1464</v>
      </c>
      <c r="F157" s="193"/>
      <c r="G157" s="193"/>
    </row>
    <row r="158" spans="1:7" ht="37.5" x14ac:dyDescent="0.25">
      <c r="A158" s="251">
        <v>153</v>
      </c>
      <c r="B158" s="231" t="str">
        <f>Suite&amp;" Electrical Room "&amp;SWOne</f>
        <v>G104 Electrical Room XXX</v>
      </c>
      <c r="C158" s="183" t="str">
        <f t="shared" si="6"/>
        <v>UPXXX</v>
      </c>
      <c r="D158" s="233" t="str">
        <f>"VERIFY the readings in step " &amp; A147 &amp; " and " &amp; A157 &amp; " are within 3% of each other. (new kW divided by original kW must be ≤1.03 and ≥0.97)."</f>
        <v>VERIFY the readings in step 142 and 152 are within 3% of each other. (new kW divided by original kW must be ≤1.03 and ≥0.97).</v>
      </c>
      <c r="E158" s="183" t="s">
        <v>1464</v>
      </c>
      <c r="F158" s="193"/>
      <c r="G158" s="193"/>
    </row>
    <row r="159" spans="1:7" ht="37.5" x14ac:dyDescent="0.25">
      <c r="A159" s="251">
        <v>154</v>
      </c>
      <c r="B159" s="231" t="str">
        <f>Suite&amp;" Electrical Room "&amp;SWOne</f>
        <v>G104 Electrical Room XXX</v>
      </c>
      <c r="C159" s="183" t="str">
        <f t="shared" si="6"/>
        <v>UPXXX</v>
      </c>
      <c r="D159" s="233" t="str" cm="1">
        <f t="array" ref="D159">"OPEN breaker MBUP"&amp;SWOne&amp;"."</f>
        <v>OPEN breaker MBUPXXX.</v>
      </c>
      <c r="E159" s="183" t="s">
        <v>1464</v>
      </c>
      <c r="F159" s="193"/>
      <c r="G159" s="193"/>
    </row>
    <row r="160" spans="1:7" ht="37.5" x14ac:dyDescent="0.25">
      <c r="A160" s="251">
        <v>155</v>
      </c>
      <c r="B160" s="231" t="str">
        <f>Suite&amp;" Electrical Room "&amp;SWOne</f>
        <v>G104 Electrical Room XXX</v>
      </c>
      <c r="C160" s="183" t="str">
        <f t="shared" si="6"/>
        <v>UPXXX</v>
      </c>
      <c r="D160" s="233" t="s">
        <v>1501</v>
      </c>
      <c r="E160" s="183" t="s">
        <v>1464</v>
      </c>
      <c r="F160" s="193"/>
      <c r="G160" s="193"/>
    </row>
    <row r="161" spans="1:7" ht="37.5" x14ac:dyDescent="0.25">
      <c r="A161" s="251">
        <v>156</v>
      </c>
      <c r="B161" s="231" t="str">
        <f>Suite&amp;" Electrical Room "&amp;SWOne</f>
        <v>G104 Electrical Room XXX</v>
      </c>
      <c r="C161" s="183" t="str">
        <f t="shared" si="6"/>
        <v>UPXXX</v>
      </c>
      <c r="D161" s="186" t="str" cm="1">
        <f t="array" ref="D161">"VERIFY MBUP" &amp; SWOne &amp; " breaker flag indicates OFF."</f>
        <v>VERIFY MBUPXXX breaker flag indicates OFF.</v>
      </c>
      <c r="E161" s="183" t="s">
        <v>1464</v>
      </c>
      <c r="F161" s="193"/>
      <c r="G161" s="193"/>
    </row>
    <row r="162" spans="1:7" ht="37.5" x14ac:dyDescent="0.25">
      <c r="A162" s="251">
        <v>157</v>
      </c>
      <c r="B162" s="231" t="str">
        <f>Suite&amp;" Electrical Room "&amp;SWOne</f>
        <v>G104 Electrical Room XXX</v>
      </c>
      <c r="C162" s="183" t="str">
        <f t="shared" si="6"/>
        <v>UPXXX</v>
      </c>
      <c r="D162" s="233" t="str" cm="1">
        <f t="array" ref="D162">"NOTATE the kW reading at UP" &amp; SWOne &amp; " Critical Bus Panel Meter: _________"</f>
        <v>NOTATE the kW reading at UPXXX Critical Bus Panel Meter: _________</v>
      </c>
      <c r="E162" s="183" t="s">
        <v>1464</v>
      </c>
      <c r="F162" s="193"/>
      <c r="G162" s="193"/>
    </row>
    <row r="163" spans="1:7" ht="37.5" x14ac:dyDescent="0.25">
      <c r="A163" s="251">
        <v>158</v>
      </c>
      <c r="B163" s="231" t="str">
        <f>Suite&amp;" Electrical Room "&amp;SWOne</f>
        <v>G104 Electrical Room XXX</v>
      </c>
      <c r="C163" s="183" t="str">
        <f t="shared" si="6"/>
        <v>UPXXX</v>
      </c>
      <c r="D163" s="233" t="str">
        <f>"VERIFY the readings in step " &amp; A157 &amp; " and " &amp; A162 &amp; " are within 3% of each other. (new kW divided by original kW must be ≤1.03 and ≥0.97)."</f>
        <v>VERIFY the readings in step 152 and 157 are within 3% of each other. (new kW divided by original kW must be ≤1.03 and ≥0.97).</v>
      </c>
      <c r="E163" s="183" t="s">
        <v>1464</v>
      </c>
      <c r="F163" s="193"/>
      <c r="G163" s="193"/>
    </row>
    <row r="164" spans="1:7" ht="37.5" x14ac:dyDescent="0.25">
      <c r="A164" s="251">
        <v>159</v>
      </c>
      <c r="B164" s="231" t="str">
        <f>Suite&amp;" Electrical Room "&amp;SWOne</f>
        <v>G104 Electrical Room XXX</v>
      </c>
      <c r="C164" s="183" t="str">
        <f t="shared" si="6"/>
        <v>UPXXX</v>
      </c>
      <c r="D164" s="186" t="str" cm="1">
        <f t="array" ref="D164">"ROTATE the interlock key 180 degrees to LOCK the MBUP"&amp;SWOne&amp;" breaker while simultaneously pulling the lock tab."</f>
        <v>ROTATE the interlock key 180 degrees to LOCK the MBUPXXX breaker while simultaneously pulling the lock tab.</v>
      </c>
      <c r="E164" s="183" t="s">
        <v>1464</v>
      </c>
      <c r="F164" s="193"/>
      <c r="G164" s="193"/>
    </row>
    <row r="165" spans="1:7" ht="37.5" x14ac:dyDescent="0.25">
      <c r="A165" s="251">
        <v>160</v>
      </c>
      <c r="B165" s="231" t="str">
        <f>Suite&amp;" Electrical Room "&amp;SWOne</f>
        <v>G104 Electrical Room XXX</v>
      </c>
      <c r="C165" s="183" t="str">
        <f t="shared" si="6"/>
        <v>UPXXX</v>
      </c>
      <c r="D165" s="186" t="str" cm="1">
        <f t="array" ref="D165">"REMOVE the interlock key from the MBUP"&amp;SWOne&amp;" breaker lock cylinder."</f>
        <v>REMOVE the interlock key from the MBUPXXX breaker lock cylinder.</v>
      </c>
      <c r="E165" s="183" t="s">
        <v>1464</v>
      </c>
      <c r="F165" s="193"/>
      <c r="G165" s="193"/>
    </row>
    <row r="166" spans="1:7" ht="37.5" x14ac:dyDescent="0.25">
      <c r="A166" s="251">
        <v>161</v>
      </c>
      <c r="B166" s="231" t="str">
        <f>Suite&amp;" Electrical Room "&amp;SWOne</f>
        <v>G104 Electrical Room XXX</v>
      </c>
      <c r="C166" s="183" t="str">
        <f t="shared" si="6"/>
        <v>UPXXX</v>
      </c>
      <c r="D166" s="233" t="s">
        <v>1573</v>
      </c>
      <c r="E166" s="183" t="s">
        <v>1464</v>
      </c>
      <c r="F166" s="193"/>
      <c r="G166" s="193"/>
    </row>
    <row r="167" spans="1:7" ht="37.5" x14ac:dyDescent="0.25">
      <c r="A167" s="251">
        <v>162</v>
      </c>
      <c r="B167" s="231" t="str">
        <f>Suite&amp;" Electrical Room "&amp;SWOne</f>
        <v>G104 Electrical Room XXX</v>
      </c>
      <c r="C167" s="183" t="str">
        <f t="shared" si="6"/>
        <v>UPXXX</v>
      </c>
      <c r="D167" s="186" t="s">
        <v>1574</v>
      </c>
      <c r="E167" s="183" t="s">
        <v>1464</v>
      </c>
      <c r="F167" s="193"/>
      <c r="G167" s="193"/>
    </row>
    <row r="168" spans="1:7" ht="37.5" x14ac:dyDescent="0.25">
      <c r="A168" s="251">
        <v>163</v>
      </c>
      <c r="B168" s="231" t="str">
        <f>Suite&amp;" Electrical Room "&amp;SWOne</f>
        <v>G104 Electrical Room XXX</v>
      </c>
      <c r="C168" s="183" t="str">
        <f t="shared" si="6"/>
        <v>UPXXX</v>
      </c>
      <c r="D168" s="186" t="s">
        <v>1575</v>
      </c>
      <c r="E168" s="183" t="s">
        <v>1464</v>
      </c>
      <c r="F168" s="193"/>
      <c r="G168" s="193"/>
    </row>
    <row r="169" spans="1:7" ht="37.5" x14ac:dyDescent="0.25">
      <c r="A169" s="251">
        <v>164</v>
      </c>
      <c r="B169" s="231" t="str">
        <f>Suite&amp;" Electrical Room "&amp;SWOne</f>
        <v>G104 Electrical Room XXX</v>
      </c>
      <c r="C169" s="183" t="str">
        <f t="shared" si="6"/>
        <v>UPXXX</v>
      </c>
      <c r="D169" s="186" t="s">
        <v>1510</v>
      </c>
      <c r="E169" s="183" t="s">
        <v>1464</v>
      </c>
      <c r="F169" s="193"/>
      <c r="G169" s="193"/>
    </row>
    <row r="170" spans="1:7" x14ac:dyDescent="0.25">
      <c r="A170" s="251">
        <v>165</v>
      </c>
      <c r="B170" s="711" t="str" cm="1">
        <f t="array" ref="B170">"Transfer UPS System " &amp; SWOne &amp;" to Inverter Service"</f>
        <v>Transfer UPS System XXX to Inverter Service</v>
      </c>
      <c r="C170" s="711"/>
      <c r="D170" s="711"/>
      <c r="E170" s="711"/>
      <c r="F170" s="711"/>
      <c r="G170" s="711"/>
    </row>
    <row r="171" spans="1:7" ht="37.5" x14ac:dyDescent="0.25">
      <c r="A171" s="251">
        <v>166</v>
      </c>
      <c r="B171" s="231" t="str">
        <f>Suite&amp;" Electrical Room "&amp;SWOne</f>
        <v>G104 Electrical Room XXX</v>
      </c>
      <c r="C171" s="183" t="str">
        <f>"UPS "&amp;SWOne&amp;"1"</f>
        <v>UPS XXX1</v>
      </c>
      <c r="D171" s="233" t="s">
        <v>1764</v>
      </c>
      <c r="E171" s="183" t="s">
        <v>1464</v>
      </c>
      <c r="F171" s="193"/>
      <c r="G171" s="193"/>
    </row>
    <row r="172" spans="1:7" ht="56.25" x14ac:dyDescent="0.25">
      <c r="A172" s="251">
        <v>167</v>
      </c>
      <c r="B172" s="231" t="str">
        <f>Suite&amp;" Electrical Room "&amp;SWOne</f>
        <v>G104 Electrical Room XXX</v>
      </c>
      <c r="C172" s="183" t="str">
        <f>"UPS "&amp;SWOne&amp;"1"</f>
        <v>UPS XXX1</v>
      </c>
      <c r="D172" s="233" t="str" cm="1">
        <f t="array" ref="D172">"The red ‘Load Not Protected’ status LED will extinguish and the green ‘Load Protected’ status LED will illuminate. Expect to hear UPS-"&amp; SWOne &amp;"1 inverter start and SCC Internal Bypass Breaker Q2S OPEN at this step."</f>
        <v>The red ‘Load Not Protected’ status LED will extinguish and the green ‘Load Protected’ status LED will illuminate. Expect to hear UPS-XXX1 inverter start and SCC Internal Bypass Breaker Q2S OPEN at this step.</v>
      </c>
      <c r="E172" s="183" t="s">
        <v>1464</v>
      </c>
      <c r="F172" s="193"/>
      <c r="G172" s="193"/>
    </row>
    <row r="173" spans="1:7" ht="37.5" x14ac:dyDescent="0.25">
      <c r="A173" s="251">
        <v>168</v>
      </c>
      <c r="B173" s="231" t="str">
        <f>Suite&amp;" Electrical Room "&amp;SWOne</f>
        <v>G104 Electrical Room XXX</v>
      </c>
      <c r="C173" s="183" t="str">
        <f>"UPS "&amp;SWOne&amp;"2"</f>
        <v>UPS XXX2</v>
      </c>
      <c r="D173" s="233" t="s">
        <v>1764</v>
      </c>
      <c r="E173" s="183" t="s">
        <v>1464</v>
      </c>
      <c r="F173" s="193"/>
      <c r="G173" s="193"/>
    </row>
    <row r="174" spans="1:7" ht="56.25" x14ac:dyDescent="0.25">
      <c r="A174" s="251">
        <v>169</v>
      </c>
      <c r="B174" s="231" t="str">
        <f>Suite&amp;" Electrical Room "&amp;SWOne</f>
        <v>G104 Electrical Room XXX</v>
      </c>
      <c r="C174" s="183" t="str">
        <f>"UPS "&amp;SWOne&amp;"2"</f>
        <v>UPS XXX2</v>
      </c>
      <c r="D174" s="233" t="str" cm="1">
        <f t="array" ref="D174">"The red ‘Load Not Protected’ status LED will extinguish and the green ‘Load Protected’ status LED will illuminate. Expect to hear UPS-"&amp; SWOne &amp;"2 inverter start at this step."</f>
        <v>The red ‘Load Not Protected’ status LED will extinguish and the green ‘Load Protected’ status LED will illuminate. Expect to hear UPS-XXX2 inverter start at this step.</v>
      </c>
      <c r="E174" s="183" t="s">
        <v>1464</v>
      </c>
      <c r="F174" s="193"/>
      <c r="G174" s="193"/>
    </row>
    <row r="175" spans="1:7" ht="37.5" x14ac:dyDescent="0.25">
      <c r="A175" s="251">
        <v>170</v>
      </c>
      <c r="B175" s="231" t="str">
        <f>Suite&amp;" Electrical Room "&amp;SWOne</f>
        <v>G104 Electrical Room XXX</v>
      </c>
      <c r="C175" s="183" t="str">
        <f>"SCC "&amp;SWOne</f>
        <v>SCC XXX</v>
      </c>
      <c r="D175" s="233" t="s">
        <v>1765</v>
      </c>
      <c r="E175" s="183" t="s">
        <v>1464</v>
      </c>
      <c r="F175" s="193"/>
      <c r="G175" s="193"/>
    </row>
    <row r="176" spans="1:7" ht="37.5" x14ac:dyDescent="0.25">
      <c r="A176" s="251">
        <v>171</v>
      </c>
      <c r="B176" s="231" t="str">
        <f>Suite&amp;" Electrical Room "&amp;SWOne</f>
        <v>G104 Electrical Room XXX</v>
      </c>
      <c r="C176" s="183" t="str">
        <f>"SCC "&amp;SWOne</f>
        <v>SCC XXX</v>
      </c>
      <c r="D176" s="233" t="s">
        <v>1557</v>
      </c>
      <c r="E176" s="183" t="s">
        <v>1464</v>
      </c>
      <c r="F176" s="193"/>
      <c r="G176" s="193"/>
    </row>
    <row r="177" spans="1:7" ht="37.5" x14ac:dyDescent="0.25">
      <c r="A177" s="251">
        <v>172</v>
      </c>
      <c r="B177" s="231" t="str">
        <f>Suite&amp;" Electrical Rooms"</f>
        <v>G104 Electrical Rooms</v>
      </c>
      <c r="C177" s="183" t="str" cm="1">
        <f t="array" ref="C177">Suite &amp; " UPS Systems"</f>
        <v>G104 UPS Systems</v>
      </c>
      <c r="D177" s="252" t="str">
        <f>"VERIFY all "&amp;Suite&amp;" UPS systems are on-line with no critical alarms present."</f>
        <v>VERIFY all G104 UPS systems are on-line with no critical alarms present.</v>
      </c>
      <c r="E177" s="183" t="s">
        <v>1464</v>
      </c>
      <c r="F177" s="193"/>
      <c r="G177" s="193"/>
    </row>
    <row r="178" spans="1:7" ht="37.5" x14ac:dyDescent="0.25">
      <c r="A178" s="251">
        <v>173</v>
      </c>
      <c r="B178" s="231" t="str">
        <f>Suite&amp;" Electrical Room "&amp;SWOne</f>
        <v>G104 Electrical Room XXX</v>
      </c>
      <c r="C178" s="183" t="str">
        <f>"UPS "&amp;SWOne&amp;"1"</f>
        <v>UPS XXX1</v>
      </c>
      <c r="D178" s="252" t="str" cm="1">
        <f t="array" ref="D178">"NOTATE the output kW reading at UPS-" &amp; SWOne &amp; "1:  ___________"</f>
        <v>NOTATE the output kW reading at UPS-XXX1:  ___________</v>
      </c>
      <c r="E178" s="183" t="s">
        <v>1464</v>
      </c>
      <c r="F178" s="193"/>
      <c r="G178" s="193"/>
    </row>
    <row r="179" spans="1:7" ht="37.5" x14ac:dyDescent="0.25">
      <c r="A179" s="251">
        <v>174</v>
      </c>
      <c r="B179" s="231" t="str">
        <f>Suite&amp;" Electrical Room "&amp;SWOne</f>
        <v>G104 Electrical Room XXX</v>
      </c>
      <c r="C179" s="183" t="str">
        <f>"UPS "&amp;SWOne&amp;"2"</f>
        <v>UPS XXX2</v>
      </c>
      <c r="D179" s="252" t="str" cm="1">
        <f t="array" ref="D179">"NOTATE the output kW reading at UPS-" &amp; SWOne &amp; "2:  ___________"</f>
        <v>NOTATE the output kW reading at UPS-XXX2:  ___________</v>
      </c>
      <c r="E179" s="183" t="s">
        <v>1464</v>
      </c>
      <c r="F179" s="193"/>
      <c r="G179" s="193"/>
    </row>
    <row r="180" spans="1:7" ht="37.5" x14ac:dyDescent="0.25">
      <c r="A180" s="251">
        <v>175</v>
      </c>
      <c r="B180" s="231" t="str">
        <f>Suite&amp;" Electrical Room "&amp;SWOne</f>
        <v>G104 Electrical Room XXX</v>
      </c>
      <c r="C180" s="183" t="str">
        <f t="shared" ref="C180:C181" si="7">"UP"&amp;SWOne</f>
        <v>UPXXX</v>
      </c>
      <c r="D180" s="233" t="str" cm="1">
        <f t="array" ref="D180">"NOTATE the kW reading at UP" &amp; SWOne &amp; " Critical Bus Panel Meter: _________"</f>
        <v>NOTATE the kW reading at UPXXX Critical Bus Panel Meter: _________</v>
      </c>
      <c r="E180" s="183" t="s">
        <v>1464</v>
      </c>
      <c r="F180" s="193"/>
      <c r="G180" s="193"/>
    </row>
    <row r="181" spans="1:7" ht="37.5" x14ac:dyDescent="0.25">
      <c r="A181" s="251">
        <v>176</v>
      </c>
      <c r="B181" s="231" t="str">
        <f>Suite&amp;" Electrical Room "&amp;SWOne</f>
        <v>G104 Electrical Room XXX</v>
      </c>
      <c r="C181" s="183" t="str">
        <f t="shared" si="7"/>
        <v>UPXXX</v>
      </c>
      <c r="D181" s="233" t="str">
        <f>"VERIFY the readings in step " &amp; A162 &amp; " and " &amp; A180 &amp; " are within 3% of each other. (new kW divided by original kW must be ≤1.03 and ≥0.97)."</f>
        <v>VERIFY the readings in step 157 and 175 are within 3% of each other. (new kW divided by original kW must be ≤1.03 and ≥0.97).</v>
      </c>
      <c r="E181" s="183" t="s">
        <v>1464</v>
      </c>
      <c r="F181" s="193"/>
      <c r="G181" s="193"/>
    </row>
    <row r="182" spans="1:7" ht="37.5" x14ac:dyDescent="0.25">
      <c r="A182" s="251">
        <v>177</v>
      </c>
      <c r="B182" s="183" t="s">
        <v>1462</v>
      </c>
      <c r="C182" s="183" t="s">
        <v>84</v>
      </c>
      <c r="D182" s="252" t="str">
        <f>"Contact the engineer stationed on base to verify no abnormal conditions exist on the suite " &amp; Suite &amp; " electrical systems."</f>
        <v>Contact the engineer stationed on base to verify no abnormal conditions exist on the suite G104 electrical systems.</v>
      </c>
      <c r="E182" s="183" t="s">
        <v>1464</v>
      </c>
      <c r="F182" s="193"/>
      <c r="G182" s="193"/>
    </row>
    <row r="183" spans="1:7" x14ac:dyDescent="0.3">
      <c r="A183" s="192"/>
    </row>
    <row r="184" spans="1:7" x14ac:dyDescent="0.3">
      <c r="A184" s="192"/>
    </row>
    <row r="185" spans="1:7" x14ac:dyDescent="0.3">
      <c r="A185" s="192"/>
    </row>
    <row r="186" spans="1:7" x14ac:dyDescent="0.3">
      <c r="A186" s="192"/>
    </row>
    <row r="187" spans="1:7" x14ac:dyDescent="0.3">
      <c r="A187" s="192"/>
    </row>
    <row r="188" spans="1:7" x14ac:dyDescent="0.3">
      <c r="A188" s="192"/>
    </row>
    <row r="189" spans="1:7" x14ac:dyDescent="0.3">
      <c r="A189" s="192"/>
    </row>
    <row r="190" spans="1:7" x14ac:dyDescent="0.3">
      <c r="A190" s="192"/>
    </row>
    <row r="191" spans="1:7" x14ac:dyDescent="0.3">
      <c r="A191" s="192"/>
    </row>
  </sheetData>
  <sheetProtection formatCells="0" formatColumns="0" formatRows="0" insertRows="0" deleteRows="0" sort="0" autoFilter="0"/>
  <mergeCells count="12">
    <mergeCell ref="A2:B2"/>
    <mergeCell ref="C2:G2"/>
    <mergeCell ref="A4:C4"/>
    <mergeCell ref="B170:G170"/>
    <mergeCell ref="B6:G6"/>
    <mergeCell ref="B8:G8"/>
    <mergeCell ref="B19:G19"/>
    <mergeCell ref="B21:G21"/>
    <mergeCell ref="B32:G32"/>
    <mergeCell ref="B61:G61"/>
    <mergeCell ref="B99:G99"/>
    <mergeCell ref="B146:G146"/>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ignoredErrors>
    <ignoredError sqref="A2:B2 A1 C1:G1 B24:C24 F24:G24 B32:G32 B27:C27 F27:G27 C61:G61 B128:D128 B125:C127 F127:G127 B131:D131 B129:C129 F129:G129 B133:D133 B132:C132 F132:G132 B134:C134 F134:G134 B146:G146 B137:C144 F144:G144 B160:D160 B8:G8 F7:G7 D18 B178:C179 F179:G179 B10:C15 F15:G15 C21:G21 B20:C20 F20:G20 B23:D23 B26:D26 B29:D29 B31:C31 F31:G31 B33:C41 F41:G41 F43:G43 B44:C48 F48:G48 F52:G52 B53:C58 F58:G58 F59:G59 B64:C66 F66:G66 F70:G72 B85:D85 B86:C87 B88:C88 F91:G91 F88:G88 F94:G94 B97:C98 F98:G98 C99:G99 F102:G102 F100:G100 B63:D63 B136:D136 F147:G148 B150:C159 F159:G159 C170:G170 B161:C161 F161:G161 F162:G162 B164:C164 F164:G164 B165:C169 F169:G169 B171:C171 B176:D176 F171:G171 B173:C173 F173:G173 B175:C175 F175:G175 F180:G180 F181:G181 C19:G19 F177:G177 B145:C145 F145:G145 F9:G9 F10:G10 F11:G11 F12:G12 F13:G13 F14:G14 F18:G18 B22:D22 F22:G22 F23:G23 B25:D25 F25:G25 F26:G26 B28:D28 F28:G28 F29:G29 F33:G33 F34:G34 F35:G35 F36:G36 F37:G37 F38:G38 F39:G39 F40:G40 F44:G44 F45:G45 F46:G46 F47:G47 F53:G53 F54:G54 F55:G55 F56:G56 F57:G57 B62:D62 F62:G62 F63:G63 F64:G64 F65:G65 B82:D82 F82:G82 B83:D83 F83:G83 B84:D84 F84:G84 F85:G85 F86:G86 F87:G87 F97:G97 F125:G125 F126:G126 F128:G128 B130:D130 F130:G130 F131:G131 F133:G133 B135:D135 F135:G135 F136:G136 F137:G137 F138:G138 F139:G139 F140:G140 F141:G141 F142:G142 F143:G143 F150:G150 F151:G151 F152:G152 F153:G153 F154:G154 F155:G155 F156:G156 F157:G157 F158:G158 F160:G160 F165:G165 F166:G166 F167:G167 F168:G168 F176:G176 F178:G178 A4:G6" unlockedFormula="1"/>
  </ignoredError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88FB-E1F0-4940-9632-9CE55227EE23}">
  <sheetPr codeName="MGE_B">
    <pageSetUpPr fitToPage="1"/>
  </sheetPr>
  <dimension ref="A1:I191"/>
  <sheetViews>
    <sheetView view="pageBreakPreview" zoomScale="90" zoomScaleNormal="100" zoomScaleSheetLayoutView="90" workbookViewId="0">
      <selection activeCell="D39" sqref="D39"/>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51">
        <f>'MGE-A'!A182+1</f>
        <v>178</v>
      </c>
      <c r="B6" s="712" t="s">
        <v>1461</v>
      </c>
      <c r="C6" s="712"/>
      <c r="D6" s="715"/>
      <c r="E6" s="712"/>
      <c r="F6" s="712"/>
      <c r="G6" s="712"/>
    </row>
    <row r="7" spans="1:9" ht="37.5" x14ac:dyDescent="0.25">
      <c r="A7" s="251">
        <f>A6+1</f>
        <v>179</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x14ac:dyDescent="0.25">
      <c r="A8" s="251">
        <f t="shared" ref="A8:A73" si="0">A7+1</f>
        <v>180</v>
      </c>
      <c r="B8" s="713" t="s">
        <v>1465</v>
      </c>
      <c r="C8" s="713"/>
      <c r="D8" s="713"/>
      <c r="E8" s="713"/>
      <c r="F8" s="713"/>
      <c r="G8" s="713"/>
    </row>
    <row r="9" spans="1:9" ht="37.5" x14ac:dyDescent="0.25">
      <c r="A9" s="251">
        <f t="shared" si="0"/>
        <v>181</v>
      </c>
      <c r="B9" s="231" t="str">
        <f>Suite&amp;" Electrical Rooms"</f>
        <v>G104 Electrical Rooms</v>
      </c>
      <c r="C9" s="183" t="str" cm="1">
        <f t="array" ref="C9">Suite &amp; " UPS Systems"</f>
        <v>G104 UPS Systems</v>
      </c>
      <c r="D9" s="252" t="str">
        <f>"VERIFY all "&amp;Suite&amp;" UPS systems are on-line with no critical alarms present."</f>
        <v>VERIFY all G104 UPS systems are on-line with no critical alarms present.</v>
      </c>
      <c r="E9" s="183" t="s">
        <v>1464</v>
      </c>
      <c r="F9" s="193"/>
      <c r="G9" s="193"/>
    </row>
    <row r="10" spans="1:9" ht="37.5" x14ac:dyDescent="0.25">
      <c r="A10" s="251">
        <f t="shared" si="0"/>
        <v>182</v>
      </c>
      <c r="B10" s="231" t="str">
        <f>Suite&amp;" Electrical Room "&amp;SWOne</f>
        <v>G104 Electrical Room XXX</v>
      </c>
      <c r="C10" s="183" t="str">
        <f>"UPS "&amp;SWOne&amp;"1"</f>
        <v>UPS XXX1</v>
      </c>
      <c r="D10" s="252" t="str" cm="1">
        <f t="array" ref="D10">"NOTATE the output kW reading at UPS-" &amp; SWOne &amp; "1:  ___________"</f>
        <v>NOTATE the output kW reading at UPS-XXX1:  ___________</v>
      </c>
      <c r="E10" s="183" t="s">
        <v>1464</v>
      </c>
      <c r="F10" s="193"/>
      <c r="G10" s="193"/>
    </row>
    <row r="11" spans="1:9" ht="37.5" x14ac:dyDescent="0.25">
      <c r="A11" s="251">
        <f t="shared" si="0"/>
        <v>183</v>
      </c>
      <c r="B11" s="231" t="str">
        <f>Suite&amp;" Electrical Room "&amp;SWOne</f>
        <v>G104 Electrical Room XXX</v>
      </c>
      <c r="C11" s="183" t="str">
        <f>"UPS "&amp;SWOne&amp;"2"</f>
        <v>UPS XXX2</v>
      </c>
      <c r="D11" s="252" t="str" cm="1">
        <f t="array" ref="D11">"NOTATE the output kW reading at UPS-" &amp; SWOne &amp; "2:  ___________"</f>
        <v>NOTATE the output kW reading at UPS-XXX2:  ___________</v>
      </c>
      <c r="E11" s="183" t="s">
        <v>1464</v>
      </c>
      <c r="F11" s="193"/>
      <c r="G11" s="193"/>
    </row>
    <row r="12" spans="1:9" ht="37.5" x14ac:dyDescent="0.25">
      <c r="A12" s="251">
        <f t="shared" si="0"/>
        <v>184</v>
      </c>
      <c r="B12" s="231" t="str">
        <f>Suite&amp;" Electrical Room "&amp;SWOne</f>
        <v>G104 Electrical Room XXX</v>
      </c>
      <c r="C12" s="183" t="str">
        <f>"UP"&amp;SWOne</f>
        <v>UPXXX</v>
      </c>
      <c r="D12" s="252" t="str" cm="1">
        <f t="array" ref="D12">"NOTATE the kW reading at UP" &amp; SWOne &amp; " Critical Bus Panel Meter: _________"</f>
        <v>NOTATE the kW reading at UPXXX Critical Bus Panel Meter: _________</v>
      </c>
      <c r="E12" s="183" t="s">
        <v>1464</v>
      </c>
      <c r="F12" s="193"/>
      <c r="G12" s="193"/>
    </row>
    <row r="13" spans="1:9" ht="37.5" x14ac:dyDescent="0.25">
      <c r="A13" s="251">
        <f t="shared" si="0"/>
        <v>185</v>
      </c>
      <c r="B13" s="231" t="str">
        <f>Suite&amp;" Electrical Room "&amp;SWTwo</f>
        <v>G104 Electrical Room XXX</v>
      </c>
      <c r="C13" s="183" t="str">
        <f>"UPS "&amp;SWTwo&amp;"1"</f>
        <v>UPS XXX1</v>
      </c>
      <c r="D13" s="252" t="str" cm="1">
        <f t="array" ref="D13">"NOTATE the output kW reading at UPS-" &amp; SWTwo &amp; "1:  ___________"</f>
        <v>NOTATE the output kW reading at UPS-XXX1:  ___________</v>
      </c>
      <c r="E13" s="183" t="s">
        <v>1464</v>
      </c>
      <c r="F13" s="193"/>
      <c r="G13" s="193"/>
    </row>
    <row r="14" spans="1:9" ht="37.5" x14ac:dyDescent="0.25">
      <c r="A14" s="251">
        <f t="shared" si="0"/>
        <v>186</v>
      </c>
      <c r="B14" s="231" t="str">
        <f>Suite&amp;" Electrical Room "&amp;SWTwo</f>
        <v>G104 Electrical Room XXX</v>
      </c>
      <c r="C14" s="183" t="str">
        <f>"UPS "&amp;SWTwo&amp;"2"</f>
        <v>UPS XXX2</v>
      </c>
      <c r="D14" s="252" t="str" cm="1">
        <f t="array" ref="D14">"NOTATE the output kW reading at UPS-" &amp; SWTwo &amp; "2:  ___________"</f>
        <v>NOTATE the output kW reading at UPS-XXX2:  ___________</v>
      </c>
      <c r="E14" s="183" t="s">
        <v>1464</v>
      </c>
      <c r="F14" s="193"/>
      <c r="G14" s="193"/>
    </row>
    <row r="15" spans="1:9" ht="37.5" x14ac:dyDescent="0.25">
      <c r="A15" s="251">
        <f t="shared" si="0"/>
        <v>187</v>
      </c>
      <c r="B15" s="231" t="str">
        <f>Suite&amp;" Electrical Room "&amp;SWTwo</f>
        <v>G104 Electrical Room XXX</v>
      </c>
      <c r="C15" s="183" t="str">
        <f>"UP"&amp;SWTwo</f>
        <v>UPXXX</v>
      </c>
      <c r="D15" s="252" t="str" cm="1">
        <f t="array" ref="D15">"NOTATE the kW reading at UP" &amp; SWTwo &amp; " Critical Bus Panel Meter: _________"</f>
        <v>NOTATE the kW reading at UPXXX Critical Bus Panel Meter: _________</v>
      </c>
      <c r="E15" s="183" t="s">
        <v>1464</v>
      </c>
      <c r="F15" s="193"/>
      <c r="G15" s="193"/>
    </row>
    <row r="16" spans="1:9" ht="56.25" x14ac:dyDescent="0.25">
      <c r="A16" s="251">
        <f t="shared" si="0"/>
        <v>188</v>
      </c>
      <c r="B16" s="500" t="str" cm="1">
        <f t="array" ref="B16">Suite &amp; " Electrical Rooms"</f>
        <v>G104 Electrical Rooms</v>
      </c>
      <c r="C16" s="499" t="str" cm="1">
        <f t="array" ref="C16">Suite &amp; " UPS System"</f>
        <v>G104 UPS System</v>
      </c>
      <c r="D16" s="190" t="s">
        <v>4621</v>
      </c>
      <c r="E16" s="499" t="s">
        <v>1464</v>
      </c>
      <c r="F16" s="500"/>
      <c r="G16" s="519"/>
    </row>
    <row r="17" spans="1:7" ht="37.5" x14ac:dyDescent="0.25">
      <c r="A17" s="251">
        <f t="shared" si="0"/>
        <v>189</v>
      </c>
      <c r="B17" s="500" t="str" cm="1">
        <f t="array" ref="B17">Suite &amp; " Electrical Rooms"</f>
        <v>G104 Electrical Rooms</v>
      </c>
      <c r="C17" s="499" t="str" cm="1">
        <f t="array" ref="C17">Suite &amp; " UPS System"</f>
        <v>G104 UPS System</v>
      </c>
      <c r="D17" s="191" t="str" cm="1">
        <f t="array" ref="D17">"Verify output kW readings on all UPS modules do not exceed " &amp; ROUNDDOWN(IF(POD="DR", (NumberOfSW-1)/NumberOfSW, 0.5)*(UPSkW), 0) &amp; " kW."</f>
        <v>Verify output kW readings on all UPS modules do not exceed 281 kW.</v>
      </c>
      <c r="E17" s="499" t="s">
        <v>1464</v>
      </c>
      <c r="F17" s="500"/>
      <c r="G17" s="519"/>
    </row>
    <row r="18" spans="1:7" ht="37.5" x14ac:dyDescent="0.25">
      <c r="A18" s="251">
        <f t="shared" si="0"/>
        <v>190</v>
      </c>
      <c r="B18" s="231" t="str">
        <f>Suite&amp;" Electrical Rooms"</f>
        <v>G104 Electrical Rooms</v>
      </c>
      <c r="C18" s="183" t="str" cm="1">
        <f t="array" ref="C18">Suite &amp; " UPS Systems"</f>
        <v>G104 UPS Systems</v>
      </c>
      <c r="D18" s="184" t="s">
        <v>1559</v>
      </c>
      <c r="E18" s="183" t="s">
        <v>1464</v>
      </c>
      <c r="F18" s="193"/>
      <c r="G18" s="193"/>
    </row>
    <row r="19" spans="1:7" x14ac:dyDescent="0.25">
      <c r="A19" s="251">
        <f t="shared" si="0"/>
        <v>191</v>
      </c>
      <c r="B19" s="713" t="str" cm="1">
        <f t="array" ref="B19">"Prepare UP"&amp;SWTwo&amp;" for Transfer to Maintenance Bypass"</f>
        <v>Prepare UPXXX for Transfer to Maintenance Bypass</v>
      </c>
      <c r="C19" s="713"/>
      <c r="D19" s="713"/>
      <c r="E19" s="713"/>
      <c r="F19" s="713"/>
      <c r="G19" s="713"/>
    </row>
    <row r="20" spans="1:7" ht="37.5" x14ac:dyDescent="0.25">
      <c r="A20" s="251">
        <f t="shared" si="0"/>
        <v>192</v>
      </c>
      <c r="B20" s="231" t="str">
        <f>Suite&amp;" Electrical Room "&amp;SWTwo</f>
        <v>G104 Electrical Room XXX</v>
      </c>
      <c r="C20" s="183" t="str">
        <f>"UP"&amp;SWTwo</f>
        <v>UPXXX</v>
      </c>
      <c r="D20" s="233" t="str" cm="1">
        <f t="array" ref="D20">"Pump the MBUP" &amp; SWTwo &amp; " breaker charging handle repeatedly to compress the charging spring and charge the breaker."</f>
        <v>Pump the MBUPXXX breaker charging handle repeatedly to compress the charging spring and charge the breaker.</v>
      </c>
      <c r="E20" s="183" t="s">
        <v>1464</v>
      </c>
      <c r="F20" s="193"/>
      <c r="G20" s="193"/>
    </row>
    <row r="21" spans="1:7" x14ac:dyDescent="0.25">
      <c r="A21" s="251">
        <f t="shared" si="0"/>
        <v>193</v>
      </c>
      <c r="B21" s="711" t="str" cm="1">
        <f t="array" ref="B21">"Transfer UPS System " &amp; SWTwo &amp; " to Static Bypass"</f>
        <v>Transfer UPS System XXX to Static Bypass</v>
      </c>
      <c r="C21" s="711"/>
      <c r="D21" s="711"/>
      <c r="E21" s="711"/>
      <c r="F21" s="711"/>
      <c r="G21" s="711"/>
    </row>
    <row r="22" spans="1:7" ht="56.25" x14ac:dyDescent="0.25">
      <c r="A22" s="251">
        <f t="shared" si="0"/>
        <v>194</v>
      </c>
      <c r="B22" s="231" t="str">
        <f>Suite&amp;" Electrical Room "&amp;SWTwo</f>
        <v>G104 Electrical Room XXX</v>
      </c>
      <c r="C22" s="183" t="str">
        <f>"UPS "&amp;SWTwo&amp;"1"</f>
        <v>UPS XXX1</v>
      </c>
      <c r="D22" s="233" t="s">
        <v>1748</v>
      </c>
      <c r="E22" s="183" t="s">
        <v>1464</v>
      </c>
      <c r="F22" s="193"/>
      <c r="G22" s="193"/>
    </row>
    <row r="23" spans="1:7" ht="37.5" x14ac:dyDescent="0.25">
      <c r="A23" s="251">
        <f t="shared" si="0"/>
        <v>195</v>
      </c>
      <c r="B23" s="231" t="str">
        <f>Suite&amp;" Electrical Room "&amp;SWTwo</f>
        <v>G104 Electrical Room XXX</v>
      </c>
      <c r="C23" s="183" t="str">
        <f>"UPS "&amp;SWTwo&amp;"1"</f>
        <v>UPS XXX1</v>
      </c>
      <c r="D23" s="233" t="s">
        <v>1749</v>
      </c>
      <c r="E23" s="183" t="s">
        <v>1464</v>
      </c>
      <c r="F23" s="193"/>
      <c r="G23" s="193"/>
    </row>
    <row r="24" spans="1:7" ht="75" x14ac:dyDescent="0.25">
      <c r="A24" s="251">
        <f t="shared" si="0"/>
        <v>196</v>
      </c>
      <c r="B24" s="231" t="str">
        <f>Suite&amp;" Electrical Room "&amp;SWTwo</f>
        <v>G104 Electrical Room XXX</v>
      </c>
      <c r="C24" s="183" t="str">
        <f>"UPS "&amp;SWTwo&amp;"2"</f>
        <v>UPS XXX2</v>
      </c>
      <c r="D24" s="233" t="s">
        <v>1750</v>
      </c>
      <c r="E24" s="183" t="s">
        <v>1464</v>
      </c>
      <c r="F24" s="193"/>
      <c r="G24" s="193"/>
    </row>
    <row r="25" spans="1:7" ht="37.5" x14ac:dyDescent="0.25">
      <c r="A25" s="251">
        <f t="shared" si="0"/>
        <v>197</v>
      </c>
      <c r="B25" s="231" t="str">
        <f>Suite&amp;" Electrical Room "&amp;SWTwo</f>
        <v>G104 Electrical Room XXX</v>
      </c>
      <c r="C25" s="183" t="str">
        <f>"UPS "&amp;SWTwo&amp;"2"</f>
        <v>UPS XXX2</v>
      </c>
      <c r="D25" s="233" t="s">
        <v>1749</v>
      </c>
      <c r="E25" s="183" t="s">
        <v>1464</v>
      </c>
      <c r="F25" s="193"/>
      <c r="G25" s="193"/>
    </row>
    <row r="26" spans="1:7" ht="37.5" x14ac:dyDescent="0.25">
      <c r="A26" s="251">
        <f t="shared" si="0"/>
        <v>198</v>
      </c>
      <c r="B26" s="231" t="str">
        <f>Suite&amp;" Electrical Room "&amp;SWTwo</f>
        <v>G104 Electrical Room XXX</v>
      </c>
      <c r="C26" s="183" t="str">
        <f>"SCC "&amp;SWTwo</f>
        <v>SCC XXX</v>
      </c>
      <c r="D26" s="233" t="s">
        <v>1751</v>
      </c>
      <c r="E26" s="183" t="s">
        <v>1464</v>
      </c>
      <c r="F26" s="193"/>
      <c r="G26" s="193"/>
    </row>
    <row r="27" spans="1:7" ht="37.5" x14ac:dyDescent="0.25">
      <c r="A27" s="251">
        <f t="shared" si="0"/>
        <v>199</v>
      </c>
      <c r="B27" s="231" t="str">
        <f>Suite&amp;" Electrical Room "&amp;SWTwo</f>
        <v>G104 Electrical Room XXX</v>
      </c>
      <c r="C27" s="183" t="str">
        <f>"SCC "&amp;SWTwo</f>
        <v>SCC XXX</v>
      </c>
      <c r="D27" s="233" t="s">
        <v>1752</v>
      </c>
      <c r="E27" s="183" t="s">
        <v>1464</v>
      </c>
      <c r="F27" s="193"/>
      <c r="G27" s="193"/>
    </row>
    <row r="28" spans="1:7" ht="37.5" x14ac:dyDescent="0.25">
      <c r="A28" s="251">
        <f t="shared" si="0"/>
        <v>200</v>
      </c>
      <c r="B28" s="231" t="str">
        <f>Suite&amp;" Electrical Room "&amp;SWTwo</f>
        <v>G104 Electrical Room XXX</v>
      </c>
      <c r="C28" s="183" t="str">
        <f>"SCC "&amp;SWTwo</f>
        <v>SCC XXX</v>
      </c>
      <c r="D28" s="233" t="s">
        <v>1749</v>
      </c>
      <c r="E28" s="183" t="s">
        <v>1464</v>
      </c>
      <c r="F28" s="193"/>
      <c r="G28" s="193"/>
    </row>
    <row r="29" spans="1:7" ht="37.5" x14ac:dyDescent="0.25">
      <c r="A29" s="251">
        <f t="shared" si="0"/>
        <v>201</v>
      </c>
      <c r="B29" s="231" t="str">
        <f>Suite&amp;" Electrical Room "&amp;SWTwo</f>
        <v>G104 Electrical Room XXX</v>
      </c>
      <c r="C29" s="183" t="str">
        <f>"SCC "&amp;SWTwo</f>
        <v>SCC XXX</v>
      </c>
      <c r="D29" s="233" t="s">
        <v>1501</v>
      </c>
      <c r="E29" s="183" t="s">
        <v>1464</v>
      </c>
      <c r="F29" s="193"/>
      <c r="G29" s="193"/>
    </row>
    <row r="30" spans="1:7" ht="37.5" x14ac:dyDescent="0.25">
      <c r="A30" s="251">
        <f t="shared" si="0"/>
        <v>202</v>
      </c>
      <c r="B30" s="231" t="str">
        <f>Suite&amp;" Electrical Room "&amp;SWTwo</f>
        <v>G104 Electrical Room XXX</v>
      </c>
      <c r="C30" s="183" t="str">
        <f>"UP"&amp;SWTwo</f>
        <v>UPXXX</v>
      </c>
      <c r="D30" s="233" t="str" cm="1">
        <f t="array" ref="D30">"NOTATE the kW reading at UP" &amp; SWTwo &amp; " Critical Bus Panel Meter: _________"</f>
        <v>NOTATE the kW reading at UPXXX Critical Bus Panel Meter: _________</v>
      </c>
      <c r="E30" s="183" t="s">
        <v>1464</v>
      </c>
      <c r="F30" s="193"/>
      <c r="G30" s="193"/>
    </row>
    <row r="31" spans="1:7" ht="37.5" x14ac:dyDescent="0.25">
      <c r="A31" s="251">
        <f t="shared" si="0"/>
        <v>203</v>
      </c>
      <c r="B31" s="231" t="str">
        <f>Suite&amp;" Electrical Room "&amp;SWTwo</f>
        <v>G104 Electrical Room XXX</v>
      </c>
      <c r="C31" s="183" t="str">
        <f>"UP"&amp;SWTwo</f>
        <v>UPXXX</v>
      </c>
      <c r="D31" s="233" t="str">
        <f>"VERIFY the readings in step " &amp; A12 &amp; " and " &amp; A30 &amp; " are within 3% of each other. (new kW divided by original kW must be ≤1.03 and ≥0.97)."</f>
        <v>VERIFY the readings in step 184 and 202 are within 3% of each other. (new kW divided by original kW must be ≤1.03 and ≥0.97).</v>
      </c>
      <c r="E31" s="183" t="s">
        <v>1464</v>
      </c>
      <c r="F31" s="193"/>
      <c r="G31" s="193"/>
    </row>
    <row r="32" spans="1:7" x14ac:dyDescent="0.25">
      <c r="A32" s="251">
        <f t="shared" si="0"/>
        <v>204</v>
      </c>
      <c r="B32" s="711" t="s">
        <v>1502</v>
      </c>
      <c r="C32" s="711"/>
      <c r="D32" s="711"/>
      <c r="E32" s="711"/>
      <c r="F32" s="711"/>
      <c r="G32" s="711"/>
    </row>
    <row r="33" spans="1:7" ht="37.5" x14ac:dyDescent="0.25">
      <c r="A33" s="251">
        <f t="shared" si="0"/>
        <v>205</v>
      </c>
      <c r="B33" s="231" t="str">
        <f>Suite&amp;" Electrical Room "&amp;SWTwo</f>
        <v>G104 Electrical Room XXX</v>
      </c>
      <c r="C33" s="183" t="str">
        <f>"UP"&amp;SWTwo</f>
        <v>UPXXX</v>
      </c>
      <c r="D33" s="233" t="s">
        <v>1568</v>
      </c>
      <c r="E33" s="183" t="s">
        <v>1464</v>
      </c>
      <c r="F33" s="193"/>
      <c r="G33" s="193"/>
    </row>
    <row r="34" spans="1:7" ht="37.5" x14ac:dyDescent="0.25">
      <c r="A34" s="251">
        <f t="shared" si="0"/>
        <v>206</v>
      </c>
      <c r="B34" s="231" t="str">
        <f>Suite&amp;" Electrical Room "&amp;SWTwo</f>
        <v>G104 Electrical Room XXX</v>
      </c>
      <c r="C34" s="183" t="str">
        <f>"UP"&amp;SWTwo</f>
        <v>UPXXX</v>
      </c>
      <c r="D34" s="186" t="s">
        <v>1569</v>
      </c>
      <c r="E34" s="183" t="s">
        <v>1464</v>
      </c>
      <c r="F34" s="193"/>
      <c r="G34" s="193"/>
    </row>
    <row r="35" spans="1:7" ht="37.5" x14ac:dyDescent="0.25">
      <c r="A35" s="251">
        <f t="shared" si="0"/>
        <v>207</v>
      </c>
      <c r="B35" s="231" t="str">
        <f>Suite&amp;" Electrical Room "&amp;SWTwo</f>
        <v>G104 Electrical Room XXX</v>
      </c>
      <c r="C35" s="183" t="str">
        <f>"UP"&amp;SWTwo</f>
        <v>UPXXX</v>
      </c>
      <c r="D35" s="186" t="s">
        <v>1570</v>
      </c>
      <c r="E35" s="183" t="s">
        <v>1464</v>
      </c>
      <c r="F35" s="193"/>
      <c r="G35" s="193"/>
    </row>
    <row r="36" spans="1:7" ht="37.5" x14ac:dyDescent="0.25">
      <c r="A36" s="251">
        <f t="shared" si="0"/>
        <v>208</v>
      </c>
      <c r="B36" s="231" t="str">
        <f>Suite&amp;" Electrical Room "&amp;SWTwo</f>
        <v>G104 Electrical Room XXX</v>
      </c>
      <c r="C36" s="183" t="str">
        <f>"UP"&amp;SWTwo</f>
        <v>UPXXX</v>
      </c>
      <c r="D36" s="233" t="str" cm="1">
        <f t="array" ref="D36">"INSERT the interlock key into the MBUP" &amp; SWTwo &amp; " breaker lock cylinder."</f>
        <v>INSERT the interlock key into the MBUPXXX breaker lock cylinder.</v>
      </c>
      <c r="E36" s="183" t="s">
        <v>1464</v>
      </c>
      <c r="F36" s="193"/>
      <c r="G36" s="193"/>
    </row>
    <row r="37" spans="1:7" ht="37.5" x14ac:dyDescent="0.25">
      <c r="A37" s="251">
        <f t="shared" si="0"/>
        <v>209</v>
      </c>
      <c r="B37" s="231" t="str">
        <f>Suite&amp;" Electrical Room "&amp;SWTwo</f>
        <v>G104 Electrical Room XXX</v>
      </c>
      <c r="C37" s="183" t="str">
        <f>"UP"&amp;SWTwo</f>
        <v>UPXXX</v>
      </c>
      <c r="D37" s="186" t="str" cm="1">
        <f t="array" ref="D37">"ROTATE the interlock key 180 degrees to UNLOCK the MBUP" &amp; SWTwo &amp; " breaker."</f>
        <v>ROTATE the interlock key 180 degrees to UNLOCK the MBUPXXX breaker.</v>
      </c>
      <c r="E37" s="183" t="s">
        <v>1464</v>
      </c>
      <c r="F37" s="193"/>
      <c r="G37" s="193"/>
    </row>
    <row r="38" spans="1:7" ht="37.5" x14ac:dyDescent="0.25">
      <c r="A38" s="251">
        <f t="shared" si="0"/>
        <v>210</v>
      </c>
      <c r="B38" s="231" t="str">
        <f>Suite&amp;" Electrical Room "&amp;SWTwo</f>
        <v>G104 Electrical Room XXX</v>
      </c>
      <c r="C38" s="183" t="str">
        <f>"UP"&amp;SWTwo</f>
        <v>UPXXX</v>
      </c>
      <c r="D38" s="233" t="str" cm="1">
        <f t="array" ref="D38">"Close breaker MBUP" &amp; SWTwo &amp; "."</f>
        <v>Close breaker MBUPXXX.</v>
      </c>
      <c r="E38" s="183" t="s">
        <v>1464</v>
      </c>
      <c r="F38" s="193"/>
      <c r="G38" s="193"/>
    </row>
    <row r="39" spans="1:7" ht="37.5" x14ac:dyDescent="0.25">
      <c r="A39" s="251">
        <f t="shared" si="0"/>
        <v>211</v>
      </c>
      <c r="B39" s="231" t="str">
        <f>Suite&amp;" Electrical Room "&amp;SWTwo</f>
        <v>G104 Electrical Room XXX</v>
      </c>
      <c r="C39" s="183" t="str">
        <f>"UP"&amp;SWTwo</f>
        <v>UPXXX</v>
      </c>
      <c r="D39" s="186" t="str" cm="1">
        <f t="array" ref="D39">"VERIFY MBUP" &amp; SWTwo &amp; " breaker flag indicates CLOSED."</f>
        <v>VERIFY MBUPXXX breaker flag indicates CLOSED.</v>
      </c>
      <c r="E39" s="183" t="s">
        <v>1464</v>
      </c>
      <c r="F39" s="193"/>
      <c r="G39" s="193"/>
    </row>
    <row r="40" spans="1:7" ht="37.5" x14ac:dyDescent="0.25">
      <c r="A40" s="251">
        <f t="shared" si="0"/>
        <v>212</v>
      </c>
      <c r="B40" s="231" t="str">
        <f>Suite&amp;" Electrical Room "&amp;SWTwo</f>
        <v>G104 Electrical Room XXX</v>
      </c>
      <c r="C40" s="183" t="str">
        <f>"UP"&amp;SWTwo</f>
        <v>UPXXX</v>
      </c>
      <c r="D40" s="233" t="str" cm="1">
        <f t="array" ref="D40">"VERIFY breaker MBUP" &amp; SWTwo &amp; " is carrying a portion of critical customer load using breaker mounted metering."</f>
        <v>VERIFY breaker MBUPXXX is carrying a portion of critical customer load using breaker mounted metering.</v>
      </c>
      <c r="E40" s="183" t="s">
        <v>1464</v>
      </c>
      <c r="F40" s="193"/>
      <c r="G40" s="193"/>
    </row>
    <row r="41" spans="1:7" ht="37.5" x14ac:dyDescent="0.25">
      <c r="A41" s="251">
        <f t="shared" si="0"/>
        <v>213</v>
      </c>
      <c r="B41" s="231" t="str">
        <f>Suite&amp;" Electrical Room "&amp;SWTwo</f>
        <v>G104 Electrical Room XXX</v>
      </c>
      <c r="C41" s="183" t="str">
        <f>"UP"&amp;SWTwo</f>
        <v>UPXXX</v>
      </c>
      <c r="D41" s="233" t="str" cm="1">
        <f t="array" ref="D41">"VERIFY breaker MCBUP" &amp; SWTwo &amp; " is carrying a portion of critical customer load using breaker mounted metering."</f>
        <v>VERIFY breaker MCBUPXXX is carrying a portion of critical customer load using breaker mounted metering.</v>
      </c>
      <c r="E41" s="183" t="s">
        <v>1464</v>
      </c>
      <c r="F41" s="193"/>
      <c r="G41" s="193"/>
    </row>
    <row r="42" spans="1:7" ht="37.5" x14ac:dyDescent="0.25">
      <c r="A42" s="251">
        <f t="shared" si="0"/>
        <v>214</v>
      </c>
      <c r="B42" s="231" t="str">
        <f>Suite&amp;" Electrical Room "&amp;SWTwo</f>
        <v>G104 Electrical Room XXX</v>
      </c>
      <c r="C42" s="183" t="str">
        <f>"UP"&amp;SWTwo</f>
        <v>UPXXX</v>
      </c>
      <c r="D42" s="233" t="str" cm="1">
        <f t="array" ref="D42">"NOTATE the kW reading at UP" &amp; SWTwo &amp; " Critical Bus Panel Meter: _________"</f>
        <v>NOTATE the kW reading at UPXXX Critical Bus Panel Meter: _________</v>
      </c>
      <c r="E42" s="183" t="s">
        <v>1464</v>
      </c>
      <c r="F42" s="193"/>
      <c r="G42" s="193"/>
    </row>
    <row r="43" spans="1:7" ht="37.5" x14ac:dyDescent="0.25">
      <c r="A43" s="251">
        <f t="shared" si="0"/>
        <v>215</v>
      </c>
      <c r="B43" s="231" t="str">
        <f>Suite&amp;" Electrical Room "&amp;SWTwo</f>
        <v>G104 Electrical Room XXX</v>
      </c>
      <c r="C43" s="183" t="str">
        <f>"UP"&amp;SWTwo</f>
        <v>UPXXX</v>
      </c>
      <c r="D43" s="233" t="str">
        <f>"VERIFY the readings in step " &amp; A30 &amp; " and " &amp; A42 &amp; " are within 3% of each other. (new kW divided by original kW must be ≤1.03 and ≥0.97)."</f>
        <v>VERIFY the readings in step 202 and 214 are within 3% of each other. (new kW divided by original kW must be ≤1.03 and ≥0.97).</v>
      </c>
      <c r="E43" s="183" t="s">
        <v>1464</v>
      </c>
      <c r="F43" s="193"/>
      <c r="G43" s="193"/>
    </row>
    <row r="44" spans="1:7" ht="37.5" x14ac:dyDescent="0.25">
      <c r="A44" s="251">
        <f t="shared" si="0"/>
        <v>216</v>
      </c>
      <c r="B44" s="231" t="str">
        <f>Suite&amp;" Electrical Room "&amp;SWTwo</f>
        <v>G104 Electrical Room XXX</v>
      </c>
      <c r="C44" s="183" t="str">
        <f>"UP"&amp;SWTwo</f>
        <v>UPXXX</v>
      </c>
      <c r="D44" s="233" t="str" cm="1">
        <f t="array" ref="D44">"Pump the MCBUP" &amp; SWTwo &amp; " breaker charging handle repeatedly to compress the charging spring and charge the breaker."</f>
        <v>Pump the MCBUPXXX breaker charging handle repeatedly to compress the charging spring and charge the breaker.</v>
      </c>
      <c r="E44" s="183" t="s">
        <v>1464</v>
      </c>
      <c r="F44" s="193"/>
      <c r="G44" s="193"/>
    </row>
    <row r="45" spans="1:7" ht="56.25" x14ac:dyDescent="0.25">
      <c r="A45" s="251">
        <f t="shared" si="0"/>
        <v>217</v>
      </c>
      <c r="B45" s="231" t="str">
        <f>Suite&amp;" Electrical Room "&amp;SWTwo</f>
        <v>G104 Electrical Room XXX</v>
      </c>
      <c r="C45" s="183" t="str">
        <f>"UP"&amp;SWTwo</f>
        <v>UPXXX</v>
      </c>
      <c r="D45" s="233" t="str" cm="1">
        <f t="array" ref="D45">"Note: If breaker MCBUP" &amp; SWTwo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row>
    <row r="46" spans="1:7" ht="37.5" x14ac:dyDescent="0.25">
      <c r="A46" s="251">
        <f t="shared" si="0"/>
        <v>218</v>
      </c>
      <c r="B46" s="231" t="str">
        <f>Suite&amp;" Electrical Room "&amp;SWTwo</f>
        <v>G104 Electrical Room XXX</v>
      </c>
      <c r="C46" s="183" t="str">
        <f>"UP"&amp;SWTwo</f>
        <v>UPXXX</v>
      </c>
      <c r="D46" s="233" t="str" cm="1">
        <f t="array" ref="D46">"OPEN breaker MCBUP" &amp; SWTwo &amp; "."</f>
        <v>OPEN breaker MCBUPXXX.</v>
      </c>
      <c r="E46" s="183" t="s">
        <v>1464</v>
      </c>
      <c r="F46" s="193"/>
      <c r="G46" s="193"/>
    </row>
    <row r="47" spans="1:7" ht="37.5" x14ac:dyDescent="0.25">
      <c r="A47" s="251">
        <f t="shared" si="0"/>
        <v>219</v>
      </c>
      <c r="B47" s="231" t="str">
        <f>Suite&amp;" Electrical Room "&amp;SWTwo</f>
        <v>G104 Electrical Room XXX</v>
      </c>
      <c r="C47" s="183" t="str">
        <f>"UP"&amp;SWTwo</f>
        <v>UPXXX</v>
      </c>
      <c r="D47" s="233" t="s">
        <v>1506</v>
      </c>
      <c r="E47" s="183" t="s">
        <v>1464</v>
      </c>
      <c r="F47" s="193"/>
      <c r="G47" s="193"/>
    </row>
    <row r="48" spans="1:7" ht="37.5" x14ac:dyDescent="0.25">
      <c r="A48" s="251">
        <f t="shared" si="0"/>
        <v>220</v>
      </c>
      <c r="B48" s="231" t="str">
        <f>Suite&amp;" Electrical Room "&amp;SWTwo</f>
        <v>G104 Electrical Room XXX</v>
      </c>
      <c r="C48" s="183" t="str">
        <f>"UP"&amp;SWTwo</f>
        <v>UPXXX</v>
      </c>
      <c r="D48" s="186" t="str" cm="1">
        <f t="array" ref="D48">"VERIFY MCBUP" &amp; SWTwo &amp; " breaker flag indicates OPEN."</f>
        <v>VERIFY MCBUPXXX breaker flag indicates OPEN.</v>
      </c>
      <c r="E48" s="183" t="s">
        <v>1464</v>
      </c>
      <c r="F48" s="193"/>
      <c r="G48" s="193"/>
    </row>
    <row r="49" spans="1:7" ht="37.5" x14ac:dyDescent="0.25">
      <c r="A49" s="251">
        <f t="shared" si="0"/>
        <v>221</v>
      </c>
      <c r="B49" s="231" t="str">
        <f>Suite&amp;" Electrical Room "&amp;SWTwo</f>
        <v>G104 Electrical Room XXX</v>
      </c>
      <c r="C49" s="183" t="str">
        <f>"UP"&amp;SWTwo</f>
        <v>UPXXX</v>
      </c>
      <c r="D49" s="233" t="str" cm="1">
        <f t="array" ref="D49">"Apply LOTO to breaker MCBUP" &amp; SWTwo &amp; "."</f>
        <v>Apply LOTO to breaker MCBUPXXX.</v>
      </c>
      <c r="E49" s="183" t="s">
        <v>1464</v>
      </c>
      <c r="F49" s="193"/>
      <c r="G49" s="193"/>
    </row>
    <row r="50" spans="1:7" ht="37.5" x14ac:dyDescent="0.25">
      <c r="A50" s="251">
        <f t="shared" si="0"/>
        <v>222</v>
      </c>
      <c r="B50" s="231" t="str">
        <f>Suite&amp;" Electrical Room "&amp;SWTwo</f>
        <v>G104 Electrical Room XXX</v>
      </c>
      <c r="C50" s="183" t="str">
        <f>"UP"&amp;SWTwo</f>
        <v>UPXXX</v>
      </c>
      <c r="D50" s="186" t="s">
        <v>1518</v>
      </c>
      <c r="E50" s="183" t="s">
        <v>1464</v>
      </c>
      <c r="F50" s="193"/>
      <c r="G50" s="193"/>
    </row>
    <row r="51" spans="1:7" ht="37.5" x14ac:dyDescent="0.25">
      <c r="A51" s="251">
        <f t="shared" si="0"/>
        <v>223</v>
      </c>
      <c r="B51" s="231" t="str">
        <f>Suite&amp;" Electrical Room "&amp;SWTwo</f>
        <v>G104 Electrical Room XXX</v>
      </c>
      <c r="C51" s="183" t="str">
        <f>"UP"&amp;SWTwo</f>
        <v>UPXXX</v>
      </c>
      <c r="D51" s="233" t="str" cm="1">
        <f t="array" ref="D51">"NOTATE the kW reading at UP" &amp; SWTwo &amp; " Critical Bus Panel Meter: _________"</f>
        <v>NOTATE the kW reading at UPXXX Critical Bus Panel Meter: _________</v>
      </c>
      <c r="E51" s="183" t="s">
        <v>1464</v>
      </c>
      <c r="F51" s="193"/>
      <c r="G51" s="193"/>
    </row>
    <row r="52" spans="1:7" ht="37.5" x14ac:dyDescent="0.25">
      <c r="A52" s="251">
        <f t="shared" si="0"/>
        <v>224</v>
      </c>
      <c r="B52" s="231" t="str">
        <f>Suite&amp;" Electrical Room "&amp;SWTwo</f>
        <v>G104 Electrical Room XXX</v>
      </c>
      <c r="C52" s="183" t="str">
        <f>"UP"&amp;SWTwo</f>
        <v>UPXXX</v>
      </c>
      <c r="D52" s="233" t="str">
        <f>"VERIFY the readings in step " &amp; A42 &amp; " and " &amp; A51 &amp; " are within 3% of each other. (new kW divided by original kW must be ≤1.03 and ≥0.97)."</f>
        <v>VERIFY the readings in step 214 and 223 are within 3% of each other. (new kW divided by original kW must be ≤1.03 and ≥0.97).</v>
      </c>
      <c r="E52" s="183" t="s">
        <v>1464</v>
      </c>
      <c r="F52" s="193"/>
      <c r="G52" s="193"/>
    </row>
    <row r="53" spans="1:7" ht="37.5" x14ac:dyDescent="0.25">
      <c r="A53" s="251">
        <f t="shared" si="0"/>
        <v>225</v>
      </c>
      <c r="B53" s="231" t="str">
        <f>Suite&amp;" Electrical Room "&amp;SWTwo</f>
        <v>G104 Electrical Room XXX</v>
      </c>
      <c r="C53" s="183" t="str">
        <f>"UP"&amp;SWTwo</f>
        <v>UPXXX</v>
      </c>
      <c r="D53" s="186" t="str" cm="1">
        <f t="array" ref="D53">"ROTATE the interlock key 180 degrees to LOCK the MCBUP"&amp;SWTwo&amp;" breaker while simultaneously pulling the lock tab."</f>
        <v>ROTATE the interlock key 180 degrees to LOCK the MCBUPXXX breaker while simultaneously pulling the lock tab.</v>
      </c>
      <c r="E53" s="183" t="s">
        <v>1464</v>
      </c>
      <c r="F53" s="193"/>
      <c r="G53" s="193"/>
    </row>
    <row r="54" spans="1:7" ht="37.5" x14ac:dyDescent="0.25">
      <c r="A54" s="251">
        <f t="shared" si="0"/>
        <v>226</v>
      </c>
      <c r="B54" s="231" t="str">
        <f>Suite&amp;" Electrical Room "&amp;SWTwo</f>
        <v>G104 Electrical Room XXX</v>
      </c>
      <c r="C54" s="183" t="str">
        <f>"UP"&amp;SWTwo</f>
        <v>UPXXX</v>
      </c>
      <c r="D54" s="186" t="str" cm="1">
        <f t="array" ref="D54">"REMOVE the interlock key from the MCBUP"&amp;SWTwo&amp;" breaker lock cylinder."</f>
        <v>REMOVE the interlock key from the MCBUPXXX breaker lock cylinder.</v>
      </c>
      <c r="E54" s="183" t="s">
        <v>1464</v>
      </c>
      <c r="F54" s="193"/>
      <c r="G54" s="193"/>
    </row>
    <row r="55" spans="1:7" ht="37.5" x14ac:dyDescent="0.25">
      <c r="A55" s="251">
        <f t="shared" si="0"/>
        <v>227</v>
      </c>
      <c r="B55" s="231" t="str">
        <f>Suite&amp;" Electrical Room "&amp;SWTwo</f>
        <v>G104 Electrical Room XXX</v>
      </c>
      <c r="C55" s="183" t="str">
        <f>"UP"&amp;SWTwo</f>
        <v>UPXXX</v>
      </c>
      <c r="D55" s="233" t="s">
        <v>1573</v>
      </c>
      <c r="E55" s="183" t="s">
        <v>1464</v>
      </c>
      <c r="F55" s="193"/>
      <c r="G55" s="193"/>
    </row>
    <row r="56" spans="1:7" ht="37.5" x14ac:dyDescent="0.25">
      <c r="A56" s="251">
        <f t="shared" si="0"/>
        <v>228</v>
      </c>
      <c r="B56" s="231" t="str">
        <f>Suite&amp;" Electrical Room "&amp;SWTwo</f>
        <v>G104 Electrical Room XXX</v>
      </c>
      <c r="C56" s="183" t="str">
        <f>"UP"&amp;SWTwo</f>
        <v>UPXXX</v>
      </c>
      <c r="D56" s="186" t="s">
        <v>1574</v>
      </c>
      <c r="E56" s="183" t="s">
        <v>1464</v>
      </c>
      <c r="F56" s="193"/>
      <c r="G56" s="193"/>
    </row>
    <row r="57" spans="1:7" ht="37.5" x14ac:dyDescent="0.25">
      <c r="A57" s="251">
        <f t="shared" si="0"/>
        <v>229</v>
      </c>
      <c r="B57" s="231" t="str">
        <f>Suite&amp;" Electrical Room "&amp;SWTwo</f>
        <v>G104 Electrical Room XXX</v>
      </c>
      <c r="C57" s="183" t="str">
        <f>"UP"&amp;SWTwo</f>
        <v>UPXXX</v>
      </c>
      <c r="D57" s="186" t="s">
        <v>1575</v>
      </c>
      <c r="E57" s="183" t="s">
        <v>1464</v>
      </c>
      <c r="F57" s="193"/>
      <c r="G57" s="193"/>
    </row>
    <row r="58" spans="1:7" ht="37.5" x14ac:dyDescent="0.25">
      <c r="A58" s="251">
        <f t="shared" si="0"/>
        <v>230</v>
      </c>
      <c r="B58" s="231" t="str">
        <f>Suite&amp;" Electrical Room "&amp;SWTwo</f>
        <v>G104 Electrical Room XXX</v>
      </c>
      <c r="C58" s="183" t="str">
        <f>"UP"&amp;SWTwo</f>
        <v>UPXXX</v>
      </c>
      <c r="D58" s="186" t="s">
        <v>1510</v>
      </c>
      <c r="E58" s="183" t="s">
        <v>1464</v>
      </c>
      <c r="F58" s="193"/>
      <c r="G58" s="193"/>
    </row>
    <row r="59" spans="1:7" ht="37.5" x14ac:dyDescent="0.25">
      <c r="A59" s="251">
        <f t="shared" si="0"/>
        <v>231</v>
      </c>
      <c r="B59" s="231" t="str">
        <f>Suite&amp;" Electrical Room "&amp;SWTwo</f>
        <v>G104 Electrical Room XXX</v>
      </c>
      <c r="C59" s="183" t="str">
        <f>"UP"&amp;SWTwo</f>
        <v>UPXXX</v>
      </c>
      <c r="D59" s="233" t="str" cm="1">
        <f t="array" ref="D59">"NOTATE the kW reading at UP" &amp; SWTwo &amp; " Critical Bus Panel Meter: _________"</f>
        <v>NOTATE the kW reading at UPXXX Critical Bus Panel Meter: _________</v>
      </c>
      <c r="E59" s="183" t="s">
        <v>1464</v>
      </c>
      <c r="F59" s="193"/>
      <c r="G59" s="193"/>
    </row>
    <row r="60" spans="1:7" ht="37.5" x14ac:dyDescent="0.25">
      <c r="A60" s="251">
        <f t="shared" si="0"/>
        <v>232</v>
      </c>
      <c r="B60" s="231" t="str">
        <f>Suite&amp;" Electrical Room "&amp;SWTwo</f>
        <v>G104 Electrical Room XXX</v>
      </c>
      <c r="C60" s="183" t="str">
        <f>"UP"&amp;SWTwo</f>
        <v>UPXXX</v>
      </c>
      <c r="D60" s="233" t="str">
        <f>"VERIFY the readings in step " &amp; A51 &amp; " and " &amp; A59 &amp; " are within 3% of each other. (new kW divided by original kW must be ≤1.03 and ≥0.97)."</f>
        <v>VERIFY the readings in step 223 and 231 are within 3% of each other. (new kW divided by original kW must be ≤1.03 and ≥0.97).</v>
      </c>
      <c r="E60" s="183" t="s">
        <v>1464</v>
      </c>
      <c r="F60" s="193"/>
      <c r="G60" s="193"/>
    </row>
    <row r="61" spans="1:7" x14ac:dyDescent="0.25">
      <c r="A61" s="251">
        <f t="shared" si="0"/>
        <v>233</v>
      </c>
      <c r="B61" s="711" t="str" cm="1">
        <f t="array" ref="B61">"Shutdown UPS System " &amp; SWTwo</f>
        <v>Shutdown UPS System XXX</v>
      </c>
      <c r="C61" s="711"/>
      <c r="D61" s="711"/>
      <c r="E61" s="711"/>
      <c r="F61" s="711"/>
      <c r="G61" s="711"/>
    </row>
    <row r="62" spans="1:7" ht="37.5" x14ac:dyDescent="0.25">
      <c r="A62" s="251">
        <f t="shared" si="0"/>
        <v>234</v>
      </c>
      <c r="B62" s="231" t="str">
        <f>Suite&amp;" Electrical Room "&amp;SWTwo</f>
        <v>G104 Electrical Room XXX</v>
      </c>
      <c r="C62" s="183" t="str">
        <f>"UPS "&amp;SWTwo&amp;"1"</f>
        <v>UPS XXX1</v>
      </c>
      <c r="D62" s="233" t="s">
        <v>1753</v>
      </c>
      <c r="E62" s="183" t="s">
        <v>1464</v>
      </c>
      <c r="F62" s="193"/>
      <c r="G62" s="193"/>
    </row>
    <row r="63" spans="1:7" ht="37.5" x14ac:dyDescent="0.25">
      <c r="A63" s="251">
        <f t="shared" si="0"/>
        <v>235</v>
      </c>
      <c r="B63" s="231" t="str">
        <f>Suite&amp;" Electrical Room "&amp;SWTwo</f>
        <v>G104 Electrical Room XXX</v>
      </c>
      <c r="C63" s="183" t="str">
        <f>"UPS "&amp;SWTwo&amp;"2"</f>
        <v>UPS XXX2</v>
      </c>
      <c r="D63" s="233" t="s">
        <v>1753</v>
      </c>
      <c r="E63" s="183" t="s">
        <v>1464</v>
      </c>
      <c r="F63" s="193"/>
      <c r="G63" s="193"/>
    </row>
    <row r="64" spans="1:7" ht="56.25" x14ac:dyDescent="0.25">
      <c r="A64" s="251">
        <f t="shared" si="0"/>
        <v>236</v>
      </c>
      <c r="B64" s="231" t="str">
        <f>Suite&amp;" Electrical Room "&amp;SWTwo</f>
        <v>G104 Electrical Room XXX</v>
      </c>
      <c r="C64" s="183" t="str">
        <f>"UPS "&amp;SWTwo&amp;" Battery Cabinets"</f>
        <v>UPS XXX Battery Cabinets</v>
      </c>
      <c r="D64" s="186" t="str" cm="1">
        <f t="array" ref="D64">"OPEN the Cabinet " &amp; SWTwo &amp; "1-1 battery breaker."</f>
        <v>OPEN the Cabinet XXX1-1 battery breaker.</v>
      </c>
      <c r="E64" s="183" t="s">
        <v>1464</v>
      </c>
      <c r="F64" s="193"/>
      <c r="G64" s="193"/>
    </row>
    <row r="65" spans="1:7" ht="56.25" x14ac:dyDescent="0.25">
      <c r="A65" s="251">
        <f t="shared" si="0"/>
        <v>237</v>
      </c>
      <c r="B65" s="231" t="str">
        <f>Suite&amp;" Electrical Room "&amp;SWTwo</f>
        <v>G104 Electrical Room XXX</v>
      </c>
      <c r="C65" s="183" t="str">
        <f>"UPS "&amp;SWTwo&amp;" Battery Cabinets"</f>
        <v>UPS XXX Battery Cabinets</v>
      </c>
      <c r="D65" s="186" t="str" cm="1">
        <f t="array" ref="D65">"Apply LOTO to the Cabinet " &amp; SWTwo &amp; "1-1 battery breaker."</f>
        <v>Apply LOTO to the Cabinet XXX1-1 battery breaker.</v>
      </c>
      <c r="E65" s="183" t="s">
        <v>1464</v>
      </c>
      <c r="F65" s="193"/>
      <c r="G65" s="193"/>
    </row>
    <row r="66" spans="1:7" ht="56.25" x14ac:dyDescent="0.25">
      <c r="A66" s="251">
        <f t="shared" si="0"/>
        <v>238</v>
      </c>
      <c r="B66" s="231" t="str">
        <f>Suite&amp;" Electrical Room "&amp;SWTwo</f>
        <v>G104 Electrical Room XXX</v>
      </c>
      <c r="C66" s="183" t="str">
        <f>"UPS "&amp;SWTwo&amp;" Battery Cabinets"</f>
        <v>UPS XXX Battery Cabinets</v>
      </c>
      <c r="D66" s="186" t="s">
        <v>1518</v>
      </c>
      <c r="E66" s="183" t="s">
        <v>1464</v>
      </c>
      <c r="F66" s="193"/>
      <c r="G66" s="193"/>
    </row>
    <row r="67" spans="1:7" ht="56.25" x14ac:dyDescent="0.25">
      <c r="A67" s="251">
        <f t="shared" si="0"/>
        <v>239</v>
      </c>
      <c r="B67" s="231" t="str">
        <f>Suite&amp;" Electrical Room "&amp;SWTwo</f>
        <v>G104 Electrical Room XXX</v>
      </c>
      <c r="C67" s="183" t="str">
        <f>"UPS "&amp;SWTwo&amp;" Battery Cabinets"</f>
        <v>UPS XXX Battery Cabinets</v>
      </c>
      <c r="D67" s="186" t="str" cm="1">
        <f t="array" ref="D67">"OPEN the Cabinet " &amp; SWTwo &amp; "1-2 battery breaker."</f>
        <v>OPEN the Cabinet XXX1-2 battery breaker.</v>
      </c>
      <c r="E67" s="183" t="s">
        <v>1464</v>
      </c>
      <c r="F67" s="193"/>
      <c r="G67" s="193"/>
    </row>
    <row r="68" spans="1:7" ht="56.25" x14ac:dyDescent="0.25">
      <c r="A68" s="251">
        <f t="shared" si="0"/>
        <v>240</v>
      </c>
      <c r="B68" s="231" t="str">
        <f>Suite&amp;" Electrical Room "&amp;SWTwo</f>
        <v>G104 Electrical Room XXX</v>
      </c>
      <c r="C68" s="183" t="str">
        <f>"UPS "&amp;SWTwo&amp;" Battery Cabinets"</f>
        <v>UPS XXX Battery Cabinets</v>
      </c>
      <c r="D68" s="186" t="str" cm="1">
        <f t="array" ref="D68">"Apply LOTO to the Cabinet " &amp; SWTwo &amp; "1-2 battery breaker."</f>
        <v>Apply LOTO to the Cabinet XXX1-2 battery breaker.</v>
      </c>
      <c r="E68" s="183" t="s">
        <v>1464</v>
      </c>
      <c r="F68" s="193"/>
      <c r="G68" s="193"/>
    </row>
    <row r="69" spans="1:7" ht="56.25" x14ac:dyDescent="0.25">
      <c r="A69" s="251">
        <f t="shared" si="0"/>
        <v>241</v>
      </c>
      <c r="B69" s="231" t="str">
        <f>Suite&amp;" Electrical Room "&amp;SWTwo</f>
        <v>G104 Electrical Room XXX</v>
      </c>
      <c r="C69" s="183" t="str">
        <f>"UPS "&amp;SWTwo&amp;" Battery Cabinets"</f>
        <v>UPS XXX Battery Cabinets</v>
      </c>
      <c r="D69" s="186" t="s">
        <v>1518</v>
      </c>
      <c r="E69" s="183" t="s">
        <v>1464</v>
      </c>
      <c r="F69" s="193"/>
      <c r="G69" s="193"/>
    </row>
    <row r="70" spans="1:7" ht="56.25" x14ac:dyDescent="0.25">
      <c r="A70" s="251">
        <f t="shared" si="0"/>
        <v>242</v>
      </c>
      <c r="B70" s="231" t="str">
        <f>Suite&amp;" Electrical Room "&amp;SWTwo</f>
        <v>G104 Electrical Room XXX</v>
      </c>
      <c r="C70" s="183" t="str">
        <f>"UPS "&amp;SWTwo&amp;" Battery Cabinets"</f>
        <v>UPS XXX Battery Cabinets</v>
      </c>
      <c r="D70" s="186" t="str" cm="1">
        <f t="array" ref="D70">"OPEN the Cabinet " &amp; SWTwo &amp; "1-3 battery breaker."</f>
        <v>OPEN the Cabinet XXX1-3 battery breaker.</v>
      </c>
      <c r="E70" s="183" t="s">
        <v>1464</v>
      </c>
      <c r="F70" s="193"/>
      <c r="G70" s="193"/>
    </row>
    <row r="71" spans="1:7" ht="56.25" x14ac:dyDescent="0.25">
      <c r="A71" s="251">
        <f t="shared" si="0"/>
        <v>243</v>
      </c>
      <c r="B71" s="231" t="str">
        <f>Suite&amp;" Electrical Room "&amp;SWTwo</f>
        <v>G104 Electrical Room XXX</v>
      </c>
      <c r="C71" s="183" t="str">
        <f>"UPS "&amp;SWTwo&amp;" Battery Cabinets"</f>
        <v>UPS XXX Battery Cabinets</v>
      </c>
      <c r="D71" s="186" t="str" cm="1">
        <f t="array" ref="D71">"Apply LOTO to the Cabinet " &amp; SWTwo &amp; "1-3 battery breaker."</f>
        <v>Apply LOTO to the Cabinet XXX1-3 battery breaker.</v>
      </c>
      <c r="E71" s="183" t="s">
        <v>1464</v>
      </c>
      <c r="F71" s="193"/>
      <c r="G71" s="193"/>
    </row>
    <row r="72" spans="1:7" ht="56.25" x14ac:dyDescent="0.25">
      <c r="A72" s="251">
        <f t="shared" si="0"/>
        <v>244</v>
      </c>
      <c r="B72" s="231" t="str">
        <f>Suite&amp;" Electrical Room "&amp;SWTwo</f>
        <v>G104 Electrical Room XXX</v>
      </c>
      <c r="C72" s="183" t="str">
        <f>"UPS "&amp;SWTwo&amp;" Battery Cabinets"</f>
        <v>UPS XXX Battery Cabinets</v>
      </c>
      <c r="D72" s="186" t="s">
        <v>1518</v>
      </c>
      <c r="E72" s="183" t="s">
        <v>1464</v>
      </c>
      <c r="F72" s="193"/>
      <c r="G72" s="193"/>
    </row>
    <row r="73" spans="1:7" ht="56.25" x14ac:dyDescent="0.25">
      <c r="A73" s="251">
        <f t="shared" si="0"/>
        <v>245</v>
      </c>
      <c r="B73" s="231" t="str">
        <f>Suite&amp;" Electrical Room "&amp;SWTwo</f>
        <v>G104 Electrical Room XXX</v>
      </c>
      <c r="C73" s="183" t="str">
        <f>"UPS "&amp;SWTwo&amp;" Battery Cabinets"</f>
        <v>UPS XXX Battery Cabinets</v>
      </c>
      <c r="D73" s="186" t="str" cm="1">
        <f t="array" ref="D73">"OPEN the Cabinet " &amp; SWTwo &amp; "2-1 battery breaker."</f>
        <v>OPEN the Cabinet XXX2-1 battery breaker.</v>
      </c>
      <c r="E73" s="183" t="s">
        <v>1464</v>
      </c>
      <c r="F73" s="193"/>
      <c r="G73" s="193"/>
    </row>
    <row r="74" spans="1:7" ht="56.25" x14ac:dyDescent="0.25">
      <c r="A74" s="251">
        <f t="shared" ref="A74:A137" si="1">A73+1</f>
        <v>246</v>
      </c>
      <c r="B74" s="231" t="str">
        <f>Suite&amp;" Electrical Room "&amp;SWTwo</f>
        <v>G104 Electrical Room XXX</v>
      </c>
      <c r="C74" s="183" t="str">
        <f>"UPS "&amp;SWTwo&amp;" Battery Cabinets"</f>
        <v>UPS XXX Battery Cabinets</v>
      </c>
      <c r="D74" s="186" t="str" cm="1">
        <f t="array" ref="D74">"Apply LOTO to the Cabinet " &amp; SWTwo &amp; "2-1 battery breaker."</f>
        <v>Apply LOTO to the Cabinet XXX2-1 battery breaker.</v>
      </c>
      <c r="E74" s="183" t="s">
        <v>1464</v>
      </c>
      <c r="F74" s="193"/>
      <c r="G74" s="193"/>
    </row>
    <row r="75" spans="1:7" ht="56.25" x14ac:dyDescent="0.25">
      <c r="A75" s="251">
        <f t="shared" si="1"/>
        <v>247</v>
      </c>
      <c r="B75" s="231" t="str">
        <f>Suite&amp;" Electrical Room "&amp;SWTwo</f>
        <v>G104 Electrical Room XXX</v>
      </c>
      <c r="C75" s="183" t="str">
        <f>"UPS "&amp;SWTwo&amp;" Battery Cabinets"</f>
        <v>UPS XXX Battery Cabinets</v>
      </c>
      <c r="D75" s="186" t="s">
        <v>1518</v>
      </c>
      <c r="E75" s="183" t="s">
        <v>1464</v>
      </c>
      <c r="F75" s="193"/>
      <c r="G75" s="193"/>
    </row>
    <row r="76" spans="1:7" ht="56.25" x14ac:dyDescent="0.25">
      <c r="A76" s="251">
        <f t="shared" si="1"/>
        <v>248</v>
      </c>
      <c r="B76" s="231" t="str">
        <f>Suite&amp;" Electrical Room "&amp;SWTwo</f>
        <v>G104 Electrical Room XXX</v>
      </c>
      <c r="C76" s="183" t="str">
        <f>"UPS "&amp;SWTwo&amp;" Battery Cabinets"</f>
        <v>UPS XXX Battery Cabinets</v>
      </c>
      <c r="D76" s="186" t="str" cm="1">
        <f t="array" ref="D76">"OPEN the Cabinet " &amp; SWTwo &amp; "2-2 battery breaker."</f>
        <v>OPEN the Cabinet XXX2-2 battery breaker.</v>
      </c>
      <c r="E76" s="183" t="s">
        <v>1464</v>
      </c>
      <c r="F76" s="193"/>
      <c r="G76" s="193"/>
    </row>
    <row r="77" spans="1:7" ht="56.25" x14ac:dyDescent="0.25">
      <c r="A77" s="251">
        <f t="shared" si="1"/>
        <v>249</v>
      </c>
      <c r="B77" s="231" t="str">
        <f>Suite&amp;" Electrical Room "&amp;SWTwo</f>
        <v>G104 Electrical Room XXX</v>
      </c>
      <c r="C77" s="183" t="str">
        <f>"UPS "&amp;SWTwo&amp;" Battery Cabinets"</f>
        <v>UPS XXX Battery Cabinets</v>
      </c>
      <c r="D77" s="186" t="str" cm="1">
        <f t="array" ref="D77">"Apply LOTO to the Cabinet " &amp; SWTwo &amp; "2-2 battery breaker."</f>
        <v>Apply LOTO to the Cabinet XXX2-2 battery breaker.</v>
      </c>
      <c r="E77" s="183" t="s">
        <v>1464</v>
      </c>
      <c r="F77" s="193"/>
      <c r="G77" s="193"/>
    </row>
    <row r="78" spans="1:7" ht="56.25" x14ac:dyDescent="0.25">
      <c r="A78" s="251">
        <f t="shared" si="1"/>
        <v>250</v>
      </c>
      <c r="B78" s="231" t="str">
        <f>Suite&amp;" Electrical Room "&amp;SWTwo</f>
        <v>G104 Electrical Room XXX</v>
      </c>
      <c r="C78" s="183" t="str">
        <f>"UPS "&amp;SWTwo&amp;" Battery Cabinets"</f>
        <v>UPS XXX Battery Cabinets</v>
      </c>
      <c r="D78" s="186" t="s">
        <v>1518</v>
      </c>
      <c r="E78" s="183" t="s">
        <v>1464</v>
      </c>
      <c r="F78" s="193"/>
      <c r="G78" s="193"/>
    </row>
    <row r="79" spans="1:7" ht="56.25" x14ac:dyDescent="0.25">
      <c r="A79" s="251">
        <f t="shared" si="1"/>
        <v>251</v>
      </c>
      <c r="B79" s="231" t="str">
        <f>Suite&amp;" Electrical Room "&amp;SWTwo</f>
        <v>G104 Electrical Room XXX</v>
      </c>
      <c r="C79" s="183" t="str">
        <f>"UPS "&amp;SWTwo&amp;" Battery Cabinets"</f>
        <v>UPS XXX Battery Cabinets</v>
      </c>
      <c r="D79" s="186" t="str" cm="1">
        <f t="array" ref="D79">"OPEN the Cabinet " &amp; SWTwo &amp; "2-3 battery breaker."</f>
        <v>OPEN the Cabinet XXX2-3 battery breaker.</v>
      </c>
      <c r="E79" s="183" t="s">
        <v>1464</v>
      </c>
      <c r="F79" s="193"/>
      <c r="G79" s="193"/>
    </row>
    <row r="80" spans="1:7" ht="56.25" x14ac:dyDescent="0.25">
      <c r="A80" s="251">
        <f t="shared" si="1"/>
        <v>252</v>
      </c>
      <c r="B80" s="231" t="str">
        <f>Suite&amp;" Electrical Room "&amp;SWTwo</f>
        <v>G104 Electrical Room XXX</v>
      </c>
      <c r="C80" s="183" t="str">
        <f>"UPS "&amp;SWTwo&amp;" Battery Cabinets"</f>
        <v>UPS XXX Battery Cabinets</v>
      </c>
      <c r="D80" s="186" t="str" cm="1">
        <f t="array" ref="D80">"Apply LOTO to the Cabinet " &amp; SWTwo &amp; "2-3 battery breaker."</f>
        <v>Apply LOTO to the Cabinet XXX2-3 battery breaker.</v>
      </c>
      <c r="E80" s="183" t="s">
        <v>1464</v>
      </c>
      <c r="F80" s="193"/>
      <c r="G80" s="193"/>
    </row>
    <row r="81" spans="1:7" ht="56.25" x14ac:dyDescent="0.25">
      <c r="A81" s="251">
        <f t="shared" si="1"/>
        <v>253</v>
      </c>
      <c r="B81" s="231" t="str">
        <f>Suite&amp;" Electrical Room "&amp;SWTwo</f>
        <v>G104 Electrical Room XXX</v>
      </c>
      <c r="C81" s="183" t="str">
        <f>"UPS "&amp;SWTwo&amp;" Battery Cabinets"</f>
        <v>UPS XXX Battery Cabinets</v>
      </c>
      <c r="D81" s="186" t="s">
        <v>1518</v>
      </c>
      <c r="E81" s="183" t="s">
        <v>1464</v>
      </c>
      <c r="F81" s="193"/>
      <c r="G81" s="193"/>
    </row>
    <row r="82" spans="1:7" ht="37.5" x14ac:dyDescent="0.25">
      <c r="A82" s="251">
        <f t="shared" si="1"/>
        <v>254</v>
      </c>
      <c r="B82" s="231" t="str">
        <f>Suite&amp;" Electrical Room "&amp;SWTwo</f>
        <v>G104 Electrical Room XXX</v>
      </c>
      <c r="C82" s="183" t="str">
        <f>"UPS "&amp;SWTwo&amp;"1"</f>
        <v>UPS XXX1</v>
      </c>
      <c r="D82" s="233" t="s">
        <v>1754</v>
      </c>
      <c r="E82" s="183" t="s">
        <v>1464</v>
      </c>
      <c r="F82" s="193"/>
      <c r="G82" s="193"/>
    </row>
    <row r="83" spans="1:7" ht="37.5" x14ac:dyDescent="0.25">
      <c r="A83" s="251">
        <f t="shared" si="1"/>
        <v>255</v>
      </c>
      <c r="B83" s="231" t="str">
        <f>Suite&amp;" Electrical Room "&amp;SWTwo</f>
        <v>G104 Electrical Room XXX</v>
      </c>
      <c r="C83" s="183" t="str">
        <f>"UPS "&amp;SWTwo&amp;"2"</f>
        <v>UPS XXX2</v>
      </c>
      <c r="D83" s="233" t="s">
        <v>1754</v>
      </c>
      <c r="E83" s="183" t="s">
        <v>1464</v>
      </c>
      <c r="F83" s="193"/>
      <c r="G83" s="193"/>
    </row>
    <row r="84" spans="1:7" ht="37.5" x14ac:dyDescent="0.25">
      <c r="A84" s="251">
        <f t="shared" si="1"/>
        <v>256</v>
      </c>
      <c r="B84" s="231" t="str">
        <f>Suite&amp;" Electrical Room "&amp;SWTwo</f>
        <v>G104 Electrical Room XXX</v>
      </c>
      <c r="C84" s="183" t="str">
        <f>"SCC "&amp;SWTwo</f>
        <v>SCC XXX</v>
      </c>
      <c r="D84" s="233" t="s">
        <v>1755</v>
      </c>
      <c r="E84" s="183" t="s">
        <v>1464</v>
      </c>
      <c r="F84" s="193"/>
      <c r="G84" s="193"/>
    </row>
    <row r="85" spans="1:7" ht="37.5" x14ac:dyDescent="0.25">
      <c r="A85" s="251">
        <f t="shared" si="1"/>
        <v>257</v>
      </c>
      <c r="B85" s="231" t="str">
        <f>Suite&amp;" Electrical Room "&amp;SWTwo</f>
        <v>G104 Electrical Room XXX</v>
      </c>
      <c r="C85" s="183" t="str">
        <f>"SCC "&amp;SWTwo</f>
        <v>SCC XXX</v>
      </c>
      <c r="D85" s="233" t="s">
        <v>1756</v>
      </c>
      <c r="E85" s="183" t="s">
        <v>1464</v>
      </c>
      <c r="F85" s="193"/>
      <c r="G85" s="193"/>
    </row>
    <row r="86" spans="1:7" ht="37.5" x14ac:dyDescent="0.25">
      <c r="A86" s="251">
        <f t="shared" si="1"/>
        <v>258</v>
      </c>
      <c r="B86" s="231" t="str">
        <f>Suite&amp;" Electrical Room "&amp;SWTwo</f>
        <v>G104 Electrical Room XXX</v>
      </c>
      <c r="C86" s="183" t="str">
        <f>"SCC "&amp;SWTwo</f>
        <v>SCC XXX</v>
      </c>
      <c r="D86" s="233" t="s">
        <v>1757</v>
      </c>
      <c r="E86" s="183" t="s">
        <v>1464</v>
      </c>
      <c r="F86" s="193"/>
      <c r="G86" s="193"/>
    </row>
    <row r="87" spans="1:7" ht="37.5" x14ac:dyDescent="0.25">
      <c r="A87" s="251">
        <f t="shared" si="1"/>
        <v>259</v>
      </c>
      <c r="B87" s="231" t="str">
        <f>Suite&amp;" Electrical Room "&amp;SWTwo</f>
        <v>G104 Electrical Room XXX</v>
      </c>
      <c r="C87" s="183" t="str">
        <f>"SW"&amp;SWTwo</f>
        <v>SWXXX</v>
      </c>
      <c r="D87" s="233" t="s">
        <v>1758</v>
      </c>
      <c r="E87" s="183" t="s">
        <v>1464</v>
      </c>
      <c r="F87" s="193"/>
      <c r="G87" s="193"/>
    </row>
    <row r="88" spans="1:7" ht="37.5" x14ac:dyDescent="0.25">
      <c r="A88" s="251">
        <f t="shared" si="1"/>
        <v>260</v>
      </c>
      <c r="B88" s="231" t="str">
        <f>Suite&amp;" Electrical Room "&amp;SWTwo</f>
        <v>G104 Electrical Room XXX</v>
      </c>
      <c r="C88" s="183" t="str">
        <f>"SW"&amp;SWTwo</f>
        <v>SWXXX</v>
      </c>
      <c r="D88" s="186" t="str" cm="1">
        <f t="array" ref="D88">"OPEN breaker UPS-" &amp; SWTwo &amp; "1."</f>
        <v>OPEN breaker UPS-XXX1.</v>
      </c>
      <c r="E88" s="183" t="s">
        <v>1464</v>
      </c>
      <c r="F88" s="193"/>
      <c r="G88" s="193"/>
    </row>
    <row r="89" spans="1:7" ht="37.5" x14ac:dyDescent="0.25">
      <c r="A89" s="251">
        <f t="shared" si="1"/>
        <v>261</v>
      </c>
      <c r="B89" s="231" t="str">
        <f>Suite&amp;" Electrical Room "&amp;SWTwo</f>
        <v>G104 Electrical Room XXX</v>
      </c>
      <c r="C89" s="183" t="str">
        <f>"SW"&amp;SWTwo</f>
        <v>SWXXX</v>
      </c>
      <c r="D89" s="186" t="str" cm="1">
        <f t="array" ref="D89">"Apply LOTO to breaker UPS-" &amp; SWTwo &amp; "1."</f>
        <v>Apply LOTO to breaker UPS-XXX1.</v>
      </c>
      <c r="E89" s="183" t="s">
        <v>1464</v>
      </c>
      <c r="F89" s="193"/>
      <c r="G89" s="193"/>
    </row>
    <row r="90" spans="1:7" ht="37.5" x14ac:dyDescent="0.25">
      <c r="A90" s="251">
        <f t="shared" si="1"/>
        <v>262</v>
      </c>
      <c r="B90" s="231" t="str">
        <f>Suite&amp;" Electrical Room "&amp;SWTwo</f>
        <v>G104 Electrical Room XXX</v>
      </c>
      <c r="C90" s="183" t="str">
        <f>"SW"&amp;SWTwo</f>
        <v>SWXXX</v>
      </c>
      <c r="D90" s="186" t="s">
        <v>1518</v>
      </c>
      <c r="E90" s="183" t="s">
        <v>1464</v>
      </c>
      <c r="F90" s="193"/>
      <c r="G90" s="193"/>
    </row>
    <row r="91" spans="1:7" ht="37.5" x14ac:dyDescent="0.25">
      <c r="A91" s="251">
        <f t="shared" si="1"/>
        <v>263</v>
      </c>
      <c r="B91" s="231" t="str">
        <f>Suite&amp;" Electrical Room "&amp;SWTwo</f>
        <v>G104 Electrical Room XXX</v>
      </c>
      <c r="C91" s="183" t="str">
        <f>"SW"&amp;SWTwo</f>
        <v>SWXXX</v>
      </c>
      <c r="D91" s="186" t="str" cm="1">
        <f t="array" ref="D91">"OPEN breaker UPS-" &amp; SWTwo &amp; "2."</f>
        <v>OPEN breaker UPS-XXX2.</v>
      </c>
      <c r="E91" s="183" t="s">
        <v>1464</v>
      </c>
      <c r="F91" s="193"/>
      <c r="G91" s="193"/>
    </row>
    <row r="92" spans="1:7" ht="37.5" x14ac:dyDescent="0.25">
      <c r="A92" s="251">
        <f t="shared" si="1"/>
        <v>264</v>
      </c>
      <c r="B92" s="231" t="str">
        <f>Suite&amp;" Electrical Room "&amp;SWTwo</f>
        <v>G104 Electrical Room XXX</v>
      </c>
      <c r="C92" s="183" t="str">
        <f>"SW"&amp;SWTwo</f>
        <v>SWXXX</v>
      </c>
      <c r="D92" s="186" t="str" cm="1">
        <f t="array" ref="D92">"Apply LOTO to breaker UPS-" &amp; SWTwo &amp; "2."</f>
        <v>Apply LOTO to breaker UPS-XXX2.</v>
      </c>
      <c r="E92" s="183" t="s">
        <v>1464</v>
      </c>
      <c r="F92" s="193"/>
      <c r="G92" s="193"/>
    </row>
    <row r="93" spans="1:7" ht="37.5" x14ac:dyDescent="0.25">
      <c r="A93" s="251">
        <f t="shared" si="1"/>
        <v>265</v>
      </c>
      <c r="B93" s="231" t="str">
        <f>Suite&amp;" Electrical Room "&amp;SWTwo</f>
        <v>G104 Electrical Room XXX</v>
      </c>
      <c r="C93" s="183" t="str">
        <f>"SW"&amp;SWTwo</f>
        <v>SWXXX</v>
      </c>
      <c r="D93" s="186" t="s">
        <v>1518</v>
      </c>
      <c r="E93" s="183" t="s">
        <v>1464</v>
      </c>
      <c r="F93" s="193"/>
      <c r="G93" s="193"/>
    </row>
    <row r="94" spans="1:7" ht="37.5" x14ac:dyDescent="0.25">
      <c r="A94" s="251">
        <f t="shared" si="1"/>
        <v>266</v>
      </c>
      <c r="B94" s="231" t="str">
        <f>Suite&amp;" Electrical Room "&amp;SWTwo</f>
        <v>G104 Electrical Room XXX</v>
      </c>
      <c r="C94" s="183" t="str">
        <f>"SW"&amp;SWTwo</f>
        <v>SWXXX</v>
      </c>
      <c r="D94" s="186" t="str" cm="1">
        <f t="array" ref="D94">"OPEN breaker SCC-" &amp; SWTwo &amp; "."</f>
        <v>OPEN breaker SCC-XXX.</v>
      </c>
      <c r="E94" s="183" t="s">
        <v>1464</v>
      </c>
      <c r="F94" s="193"/>
      <c r="G94" s="193"/>
    </row>
    <row r="95" spans="1:7" ht="37.5" x14ac:dyDescent="0.25">
      <c r="A95" s="251">
        <f t="shared" si="1"/>
        <v>267</v>
      </c>
      <c r="B95" s="231" t="str">
        <f>Suite&amp;" Electrical Room "&amp;SWTwo</f>
        <v>G104 Electrical Room XXX</v>
      </c>
      <c r="C95" s="183" t="str">
        <f>"SW"&amp;SWTwo</f>
        <v>SWXXX</v>
      </c>
      <c r="D95" s="186" t="str" cm="1">
        <f t="array" ref="D95">"Apply LOTO to breaker SCC-" &amp; SWTwo &amp; "."</f>
        <v>Apply LOTO to breaker SCC-XXX.</v>
      </c>
      <c r="E95" s="183" t="s">
        <v>1464</v>
      </c>
      <c r="F95" s="193"/>
      <c r="G95" s="193"/>
    </row>
    <row r="96" spans="1:7" ht="37.5" x14ac:dyDescent="0.25">
      <c r="A96" s="251">
        <f t="shared" si="1"/>
        <v>268</v>
      </c>
      <c r="B96" s="231" t="str">
        <f>Suite&amp;" Electrical Room "&amp;SWTwo</f>
        <v>G104 Electrical Room XXX</v>
      </c>
      <c r="C96" s="183" t="str">
        <f>"SW"&amp;SWTwo</f>
        <v>SWXXX</v>
      </c>
      <c r="D96" s="186" t="s">
        <v>1518</v>
      </c>
      <c r="E96" s="183" t="s">
        <v>1464</v>
      </c>
      <c r="F96" s="193"/>
      <c r="G96" s="193"/>
    </row>
    <row r="97" spans="1:7" ht="37.5" x14ac:dyDescent="0.25">
      <c r="A97" s="251">
        <f t="shared" si="1"/>
        <v>269</v>
      </c>
      <c r="B97" s="231" t="str">
        <f>Suite&amp;" Electrical Room "&amp;SWTwo</f>
        <v>G104 Electrical Room XXX</v>
      </c>
      <c r="C97" s="183" t="str">
        <f>"SW"&amp;SWTwo</f>
        <v>SWXXX</v>
      </c>
      <c r="D97" s="233" t="str" cm="1">
        <f t="array" ref="D97">"UPS SYSTEM " &amp; SWTwo &amp; " is now completely offline. Critical Customer Load remains on Maintenance Bypass Source."</f>
        <v>UPS SYSTEM XXX is now completely offline. Critical Customer Load remains on Maintenance Bypass Source.</v>
      </c>
      <c r="E97" s="183" t="s">
        <v>1464</v>
      </c>
      <c r="F97" s="193"/>
      <c r="G97" s="193"/>
    </row>
    <row r="98" spans="1:7" ht="37.5" x14ac:dyDescent="0.25">
      <c r="A98" s="251">
        <f t="shared" si="1"/>
        <v>270</v>
      </c>
      <c r="B98" s="231" t="str">
        <f>Suite&amp;" Electrical Room "&amp;SWTwo</f>
        <v>G104 Electrical Room XXX</v>
      </c>
      <c r="C98" s="183" t="str">
        <f>"SW"&amp;SWTwo</f>
        <v>SWXXX</v>
      </c>
      <c r="D98" s="233" t="s">
        <v>1584</v>
      </c>
      <c r="E98" s="183" t="s">
        <v>1464</v>
      </c>
      <c r="F98" s="193"/>
      <c r="G98" s="193"/>
    </row>
    <row r="99" spans="1:7" x14ac:dyDescent="0.25">
      <c r="A99" s="251">
        <f t="shared" si="1"/>
        <v>271</v>
      </c>
      <c r="B99" s="711" t="str" cm="1">
        <f t="array" ref="B99">"Restart UPS System " &amp; SWTwo</f>
        <v>Restart UPS System XXX</v>
      </c>
      <c r="C99" s="711"/>
      <c r="D99" s="711"/>
      <c r="E99" s="711"/>
      <c r="F99" s="711"/>
      <c r="G99" s="711"/>
    </row>
    <row r="100" spans="1:7" ht="37.5" x14ac:dyDescent="0.25">
      <c r="A100" s="251">
        <f t="shared" si="1"/>
        <v>272</v>
      </c>
      <c r="B100" s="231" t="str">
        <f>Suite&amp;" Electrical Room "&amp;SWTwo</f>
        <v>G104 Electrical Room XXX</v>
      </c>
      <c r="C100" s="183" t="str">
        <f>"UPS "&amp;SWTwo</f>
        <v>UPS XXX</v>
      </c>
      <c r="D100" s="233" t="s">
        <v>1585</v>
      </c>
      <c r="E100" s="183" t="s">
        <v>1464</v>
      </c>
      <c r="F100" s="193"/>
      <c r="G100" s="193"/>
    </row>
    <row r="101" spans="1:7" ht="37.5" x14ac:dyDescent="0.25">
      <c r="A101" s="251">
        <f t="shared" si="1"/>
        <v>273</v>
      </c>
      <c r="B101" s="231" t="str">
        <f>Suite&amp;" Electrical Room "&amp;SWTwo</f>
        <v>G104 Electrical Room XXX</v>
      </c>
      <c r="C101" s="183" t="str">
        <f>"UPS "&amp;SWTwo</f>
        <v>UPS XXX</v>
      </c>
      <c r="D101" s="252" t="str" cm="1">
        <f t="array" ref="D101">"By my signature below I certify that UPS-" &amp; SWTwo &amp; " is ready to be returned to service."</f>
        <v>By my signature below I certify that UPS-XXX is ready to be returned to service.</v>
      </c>
      <c r="E101" s="183" t="s">
        <v>1529</v>
      </c>
      <c r="F101" s="193"/>
      <c r="G101" s="193"/>
    </row>
    <row r="102" spans="1:7" ht="37.5" x14ac:dyDescent="0.25">
      <c r="A102" s="251">
        <f t="shared" si="1"/>
        <v>274</v>
      </c>
      <c r="B102" s="231" t="str">
        <f>Suite&amp;" Electrical Room "&amp;SWTwo</f>
        <v>G104 Electrical Room XXX</v>
      </c>
      <c r="C102" s="183" t="str">
        <f>"UPS "&amp;SWTwo</f>
        <v>UPS XXX</v>
      </c>
      <c r="D102" s="184" t="s">
        <v>1586</v>
      </c>
      <c r="E102" s="183" t="s">
        <v>1529</v>
      </c>
      <c r="F102" s="193"/>
      <c r="G102" s="193"/>
    </row>
    <row r="103" spans="1:7" ht="37.5" x14ac:dyDescent="0.25">
      <c r="A103" s="251">
        <f t="shared" si="1"/>
        <v>275</v>
      </c>
      <c r="B103" s="231" t="str">
        <f>Suite&amp;" Electrical Room "&amp;SWTwo</f>
        <v>G104 Electrical Room XXX</v>
      </c>
      <c r="C103" s="183" t="str">
        <f>"UP"&amp;SWTwo</f>
        <v>UPXXX</v>
      </c>
      <c r="D103" s="233" t="str" cm="1">
        <f t="array" ref="D103">"NOTATE the kW reading at UP" &amp; SWTwo &amp; " Critical Bus Panel Meter: _________"</f>
        <v>NOTATE the kW reading at UPXXX Critical Bus Panel Meter: _________</v>
      </c>
      <c r="E103" s="183" t="s">
        <v>1464</v>
      </c>
      <c r="F103" s="193"/>
      <c r="G103" s="193"/>
    </row>
    <row r="104" spans="1:7" ht="37.5" x14ac:dyDescent="0.25">
      <c r="A104" s="251">
        <f t="shared" si="1"/>
        <v>276</v>
      </c>
      <c r="B104" s="231" t="str">
        <f>Suite&amp;" Electrical Room "&amp;SWTwo</f>
        <v>G104 Electrical Room XXX</v>
      </c>
      <c r="C104" s="183" t="str">
        <f>"UP"&amp;SWTwo</f>
        <v>UPXXX</v>
      </c>
      <c r="D104" s="233" t="str">
        <f>"VERIFY the readings in step " &amp; A59 &amp; " and " &amp; A103 &amp; " are within 3% of each other. (new kW divided by original kW must be ≤1.03 and ≥0.97)."</f>
        <v>VERIFY the readings in step 231 and 275 are within 3% of each other. (new kW divided by original kW must be ≤1.03 and ≥0.97).</v>
      </c>
      <c r="E104" s="183" t="s">
        <v>1464</v>
      </c>
      <c r="F104" s="193"/>
      <c r="G104" s="193"/>
    </row>
    <row r="105" spans="1:7" ht="56.25" x14ac:dyDescent="0.25">
      <c r="A105" s="251">
        <f t="shared" si="1"/>
        <v>277</v>
      </c>
      <c r="B105" s="231" t="str">
        <f>Suite&amp;" Electrical Room "&amp;SWTwo</f>
        <v>G104 Electrical Room XXX</v>
      </c>
      <c r="C105" s="183" t="str">
        <f>"UPS "&amp;SWTwo&amp;" Battery Cabinets"</f>
        <v>UPS XXX Battery Cabinets</v>
      </c>
      <c r="D105" s="186" t="str" cm="1">
        <f t="array" ref="D105">"Remove LOTO from the Cabinet " &amp; SWTwo &amp; "1-1 battery breaker."</f>
        <v>Remove LOTO from the Cabinet XXX1-1 battery breaker.</v>
      </c>
      <c r="E105" s="183" t="s">
        <v>1464</v>
      </c>
      <c r="F105" s="193"/>
      <c r="G105" s="193"/>
    </row>
    <row r="106" spans="1:7" ht="56.25" x14ac:dyDescent="0.25">
      <c r="A106" s="251">
        <f t="shared" si="1"/>
        <v>278</v>
      </c>
      <c r="B106" s="231" t="str">
        <f>Suite&amp;" Electrical Room "&amp;SWTwo</f>
        <v>G104 Electrical Room XXX</v>
      </c>
      <c r="C106" s="183" t="str">
        <f>"UPS "&amp;SWTwo&amp;" Battery Cabinets"</f>
        <v>UPS XXX Battery Cabinets</v>
      </c>
      <c r="D106" s="186" t="s">
        <v>1518</v>
      </c>
      <c r="E106" s="183" t="s">
        <v>1464</v>
      </c>
      <c r="F106" s="193"/>
      <c r="G106" s="193"/>
    </row>
    <row r="107" spans="1:7" ht="56.25" x14ac:dyDescent="0.25">
      <c r="A107" s="251">
        <f t="shared" si="1"/>
        <v>279</v>
      </c>
      <c r="B107" s="231" t="str">
        <f>Suite&amp;" Electrical Room "&amp;SWTwo</f>
        <v>G104 Electrical Room XXX</v>
      </c>
      <c r="C107" s="183" t="str">
        <f>"UPS "&amp;SWTwo&amp;" Battery Cabinets"</f>
        <v>UPS XXX Battery Cabinets</v>
      </c>
      <c r="D107" s="186" t="str" cm="1">
        <f t="array" ref="D107">"Remove LOTO from the Cabinet " &amp; SWTwo &amp; "1-2 battery breaker."</f>
        <v>Remove LOTO from the Cabinet XXX1-2 battery breaker.</v>
      </c>
      <c r="E107" s="183" t="s">
        <v>1464</v>
      </c>
      <c r="F107" s="193"/>
      <c r="G107" s="193"/>
    </row>
    <row r="108" spans="1:7" ht="56.25" x14ac:dyDescent="0.25">
      <c r="A108" s="251">
        <f t="shared" si="1"/>
        <v>280</v>
      </c>
      <c r="B108" s="231" t="str">
        <f>Suite&amp;" Electrical Room "&amp;SWTwo</f>
        <v>G104 Electrical Room XXX</v>
      </c>
      <c r="C108" s="183" t="str">
        <f>"UPS "&amp;SWTwo&amp;" Battery Cabinets"</f>
        <v>UPS XXX Battery Cabinets</v>
      </c>
      <c r="D108" s="186" t="s">
        <v>1518</v>
      </c>
      <c r="E108" s="183" t="s">
        <v>1464</v>
      </c>
      <c r="F108" s="193"/>
      <c r="G108" s="193"/>
    </row>
    <row r="109" spans="1:7" ht="56.25" x14ac:dyDescent="0.25">
      <c r="A109" s="251">
        <f t="shared" si="1"/>
        <v>281</v>
      </c>
      <c r="B109" s="231" t="str">
        <f>Suite&amp;" Electrical Room "&amp;SWTwo</f>
        <v>G104 Electrical Room XXX</v>
      </c>
      <c r="C109" s="183" t="str">
        <f>"UPS "&amp;SWTwo&amp;" Battery Cabinets"</f>
        <v>UPS XXX Battery Cabinets</v>
      </c>
      <c r="D109" s="186" t="str" cm="1">
        <f t="array" ref="D109">"Remove LOTO from the Cabinet " &amp; SWTwo &amp; "1-3 battery breaker."</f>
        <v>Remove LOTO from the Cabinet XXX1-3 battery breaker.</v>
      </c>
      <c r="E109" s="183" t="s">
        <v>1464</v>
      </c>
      <c r="F109" s="193"/>
      <c r="G109" s="193"/>
    </row>
    <row r="110" spans="1:7" ht="56.25" x14ac:dyDescent="0.25">
      <c r="A110" s="251">
        <f t="shared" si="1"/>
        <v>282</v>
      </c>
      <c r="B110" s="231" t="str">
        <f>Suite&amp;" Electrical Room "&amp;SWTwo</f>
        <v>G104 Electrical Room XXX</v>
      </c>
      <c r="C110" s="183" t="str">
        <f>"UPS "&amp;SWTwo&amp;" Battery Cabinets"</f>
        <v>UPS XXX Battery Cabinets</v>
      </c>
      <c r="D110" s="186" t="s">
        <v>1518</v>
      </c>
      <c r="E110" s="183" t="s">
        <v>1464</v>
      </c>
      <c r="F110" s="193"/>
      <c r="G110" s="193"/>
    </row>
    <row r="111" spans="1:7" ht="56.25" x14ac:dyDescent="0.25">
      <c r="A111" s="251">
        <f t="shared" si="1"/>
        <v>283</v>
      </c>
      <c r="B111" s="231" t="str">
        <f>Suite&amp;" Electrical Room "&amp;SWTwo</f>
        <v>G104 Electrical Room XXX</v>
      </c>
      <c r="C111" s="183" t="str">
        <f>"UPS "&amp;SWTwo&amp;" Battery Cabinets"</f>
        <v>UPS XXX Battery Cabinets</v>
      </c>
      <c r="D111" s="186" t="str" cm="1">
        <f t="array" ref="D111">"Remove LOTO from the Cabinet " &amp; SWTwo &amp; "2-1 battery breaker."</f>
        <v>Remove LOTO from the Cabinet XXX2-1 battery breaker.</v>
      </c>
      <c r="E111" s="183" t="s">
        <v>1464</v>
      </c>
      <c r="F111" s="193"/>
      <c r="G111" s="193"/>
    </row>
    <row r="112" spans="1:7" ht="56.25" x14ac:dyDescent="0.25">
      <c r="A112" s="251">
        <f t="shared" si="1"/>
        <v>284</v>
      </c>
      <c r="B112" s="231" t="str">
        <f>Suite&amp;" Electrical Room "&amp;SWTwo</f>
        <v>G104 Electrical Room XXX</v>
      </c>
      <c r="C112" s="183" t="str">
        <f>"UPS "&amp;SWTwo&amp;" Battery Cabinets"</f>
        <v>UPS XXX Battery Cabinets</v>
      </c>
      <c r="D112" s="186" t="s">
        <v>1518</v>
      </c>
      <c r="E112" s="183" t="s">
        <v>1464</v>
      </c>
      <c r="F112" s="193"/>
      <c r="G112" s="193"/>
    </row>
    <row r="113" spans="1:7" ht="56.25" x14ac:dyDescent="0.25">
      <c r="A113" s="251">
        <f t="shared" si="1"/>
        <v>285</v>
      </c>
      <c r="B113" s="231" t="str">
        <f>Suite&amp;" Electrical Room "&amp;SWTwo</f>
        <v>G104 Electrical Room XXX</v>
      </c>
      <c r="C113" s="183" t="str">
        <f>"UPS "&amp;SWTwo&amp;" Battery Cabinets"</f>
        <v>UPS XXX Battery Cabinets</v>
      </c>
      <c r="D113" s="186" t="str" cm="1">
        <f t="array" ref="D113">"Remove LOTO from the Cabinet " &amp; SWTwo &amp; "2-2 battery breaker."</f>
        <v>Remove LOTO from the Cabinet XXX2-2 battery breaker.</v>
      </c>
      <c r="E113" s="183" t="s">
        <v>1464</v>
      </c>
      <c r="F113" s="193"/>
      <c r="G113" s="193"/>
    </row>
    <row r="114" spans="1:7" ht="56.25" x14ac:dyDescent="0.25">
      <c r="A114" s="251">
        <f t="shared" si="1"/>
        <v>286</v>
      </c>
      <c r="B114" s="231" t="str">
        <f>Suite&amp;" Electrical Room "&amp;SWTwo</f>
        <v>G104 Electrical Room XXX</v>
      </c>
      <c r="C114" s="183" t="str">
        <f>"UPS "&amp;SWTwo&amp;" Battery Cabinets"</f>
        <v>UPS XXX Battery Cabinets</v>
      </c>
      <c r="D114" s="186" t="s">
        <v>1518</v>
      </c>
      <c r="E114" s="183" t="s">
        <v>1464</v>
      </c>
      <c r="F114" s="193"/>
      <c r="G114" s="193"/>
    </row>
    <row r="115" spans="1:7" ht="56.25" x14ac:dyDescent="0.25">
      <c r="A115" s="251">
        <f t="shared" si="1"/>
        <v>287</v>
      </c>
      <c r="B115" s="231" t="str">
        <f>Suite&amp;" Electrical Room "&amp;SWTwo</f>
        <v>G104 Electrical Room XXX</v>
      </c>
      <c r="C115" s="183" t="str">
        <f>"UPS "&amp;SWTwo&amp;" Battery Cabinets"</f>
        <v>UPS XXX Battery Cabinets</v>
      </c>
      <c r="D115" s="186" t="str" cm="1">
        <f t="array" ref="D115">"Remove LOTO from the Cabinet " &amp; SWTwo &amp; "2-3 battery breaker."</f>
        <v>Remove LOTO from the Cabinet XXX2-3 battery breaker.</v>
      </c>
      <c r="E115" s="183" t="s">
        <v>1464</v>
      </c>
      <c r="F115" s="193"/>
      <c r="G115" s="193"/>
    </row>
    <row r="116" spans="1:7" ht="56.25" x14ac:dyDescent="0.25">
      <c r="A116" s="251">
        <f t="shared" si="1"/>
        <v>288</v>
      </c>
      <c r="B116" s="231" t="str">
        <f>Suite&amp;" Electrical Room "&amp;SWTwo</f>
        <v>G104 Electrical Room XXX</v>
      </c>
      <c r="C116" s="183" t="str">
        <f>"UPS "&amp;SWTwo&amp;" Battery Cabinets"</f>
        <v>UPS XXX Battery Cabinets</v>
      </c>
      <c r="D116" s="186" t="s">
        <v>1518</v>
      </c>
      <c r="E116" s="183" t="s">
        <v>1464</v>
      </c>
      <c r="F116" s="193"/>
      <c r="G116" s="193"/>
    </row>
    <row r="117" spans="1:7" ht="37.5" x14ac:dyDescent="0.25">
      <c r="A117" s="251">
        <f t="shared" si="1"/>
        <v>289</v>
      </c>
      <c r="B117" s="231" t="str">
        <f>Suite&amp;" Electrical Room "&amp;SWTwo</f>
        <v>G104 Electrical Room XXX</v>
      </c>
      <c r="C117" s="183" t="str">
        <f>"UP"&amp;SWTwo</f>
        <v>UPXXX</v>
      </c>
      <c r="D117" s="233" t="str" cm="1">
        <f t="array" ref="D117">"Remove LOTO from breaker MCBUP" &amp; SWTwo &amp; "."</f>
        <v>Remove LOTO from breaker MCBUPXXX.</v>
      </c>
      <c r="E117" s="183" t="s">
        <v>1464</v>
      </c>
      <c r="F117" s="193"/>
      <c r="G117" s="193"/>
    </row>
    <row r="118" spans="1:7" ht="37.5" x14ac:dyDescent="0.25">
      <c r="A118" s="251">
        <f t="shared" si="1"/>
        <v>290</v>
      </c>
      <c r="B118" s="231" t="str">
        <f>Suite&amp;" Electrical Room "&amp;SWTwo</f>
        <v>G104 Electrical Room XXX</v>
      </c>
      <c r="C118" s="183" t="str">
        <f>"UP"&amp;SWTwo</f>
        <v>UPXXX</v>
      </c>
      <c r="D118" s="186" t="s">
        <v>1518</v>
      </c>
      <c r="E118" s="183" t="s">
        <v>1464</v>
      </c>
      <c r="F118" s="193"/>
      <c r="G118" s="193"/>
    </row>
    <row r="119" spans="1:7" ht="37.5" x14ac:dyDescent="0.25">
      <c r="A119" s="251">
        <f t="shared" si="1"/>
        <v>291</v>
      </c>
      <c r="B119" s="231" t="str">
        <f>Suite&amp;" Electrical Room "&amp;SWTwo</f>
        <v>G104 Electrical Room XXX</v>
      </c>
      <c r="C119" s="183" t="str">
        <f>"SW"&amp;SWTwo</f>
        <v>SWXXX</v>
      </c>
      <c r="D119" s="186" t="str" cm="1">
        <f t="array" ref="D119">"Remove LOTO from breaker UPS-" &amp; SWTwo &amp; "1."</f>
        <v>Remove LOTO from breaker UPS-XXX1.</v>
      </c>
      <c r="E119" s="183" t="s">
        <v>1464</v>
      </c>
      <c r="F119" s="193"/>
      <c r="G119" s="193"/>
    </row>
    <row r="120" spans="1:7" ht="37.5" x14ac:dyDescent="0.25">
      <c r="A120" s="251">
        <f t="shared" si="1"/>
        <v>292</v>
      </c>
      <c r="B120" s="231" t="str">
        <f>Suite&amp;" Electrical Room "&amp;SWTwo</f>
        <v>G104 Electrical Room XXX</v>
      </c>
      <c r="C120" s="183" t="str">
        <f>"SW"&amp;SWTwo</f>
        <v>SWXXX</v>
      </c>
      <c r="D120" s="186" t="s">
        <v>1518</v>
      </c>
      <c r="E120" s="183" t="s">
        <v>1464</v>
      </c>
      <c r="F120" s="193"/>
      <c r="G120" s="193"/>
    </row>
    <row r="121" spans="1:7" ht="37.5" x14ac:dyDescent="0.25">
      <c r="A121" s="251">
        <f t="shared" si="1"/>
        <v>293</v>
      </c>
      <c r="B121" s="231" t="str">
        <f>Suite&amp;" Electrical Room "&amp;SWTwo</f>
        <v>G104 Electrical Room XXX</v>
      </c>
      <c r="C121" s="183" t="str">
        <f>"SW"&amp;SWTwo</f>
        <v>SWXXX</v>
      </c>
      <c r="D121" s="186" t="str" cm="1">
        <f t="array" ref="D121">"Remove LOTO from breaker UPS-" &amp; SWTwo &amp; "2."</f>
        <v>Remove LOTO from breaker UPS-XXX2.</v>
      </c>
      <c r="E121" s="183" t="s">
        <v>1464</v>
      </c>
      <c r="F121" s="193"/>
      <c r="G121" s="193"/>
    </row>
    <row r="122" spans="1:7" ht="37.5" x14ac:dyDescent="0.25">
      <c r="A122" s="251">
        <f t="shared" si="1"/>
        <v>294</v>
      </c>
      <c r="B122" s="231" t="str">
        <f>Suite&amp;" Electrical Room "&amp;SWTwo</f>
        <v>G104 Electrical Room XXX</v>
      </c>
      <c r="C122" s="183" t="str">
        <f>"SW"&amp;SWTwo</f>
        <v>SWXXX</v>
      </c>
      <c r="D122" s="186" t="s">
        <v>1518</v>
      </c>
      <c r="E122" s="183" t="s">
        <v>1464</v>
      </c>
      <c r="F122" s="193"/>
      <c r="G122" s="193"/>
    </row>
    <row r="123" spans="1:7" ht="37.5" x14ac:dyDescent="0.25">
      <c r="A123" s="251">
        <f t="shared" si="1"/>
        <v>295</v>
      </c>
      <c r="B123" s="231" t="str">
        <f>Suite&amp;" Electrical Room "&amp;SWTwo</f>
        <v>G104 Electrical Room XXX</v>
      </c>
      <c r="C123" s="183" t="str">
        <f>"SW"&amp;SWTwo</f>
        <v>SWXXX</v>
      </c>
      <c r="D123" s="186" t="str" cm="1">
        <f t="array" ref="D123">"Remove LOTO from breaker SCC-" &amp; SWTwo &amp; "."</f>
        <v>Remove LOTO from breaker SCC-XXX.</v>
      </c>
      <c r="E123" s="183" t="s">
        <v>1464</v>
      </c>
      <c r="F123" s="193"/>
      <c r="G123" s="193"/>
    </row>
    <row r="124" spans="1:7" ht="37.5" x14ac:dyDescent="0.25">
      <c r="A124" s="251">
        <f t="shared" si="1"/>
        <v>296</v>
      </c>
      <c r="B124" s="231" t="str">
        <f>Suite&amp;" Electrical Room "&amp;SWTwo</f>
        <v>G104 Electrical Room XXX</v>
      </c>
      <c r="C124" s="183" t="str">
        <f>"SW"&amp;SWTwo</f>
        <v>SWXXX</v>
      </c>
      <c r="D124" s="186" t="s">
        <v>1518</v>
      </c>
      <c r="E124" s="183" t="s">
        <v>1464</v>
      </c>
      <c r="F124" s="193"/>
      <c r="G124" s="193"/>
    </row>
    <row r="125" spans="1:7" ht="37.5" x14ac:dyDescent="0.25">
      <c r="A125" s="251">
        <f t="shared" si="1"/>
        <v>297</v>
      </c>
      <c r="B125" s="231" t="str">
        <f>Suite&amp;" Electrical Room "&amp;SWTwo</f>
        <v>G104 Electrical Room XXX</v>
      </c>
      <c r="C125" s="183" t="str">
        <f>"SW"&amp;SWTwo</f>
        <v>SWXXX</v>
      </c>
      <c r="D125" s="186" t="str" cm="1">
        <f t="array" ref="D125">"Close breaker UPS-" &amp; SWTwo &amp; "1."</f>
        <v>Close breaker UPS-XXX1.</v>
      </c>
      <c r="E125" s="183" t="s">
        <v>1464</v>
      </c>
      <c r="F125" s="193"/>
      <c r="G125" s="193"/>
    </row>
    <row r="126" spans="1:7" ht="37.5" x14ac:dyDescent="0.25">
      <c r="A126" s="251">
        <f t="shared" si="1"/>
        <v>298</v>
      </c>
      <c r="B126" s="231" t="str">
        <f>Suite&amp;" Electrical Room "&amp;SWTwo</f>
        <v>G104 Electrical Room XXX</v>
      </c>
      <c r="C126" s="183" t="str">
        <f>"SW"&amp;SWTwo</f>
        <v>SWXXX</v>
      </c>
      <c r="D126" s="186" t="str" cm="1">
        <f t="array" ref="D126">"Close breaker UPS-" &amp; SWTwo &amp; "2."</f>
        <v>Close breaker UPS-XXX2.</v>
      </c>
      <c r="E126" s="183" t="s">
        <v>1464</v>
      </c>
      <c r="F126" s="193"/>
      <c r="G126" s="193"/>
    </row>
    <row r="127" spans="1:7" ht="37.5" x14ac:dyDescent="0.25">
      <c r="A127" s="251">
        <f t="shared" si="1"/>
        <v>299</v>
      </c>
      <c r="B127" s="231" t="str">
        <f>Suite&amp;" Electrical Room "&amp;SWTwo</f>
        <v>G104 Electrical Room XXX</v>
      </c>
      <c r="C127" s="183" t="str">
        <f>"SW"&amp;SWTwo</f>
        <v>SWXXX</v>
      </c>
      <c r="D127" s="186" t="str" cm="1">
        <f t="array" ref="D127">"Close breaker SCC-" &amp; SWTwo &amp; "."</f>
        <v>Close breaker SCC-XXX.</v>
      </c>
      <c r="E127" s="183" t="s">
        <v>1464</v>
      </c>
      <c r="F127" s="193"/>
      <c r="G127" s="193"/>
    </row>
    <row r="128" spans="1:7" ht="37.5" x14ac:dyDescent="0.25">
      <c r="A128" s="251">
        <f t="shared" si="1"/>
        <v>300</v>
      </c>
      <c r="B128" s="231" t="str">
        <f>Suite&amp;" Electrical Room "&amp;SWTwo</f>
        <v>G104 Electrical Room XXX</v>
      </c>
      <c r="C128" s="183" t="str">
        <f>"SCC "&amp;SWTwo</f>
        <v>SCC XXX</v>
      </c>
      <c r="D128" s="233" t="s">
        <v>1755</v>
      </c>
      <c r="E128" s="183" t="s">
        <v>1464</v>
      </c>
      <c r="F128" s="193"/>
      <c r="G128" s="193"/>
    </row>
    <row r="129" spans="1:7" ht="37.5" x14ac:dyDescent="0.25">
      <c r="A129" s="251">
        <f t="shared" si="1"/>
        <v>301</v>
      </c>
      <c r="B129" s="231" t="str">
        <f>Suite&amp;" Electrical Room "&amp;SWTwo</f>
        <v>G104 Electrical Room XXX</v>
      </c>
      <c r="C129" s="183" t="str">
        <f>"SCC "&amp;SWTwo</f>
        <v>SCC XXX</v>
      </c>
      <c r="D129" s="233" t="s">
        <v>1759</v>
      </c>
      <c r="E129" s="183" t="s">
        <v>1464</v>
      </c>
      <c r="F129" s="193"/>
      <c r="G129" s="193"/>
    </row>
    <row r="130" spans="1:7" ht="37.5" x14ac:dyDescent="0.25">
      <c r="A130" s="251">
        <f t="shared" si="1"/>
        <v>302</v>
      </c>
      <c r="B130" s="231" t="str">
        <f>Suite&amp;" Electrical Room "&amp;SWTwo</f>
        <v>G104 Electrical Room XXX</v>
      </c>
      <c r="C130" s="183" t="str">
        <f>"SCC "&amp;SWTwo</f>
        <v>SCC XXX</v>
      </c>
      <c r="D130" s="233" t="s">
        <v>1760</v>
      </c>
      <c r="E130" s="183" t="s">
        <v>1464</v>
      </c>
      <c r="F130" s="193"/>
      <c r="G130" s="193"/>
    </row>
    <row r="131" spans="1:7" ht="37.5" x14ac:dyDescent="0.25">
      <c r="A131" s="251">
        <f t="shared" si="1"/>
        <v>303</v>
      </c>
      <c r="B131" s="231" t="str">
        <f>Suite&amp;" Electrical Room "&amp;SWTwo</f>
        <v>G104 Electrical Room XXX</v>
      </c>
      <c r="C131" s="183" t="str">
        <f>"SCC "&amp;SWTwo</f>
        <v>SCC XXX</v>
      </c>
      <c r="D131" s="233" t="s">
        <v>1761</v>
      </c>
      <c r="E131" s="183" t="s">
        <v>1464</v>
      </c>
      <c r="F131" s="193"/>
      <c r="G131" s="193"/>
    </row>
    <row r="132" spans="1:7" ht="37.5" x14ac:dyDescent="0.25">
      <c r="A132" s="251">
        <f t="shared" si="1"/>
        <v>304</v>
      </c>
      <c r="B132" s="231" t="str">
        <f>Suite&amp;" Electrical Room "&amp;SWTwo</f>
        <v>G104 Electrical Room XXX</v>
      </c>
      <c r="C132" s="183" t="str">
        <f>"UPS "&amp;SWTwo&amp;"1"</f>
        <v>UPS XXX1</v>
      </c>
      <c r="D132" s="233" t="s">
        <v>1762</v>
      </c>
      <c r="E132" s="183" t="s">
        <v>1464</v>
      </c>
      <c r="F132" s="193"/>
      <c r="G132" s="193"/>
    </row>
    <row r="133" spans="1:7" ht="37.5" x14ac:dyDescent="0.25">
      <c r="A133" s="251">
        <f t="shared" si="1"/>
        <v>305</v>
      </c>
      <c r="B133" s="231" t="str">
        <f>Suite&amp;" Electrical Room "&amp;SWTwo</f>
        <v>G104 Electrical Room XXX</v>
      </c>
      <c r="C133" s="183" t="str">
        <f>"UPS "&amp;SWTwo&amp;"1"</f>
        <v>UPS XXX1</v>
      </c>
      <c r="D133" s="233" t="s">
        <v>1749</v>
      </c>
      <c r="E133" s="183" t="s">
        <v>1464</v>
      </c>
      <c r="F133" s="193"/>
      <c r="G133" s="193"/>
    </row>
    <row r="134" spans="1:7" ht="37.5" x14ac:dyDescent="0.25">
      <c r="A134" s="251">
        <f t="shared" si="1"/>
        <v>306</v>
      </c>
      <c r="B134" s="231" t="str">
        <f>Suite&amp;" Electrical Room "&amp;SWTwo</f>
        <v>G104 Electrical Room XXX</v>
      </c>
      <c r="C134" s="183" t="str">
        <f>"UPS "&amp;SWTwo&amp;"2"</f>
        <v>UPS XXX2</v>
      </c>
      <c r="D134" s="233" t="s">
        <v>1762</v>
      </c>
      <c r="E134" s="183" t="s">
        <v>1464</v>
      </c>
      <c r="F134" s="193"/>
      <c r="G134" s="193"/>
    </row>
    <row r="135" spans="1:7" ht="37.5" x14ac:dyDescent="0.25">
      <c r="A135" s="251">
        <f t="shared" si="1"/>
        <v>307</v>
      </c>
      <c r="B135" s="231" t="str">
        <f>Suite&amp;" Electrical Room "&amp;SWTwo</f>
        <v>G104 Electrical Room XXX</v>
      </c>
      <c r="C135" s="183" t="str">
        <f>"UPS "&amp;SWTwo&amp;"2"</f>
        <v>UPS XXX2</v>
      </c>
      <c r="D135" s="233" t="s">
        <v>1749</v>
      </c>
      <c r="E135" s="183" t="s">
        <v>1464</v>
      </c>
      <c r="F135" s="193"/>
      <c r="G135" s="193"/>
    </row>
    <row r="136" spans="1:7" ht="37.5" x14ac:dyDescent="0.25">
      <c r="A136" s="251">
        <f t="shared" si="1"/>
        <v>308</v>
      </c>
      <c r="B136" s="231" t="str">
        <f>Suite&amp;" Electrical Room "&amp;SWTwo</f>
        <v>G104 Electrical Room XXX</v>
      </c>
      <c r="C136" s="183" t="str">
        <f>"SCC "&amp;SWTwo</f>
        <v>SCC XXX</v>
      </c>
      <c r="D136" s="233" t="s">
        <v>1749</v>
      </c>
      <c r="E136" s="183" t="s">
        <v>1464</v>
      </c>
      <c r="F136" s="193"/>
      <c r="G136" s="193"/>
    </row>
    <row r="137" spans="1:7" ht="56.25" x14ac:dyDescent="0.25">
      <c r="A137" s="251">
        <f t="shared" si="1"/>
        <v>309</v>
      </c>
      <c r="B137" s="231" t="str">
        <f>Suite&amp;" Electrical Room "&amp;SWTwo</f>
        <v>G104 Electrical Room XXX</v>
      </c>
      <c r="C137" s="183" t="str">
        <f>"UPS "&amp;SWTwo&amp;" Battery Cabinets"</f>
        <v>UPS XXX Battery Cabinets</v>
      </c>
      <c r="D137" s="186" t="str" cm="1">
        <f t="array" ref="D137">"CLOSE the Cabinet " &amp; SWTwo &amp; "1-1 battery breaker."</f>
        <v>CLOSE the Cabinet XXX1-1 battery breaker.</v>
      </c>
      <c r="E137" s="183" t="s">
        <v>1464</v>
      </c>
      <c r="F137" s="193"/>
      <c r="G137" s="193"/>
    </row>
    <row r="138" spans="1:7" ht="56.25" x14ac:dyDescent="0.25">
      <c r="A138" s="251">
        <f t="shared" ref="A138:A182" si="2">A137+1</f>
        <v>310</v>
      </c>
      <c r="B138" s="231" t="str">
        <f>Suite&amp;" Electrical Room "&amp;SWTwo</f>
        <v>G104 Electrical Room XXX</v>
      </c>
      <c r="C138" s="183" t="str">
        <f>"UPS "&amp;SWTwo&amp;" Battery Cabinets"</f>
        <v>UPS XXX Battery Cabinets</v>
      </c>
      <c r="D138" s="186" t="str" cm="1">
        <f t="array" ref="D138">"CLOSE the Cabinet " &amp; SWTwo &amp; "1-2 battery breaker."</f>
        <v>CLOSE the Cabinet XXX1-2 battery breaker.</v>
      </c>
      <c r="E138" s="183" t="s">
        <v>1464</v>
      </c>
      <c r="F138" s="193"/>
      <c r="G138" s="193"/>
    </row>
    <row r="139" spans="1:7" ht="56.25" x14ac:dyDescent="0.25">
      <c r="A139" s="251">
        <f t="shared" si="2"/>
        <v>311</v>
      </c>
      <c r="B139" s="231" t="str">
        <f>Suite&amp;" Electrical Room "&amp;SWTwo</f>
        <v>G104 Electrical Room XXX</v>
      </c>
      <c r="C139" s="183" t="str">
        <f>"UPS "&amp;SWTwo&amp;" Battery Cabinets"</f>
        <v>UPS XXX Battery Cabinets</v>
      </c>
      <c r="D139" s="186" t="str" cm="1">
        <f t="array" ref="D139">"CLOSE the Cabinet " &amp; SWTwo &amp; "1-3 battery breaker."</f>
        <v>CLOSE the Cabinet XXX1-3 battery breaker.</v>
      </c>
      <c r="E139" s="183" t="s">
        <v>1464</v>
      </c>
      <c r="F139" s="193"/>
      <c r="G139" s="193"/>
    </row>
    <row r="140" spans="1:7" ht="56.25" x14ac:dyDescent="0.25">
      <c r="A140" s="251">
        <f t="shared" si="2"/>
        <v>312</v>
      </c>
      <c r="B140" s="231" t="str">
        <f>Suite&amp;" Electrical Room "&amp;SWTwo</f>
        <v>G104 Electrical Room XXX</v>
      </c>
      <c r="C140" s="183" t="str">
        <f>"UPS "&amp;SWTwo&amp;" Battery Cabinets"</f>
        <v>UPS XXX Battery Cabinets</v>
      </c>
      <c r="D140" s="186" t="str" cm="1">
        <f t="array" ref="D140">"CLOSE the Cabinet " &amp; SWTwo &amp; "2-1 battery breaker."</f>
        <v>CLOSE the Cabinet XXX2-1 battery breaker.</v>
      </c>
      <c r="E140" s="183" t="s">
        <v>1464</v>
      </c>
      <c r="F140" s="193"/>
      <c r="G140" s="193"/>
    </row>
    <row r="141" spans="1:7" ht="56.25" x14ac:dyDescent="0.25">
      <c r="A141" s="251">
        <f t="shared" si="2"/>
        <v>313</v>
      </c>
      <c r="B141" s="231" t="str">
        <f>Suite&amp;" Electrical Room "&amp;SWTwo</f>
        <v>G104 Electrical Room XXX</v>
      </c>
      <c r="C141" s="183" t="str">
        <f>"UPS "&amp;SWTwo&amp;" Battery Cabinets"</f>
        <v>UPS XXX Battery Cabinets</v>
      </c>
      <c r="D141" s="186" t="str" cm="1">
        <f t="array" ref="D141">"CLOSE the Cabinet " &amp; SWTwo &amp; "2-2 battery breaker."</f>
        <v>CLOSE the Cabinet XXX2-2 battery breaker.</v>
      </c>
      <c r="E141" s="183" t="s">
        <v>1464</v>
      </c>
      <c r="F141" s="193"/>
      <c r="G141" s="193"/>
    </row>
    <row r="142" spans="1:7" ht="56.25" x14ac:dyDescent="0.25">
      <c r="A142" s="251">
        <f t="shared" si="2"/>
        <v>314</v>
      </c>
      <c r="B142" s="231" t="str">
        <f>Suite&amp;" Electrical Room "&amp;SWTwo</f>
        <v>G104 Electrical Room XXX</v>
      </c>
      <c r="C142" s="183" t="str">
        <f>"UPS "&amp;SWTwo&amp;" Battery Cabinets"</f>
        <v>UPS XXX Battery Cabinets</v>
      </c>
      <c r="D142" s="186" t="str" cm="1">
        <f t="array" ref="D142">"CLOSE the Cabinet " &amp; SWTwo &amp; "2-3 battery breaker."</f>
        <v>CLOSE the Cabinet XXX2-3 battery breaker.</v>
      </c>
      <c r="E142" s="183" t="s">
        <v>1464</v>
      </c>
      <c r="F142" s="193"/>
      <c r="G142" s="193"/>
    </row>
    <row r="143" spans="1:7" ht="37.5" x14ac:dyDescent="0.25">
      <c r="A143" s="251">
        <f t="shared" si="2"/>
        <v>315</v>
      </c>
      <c r="B143" s="231" t="str">
        <f>Suite&amp;" Electrical Room "&amp;SWTwo</f>
        <v>G104 Electrical Room XXX</v>
      </c>
      <c r="C143" s="183" t="str">
        <f>"UPS "&amp;SWTwo&amp;"1"</f>
        <v>UPS XXX1</v>
      </c>
      <c r="D143" s="233" t="s">
        <v>1763</v>
      </c>
      <c r="E143" s="183" t="s">
        <v>1464</v>
      </c>
      <c r="F143" s="193"/>
      <c r="G143" s="193"/>
    </row>
    <row r="144" spans="1:7" ht="37.5" x14ac:dyDescent="0.25">
      <c r="A144" s="251">
        <f t="shared" si="2"/>
        <v>316</v>
      </c>
      <c r="B144" s="231" t="str">
        <f>Suite&amp;" Electrical Room "&amp;SWTwo</f>
        <v>G104 Electrical Room XXX</v>
      </c>
      <c r="C144" s="183" t="str">
        <f>"UPS "&amp;SWTwo&amp;"2"</f>
        <v>UPS XXX2</v>
      </c>
      <c r="D144" s="233" t="s">
        <v>1763</v>
      </c>
      <c r="E144" s="183" t="s">
        <v>1464</v>
      </c>
      <c r="F144" s="193"/>
      <c r="G144" s="193"/>
    </row>
    <row r="145" spans="1:7" ht="37.5" x14ac:dyDescent="0.25">
      <c r="A145" s="251">
        <f t="shared" si="2"/>
        <v>317</v>
      </c>
      <c r="B145" s="231" t="str">
        <f>Suite&amp;" Electrical Room "&amp;SWTwo</f>
        <v>G104 Electrical Room XXX</v>
      </c>
      <c r="C145" s="183" t="str">
        <f>"UPS "&amp;SWTwo</f>
        <v>UPS XXX</v>
      </c>
      <c r="D145" s="233" t="str" cm="1">
        <f t="array" ref="D145">"UPS SYSTEM "&amp; SWTwo &amp;" is now online and ready to accept load. Critical Customer Load remains on Maintenance Bypass Source."</f>
        <v>UPS SYSTEM XXX is now online and ready to accept load. Critical Customer Load remains on Maintenance Bypass Source.</v>
      </c>
      <c r="E145" s="183" t="s">
        <v>1464</v>
      </c>
      <c r="F145" s="193"/>
      <c r="G145" s="193"/>
    </row>
    <row r="146" spans="1:7" x14ac:dyDescent="0.25">
      <c r="A146" s="251">
        <f t="shared" si="2"/>
        <v>318</v>
      </c>
      <c r="B146" s="711" t="s">
        <v>1602</v>
      </c>
      <c r="C146" s="711"/>
      <c r="D146" s="711"/>
      <c r="E146" s="711"/>
      <c r="F146" s="711"/>
      <c r="G146" s="711"/>
    </row>
    <row r="147" spans="1:7" ht="37.5" x14ac:dyDescent="0.25">
      <c r="A147" s="251">
        <f t="shared" si="2"/>
        <v>319</v>
      </c>
      <c r="B147" s="231" t="str">
        <f>Suite&amp;" Electrical Room "&amp;SWTwo</f>
        <v>G104 Electrical Room XXX</v>
      </c>
      <c r="C147" s="183" t="str">
        <f>"UP"&amp;SWTwo</f>
        <v>UPXXX</v>
      </c>
      <c r="D147" s="233" t="str" cm="1">
        <f t="array" ref="D147">"NOTATE the kW reading at UP" &amp; SWTwo &amp; " Critical Bus Panel Meter: _________"</f>
        <v>NOTATE the kW reading at UPXXX Critical Bus Panel Meter: _________</v>
      </c>
      <c r="E147" s="183" t="s">
        <v>1464</v>
      </c>
      <c r="F147" s="193"/>
      <c r="G147" s="193"/>
    </row>
    <row r="148" spans="1:7" ht="37.5" x14ac:dyDescent="0.25">
      <c r="A148" s="251">
        <f t="shared" si="2"/>
        <v>320</v>
      </c>
      <c r="B148" s="231" t="str">
        <f>Suite&amp;" Electrical Room "&amp;SWTwo</f>
        <v>G104 Electrical Room XXX</v>
      </c>
      <c r="C148" s="183" t="str">
        <f>"UP"&amp;SWTwo</f>
        <v>UPXXX</v>
      </c>
      <c r="D148" s="233" t="str">
        <f>"VERIFY the readings in step " &amp; A103 &amp; " and " &amp; A147 &amp; " are within 3% of each other. (new kW divided by original kW must be ≤1.03 and ≥0.97)."</f>
        <v>VERIFY the readings in step 275 and 319 are within 3% of each other. (new kW divided by original kW must be ≤1.03 and ≥0.97).</v>
      </c>
      <c r="E148" s="183" t="s">
        <v>1464</v>
      </c>
      <c r="F148" s="193"/>
      <c r="G148" s="193"/>
    </row>
    <row r="149" spans="1:7" ht="37.5" x14ac:dyDescent="0.25">
      <c r="A149" s="251">
        <f t="shared" si="2"/>
        <v>321</v>
      </c>
      <c r="B149" s="231" t="str">
        <f>Suite&amp;" Electrical Room "&amp;SWTwo</f>
        <v>G104 Electrical Room XXX</v>
      </c>
      <c r="C149" s="183" t="str">
        <f>"UP"&amp;SWTwo</f>
        <v>UPXXX</v>
      </c>
      <c r="D149" s="186" t="s">
        <v>1569</v>
      </c>
      <c r="E149" s="183" t="s">
        <v>1464</v>
      </c>
      <c r="F149" s="193"/>
      <c r="G149" s="193"/>
    </row>
    <row r="150" spans="1:7" ht="37.5" x14ac:dyDescent="0.25">
      <c r="A150" s="251">
        <f t="shared" si="2"/>
        <v>322</v>
      </c>
      <c r="B150" s="231" t="str">
        <f>Suite&amp;" Electrical Room "&amp;SWTwo</f>
        <v>G104 Electrical Room XXX</v>
      </c>
      <c r="C150" s="183" t="str">
        <f>"UP"&amp;SWTwo</f>
        <v>UPXXX</v>
      </c>
      <c r="D150" s="186" t="s">
        <v>1570</v>
      </c>
      <c r="E150" s="183" t="s">
        <v>1464</v>
      </c>
      <c r="F150" s="193"/>
      <c r="G150" s="193"/>
    </row>
    <row r="151" spans="1:7" ht="37.5" x14ac:dyDescent="0.25">
      <c r="A151" s="251">
        <f t="shared" si="2"/>
        <v>323</v>
      </c>
      <c r="B151" s="231" t="str">
        <f>Suite&amp;" Electrical Room "&amp;SWTwo</f>
        <v>G104 Electrical Room XXX</v>
      </c>
      <c r="C151" s="183" t="str">
        <f>"UP"&amp;SWTwo</f>
        <v>UPXXX</v>
      </c>
      <c r="D151" s="233" t="str" cm="1">
        <f t="array" ref="D151">"INSERT the interlock key into the MCBUP" &amp; SWTwo &amp; " breaker lock cylinder."</f>
        <v>INSERT the interlock key into the MCBUPXXX breaker lock cylinder.</v>
      </c>
      <c r="E151" s="183" t="s">
        <v>1464</v>
      </c>
      <c r="F151" s="193"/>
      <c r="G151" s="193"/>
    </row>
    <row r="152" spans="1:7" ht="37.5" x14ac:dyDescent="0.25">
      <c r="A152" s="251">
        <f t="shared" si="2"/>
        <v>324</v>
      </c>
      <c r="B152" s="231" t="str">
        <f>Suite&amp;" Electrical Room "&amp;SWTwo</f>
        <v>G104 Electrical Room XXX</v>
      </c>
      <c r="C152" s="183" t="str">
        <f>"UP"&amp;SWTwo</f>
        <v>UPXXX</v>
      </c>
      <c r="D152" s="186" t="str" cm="1">
        <f t="array" ref="D152">"ROTATE the interlock key 180 degrees to UNLOCK the MCBUP" &amp; SWTwo &amp; " breaker."</f>
        <v>ROTATE the interlock key 180 degrees to UNLOCK the MCBUPXXX breaker.</v>
      </c>
      <c r="E152" s="183" t="s">
        <v>1464</v>
      </c>
      <c r="F152" s="193"/>
      <c r="G152" s="193"/>
    </row>
    <row r="153" spans="1:7" ht="37.5" x14ac:dyDescent="0.25">
      <c r="A153" s="251">
        <f t="shared" si="2"/>
        <v>325</v>
      </c>
      <c r="B153" s="231" t="str">
        <f>Suite&amp;" Electrical Room "&amp;SWTwo</f>
        <v>G104 Electrical Room XXX</v>
      </c>
      <c r="C153" s="183" t="str">
        <f>"UP"&amp;SWTwo</f>
        <v>UPXXX</v>
      </c>
      <c r="D153" s="233" t="str" cm="1">
        <f t="array" ref="D153">"Close breaker MCBUP"&amp;SWTwo&amp;"."</f>
        <v>Close breaker MCBUPXXX.</v>
      </c>
      <c r="E153" s="183" t="s">
        <v>1464</v>
      </c>
      <c r="F153" s="193"/>
      <c r="G153" s="193"/>
    </row>
    <row r="154" spans="1:7" ht="37.5" x14ac:dyDescent="0.25">
      <c r="A154" s="251">
        <f t="shared" si="2"/>
        <v>326</v>
      </c>
      <c r="B154" s="231" t="str">
        <f>Suite&amp;" Electrical Room "&amp;SWTwo</f>
        <v>G104 Electrical Room XXX</v>
      </c>
      <c r="C154" s="183" t="str">
        <f>"UP"&amp;SWTwo</f>
        <v>UPXXX</v>
      </c>
      <c r="D154" s="186" t="str" cm="1">
        <f t="array" ref="D154">"VERIFY MCBUP" &amp; SWTwo &amp; " breaker flag indicates CLOSED."</f>
        <v>VERIFY MCBUPXXX breaker flag indicates CLOSED.</v>
      </c>
      <c r="E154" s="183" t="s">
        <v>1464</v>
      </c>
      <c r="F154" s="193"/>
      <c r="G154" s="193"/>
    </row>
    <row r="155" spans="1:7" ht="37.5" x14ac:dyDescent="0.25">
      <c r="A155" s="251">
        <f t="shared" si="2"/>
        <v>327</v>
      </c>
      <c r="B155" s="231" t="str">
        <f>Suite&amp;" Electrical Room "&amp;SWTwo</f>
        <v>G104 Electrical Room XXX</v>
      </c>
      <c r="C155" s="183" t="str">
        <f>"UP"&amp;SWTwo</f>
        <v>UPXXX</v>
      </c>
      <c r="D155" s="233" t="str" cm="1">
        <f t="array" ref="D155">"VERIFY breaker MCBUP"&amp;SWTwo&amp;" is carrying a portion of critical customer load using breaker mounted metering."</f>
        <v>VERIFY breaker MCBUPXXX is carrying a portion of critical customer load using breaker mounted metering.</v>
      </c>
      <c r="E155" s="183" t="s">
        <v>1464</v>
      </c>
      <c r="F155" s="193"/>
      <c r="G155" s="193"/>
    </row>
    <row r="156" spans="1:7" ht="37.5" x14ac:dyDescent="0.25">
      <c r="A156" s="251">
        <f t="shared" si="2"/>
        <v>328</v>
      </c>
      <c r="B156" s="231" t="str">
        <f>Suite&amp;" Electrical Room "&amp;SWTwo</f>
        <v>G104 Electrical Room XXX</v>
      </c>
      <c r="C156" s="183" t="str">
        <f>"UP"&amp;SWTwo</f>
        <v>UPXXX</v>
      </c>
      <c r="D156" s="233" t="str" cm="1">
        <f t="array" ref="D156">"VERIFY breaker MBUP"&amp;SWTwo&amp;" is carrying a portion of critical customer load using breaker mounted metering."</f>
        <v>VERIFY breaker MBUPXXX is carrying a portion of critical customer load using breaker mounted metering.</v>
      </c>
      <c r="E156" s="183" t="s">
        <v>1464</v>
      </c>
      <c r="F156" s="193"/>
      <c r="G156" s="193"/>
    </row>
    <row r="157" spans="1:7" ht="37.5" x14ac:dyDescent="0.25">
      <c r="A157" s="251">
        <f t="shared" si="2"/>
        <v>329</v>
      </c>
      <c r="B157" s="231" t="str">
        <f>Suite&amp;" Electrical Room "&amp;SWTwo</f>
        <v>G104 Electrical Room XXX</v>
      </c>
      <c r="C157" s="183" t="str">
        <f>"UP"&amp;SWTwo</f>
        <v>UPXXX</v>
      </c>
      <c r="D157" s="233" t="str" cm="1">
        <f t="array" ref="D157">"NOTATE the kW reading at UP" &amp; SWTwo &amp; " Critical Bus Panel Meter: _________"</f>
        <v>NOTATE the kW reading at UPXXX Critical Bus Panel Meter: _________</v>
      </c>
      <c r="E157" s="183" t="s">
        <v>1464</v>
      </c>
      <c r="F157" s="193"/>
      <c r="G157" s="193"/>
    </row>
    <row r="158" spans="1:7" ht="37.5" x14ac:dyDescent="0.25">
      <c r="A158" s="251">
        <f t="shared" si="2"/>
        <v>330</v>
      </c>
      <c r="B158" s="231" t="str">
        <f>Suite&amp;" Electrical Room "&amp;SWTwo</f>
        <v>G104 Electrical Room XXX</v>
      </c>
      <c r="C158" s="183" t="str">
        <f>"UP"&amp;SWTwo</f>
        <v>UPXXX</v>
      </c>
      <c r="D158" s="233" t="str">
        <f>"VERIFY the readings in step " &amp; A147 &amp; " and " &amp; A157 &amp; " are within 3% of each other. (new kW divided by original kW must be ≤1.03 and ≥0.97)."</f>
        <v>VERIFY the readings in step 319 and 329 are within 3% of each other. (new kW divided by original kW must be ≤1.03 and ≥0.97).</v>
      </c>
      <c r="E158" s="183" t="s">
        <v>1464</v>
      </c>
      <c r="F158" s="193"/>
      <c r="G158" s="193"/>
    </row>
    <row r="159" spans="1:7" ht="37.5" x14ac:dyDescent="0.25">
      <c r="A159" s="251">
        <f t="shared" si="2"/>
        <v>331</v>
      </c>
      <c r="B159" s="231" t="str">
        <f>Suite&amp;" Electrical Room "&amp;SWTwo</f>
        <v>G104 Electrical Room XXX</v>
      </c>
      <c r="C159" s="183" t="str">
        <f>"UP"&amp;SWTwo</f>
        <v>UPXXX</v>
      </c>
      <c r="D159" s="233" t="str" cm="1">
        <f t="array" ref="D159">"OPEN breaker MBUP"&amp;SWTwo&amp;"."</f>
        <v>OPEN breaker MBUPXXX.</v>
      </c>
      <c r="E159" s="183" t="s">
        <v>1464</v>
      </c>
      <c r="F159" s="193"/>
      <c r="G159" s="193"/>
    </row>
    <row r="160" spans="1:7" ht="37.5" x14ac:dyDescent="0.25">
      <c r="A160" s="251">
        <f t="shared" si="2"/>
        <v>332</v>
      </c>
      <c r="B160" s="231" t="str">
        <f>Suite&amp;" Electrical Room "&amp;SWTwo</f>
        <v>G104 Electrical Room XXX</v>
      </c>
      <c r="C160" s="183" t="str">
        <f>"UP"&amp;SWTwo</f>
        <v>UPXXX</v>
      </c>
      <c r="D160" s="233" t="s">
        <v>1501</v>
      </c>
      <c r="E160" s="183" t="s">
        <v>1464</v>
      </c>
      <c r="F160" s="193"/>
      <c r="G160" s="193"/>
    </row>
    <row r="161" spans="1:7" ht="37.5" x14ac:dyDescent="0.25">
      <c r="A161" s="251">
        <f t="shared" si="2"/>
        <v>333</v>
      </c>
      <c r="B161" s="231" t="str">
        <f>Suite&amp;" Electrical Room "&amp;SWTwo</f>
        <v>G104 Electrical Room XXX</v>
      </c>
      <c r="C161" s="183" t="str">
        <f>"UP"&amp;SWTwo</f>
        <v>UPXXX</v>
      </c>
      <c r="D161" s="186" t="str" cm="1">
        <f t="array" ref="D161">"VERIFY MBUP" &amp; SWTwo &amp; " breaker flag indicates OFF."</f>
        <v>VERIFY MBUPXXX breaker flag indicates OFF.</v>
      </c>
      <c r="E161" s="183" t="s">
        <v>1464</v>
      </c>
      <c r="F161" s="193"/>
      <c r="G161" s="193"/>
    </row>
    <row r="162" spans="1:7" ht="37.5" x14ac:dyDescent="0.25">
      <c r="A162" s="251">
        <f t="shared" si="2"/>
        <v>334</v>
      </c>
      <c r="B162" s="231" t="str">
        <f>Suite&amp;" Electrical Room "&amp;SWTwo</f>
        <v>G104 Electrical Room XXX</v>
      </c>
      <c r="C162" s="183" t="str">
        <f>"UP"&amp;SWTwo</f>
        <v>UPXXX</v>
      </c>
      <c r="D162" s="233" t="str" cm="1">
        <f t="array" ref="D162">"NOTATE the kW reading at UP" &amp; SWTwo &amp; " Critical Bus Panel Meter: _________"</f>
        <v>NOTATE the kW reading at UPXXX Critical Bus Panel Meter: _________</v>
      </c>
      <c r="E162" s="183" t="s">
        <v>1464</v>
      </c>
      <c r="F162" s="193"/>
      <c r="G162" s="193"/>
    </row>
    <row r="163" spans="1:7" ht="37.5" x14ac:dyDescent="0.25">
      <c r="A163" s="251">
        <f t="shared" si="2"/>
        <v>335</v>
      </c>
      <c r="B163" s="231" t="str">
        <f>Suite&amp;" Electrical Room "&amp;SWTwo</f>
        <v>G104 Electrical Room XXX</v>
      </c>
      <c r="C163" s="183" t="str">
        <f>"UP"&amp;SWTwo</f>
        <v>UPXXX</v>
      </c>
      <c r="D163" s="233" t="str">
        <f>"VERIFY the readings in step " &amp; A157 &amp; " and " &amp; A162 &amp; " are within 3% of each other. (new kW divided by original kW must be ≤1.03 and ≥0.97)."</f>
        <v>VERIFY the readings in step 329 and 334 are within 3% of each other. (new kW divided by original kW must be ≤1.03 and ≥0.97).</v>
      </c>
      <c r="E163" s="183" t="s">
        <v>1464</v>
      </c>
      <c r="F163" s="193"/>
      <c r="G163" s="193"/>
    </row>
    <row r="164" spans="1:7" ht="37.5" x14ac:dyDescent="0.25">
      <c r="A164" s="251">
        <f t="shared" si="2"/>
        <v>336</v>
      </c>
      <c r="B164" s="231" t="str">
        <f>Suite&amp;" Electrical Room "&amp;SWTwo</f>
        <v>G104 Electrical Room XXX</v>
      </c>
      <c r="C164" s="183" t="str">
        <f>"UP"&amp;SWTwo</f>
        <v>UPXXX</v>
      </c>
      <c r="D164" s="186" t="str" cm="1">
        <f t="array" ref="D164">"ROTATE the interlock key 180 degrees to LOCK the MBUP"&amp;SWTwo&amp;" breaker while simultaneously pulling the lock tab."</f>
        <v>ROTATE the interlock key 180 degrees to LOCK the MBUPXXX breaker while simultaneously pulling the lock tab.</v>
      </c>
      <c r="E164" s="183" t="s">
        <v>1464</v>
      </c>
      <c r="F164" s="193"/>
      <c r="G164" s="193"/>
    </row>
    <row r="165" spans="1:7" ht="37.5" x14ac:dyDescent="0.25">
      <c r="A165" s="251">
        <f t="shared" si="2"/>
        <v>337</v>
      </c>
      <c r="B165" s="231" t="str">
        <f>Suite&amp;" Electrical Room "&amp;SWTwo</f>
        <v>G104 Electrical Room XXX</v>
      </c>
      <c r="C165" s="183" t="str">
        <f>"UP"&amp;SWTwo</f>
        <v>UPXXX</v>
      </c>
      <c r="D165" s="186" t="str" cm="1">
        <f t="array" ref="D165">"REMOVE the interlock key from the MBUP"&amp;SWTwo&amp;" breaker lock cylinder."</f>
        <v>REMOVE the interlock key from the MBUPXXX breaker lock cylinder.</v>
      </c>
      <c r="E165" s="183" t="s">
        <v>1464</v>
      </c>
      <c r="F165" s="193"/>
      <c r="G165" s="193"/>
    </row>
    <row r="166" spans="1:7" ht="37.5" x14ac:dyDescent="0.25">
      <c r="A166" s="251">
        <f t="shared" si="2"/>
        <v>338</v>
      </c>
      <c r="B166" s="231" t="str">
        <f>Suite&amp;" Electrical Room "&amp;SWTwo</f>
        <v>G104 Electrical Room XXX</v>
      </c>
      <c r="C166" s="183" t="str">
        <f>"UP"&amp;SWTwo</f>
        <v>UPXXX</v>
      </c>
      <c r="D166" s="233" t="s">
        <v>1573</v>
      </c>
      <c r="E166" s="183" t="s">
        <v>1464</v>
      </c>
      <c r="F166" s="193"/>
      <c r="G166" s="193"/>
    </row>
    <row r="167" spans="1:7" ht="37.5" x14ac:dyDescent="0.25">
      <c r="A167" s="251">
        <f t="shared" si="2"/>
        <v>339</v>
      </c>
      <c r="B167" s="231" t="str">
        <f>Suite&amp;" Electrical Room "&amp;SWTwo</f>
        <v>G104 Electrical Room XXX</v>
      </c>
      <c r="C167" s="183" t="str">
        <f>"UP"&amp;SWTwo</f>
        <v>UPXXX</v>
      </c>
      <c r="D167" s="186" t="s">
        <v>1574</v>
      </c>
      <c r="E167" s="183" t="s">
        <v>1464</v>
      </c>
      <c r="F167" s="193"/>
      <c r="G167" s="193"/>
    </row>
    <row r="168" spans="1:7" ht="37.5" x14ac:dyDescent="0.25">
      <c r="A168" s="251">
        <f t="shared" si="2"/>
        <v>340</v>
      </c>
      <c r="B168" s="231" t="str">
        <f>Suite&amp;" Electrical Room "&amp;SWTwo</f>
        <v>G104 Electrical Room XXX</v>
      </c>
      <c r="C168" s="183" t="str">
        <f>"UP"&amp;SWTwo</f>
        <v>UPXXX</v>
      </c>
      <c r="D168" s="186" t="s">
        <v>1575</v>
      </c>
      <c r="E168" s="183" t="s">
        <v>1464</v>
      </c>
      <c r="F168" s="193"/>
      <c r="G168" s="193"/>
    </row>
    <row r="169" spans="1:7" ht="37.5" x14ac:dyDescent="0.25">
      <c r="A169" s="251">
        <f t="shared" si="2"/>
        <v>341</v>
      </c>
      <c r="B169" s="231" t="str">
        <f>Suite&amp;" Electrical Room "&amp;SWTwo</f>
        <v>G104 Electrical Room XXX</v>
      </c>
      <c r="C169" s="183" t="str">
        <f>"UP"&amp;SWTwo</f>
        <v>UPXXX</v>
      </c>
      <c r="D169" s="186" t="s">
        <v>1510</v>
      </c>
      <c r="E169" s="183" t="s">
        <v>1464</v>
      </c>
      <c r="F169" s="193"/>
      <c r="G169" s="193"/>
    </row>
    <row r="170" spans="1:7" x14ac:dyDescent="0.25">
      <c r="A170" s="251">
        <f t="shared" si="2"/>
        <v>342</v>
      </c>
      <c r="B170" s="711" t="str" cm="1">
        <f t="array" ref="B170">"Transfer UPS System " &amp; SWTwo &amp;" to Inverter Service"</f>
        <v>Transfer UPS System XXX to Inverter Service</v>
      </c>
      <c r="C170" s="711"/>
      <c r="D170" s="711"/>
      <c r="E170" s="711"/>
      <c r="F170" s="711"/>
      <c r="G170" s="711"/>
    </row>
    <row r="171" spans="1:7" ht="37.5" x14ac:dyDescent="0.25">
      <c r="A171" s="251">
        <f t="shared" si="2"/>
        <v>343</v>
      </c>
      <c r="B171" s="231" t="str">
        <f>Suite&amp;" Electrical Room "&amp;SWTwo</f>
        <v>G104 Electrical Room XXX</v>
      </c>
      <c r="C171" s="183" t="str">
        <f>"UPS "&amp;SWTwo&amp;"1"</f>
        <v>UPS XXX1</v>
      </c>
      <c r="D171" s="233" t="s">
        <v>1764</v>
      </c>
      <c r="E171" s="183" t="s">
        <v>1464</v>
      </c>
      <c r="F171" s="193"/>
      <c r="G171" s="193"/>
    </row>
    <row r="172" spans="1:7" ht="56.25" x14ac:dyDescent="0.25">
      <c r="A172" s="251">
        <f t="shared" si="2"/>
        <v>344</v>
      </c>
      <c r="B172" s="231" t="str">
        <f>Suite&amp;" Electrical Room "&amp;SWTwo</f>
        <v>G104 Electrical Room XXX</v>
      </c>
      <c r="C172" s="183" t="str">
        <f>"UPS "&amp;SWTwo&amp;"1"</f>
        <v>UPS XXX1</v>
      </c>
      <c r="D172" s="233" t="str" cm="1">
        <f t="array" ref="D172">"The red ‘Load Not Protected’ status LED will extinguish and the green ‘Load Protected’ status LED will illuminate. Expect to hear UPS-"&amp; SWTwo &amp;"1 inverter start and SCC Internal Bypass Breaker Q2S OPEN at this step."</f>
        <v>The red ‘Load Not Protected’ status LED will extinguish and the green ‘Load Protected’ status LED will illuminate. Expect to hear UPS-XXX1 inverter start and SCC Internal Bypass Breaker Q2S OPEN at this step.</v>
      </c>
      <c r="E172" s="183" t="s">
        <v>1464</v>
      </c>
      <c r="F172" s="193"/>
      <c r="G172" s="193"/>
    </row>
    <row r="173" spans="1:7" ht="37.5" x14ac:dyDescent="0.25">
      <c r="A173" s="251">
        <f t="shared" si="2"/>
        <v>345</v>
      </c>
      <c r="B173" s="231" t="str">
        <f>Suite&amp;" Electrical Room "&amp;SWTwo</f>
        <v>G104 Electrical Room XXX</v>
      </c>
      <c r="C173" s="183" t="str">
        <f>"UPS "&amp;SWTwo&amp;"2"</f>
        <v>UPS XXX2</v>
      </c>
      <c r="D173" s="233" t="s">
        <v>1764</v>
      </c>
      <c r="E173" s="183" t="s">
        <v>1464</v>
      </c>
      <c r="F173" s="193"/>
      <c r="G173" s="193"/>
    </row>
    <row r="174" spans="1:7" ht="56.25" x14ac:dyDescent="0.25">
      <c r="A174" s="251">
        <f t="shared" si="2"/>
        <v>346</v>
      </c>
      <c r="B174" s="231" t="str">
        <f>Suite&amp;" Electrical Room "&amp;SWTwo</f>
        <v>G104 Electrical Room XXX</v>
      </c>
      <c r="C174" s="183" t="str">
        <f>"UPS "&amp;SWTwo&amp;"2"</f>
        <v>UPS XXX2</v>
      </c>
      <c r="D174" s="233" t="str" cm="1">
        <f t="array" ref="D174">"The red ‘Load Not Protected’ status LED will extinguish and the green ‘Load Protected’ status LED will illuminate. Expect to hear UPS-"&amp; SWTwo &amp;"2 inverter start at this step."</f>
        <v>The red ‘Load Not Protected’ status LED will extinguish and the green ‘Load Protected’ status LED will illuminate. Expect to hear UPS-XXX2 inverter start at this step.</v>
      </c>
      <c r="E174" s="183" t="s">
        <v>1464</v>
      </c>
      <c r="F174" s="193"/>
      <c r="G174" s="193"/>
    </row>
    <row r="175" spans="1:7" ht="37.5" x14ac:dyDescent="0.25">
      <c r="A175" s="251">
        <f t="shared" si="2"/>
        <v>347</v>
      </c>
      <c r="B175" s="231" t="str">
        <f>Suite&amp;" Electrical Room "&amp;SWTwo</f>
        <v>G104 Electrical Room XXX</v>
      </c>
      <c r="C175" s="183" t="str">
        <f>"SCC "&amp;SWTwo</f>
        <v>SCC XXX</v>
      </c>
      <c r="D175" s="233" t="s">
        <v>1765</v>
      </c>
      <c r="E175" s="183" t="s">
        <v>1464</v>
      </c>
      <c r="F175" s="193"/>
      <c r="G175" s="193"/>
    </row>
    <row r="176" spans="1:7" ht="37.5" x14ac:dyDescent="0.25">
      <c r="A176" s="251">
        <f t="shared" si="2"/>
        <v>348</v>
      </c>
      <c r="B176" s="231" t="str">
        <f>Suite&amp;" Electrical Room "&amp;SWTwo</f>
        <v>G104 Electrical Room XXX</v>
      </c>
      <c r="C176" s="183" t="str">
        <f>"SCC "&amp;SWTwo</f>
        <v>SCC XXX</v>
      </c>
      <c r="D176" s="233" t="s">
        <v>1557</v>
      </c>
      <c r="E176" s="183" t="s">
        <v>1464</v>
      </c>
      <c r="F176" s="193"/>
      <c r="G176" s="193"/>
    </row>
    <row r="177" spans="1:7" ht="37.5" x14ac:dyDescent="0.25">
      <c r="A177" s="251">
        <f t="shared" si="2"/>
        <v>349</v>
      </c>
      <c r="B177" s="231" t="str">
        <f>Suite&amp;" Electrical Rooms"</f>
        <v>G104 Electrical Rooms</v>
      </c>
      <c r="C177" s="183" t="str" cm="1">
        <f t="array" ref="C177">Suite &amp; " UPS Systems"</f>
        <v>G104 UPS Systems</v>
      </c>
      <c r="D177" s="252" t="str">
        <f>"VERIFY all "&amp;Suite&amp;" UPS systems are on-line with no critical alarms present."</f>
        <v>VERIFY all G104 UPS systems are on-line with no critical alarms present.</v>
      </c>
      <c r="E177" s="183" t="s">
        <v>1464</v>
      </c>
      <c r="F177" s="193"/>
      <c r="G177" s="193"/>
    </row>
    <row r="178" spans="1:7" ht="37.5" x14ac:dyDescent="0.25">
      <c r="A178" s="251">
        <f t="shared" si="2"/>
        <v>350</v>
      </c>
      <c r="B178" s="231" t="str">
        <f>Suite&amp;" Electrical Room "&amp;SWTwo</f>
        <v>G104 Electrical Room XXX</v>
      </c>
      <c r="C178" s="183" t="str">
        <f>"UPS "&amp;SWTwo&amp;"1"</f>
        <v>UPS XXX1</v>
      </c>
      <c r="D178" s="252" t="str" cm="1">
        <f t="array" ref="D178">"NOTATE the output kW reading at UPS-" &amp; SWTwo &amp; "1:  ___________"</f>
        <v>NOTATE the output kW reading at UPS-XXX1:  ___________</v>
      </c>
      <c r="E178" s="183" t="s">
        <v>1464</v>
      </c>
      <c r="F178" s="193"/>
      <c r="G178" s="193"/>
    </row>
    <row r="179" spans="1:7" ht="37.5" x14ac:dyDescent="0.25">
      <c r="A179" s="251">
        <f t="shared" si="2"/>
        <v>351</v>
      </c>
      <c r="B179" s="231" t="str">
        <f>Suite&amp;" Electrical Room "&amp;SWTwo</f>
        <v>G104 Electrical Room XXX</v>
      </c>
      <c r="C179" s="183" t="str">
        <f>"UPS "&amp;SWTwo&amp;"2"</f>
        <v>UPS XXX2</v>
      </c>
      <c r="D179" s="252" t="str" cm="1">
        <f t="array" ref="D179">"NOTATE the output kW reading at UPS-" &amp; SWTwo &amp; "2:  ___________"</f>
        <v>NOTATE the output kW reading at UPS-XXX2:  ___________</v>
      </c>
      <c r="E179" s="183" t="s">
        <v>1464</v>
      </c>
      <c r="F179" s="193"/>
      <c r="G179" s="193"/>
    </row>
    <row r="180" spans="1:7" ht="37.5" x14ac:dyDescent="0.25">
      <c r="A180" s="251">
        <f t="shared" si="2"/>
        <v>352</v>
      </c>
      <c r="B180" s="231" t="str">
        <f>Suite&amp;" Electrical Room "&amp;SWTwo</f>
        <v>G104 Electrical Room XXX</v>
      </c>
      <c r="C180" s="183" t="str">
        <f>"UP"&amp;SWTwo</f>
        <v>UPXXX</v>
      </c>
      <c r="D180" s="233" t="str" cm="1">
        <f t="array" ref="D180">"NOTATE the kW reading at UP" &amp; SWTwo &amp; " Critical Bus Panel Meter: _________"</f>
        <v>NOTATE the kW reading at UPXXX Critical Bus Panel Meter: _________</v>
      </c>
      <c r="E180" s="183" t="s">
        <v>1464</v>
      </c>
      <c r="F180" s="193"/>
      <c r="G180" s="193"/>
    </row>
    <row r="181" spans="1:7" ht="37.5" x14ac:dyDescent="0.25">
      <c r="A181" s="251">
        <f t="shared" si="2"/>
        <v>353</v>
      </c>
      <c r="B181" s="231" t="str">
        <f>Suite&amp;" Electrical Room "&amp;SWTwo</f>
        <v>G104 Electrical Room XXX</v>
      </c>
      <c r="C181" s="183" t="str">
        <f>"UP"&amp;SWTwo</f>
        <v>UPXXX</v>
      </c>
      <c r="D181" s="233" t="str">
        <f>"VERIFY the readings in step " &amp; A162 &amp; " and " &amp; A180 &amp; " are within 3% of each other. (new kW divided by original kW must be ≤1.03 and ≥0.97)."</f>
        <v>VERIFY the readings in step 334 and 352 are within 3% of each other. (new kW divided by original kW must be ≤1.03 and ≥0.97).</v>
      </c>
      <c r="E181" s="183" t="s">
        <v>1464</v>
      </c>
      <c r="F181" s="193"/>
      <c r="G181" s="193"/>
    </row>
    <row r="182" spans="1:7" ht="37.5" x14ac:dyDescent="0.25">
      <c r="A182" s="251">
        <f t="shared" si="2"/>
        <v>354</v>
      </c>
      <c r="B182" s="183" t="s">
        <v>1462</v>
      </c>
      <c r="C182" s="183" t="s">
        <v>84</v>
      </c>
      <c r="D182" s="252" t="str">
        <f>"Contact the engineer stationed on base to verify no abnormal conditions exist on the suite " &amp; Suite &amp; " electrical systems."</f>
        <v>Contact the engineer stationed on base to verify no abnormal conditions exist on the suite G104 electrical systems.</v>
      </c>
      <c r="E182" s="183" t="s">
        <v>1464</v>
      </c>
      <c r="F182" s="193"/>
      <c r="G182" s="193"/>
    </row>
    <row r="183" spans="1:7" x14ac:dyDescent="0.3">
      <c r="A183" s="192"/>
    </row>
    <row r="184" spans="1:7" x14ac:dyDescent="0.3">
      <c r="A184" s="192"/>
    </row>
    <row r="185" spans="1:7" x14ac:dyDescent="0.3">
      <c r="A185" s="192"/>
    </row>
    <row r="186" spans="1:7" x14ac:dyDescent="0.3">
      <c r="A186" s="192"/>
    </row>
    <row r="187" spans="1:7" x14ac:dyDescent="0.3">
      <c r="A187" s="192"/>
    </row>
    <row r="188" spans="1:7" x14ac:dyDescent="0.3">
      <c r="A188" s="192"/>
    </row>
    <row r="189" spans="1:7" x14ac:dyDescent="0.3">
      <c r="A189" s="192"/>
    </row>
    <row r="190" spans="1:7" x14ac:dyDescent="0.3">
      <c r="A190" s="192"/>
    </row>
    <row r="191" spans="1:7" x14ac:dyDescent="0.3">
      <c r="A191" s="192"/>
    </row>
  </sheetData>
  <sheetProtection formatCells="0" formatColumns="0" formatRows="0" insertRows="0" deleteRows="0" sort="0" autoFilter="0"/>
  <mergeCells count="12">
    <mergeCell ref="A2:B2"/>
    <mergeCell ref="C2:G2"/>
    <mergeCell ref="B146:G146"/>
    <mergeCell ref="B170:G170"/>
    <mergeCell ref="A4:C4"/>
    <mergeCell ref="B6:G6"/>
    <mergeCell ref="B8:G8"/>
    <mergeCell ref="B19:G19"/>
    <mergeCell ref="B21:G21"/>
    <mergeCell ref="B32:G32"/>
    <mergeCell ref="B61:G61"/>
    <mergeCell ref="B99:G9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36A7-FD38-4921-A132-13DA1D9331C5}">
  <sheetPr codeName="MGE_C">
    <pageSetUpPr fitToPage="1"/>
  </sheetPr>
  <dimension ref="A1:I191"/>
  <sheetViews>
    <sheetView view="pageBreakPreview" topLeftCell="A176" zoomScale="90" zoomScaleNormal="100" zoomScaleSheetLayoutView="90" workbookViewId="0">
      <selection activeCell="A14" sqref="A14:A18"/>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51" cm="1">
        <f t="array" ref="A6">IF(Suite="F170",1,'MGE-B'!A182+1)</f>
        <v>355</v>
      </c>
      <c r="B6" s="712" t="s">
        <v>1461</v>
      </c>
      <c r="C6" s="712"/>
      <c r="D6" s="715"/>
      <c r="E6" s="712"/>
      <c r="F6" s="712"/>
      <c r="G6" s="712"/>
    </row>
    <row r="7" spans="1:9" ht="37.5" x14ac:dyDescent="0.25">
      <c r="A7" s="251">
        <f>A6+1</f>
        <v>356</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x14ac:dyDescent="0.25">
      <c r="A8" s="251">
        <f t="shared" ref="A8:A73" si="0">A7+1</f>
        <v>357</v>
      </c>
      <c r="B8" s="713" t="s">
        <v>1465</v>
      </c>
      <c r="C8" s="713"/>
      <c r="D8" s="713"/>
      <c r="E8" s="713"/>
      <c r="F8" s="713"/>
      <c r="G8" s="713"/>
    </row>
    <row r="9" spans="1:9" ht="37.5" x14ac:dyDescent="0.25">
      <c r="A9" s="251">
        <f t="shared" si="0"/>
        <v>358</v>
      </c>
      <c r="B9" s="231" t="str">
        <f>Suite&amp;" Electrical Rooms"</f>
        <v>G104 Electrical Rooms</v>
      </c>
      <c r="C9" s="183" t="str" cm="1">
        <f t="array" ref="C9">Suite &amp; " UPS Systems"</f>
        <v>G104 UPS Systems</v>
      </c>
      <c r="D9" s="252" t="str">
        <f>"VERIFY all "&amp;Suite&amp;" UPS systems are on-line with no critical alarms present."</f>
        <v>VERIFY all G104 UPS systems are on-line with no critical alarms present.</v>
      </c>
      <c r="E9" s="183" t="s">
        <v>1464</v>
      </c>
      <c r="F9" s="193"/>
      <c r="G9" s="193"/>
    </row>
    <row r="10" spans="1:9" ht="37.5" x14ac:dyDescent="0.25">
      <c r="A10" s="251">
        <f t="shared" si="0"/>
        <v>359</v>
      </c>
      <c r="B10" s="231" t="str">
        <f>Suite&amp;" Electrical Room "&amp;SWThree</f>
        <v>G104 Electrical Room XXX</v>
      </c>
      <c r="C10" s="183" t="str">
        <f>"UPS "&amp;SWThree&amp;"1"</f>
        <v>UPS XXX1</v>
      </c>
      <c r="D10" s="252" t="str" cm="1">
        <f t="array" ref="D10">"NOTATE the output kW reading at UPS-" &amp; SWThree &amp; "1:  ___________"</f>
        <v>NOTATE the output kW reading at UPS-XXX1:  ___________</v>
      </c>
      <c r="E10" s="183" t="s">
        <v>1464</v>
      </c>
      <c r="F10" s="193"/>
      <c r="G10" s="193"/>
    </row>
    <row r="11" spans="1:9" ht="37.5" x14ac:dyDescent="0.25">
      <c r="A11" s="251">
        <f t="shared" si="0"/>
        <v>360</v>
      </c>
      <c r="B11" s="231" t="str">
        <f>Suite&amp;" Electrical Room "&amp;SWThree</f>
        <v>G104 Electrical Room XXX</v>
      </c>
      <c r="C11" s="183" t="str">
        <f>"UPS "&amp;SWThree&amp;"2"</f>
        <v>UPS XXX2</v>
      </c>
      <c r="D11" s="252" t="str" cm="1">
        <f t="array" ref="D11">"NOTATE the output kW reading at UPS-" &amp; SWThree &amp; "2:  ___________"</f>
        <v>NOTATE the output kW reading at UPS-XXX2:  ___________</v>
      </c>
      <c r="E11" s="183" t="s">
        <v>1464</v>
      </c>
      <c r="F11" s="193"/>
      <c r="G11" s="193"/>
    </row>
    <row r="12" spans="1:9" ht="37.5" x14ac:dyDescent="0.25">
      <c r="A12" s="251">
        <f t="shared" si="0"/>
        <v>361</v>
      </c>
      <c r="B12" s="231" t="str">
        <f>Suite&amp;" Electrical Room "&amp;SWThree</f>
        <v>G104 Electrical Room XXX</v>
      </c>
      <c r="C12" s="183" t="str">
        <f>"UP"&amp;SWThree</f>
        <v>UPXXX</v>
      </c>
      <c r="D12" s="252" t="str" cm="1">
        <f t="array" ref="D12">"NOTATE the kW reading at UP" &amp; SWThree &amp; " Critical Bus Panel Meter: _________"</f>
        <v>NOTATE the kW reading at UPXXX Critical Bus Panel Meter: _________</v>
      </c>
      <c r="E12" s="183" t="s">
        <v>1464</v>
      </c>
      <c r="F12" s="193"/>
      <c r="G12" s="193"/>
    </row>
    <row r="13" spans="1:9" ht="37.5" x14ac:dyDescent="0.25">
      <c r="A13" s="251">
        <f t="shared" si="0"/>
        <v>362</v>
      </c>
      <c r="B13" s="231" t="str">
        <f>Suite&amp;" Electrical Room "&amp;SWFour</f>
        <v>G104 Electrical Room XXX</v>
      </c>
      <c r="C13" s="183" t="str">
        <f>"UPS "&amp;SWFour&amp;"1"</f>
        <v>UPS XXX1</v>
      </c>
      <c r="D13" s="252" t="str" cm="1">
        <f t="array" ref="D13">"NOTATE the output kW reading at UPS-" &amp; SWFour &amp; "1:  ___________"</f>
        <v>NOTATE the output kW reading at UPS-XXX1:  ___________</v>
      </c>
      <c r="E13" s="183" t="s">
        <v>1464</v>
      </c>
      <c r="F13" s="193"/>
      <c r="G13" s="193"/>
    </row>
    <row r="14" spans="1:9" ht="37.5" x14ac:dyDescent="0.25">
      <c r="A14" s="251">
        <f t="shared" si="0"/>
        <v>363</v>
      </c>
      <c r="B14" s="231" t="str">
        <f>Suite&amp;" Electrical Room "&amp;SWFour</f>
        <v>G104 Electrical Room XXX</v>
      </c>
      <c r="C14" s="183" t="str">
        <f>"UPS "&amp;SWFour&amp;"2"</f>
        <v>UPS XXX2</v>
      </c>
      <c r="D14" s="252" t="str" cm="1">
        <f t="array" ref="D14">"NOTATE the output kW reading at UPS-" &amp; SWFour &amp; "2:  ___________"</f>
        <v>NOTATE the output kW reading at UPS-XXX2:  ___________</v>
      </c>
      <c r="E14" s="183" t="s">
        <v>1464</v>
      </c>
      <c r="F14" s="193"/>
      <c r="G14" s="193"/>
    </row>
    <row r="15" spans="1:9" ht="37.5" x14ac:dyDescent="0.25">
      <c r="A15" s="251">
        <f t="shared" si="0"/>
        <v>364</v>
      </c>
      <c r="B15" s="231" t="str">
        <f>Suite&amp;" Electrical Room "&amp;SWFour</f>
        <v>G104 Electrical Room XXX</v>
      </c>
      <c r="C15" s="183" t="str">
        <f>"UP"&amp;SWFour</f>
        <v>UPXXX</v>
      </c>
      <c r="D15" s="252" t="str" cm="1">
        <f t="array" ref="D15">"NOTATE the kW reading at UP" &amp; SWFour &amp; " Critical Bus Panel Meter: _________"</f>
        <v>NOTATE the kW reading at UPXXX Critical Bus Panel Meter: _________</v>
      </c>
      <c r="E15" s="183" t="s">
        <v>1464</v>
      </c>
      <c r="F15" s="193"/>
      <c r="G15" s="193"/>
    </row>
    <row r="16" spans="1:9" ht="56.25" x14ac:dyDescent="0.25">
      <c r="A16" s="251">
        <f t="shared" si="0"/>
        <v>365</v>
      </c>
      <c r="B16" s="500" t="str" cm="1">
        <f t="array" ref="B16">Suite &amp; " Electrical Rooms"</f>
        <v>G104 Electrical Rooms</v>
      </c>
      <c r="C16" s="499" t="str" cm="1">
        <f t="array" ref="C16">Suite &amp; " UPS System"</f>
        <v>G104 UPS System</v>
      </c>
      <c r="D16" s="190" t="s">
        <v>4621</v>
      </c>
      <c r="E16" s="499" t="s">
        <v>1464</v>
      </c>
      <c r="F16" s="500"/>
      <c r="G16" s="519"/>
    </row>
    <row r="17" spans="1:7" ht="37.5" x14ac:dyDescent="0.25">
      <c r="A17" s="251">
        <f t="shared" si="0"/>
        <v>366</v>
      </c>
      <c r="B17" s="500" t="str" cm="1">
        <f t="array" ref="B17">Suite &amp; " Electrical Rooms"</f>
        <v>G104 Electrical Rooms</v>
      </c>
      <c r="C17" s="499" t="str" cm="1">
        <f t="array" ref="C17">Suite &amp; " UPS System"</f>
        <v>G104 UPS System</v>
      </c>
      <c r="D17" s="191" t="str" cm="1">
        <f t="array" ref="D17">"Verify output kW readings on all UPS modules do not exceed " &amp; ROUNDDOWN(IF(POD="DR", (NumberOfSW-1)/NumberOfSW, 0.5)*(UPSkW), 0) &amp; " kW."</f>
        <v>Verify output kW readings on all UPS modules do not exceed 281 kW.</v>
      </c>
      <c r="E17" s="499" t="s">
        <v>1464</v>
      </c>
      <c r="F17" s="500"/>
      <c r="G17" s="519"/>
    </row>
    <row r="18" spans="1:7" ht="37.5" x14ac:dyDescent="0.25">
      <c r="A18" s="251">
        <f t="shared" si="0"/>
        <v>367</v>
      </c>
      <c r="B18" s="231" t="str">
        <f>Suite&amp;" Electrical Rooms"</f>
        <v>G104 Electrical Rooms</v>
      </c>
      <c r="C18" s="183" t="str" cm="1">
        <f t="array" ref="C18">Suite &amp; " UPS Systems"</f>
        <v>G104 UPS Systems</v>
      </c>
      <c r="D18" s="184" t="s">
        <v>1559</v>
      </c>
      <c r="E18" s="183" t="s">
        <v>1464</v>
      </c>
      <c r="F18" s="193"/>
      <c r="G18" s="193"/>
    </row>
    <row r="19" spans="1:7" x14ac:dyDescent="0.25">
      <c r="A19" s="251">
        <f t="shared" si="0"/>
        <v>368</v>
      </c>
      <c r="B19" s="713" t="str" cm="1">
        <f t="array" ref="B19">"Prepare UP"&amp;SWThree&amp;" for Transfer to Maintenance Bypass"</f>
        <v>Prepare UPXXX for Transfer to Maintenance Bypass</v>
      </c>
      <c r="C19" s="713"/>
      <c r="D19" s="713"/>
      <c r="E19" s="713"/>
      <c r="F19" s="713"/>
      <c r="G19" s="713"/>
    </row>
    <row r="20" spans="1:7" ht="37.5" x14ac:dyDescent="0.25">
      <c r="A20" s="251">
        <f t="shared" si="0"/>
        <v>369</v>
      </c>
      <c r="B20" s="231" t="str">
        <f>Suite&amp;" Electrical Room "&amp;SWThree</f>
        <v>G104 Electrical Room XXX</v>
      </c>
      <c r="C20" s="183" t="str">
        <f>"UP"&amp;SWThree</f>
        <v>UPXXX</v>
      </c>
      <c r="D20" s="233" t="str" cm="1">
        <f t="array" ref="D20">"Pump the MBUP" &amp; SWThree &amp; " breaker charging handle repeatedly to compress the charging spring and charge the breaker."</f>
        <v>Pump the MBUPXXX breaker charging handle repeatedly to compress the charging spring and charge the breaker.</v>
      </c>
      <c r="E20" s="183" t="s">
        <v>1464</v>
      </c>
      <c r="F20" s="193"/>
      <c r="G20" s="193"/>
    </row>
    <row r="21" spans="1:7" x14ac:dyDescent="0.25">
      <c r="A21" s="251">
        <f t="shared" si="0"/>
        <v>370</v>
      </c>
      <c r="B21" s="711" t="str" cm="1">
        <f t="array" ref="B21">"Transfer UPS System " &amp; SWThree &amp; " to Static Bypass"</f>
        <v>Transfer UPS System XXX to Static Bypass</v>
      </c>
      <c r="C21" s="711"/>
      <c r="D21" s="711"/>
      <c r="E21" s="711"/>
      <c r="F21" s="711"/>
      <c r="G21" s="711"/>
    </row>
    <row r="22" spans="1:7" ht="56.25" x14ac:dyDescent="0.25">
      <c r="A22" s="251">
        <f t="shared" si="0"/>
        <v>371</v>
      </c>
      <c r="B22" s="231" t="str">
        <f>Suite&amp;" Electrical Room "&amp;SWThree</f>
        <v>G104 Electrical Room XXX</v>
      </c>
      <c r="C22" s="183" t="str">
        <f>"UPS "&amp;SWThree&amp;"1"</f>
        <v>UPS XXX1</v>
      </c>
      <c r="D22" s="233" t="s">
        <v>1748</v>
      </c>
      <c r="E22" s="183" t="s">
        <v>1464</v>
      </c>
      <c r="F22" s="193"/>
      <c r="G22" s="193"/>
    </row>
    <row r="23" spans="1:7" ht="37.5" x14ac:dyDescent="0.25">
      <c r="A23" s="251">
        <f t="shared" si="0"/>
        <v>372</v>
      </c>
      <c r="B23" s="231" t="str">
        <f>Suite&amp;" Electrical Room "&amp;SWThree</f>
        <v>G104 Electrical Room XXX</v>
      </c>
      <c r="C23" s="183" t="str">
        <f>"UPS "&amp;SWThree&amp;"1"</f>
        <v>UPS XXX1</v>
      </c>
      <c r="D23" s="233" t="s">
        <v>1749</v>
      </c>
      <c r="E23" s="183" t="s">
        <v>1464</v>
      </c>
      <c r="F23" s="193"/>
      <c r="G23" s="193"/>
    </row>
    <row r="24" spans="1:7" ht="75" x14ac:dyDescent="0.25">
      <c r="A24" s="251">
        <f t="shared" si="0"/>
        <v>373</v>
      </c>
      <c r="B24" s="231" t="str">
        <f>Suite&amp;" Electrical Room "&amp;SWThree</f>
        <v>G104 Electrical Room XXX</v>
      </c>
      <c r="C24" s="183" t="str">
        <f>"UPS "&amp;SWThree&amp;"2"</f>
        <v>UPS XXX2</v>
      </c>
      <c r="D24" s="233" t="s">
        <v>1750</v>
      </c>
      <c r="E24" s="183" t="s">
        <v>1464</v>
      </c>
      <c r="F24" s="193"/>
      <c r="G24" s="193"/>
    </row>
    <row r="25" spans="1:7" ht="37.5" x14ac:dyDescent="0.25">
      <c r="A25" s="251">
        <f t="shared" si="0"/>
        <v>374</v>
      </c>
      <c r="B25" s="231" t="str">
        <f>Suite&amp;" Electrical Room "&amp;SWThree</f>
        <v>G104 Electrical Room XXX</v>
      </c>
      <c r="C25" s="183" t="str">
        <f>"UPS "&amp;SWThree&amp;"2"</f>
        <v>UPS XXX2</v>
      </c>
      <c r="D25" s="233" t="s">
        <v>1749</v>
      </c>
      <c r="E25" s="183" t="s">
        <v>1464</v>
      </c>
      <c r="F25" s="193"/>
      <c r="G25" s="193"/>
    </row>
    <row r="26" spans="1:7" ht="37.5" x14ac:dyDescent="0.25">
      <c r="A26" s="251">
        <f t="shared" si="0"/>
        <v>375</v>
      </c>
      <c r="B26" s="231" t="str">
        <f>Suite&amp;" Electrical Room "&amp;SWThree</f>
        <v>G104 Electrical Room XXX</v>
      </c>
      <c r="C26" s="183" t="str">
        <f>"SCC "&amp;SWThree</f>
        <v>SCC XXX</v>
      </c>
      <c r="D26" s="233" t="s">
        <v>1751</v>
      </c>
      <c r="E26" s="183" t="s">
        <v>1464</v>
      </c>
      <c r="F26" s="193"/>
      <c r="G26" s="193"/>
    </row>
    <row r="27" spans="1:7" ht="37.5" x14ac:dyDescent="0.25">
      <c r="A27" s="251">
        <f t="shared" si="0"/>
        <v>376</v>
      </c>
      <c r="B27" s="231" t="str">
        <f>Suite&amp;" Electrical Room "&amp;SWThree</f>
        <v>G104 Electrical Room XXX</v>
      </c>
      <c r="C27" s="183" t="str">
        <f>"SCC "&amp;SWThree</f>
        <v>SCC XXX</v>
      </c>
      <c r="D27" s="233" t="s">
        <v>1752</v>
      </c>
      <c r="E27" s="183" t="s">
        <v>1464</v>
      </c>
      <c r="F27" s="193"/>
      <c r="G27" s="193"/>
    </row>
    <row r="28" spans="1:7" ht="37.5" x14ac:dyDescent="0.25">
      <c r="A28" s="251">
        <f t="shared" si="0"/>
        <v>377</v>
      </c>
      <c r="B28" s="231" t="str">
        <f>Suite&amp;" Electrical Room "&amp;SWThree</f>
        <v>G104 Electrical Room XXX</v>
      </c>
      <c r="C28" s="183" t="str">
        <f>"SCC "&amp;SWThree</f>
        <v>SCC XXX</v>
      </c>
      <c r="D28" s="233" t="s">
        <v>1749</v>
      </c>
      <c r="E28" s="183" t="s">
        <v>1464</v>
      </c>
      <c r="F28" s="193"/>
      <c r="G28" s="193"/>
    </row>
    <row r="29" spans="1:7" ht="37.5" x14ac:dyDescent="0.25">
      <c r="A29" s="251">
        <f t="shared" si="0"/>
        <v>378</v>
      </c>
      <c r="B29" s="231" t="str">
        <f>Suite&amp;" Electrical Room "&amp;SWThree</f>
        <v>G104 Electrical Room XXX</v>
      </c>
      <c r="C29" s="183" t="str">
        <f>"SCC "&amp;SWThree</f>
        <v>SCC XXX</v>
      </c>
      <c r="D29" s="233" t="s">
        <v>1501</v>
      </c>
      <c r="E29" s="183" t="s">
        <v>1464</v>
      </c>
      <c r="F29" s="193"/>
      <c r="G29" s="193"/>
    </row>
    <row r="30" spans="1:7" ht="37.5" x14ac:dyDescent="0.25">
      <c r="A30" s="251">
        <f t="shared" si="0"/>
        <v>379</v>
      </c>
      <c r="B30" s="231" t="str">
        <f>Suite&amp;" Electrical Room "&amp;SWThree</f>
        <v>G104 Electrical Room XXX</v>
      </c>
      <c r="C30" s="183" t="str">
        <f>"UP"&amp;SWThree</f>
        <v>UPXXX</v>
      </c>
      <c r="D30" s="233" t="str" cm="1">
        <f t="array" ref="D30">"NOTATE the kW reading at UP" &amp; SWThree &amp; " Critical Bus Panel Meter: _________"</f>
        <v>NOTATE the kW reading at UPXXX Critical Bus Panel Meter: _________</v>
      </c>
      <c r="E30" s="183" t="s">
        <v>1464</v>
      </c>
      <c r="F30" s="193"/>
      <c r="G30" s="193"/>
    </row>
    <row r="31" spans="1:7" ht="37.5" x14ac:dyDescent="0.25">
      <c r="A31" s="251">
        <f t="shared" si="0"/>
        <v>380</v>
      </c>
      <c r="B31" s="231" t="str">
        <f>Suite&amp;" Electrical Room "&amp;SWThree</f>
        <v>G104 Electrical Room XXX</v>
      </c>
      <c r="C31" s="183" t="str">
        <f>"UP"&amp;SWThree</f>
        <v>UPXXX</v>
      </c>
      <c r="D31" s="233" t="str">
        <f>"VERIFY the readings in step " &amp; A12 &amp; " and " &amp; A30 &amp; " are within 3% of each other. (new kW divided by original kW must be ≤1.03 and ≥0.97)."</f>
        <v>VERIFY the readings in step 361 and 379 are within 3% of each other. (new kW divided by original kW must be ≤1.03 and ≥0.97).</v>
      </c>
      <c r="E31" s="183" t="s">
        <v>1464</v>
      </c>
      <c r="F31" s="193"/>
      <c r="G31" s="193"/>
    </row>
    <row r="32" spans="1:7" x14ac:dyDescent="0.25">
      <c r="A32" s="251">
        <f t="shared" si="0"/>
        <v>381</v>
      </c>
      <c r="B32" s="711" t="s">
        <v>1502</v>
      </c>
      <c r="C32" s="711"/>
      <c r="D32" s="711"/>
      <c r="E32" s="711"/>
      <c r="F32" s="711"/>
      <c r="G32" s="711"/>
    </row>
    <row r="33" spans="1:7" ht="37.5" x14ac:dyDescent="0.25">
      <c r="A33" s="251">
        <f t="shared" si="0"/>
        <v>382</v>
      </c>
      <c r="B33" s="231" t="str">
        <f>Suite&amp;" Electrical Room "&amp;SWThree</f>
        <v>G104 Electrical Room XXX</v>
      </c>
      <c r="C33" s="183" t="str">
        <f>"UP"&amp;SWThree</f>
        <v>UPXXX</v>
      </c>
      <c r="D33" s="233" t="s">
        <v>1568</v>
      </c>
      <c r="E33" s="183" t="s">
        <v>1464</v>
      </c>
      <c r="F33" s="193"/>
      <c r="G33" s="193"/>
    </row>
    <row r="34" spans="1:7" ht="37.5" x14ac:dyDescent="0.25">
      <c r="A34" s="251">
        <f t="shared" si="0"/>
        <v>383</v>
      </c>
      <c r="B34" s="231" t="str">
        <f>Suite&amp;" Electrical Room "&amp;SWThree</f>
        <v>G104 Electrical Room XXX</v>
      </c>
      <c r="C34" s="183" t="str">
        <f>"UP"&amp;SWThree</f>
        <v>UPXXX</v>
      </c>
      <c r="D34" s="186" t="s">
        <v>1569</v>
      </c>
      <c r="E34" s="183" t="s">
        <v>1464</v>
      </c>
      <c r="F34" s="193"/>
      <c r="G34" s="193"/>
    </row>
    <row r="35" spans="1:7" ht="37.5" x14ac:dyDescent="0.25">
      <c r="A35" s="251">
        <f t="shared" si="0"/>
        <v>384</v>
      </c>
      <c r="B35" s="231" t="str">
        <f>Suite&amp;" Electrical Room "&amp;SWThree</f>
        <v>G104 Electrical Room XXX</v>
      </c>
      <c r="C35" s="183" t="str">
        <f>"UP"&amp;SWThree</f>
        <v>UPXXX</v>
      </c>
      <c r="D35" s="186" t="s">
        <v>1570</v>
      </c>
      <c r="E35" s="183" t="s">
        <v>1464</v>
      </c>
      <c r="F35" s="193"/>
      <c r="G35" s="193"/>
    </row>
    <row r="36" spans="1:7" ht="37.5" x14ac:dyDescent="0.25">
      <c r="A36" s="251">
        <f t="shared" si="0"/>
        <v>385</v>
      </c>
      <c r="B36" s="231" t="str">
        <f>Suite&amp;" Electrical Room "&amp;SWThree</f>
        <v>G104 Electrical Room XXX</v>
      </c>
      <c r="C36" s="183" t="str">
        <f>"UP"&amp;SWThree</f>
        <v>UPXXX</v>
      </c>
      <c r="D36" s="233" t="str" cm="1">
        <f t="array" ref="D36">"INSERT the interlock key into the MBUP" &amp; SWThree &amp; " breaker lock cylinder."</f>
        <v>INSERT the interlock key into the MBUPXXX breaker lock cylinder.</v>
      </c>
      <c r="E36" s="183" t="s">
        <v>1464</v>
      </c>
      <c r="F36" s="193"/>
      <c r="G36" s="193"/>
    </row>
    <row r="37" spans="1:7" ht="37.5" x14ac:dyDescent="0.25">
      <c r="A37" s="251">
        <f t="shared" si="0"/>
        <v>386</v>
      </c>
      <c r="B37" s="231" t="str">
        <f>Suite&amp;" Electrical Room "&amp;SWThree</f>
        <v>G104 Electrical Room XXX</v>
      </c>
      <c r="C37" s="183" t="str">
        <f>"UP"&amp;SWThree</f>
        <v>UPXXX</v>
      </c>
      <c r="D37" s="186" t="str" cm="1">
        <f t="array" ref="D37">"ROTATE the interlock key 180 degrees to UNLOCK the MBUP" &amp; SWThree &amp; " breaker."</f>
        <v>ROTATE the interlock key 180 degrees to UNLOCK the MBUPXXX breaker.</v>
      </c>
      <c r="E37" s="183" t="s">
        <v>1464</v>
      </c>
      <c r="F37" s="193"/>
      <c r="G37" s="193"/>
    </row>
    <row r="38" spans="1:7" ht="37.5" x14ac:dyDescent="0.25">
      <c r="A38" s="251">
        <f t="shared" si="0"/>
        <v>387</v>
      </c>
      <c r="B38" s="231" t="str">
        <f>Suite&amp;" Electrical Room "&amp;SWThree</f>
        <v>G104 Electrical Room XXX</v>
      </c>
      <c r="C38" s="183" t="str">
        <f>"UP"&amp;SWThree</f>
        <v>UPXXX</v>
      </c>
      <c r="D38" s="233" t="str" cm="1">
        <f t="array" ref="D38">"Close breaker MBUP" &amp; SWThree &amp; "."</f>
        <v>Close breaker MBUPXXX.</v>
      </c>
      <c r="E38" s="183" t="s">
        <v>1464</v>
      </c>
      <c r="F38" s="193"/>
      <c r="G38" s="193"/>
    </row>
    <row r="39" spans="1:7" ht="37.5" x14ac:dyDescent="0.25">
      <c r="A39" s="251">
        <f t="shared" si="0"/>
        <v>388</v>
      </c>
      <c r="B39" s="231" t="str">
        <f>Suite&amp;" Electrical Room "&amp;SWThree</f>
        <v>G104 Electrical Room XXX</v>
      </c>
      <c r="C39" s="183" t="str">
        <f>"UP"&amp;SWThree</f>
        <v>UPXXX</v>
      </c>
      <c r="D39" s="186" t="str" cm="1">
        <f t="array" ref="D39">"VERIFY MBUP" &amp; SWThree &amp; " breaker flag indicates CLOSED."</f>
        <v>VERIFY MBUPXXX breaker flag indicates CLOSED.</v>
      </c>
      <c r="E39" s="183" t="s">
        <v>1464</v>
      </c>
      <c r="F39" s="193"/>
      <c r="G39" s="193"/>
    </row>
    <row r="40" spans="1:7" ht="37.5" x14ac:dyDescent="0.25">
      <c r="A40" s="251">
        <f t="shared" si="0"/>
        <v>389</v>
      </c>
      <c r="B40" s="231" t="str">
        <f>Suite&amp;" Electrical Room "&amp;SWThree</f>
        <v>G104 Electrical Room XXX</v>
      </c>
      <c r="C40" s="183" t="str">
        <f>"UP"&amp;SWThree</f>
        <v>UPXXX</v>
      </c>
      <c r="D40" s="233" t="str" cm="1">
        <f t="array" ref="D40">"VERIFY breaker MBUP" &amp; SWThree &amp; " is carrying a portion of critical customer load using breaker mounted metering."</f>
        <v>VERIFY breaker MBUPXXX is carrying a portion of critical customer load using breaker mounted metering.</v>
      </c>
      <c r="E40" s="183" t="s">
        <v>1464</v>
      </c>
      <c r="F40" s="193"/>
      <c r="G40" s="193"/>
    </row>
    <row r="41" spans="1:7" ht="37.5" x14ac:dyDescent="0.25">
      <c r="A41" s="251">
        <f t="shared" si="0"/>
        <v>390</v>
      </c>
      <c r="B41" s="231" t="str">
        <f>Suite&amp;" Electrical Room "&amp;SWThree</f>
        <v>G104 Electrical Room XXX</v>
      </c>
      <c r="C41" s="183" t="str">
        <f>"UP"&amp;SWThree</f>
        <v>UPXXX</v>
      </c>
      <c r="D41" s="233" t="str" cm="1">
        <f t="array" ref="D41">"VERIFY breaker MCBUP" &amp; SWThree &amp; " is carrying a portion of critical customer load using breaker mounted metering."</f>
        <v>VERIFY breaker MCBUPXXX is carrying a portion of critical customer load using breaker mounted metering.</v>
      </c>
      <c r="E41" s="183" t="s">
        <v>1464</v>
      </c>
      <c r="F41" s="193"/>
      <c r="G41" s="193"/>
    </row>
    <row r="42" spans="1:7" ht="37.5" x14ac:dyDescent="0.25">
      <c r="A42" s="251">
        <f t="shared" si="0"/>
        <v>391</v>
      </c>
      <c r="B42" s="231" t="str">
        <f>Suite&amp;" Electrical Room "&amp;SWThree</f>
        <v>G104 Electrical Room XXX</v>
      </c>
      <c r="C42" s="183" t="str">
        <f>"UP"&amp;SWThree</f>
        <v>UPXXX</v>
      </c>
      <c r="D42" s="233" t="str" cm="1">
        <f t="array" ref="D42">"NOTATE the kW reading at UP" &amp; SWThree &amp; " Critical Bus Panel Meter: _________"</f>
        <v>NOTATE the kW reading at UPXXX Critical Bus Panel Meter: _________</v>
      </c>
      <c r="E42" s="183" t="s">
        <v>1464</v>
      </c>
      <c r="F42" s="193"/>
      <c r="G42" s="193"/>
    </row>
    <row r="43" spans="1:7" ht="37.5" x14ac:dyDescent="0.25">
      <c r="A43" s="251">
        <f t="shared" si="0"/>
        <v>392</v>
      </c>
      <c r="B43" s="231" t="str">
        <f>Suite&amp;" Electrical Room "&amp;SWThree</f>
        <v>G104 Electrical Room XXX</v>
      </c>
      <c r="C43" s="183" t="str">
        <f>"UP"&amp;SWThree</f>
        <v>UPXXX</v>
      </c>
      <c r="D43" s="233" t="str">
        <f>"VERIFY the readings in step " &amp; A30 &amp; " and " &amp; A42 &amp; " are within 3% of each other. (new kW divided by original kW must be ≤1.03 and ≥0.97)."</f>
        <v>VERIFY the readings in step 379 and 391 are within 3% of each other. (new kW divided by original kW must be ≤1.03 and ≥0.97).</v>
      </c>
      <c r="E43" s="183" t="s">
        <v>1464</v>
      </c>
      <c r="F43" s="193"/>
      <c r="G43" s="193"/>
    </row>
    <row r="44" spans="1:7" ht="37.5" x14ac:dyDescent="0.25">
      <c r="A44" s="251">
        <f t="shared" si="0"/>
        <v>393</v>
      </c>
      <c r="B44" s="231" t="str">
        <f>Suite&amp;" Electrical Room "&amp;SWThree</f>
        <v>G104 Electrical Room XXX</v>
      </c>
      <c r="C44" s="183" t="str">
        <f>"UP"&amp;SWThree</f>
        <v>UPXXX</v>
      </c>
      <c r="D44" s="233" t="str" cm="1">
        <f t="array" ref="D44">"Pump the MCBUP" &amp; SWThree &amp; " breaker charging handle repeatedly to compress the charging spring and charge the breaker."</f>
        <v>Pump the MCBUPXXX breaker charging handle repeatedly to compress the charging spring and charge the breaker.</v>
      </c>
      <c r="E44" s="183" t="s">
        <v>1464</v>
      </c>
      <c r="F44" s="193"/>
      <c r="G44" s="193"/>
    </row>
    <row r="45" spans="1:7" ht="56.25" x14ac:dyDescent="0.25">
      <c r="A45" s="251">
        <f t="shared" si="0"/>
        <v>394</v>
      </c>
      <c r="B45" s="231" t="str">
        <f>Suite&amp;" Electrical Room "&amp;SWThree</f>
        <v>G104 Electrical Room XXX</v>
      </c>
      <c r="C45" s="183" t="str">
        <f>"UP"&amp;SWThree</f>
        <v>UPXXX</v>
      </c>
      <c r="D45" s="233" t="str" cm="1">
        <f t="array" ref="D45">"Note: If breaker MCBUP" &amp; SWThree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row>
    <row r="46" spans="1:7" ht="37.5" x14ac:dyDescent="0.25">
      <c r="A46" s="251">
        <f t="shared" si="0"/>
        <v>395</v>
      </c>
      <c r="B46" s="231" t="str">
        <f>Suite&amp;" Electrical Room "&amp;SWThree</f>
        <v>G104 Electrical Room XXX</v>
      </c>
      <c r="C46" s="183" t="str">
        <f>"UP"&amp;SWThree</f>
        <v>UPXXX</v>
      </c>
      <c r="D46" s="233" t="str" cm="1">
        <f t="array" ref="D46">"OPEN breaker MCBUP" &amp; SWThree &amp; "."</f>
        <v>OPEN breaker MCBUPXXX.</v>
      </c>
      <c r="E46" s="183" t="s">
        <v>1464</v>
      </c>
      <c r="F46" s="193"/>
      <c r="G46" s="193"/>
    </row>
    <row r="47" spans="1:7" ht="37.5" x14ac:dyDescent="0.25">
      <c r="A47" s="251">
        <f t="shared" si="0"/>
        <v>396</v>
      </c>
      <c r="B47" s="231" t="str">
        <f>Suite&amp;" Electrical Room "&amp;SWThree</f>
        <v>G104 Electrical Room XXX</v>
      </c>
      <c r="C47" s="183" t="str">
        <f>"UP"&amp;SWThree</f>
        <v>UPXXX</v>
      </c>
      <c r="D47" s="233" t="s">
        <v>1506</v>
      </c>
      <c r="E47" s="183" t="s">
        <v>1464</v>
      </c>
      <c r="F47" s="193"/>
      <c r="G47" s="193"/>
    </row>
    <row r="48" spans="1:7" ht="37.5" x14ac:dyDescent="0.25">
      <c r="A48" s="251">
        <f t="shared" si="0"/>
        <v>397</v>
      </c>
      <c r="B48" s="231" t="str">
        <f>Suite&amp;" Electrical Room "&amp;SWThree</f>
        <v>G104 Electrical Room XXX</v>
      </c>
      <c r="C48" s="183" t="str">
        <f>"UP"&amp;SWThree</f>
        <v>UPXXX</v>
      </c>
      <c r="D48" s="186" t="str" cm="1">
        <f t="array" ref="D48">"VERIFY MCBUP" &amp; SWThree &amp; " breaker flag indicates OPEN."</f>
        <v>VERIFY MCBUPXXX breaker flag indicates OPEN.</v>
      </c>
      <c r="E48" s="183" t="s">
        <v>1464</v>
      </c>
      <c r="F48" s="193"/>
      <c r="G48" s="193"/>
    </row>
    <row r="49" spans="1:7" ht="37.5" x14ac:dyDescent="0.25">
      <c r="A49" s="251">
        <f t="shared" si="0"/>
        <v>398</v>
      </c>
      <c r="B49" s="231" t="str">
        <f>Suite&amp;" Electrical Room "&amp;SWThree</f>
        <v>G104 Electrical Room XXX</v>
      </c>
      <c r="C49" s="183" t="str">
        <f>"UP"&amp;SWThree</f>
        <v>UPXXX</v>
      </c>
      <c r="D49" s="233" t="str" cm="1">
        <f t="array" ref="D49">"Apply LOTO to breaker MCBUP" &amp; SWThree &amp; "."</f>
        <v>Apply LOTO to breaker MCBUPXXX.</v>
      </c>
      <c r="E49" s="183" t="s">
        <v>1464</v>
      </c>
      <c r="F49" s="193"/>
      <c r="G49" s="193"/>
    </row>
    <row r="50" spans="1:7" ht="37.5" x14ac:dyDescent="0.25">
      <c r="A50" s="251">
        <f t="shared" si="0"/>
        <v>399</v>
      </c>
      <c r="B50" s="231" t="str">
        <f>Suite&amp;" Electrical Room "&amp;SWThree</f>
        <v>G104 Electrical Room XXX</v>
      </c>
      <c r="C50" s="183" t="str">
        <f>"UP"&amp;SWThree</f>
        <v>UPXXX</v>
      </c>
      <c r="D50" s="186" t="s">
        <v>1518</v>
      </c>
      <c r="E50" s="183" t="s">
        <v>1464</v>
      </c>
      <c r="F50" s="193"/>
      <c r="G50" s="193"/>
    </row>
    <row r="51" spans="1:7" ht="37.5" x14ac:dyDescent="0.25">
      <c r="A51" s="251">
        <f t="shared" si="0"/>
        <v>400</v>
      </c>
      <c r="B51" s="231" t="str">
        <f>Suite&amp;" Electrical Room "&amp;SWThree</f>
        <v>G104 Electrical Room XXX</v>
      </c>
      <c r="C51" s="183" t="str">
        <f>"UP"&amp;SWThree</f>
        <v>UPXXX</v>
      </c>
      <c r="D51" s="233" t="str" cm="1">
        <f t="array" ref="D51">"NOTATE the kW reading at UP" &amp; SWThree &amp; " Critical Bus Panel Meter: _________"</f>
        <v>NOTATE the kW reading at UPXXX Critical Bus Panel Meter: _________</v>
      </c>
      <c r="E51" s="183" t="s">
        <v>1464</v>
      </c>
      <c r="F51" s="193"/>
      <c r="G51" s="193"/>
    </row>
    <row r="52" spans="1:7" ht="37.5" x14ac:dyDescent="0.25">
      <c r="A52" s="251">
        <f t="shared" si="0"/>
        <v>401</v>
      </c>
      <c r="B52" s="231" t="str">
        <f>Suite&amp;" Electrical Room "&amp;SWThree</f>
        <v>G104 Electrical Room XXX</v>
      </c>
      <c r="C52" s="183" t="str">
        <f>"UP"&amp;SWThree</f>
        <v>UPXXX</v>
      </c>
      <c r="D52" s="233" t="str">
        <f>"VERIFY the readings in step " &amp; A42 &amp; " and " &amp; A51 &amp; " are within 3% of each other. (new kW divided by original kW must be ≤1.03 and ≥0.97)."</f>
        <v>VERIFY the readings in step 391 and 400 are within 3% of each other. (new kW divided by original kW must be ≤1.03 and ≥0.97).</v>
      </c>
      <c r="E52" s="183" t="s">
        <v>1464</v>
      </c>
      <c r="F52" s="193"/>
      <c r="G52" s="193"/>
    </row>
    <row r="53" spans="1:7" ht="37.5" x14ac:dyDescent="0.25">
      <c r="A53" s="251">
        <f t="shared" si="0"/>
        <v>402</v>
      </c>
      <c r="B53" s="231" t="str">
        <f>Suite&amp;" Electrical Room "&amp;SWThree</f>
        <v>G104 Electrical Room XXX</v>
      </c>
      <c r="C53" s="183" t="str">
        <f>"UP"&amp;SWThree</f>
        <v>UPXXX</v>
      </c>
      <c r="D53" s="186" t="str" cm="1">
        <f t="array" ref="D53">"ROTATE the interlock key 180 degrees to LOCK the MCBUP"&amp;SWThree&amp;" breaker while simultaneously pulling the lock tab."</f>
        <v>ROTATE the interlock key 180 degrees to LOCK the MCBUPXXX breaker while simultaneously pulling the lock tab.</v>
      </c>
      <c r="E53" s="183" t="s">
        <v>1464</v>
      </c>
      <c r="F53" s="193"/>
      <c r="G53" s="193"/>
    </row>
    <row r="54" spans="1:7" ht="37.5" x14ac:dyDescent="0.25">
      <c r="A54" s="251">
        <f t="shared" si="0"/>
        <v>403</v>
      </c>
      <c r="B54" s="231" t="str">
        <f>Suite&amp;" Electrical Room "&amp;SWThree</f>
        <v>G104 Electrical Room XXX</v>
      </c>
      <c r="C54" s="183" t="str">
        <f>"UP"&amp;SWThree</f>
        <v>UPXXX</v>
      </c>
      <c r="D54" s="186" t="str" cm="1">
        <f t="array" ref="D54">"REMOVE the interlock key from the MCBUP"&amp;SWThree&amp;" breaker lock cylinder."</f>
        <v>REMOVE the interlock key from the MCBUPXXX breaker lock cylinder.</v>
      </c>
      <c r="E54" s="183" t="s">
        <v>1464</v>
      </c>
      <c r="F54" s="193"/>
      <c r="G54" s="193"/>
    </row>
    <row r="55" spans="1:7" ht="37.5" x14ac:dyDescent="0.25">
      <c r="A55" s="251">
        <f t="shared" si="0"/>
        <v>404</v>
      </c>
      <c r="B55" s="231" t="str">
        <f>Suite&amp;" Electrical Room "&amp;SWThree</f>
        <v>G104 Electrical Room XXX</v>
      </c>
      <c r="C55" s="183" t="str">
        <f>"UP"&amp;SWThree</f>
        <v>UPXXX</v>
      </c>
      <c r="D55" s="233" t="s">
        <v>1573</v>
      </c>
      <c r="E55" s="183" t="s">
        <v>1464</v>
      </c>
      <c r="F55" s="193"/>
      <c r="G55" s="193"/>
    </row>
    <row r="56" spans="1:7" ht="37.5" x14ac:dyDescent="0.25">
      <c r="A56" s="251">
        <f t="shared" si="0"/>
        <v>405</v>
      </c>
      <c r="B56" s="231" t="str">
        <f>Suite&amp;" Electrical Room "&amp;SWThree</f>
        <v>G104 Electrical Room XXX</v>
      </c>
      <c r="C56" s="183" t="str">
        <f>"UP"&amp;SWThree</f>
        <v>UPXXX</v>
      </c>
      <c r="D56" s="186" t="s">
        <v>1574</v>
      </c>
      <c r="E56" s="183" t="s">
        <v>1464</v>
      </c>
      <c r="F56" s="193"/>
      <c r="G56" s="193"/>
    </row>
    <row r="57" spans="1:7" ht="37.5" x14ac:dyDescent="0.25">
      <c r="A57" s="251">
        <f t="shared" si="0"/>
        <v>406</v>
      </c>
      <c r="B57" s="231" t="str">
        <f>Suite&amp;" Electrical Room "&amp;SWThree</f>
        <v>G104 Electrical Room XXX</v>
      </c>
      <c r="C57" s="183" t="str">
        <f>"UP"&amp;SWThree</f>
        <v>UPXXX</v>
      </c>
      <c r="D57" s="186" t="s">
        <v>1575</v>
      </c>
      <c r="E57" s="183" t="s">
        <v>1464</v>
      </c>
      <c r="F57" s="193"/>
      <c r="G57" s="193"/>
    </row>
    <row r="58" spans="1:7" ht="37.5" x14ac:dyDescent="0.25">
      <c r="A58" s="251">
        <f t="shared" si="0"/>
        <v>407</v>
      </c>
      <c r="B58" s="231" t="str">
        <f>Suite&amp;" Electrical Room "&amp;SWThree</f>
        <v>G104 Electrical Room XXX</v>
      </c>
      <c r="C58" s="183" t="str">
        <f>"UP"&amp;SWThree</f>
        <v>UPXXX</v>
      </c>
      <c r="D58" s="186" t="s">
        <v>1510</v>
      </c>
      <c r="E58" s="183" t="s">
        <v>1464</v>
      </c>
      <c r="F58" s="193"/>
      <c r="G58" s="193"/>
    </row>
    <row r="59" spans="1:7" ht="37.5" x14ac:dyDescent="0.25">
      <c r="A59" s="251">
        <f t="shared" si="0"/>
        <v>408</v>
      </c>
      <c r="B59" s="231" t="str">
        <f>Suite&amp;" Electrical Room "&amp;SWThree</f>
        <v>G104 Electrical Room XXX</v>
      </c>
      <c r="C59" s="183" t="str">
        <f>"UP"&amp;SWThree</f>
        <v>UPXXX</v>
      </c>
      <c r="D59" s="233" t="str" cm="1">
        <f t="array" ref="D59">"NOTATE the kW reading at UP" &amp; SWThree &amp; " Critical Bus Panel Meter: _________"</f>
        <v>NOTATE the kW reading at UPXXX Critical Bus Panel Meter: _________</v>
      </c>
      <c r="E59" s="183" t="s">
        <v>1464</v>
      </c>
      <c r="F59" s="193"/>
      <c r="G59" s="193"/>
    </row>
    <row r="60" spans="1:7" ht="37.5" x14ac:dyDescent="0.25">
      <c r="A60" s="251">
        <f t="shared" si="0"/>
        <v>409</v>
      </c>
      <c r="B60" s="231" t="str">
        <f>Suite&amp;" Electrical Room "&amp;SWThree</f>
        <v>G104 Electrical Room XXX</v>
      </c>
      <c r="C60" s="183" t="str">
        <f>"UP"&amp;SWThree</f>
        <v>UPXXX</v>
      </c>
      <c r="D60" s="233" t="str">
        <f>"VERIFY the readings in step " &amp; A51 &amp; " and " &amp; A59 &amp; " are within 3% of each other. (new kW divided by original kW must be ≤1.03 and ≥0.97)."</f>
        <v>VERIFY the readings in step 400 and 408 are within 3% of each other. (new kW divided by original kW must be ≤1.03 and ≥0.97).</v>
      </c>
      <c r="E60" s="183" t="s">
        <v>1464</v>
      </c>
      <c r="F60" s="193"/>
      <c r="G60" s="193"/>
    </row>
    <row r="61" spans="1:7" x14ac:dyDescent="0.25">
      <c r="A61" s="251">
        <f t="shared" si="0"/>
        <v>410</v>
      </c>
      <c r="B61" s="711" t="str" cm="1">
        <f t="array" ref="B61">"Shutdown UPS System " &amp; SWThree</f>
        <v>Shutdown UPS System XXX</v>
      </c>
      <c r="C61" s="711"/>
      <c r="D61" s="711"/>
      <c r="E61" s="711"/>
      <c r="F61" s="711"/>
      <c r="G61" s="711"/>
    </row>
    <row r="62" spans="1:7" ht="37.5" x14ac:dyDescent="0.25">
      <c r="A62" s="251">
        <f t="shared" si="0"/>
        <v>411</v>
      </c>
      <c r="B62" s="231" t="str">
        <f>Suite&amp;" Electrical Room "&amp;SWThree</f>
        <v>G104 Electrical Room XXX</v>
      </c>
      <c r="C62" s="183" t="str">
        <f>"UPS "&amp;SWThree&amp;"1"</f>
        <v>UPS XXX1</v>
      </c>
      <c r="D62" s="233" t="s">
        <v>1753</v>
      </c>
      <c r="E62" s="183" t="s">
        <v>1464</v>
      </c>
      <c r="F62" s="193"/>
      <c r="G62" s="193"/>
    </row>
    <row r="63" spans="1:7" ht="37.5" x14ac:dyDescent="0.25">
      <c r="A63" s="251">
        <f t="shared" si="0"/>
        <v>412</v>
      </c>
      <c r="B63" s="231" t="str">
        <f>Suite&amp;" Electrical Room "&amp;SWThree</f>
        <v>G104 Electrical Room XXX</v>
      </c>
      <c r="C63" s="183" t="str">
        <f>"UPS "&amp;SWThree&amp;"2"</f>
        <v>UPS XXX2</v>
      </c>
      <c r="D63" s="233" t="s">
        <v>1753</v>
      </c>
      <c r="E63" s="183" t="s">
        <v>1464</v>
      </c>
      <c r="F63" s="193"/>
      <c r="G63" s="193"/>
    </row>
    <row r="64" spans="1:7" ht="56.25" x14ac:dyDescent="0.25">
      <c r="A64" s="251">
        <f t="shared" si="0"/>
        <v>413</v>
      </c>
      <c r="B64" s="231" t="str">
        <f>Suite&amp;" Electrical Room "&amp;SWThree</f>
        <v>G104 Electrical Room XXX</v>
      </c>
      <c r="C64" s="183" t="str">
        <f>"UPS "&amp;SWThree&amp;" Battery Cabinets"</f>
        <v>UPS XXX Battery Cabinets</v>
      </c>
      <c r="D64" s="186" t="str" cm="1">
        <f t="array" ref="D64">"OPEN the Cabinet " &amp; SWThree &amp; "1-1 battery breaker."</f>
        <v>OPEN the Cabinet XXX1-1 battery breaker.</v>
      </c>
      <c r="E64" s="183" t="s">
        <v>1464</v>
      </c>
      <c r="F64" s="193"/>
      <c r="G64" s="193"/>
    </row>
    <row r="65" spans="1:7" ht="56.25" x14ac:dyDescent="0.25">
      <c r="A65" s="251">
        <f t="shared" si="0"/>
        <v>414</v>
      </c>
      <c r="B65" s="231" t="str">
        <f>Suite&amp;" Electrical Room "&amp;SWThree</f>
        <v>G104 Electrical Room XXX</v>
      </c>
      <c r="C65" s="183" t="str">
        <f>"UPS "&amp;SWThree&amp;" Battery Cabinets"</f>
        <v>UPS XXX Battery Cabinets</v>
      </c>
      <c r="D65" s="186" t="str" cm="1">
        <f t="array" ref="D65">"Apply LOTO to the Cabinet " &amp; SWThree &amp; "1-1 battery breaker."</f>
        <v>Apply LOTO to the Cabinet XXX1-1 battery breaker.</v>
      </c>
      <c r="E65" s="183" t="s">
        <v>1464</v>
      </c>
      <c r="F65" s="193"/>
      <c r="G65" s="193"/>
    </row>
    <row r="66" spans="1:7" ht="56.25" x14ac:dyDescent="0.25">
      <c r="A66" s="251">
        <f t="shared" si="0"/>
        <v>415</v>
      </c>
      <c r="B66" s="231" t="str">
        <f>Suite&amp;" Electrical Room "&amp;SWThree</f>
        <v>G104 Electrical Room XXX</v>
      </c>
      <c r="C66" s="183" t="str">
        <f>"UPS "&amp;SWThree&amp;" Battery Cabinets"</f>
        <v>UPS XXX Battery Cabinets</v>
      </c>
      <c r="D66" s="186" t="s">
        <v>1518</v>
      </c>
      <c r="E66" s="183" t="s">
        <v>1464</v>
      </c>
      <c r="F66" s="193"/>
      <c r="G66" s="193"/>
    </row>
    <row r="67" spans="1:7" ht="56.25" x14ac:dyDescent="0.25">
      <c r="A67" s="251">
        <f t="shared" si="0"/>
        <v>416</v>
      </c>
      <c r="B67" s="231" t="str">
        <f>Suite&amp;" Electrical Room "&amp;SWThree</f>
        <v>G104 Electrical Room XXX</v>
      </c>
      <c r="C67" s="183" t="str">
        <f>"UPS "&amp;SWThree&amp;" Battery Cabinets"</f>
        <v>UPS XXX Battery Cabinets</v>
      </c>
      <c r="D67" s="186" t="str" cm="1">
        <f t="array" ref="D67">"OPEN the Cabinet " &amp; SWThree &amp; "1-2 battery breaker."</f>
        <v>OPEN the Cabinet XXX1-2 battery breaker.</v>
      </c>
      <c r="E67" s="183" t="s">
        <v>1464</v>
      </c>
      <c r="F67" s="193"/>
      <c r="G67" s="193"/>
    </row>
    <row r="68" spans="1:7" ht="56.25" x14ac:dyDescent="0.25">
      <c r="A68" s="251">
        <f t="shared" si="0"/>
        <v>417</v>
      </c>
      <c r="B68" s="231" t="str">
        <f>Suite&amp;" Electrical Room "&amp;SWThree</f>
        <v>G104 Electrical Room XXX</v>
      </c>
      <c r="C68" s="183" t="str">
        <f>"UPS "&amp;SWThree&amp;" Battery Cabinets"</f>
        <v>UPS XXX Battery Cabinets</v>
      </c>
      <c r="D68" s="186" t="str" cm="1">
        <f t="array" ref="D68">"Apply LOTO to the Cabinet " &amp; SWThree &amp; "1-2 battery breaker."</f>
        <v>Apply LOTO to the Cabinet XXX1-2 battery breaker.</v>
      </c>
      <c r="E68" s="183" t="s">
        <v>1464</v>
      </c>
      <c r="F68" s="193"/>
      <c r="G68" s="193"/>
    </row>
    <row r="69" spans="1:7" ht="56.25" x14ac:dyDescent="0.25">
      <c r="A69" s="251">
        <f t="shared" si="0"/>
        <v>418</v>
      </c>
      <c r="B69" s="231" t="str">
        <f>Suite&amp;" Electrical Room "&amp;SWThree</f>
        <v>G104 Electrical Room XXX</v>
      </c>
      <c r="C69" s="183" t="str">
        <f>"UPS "&amp;SWThree&amp;" Battery Cabinets"</f>
        <v>UPS XXX Battery Cabinets</v>
      </c>
      <c r="D69" s="186" t="s">
        <v>1518</v>
      </c>
      <c r="E69" s="183" t="s">
        <v>1464</v>
      </c>
      <c r="F69" s="193"/>
      <c r="G69" s="193"/>
    </row>
    <row r="70" spans="1:7" ht="56.25" x14ac:dyDescent="0.25">
      <c r="A70" s="251">
        <f t="shared" si="0"/>
        <v>419</v>
      </c>
      <c r="B70" s="231" t="str">
        <f>Suite&amp;" Electrical Room "&amp;SWThree</f>
        <v>G104 Electrical Room XXX</v>
      </c>
      <c r="C70" s="183" t="str">
        <f>"UPS "&amp;SWThree&amp;" Battery Cabinets"</f>
        <v>UPS XXX Battery Cabinets</v>
      </c>
      <c r="D70" s="186" t="str" cm="1">
        <f t="array" ref="D70">"OPEN the Cabinet " &amp; SWThree &amp; "1-3 battery breaker."</f>
        <v>OPEN the Cabinet XXX1-3 battery breaker.</v>
      </c>
      <c r="E70" s="183" t="s">
        <v>1464</v>
      </c>
      <c r="F70" s="193"/>
      <c r="G70" s="193"/>
    </row>
    <row r="71" spans="1:7" ht="56.25" x14ac:dyDescent="0.25">
      <c r="A71" s="251">
        <f t="shared" si="0"/>
        <v>420</v>
      </c>
      <c r="B71" s="231" t="str">
        <f>Suite&amp;" Electrical Room "&amp;SWThree</f>
        <v>G104 Electrical Room XXX</v>
      </c>
      <c r="C71" s="183" t="str">
        <f>"UPS "&amp;SWThree&amp;" Battery Cabinets"</f>
        <v>UPS XXX Battery Cabinets</v>
      </c>
      <c r="D71" s="186" t="str" cm="1">
        <f t="array" ref="D71">"Apply LOTO to the Cabinet " &amp; SWThree &amp; "1-3 battery breaker."</f>
        <v>Apply LOTO to the Cabinet XXX1-3 battery breaker.</v>
      </c>
      <c r="E71" s="183" t="s">
        <v>1464</v>
      </c>
      <c r="F71" s="193"/>
      <c r="G71" s="193"/>
    </row>
    <row r="72" spans="1:7" ht="56.25" x14ac:dyDescent="0.25">
      <c r="A72" s="251">
        <f t="shared" si="0"/>
        <v>421</v>
      </c>
      <c r="B72" s="231" t="str">
        <f>Suite&amp;" Electrical Room "&amp;SWThree</f>
        <v>G104 Electrical Room XXX</v>
      </c>
      <c r="C72" s="183" t="str">
        <f>"UPS "&amp;SWThree&amp;" Battery Cabinets"</f>
        <v>UPS XXX Battery Cabinets</v>
      </c>
      <c r="D72" s="186" t="s">
        <v>1518</v>
      </c>
      <c r="E72" s="183" t="s">
        <v>1464</v>
      </c>
      <c r="F72" s="193"/>
      <c r="G72" s="193"/>
    </row>
    <row r="73" spans="1:7" ht="56.25" x14ac:dyDescent="0.25">
      <c r="A73" s="251">
        <f t="shared" si="0"/>
        <v>422</v>
      </c>
      <c r="B73" s="231" t="str">
        <f>Suite&amp;" Electrical Room "&amp;SWThree</f>
        <v>G104 Electrical Room XXX</v>
      </c>
      <c r="C73" s="183" t="str">
        <f>"UPS "&amp;SWThree&amp;" Battery Cabinets"</f>
        <v>UPS XXX Battery Cabinets</v>
      </c>
      <c r="D73" s="186" t="str" cm="1">
        <f t="array" ref="D73">"OPEN the Cabinet " &amp; SWThree &amp; "2-1 battery breaker."</f>
        <v>OPEN the Cabinet XXX2-1 battery breaker.</v>
      </c>
      <c r="E73" s="183" t="s">
        <v>1464</v>
      </c>
      <c r="F73" s="193"/>
      <c r="G73" s="193"/>
    </row>
    <row r="74" spans="1:7" ht="56.25" x14ac:dyDescent="0.25">
      <c r="A74" s="251">
        <f t="shared" ref="A74:A137" si="1">A73+1</f>
        <v>423</v>
      </c>
      <c r="B74" s="231" t="str">
        <f>Suite&amp;" Electrical Room "&amp;SWThree</f>
        <v>G104 Electrical Room XXX</v>
      </c>
      <c r="C74" s="183" t="str">
        <f>"UPS "&amp;SWThree&amp;" Battery Cabinets"</f>
        <v>UPS XXX Battery Cabinets</v>
      </c>
      <c r="D74" s="186" t="str" cm="1">
        <f t="array" ref="D74">"Apply LOTO to the Cabinet " &amp; SWThree &amp; "2-1 battery breaker."</f>
        <v>Apply LOTO to the Cabinet XXX2-1 battery breaker.</v>
      </c>
      <c r="E74" s="183" t="s">
        <v>1464</v>
      </c>
      <c r="F74" s="193"/>
      <c r="G74" s="193"/>
    </row>
    <row r="75" spans="1:7" ht="56.25" x14ac:dyDescent="0.25">
      <c r="A75" s="251">
        <f t="shared" si="1"/>
        <v>424</v>
      </c>
      <c r="B75" s="231" t="str">
        <f>Suite&amp;" Electrical Room "&amp;SWThree</f>
        <v>G104 Electrical Room XXX</v>
      </c>
      <c r="C75" s="183" t="str">
        <f>"UPS "&amp;SWThree&amp;" Battery Cabinets"</f>
        <v>UPS XXX Battery Cabinets</v>
      </c>
      <c r="D75" s="186" t="s">
        <v>1518</v>
      </c>
      <c r="E75" s="183" t="s">
        <v>1464</v>
      </c>
      <c r="F75" s="193"/>
      <c r="G75" s="193"/>
    </row>
    <row r="76" spans="1:7" ht="56.25" x14ac:dyDescent="0.25">
      <c r="A76" s="251">
        <f t="shared" si="1"/>
        <v>425</v>
      </c>
      <c r="B76" s="231" t="str">
        <f>Suite&amp;" Electrical Room "&amp;SWThree</f>
        <v>G104 Electrical Room XXX</v>
      </c>
      <c r="C76" s="183" t="str">
        <f>"UPS "&amp;SWThree&amp;" Battery Cabinets"</f>
        <v>UPS XXX Battery Cabinets</v>
      </c>
      <c r="D76" s="186" t="str" cm="1">
        <f t="array" ref="D76">"OPEN the Cabinet " &amp; SWThree &amp; "2-2 battery breaker."</f>
        <v>OPEN the Cabinet XXX2-2 battery breaker.</v>
      </c>
      <c r="E76" s="183" t="s">
        <v>1464</v>
      </c>
      <c r="F76" s="193"/>
      <c r="G76" s="193"/>
    </row>
    <row r="77" spans="1:7" ht="56.25" x14ac:dyDescent="0.25">
      <c r="A77" s="251">
        <f t="shared" si="1"/>
        <v>426</v>
      </c>
      <c r="B77" s="231" t="str">
        <f>Suite&amp;" Electrical Room "&amp;SWThree</f>
        <v>G104 Electrical Room XXX</v>
      </c>
      <c r="C77" s="183" t="str">
        <f>"UPS "&amp;SWThree&amp;" Battery Cabinets"</f>
        <v>UPS XXX Battery Cabinets</v>
      </c>
      <c r="D77" s="186" t="str" cm="1">
        <f t="array" ref="D77">"Apply LOTO to the Cabinet " &amp; SWThree &amp; "2-2 battery breaker."</f>
        <v>Apply LOTO to the Cabinet XXX2-2 battery breaker.</v>
      </c>
      <c r="E77" s="183" t="s">
        <v>1464</v>
      </c>
      <c r="F77" s="193"/>
      <c r="G77" s="193"/>
    </row>
    <row r="78" spans="1:7" ht="56.25" x14ac:dyDescent="0.25">
      <c r="A78" s="251">
        <f t="shared" si="1"/>
        <v>427</v>
      </c>
      <c r="B78" s="231" t="str">
        <f>Suite&amp;" Electrical Room "&amp;SWThree</f>
        <v>G104 Electrical Room XXX</v>
      </c>
      <c r="C78" s="183" t="str">
        <f>"UPS "&amp;SWThree&amp;" Battery Cabinets"</f>
        <v>UPS XXX Battery Cabinets</v>
      </c>
      <c r="D78" s="186" t="s">
        <v>1518</v>
      </c>
      <c r="E78" s="183" t="s">
        <v>1464</v>
      </c>
      <c r="F78" s="193"/>
      <c r="G78" s="193"/>
    </row>
    <row r="79" spans="1:7" ht="56.25" x14ac:dyDescent="0.25">
      <c r="A79" s="251">
        <f t="shared" si="1"/>
        <v>428</v>
      </c>
      <c r="B79" s="231" t="str">
        <f>Suite&amp;" Electrical Room "&amp;SWThree</f>
        <v>G104 Electrical Room XXX</v>
      </c>
      <c r="C79" s="183" t="str">
        <f>"UPS "&amp;SWThree&amp;" Battery Cabinets"</f>
        <v>UPS XXX Battery Cabinets</v>
      </c>
      <c r="D79" s="186" t="str" cm="1">
        <f t="array" ref="D79">"OPEN the Cabinet " &amp; SWThree &amp; "2-3 battery breaker."</f>
        <v>OPEN the Cabinet XXX2-3 battery breaker.</v>
      </c>
      <c r="E79" s="183" t="s">
        <v>1464</v>
      </c>
      <c r="F79" s="193"/>
      <c r="G79" s="193"/>
    </row>
    <row r="80" spans="1:7" ht="56.25" x14ac:dyDescent="0.25">
      <c r="A80" s="251">
        <f t="shared" si="1"/>
        <v>429</v>
      </c>
      <c r="B80" s="231" t="str">
        <f>Suite&amp;" Electrical Room "&amp;SWThree</f>
        <v>G104 Electrical Room XXX</v>
      </c>
      <c r="C80" s="183" t="str">
        <f>"UPS "&amp;SWThree&amp;" Battery Cabinets"</f>
        <v>UPS XXX Battery Cabinets</v>
      </c>
      <c r="D80" s="186" t="str" cm="1">
        <f t="array" ref="D80">"Apply LOTO to the Cabinet " &amp; SWThree &amp; "2-3 battery breaker."</f>
        <v>Apply LOTO to the Cabinet XXX2-3 battery breaker.</v>
      </c>
      <c r="E80" s="183" t="s">
        <v>1464</v>
      </c>
      <c r="F80" s="193"/>
      <c r="G80" s="193"/>
    </row>
    <row r="81" spans="1:7" ht="56.25" x14ac:dyDescent="0.25">
      <c r="A81" s="251">
        <f t="shared" si="1"/>
        <v>430</v>
      </c>
      <c r="B81" s="231" t="str">
        <f>Suite&amp;" Electrical Room "&amp;SWThree</f>
        <v>G104 Electrical Room XXX</v>
      </c>
      <c r="C81" s="183" t="str">
        <f>"UPS "&amp;SWThree&amp;" Battery Cabinets"</f>
        <v>UPS XXX Battery Cabinets</v>
      </c>
      <c r="D81" s="186" t="s">
        <v>1518</v>
      </c>
      <c r="E81" s="183" t="s">
        <v>1464</v>
      </c>
      <c r="F81" s="193"/>
      <c r="G81" s="193"/>
    </row>
    <row r="82" spans="1:7" ht="37.5" x14ac:dyDescent="0.25">
      <c r="A82" s="251">
        <f t="shared" si="1"/>
        <v>431</v>
      </c>
      <c r="B82" s="231" t="str">
        <f>Suite&amp;" Electrical Room "&amp;SWThree</f>
        <v>G104 Electrical Room XXX</v>
      </c>
      <c r="C82" s="183" t="str">
        <f>"UPS "&amp;SWThree&amp;"1"</f>
        <v>UPS XXX1</v>
      </c>
      <c r="D82" s="233" t="s">
        <v>1754</v>
      </c>
      <c r="E82" s="183" t="s">
        <v>1464</v>
      </c>
      <c r="F82" s="193"/>
      <c r="G82" s="193"/>
    </row>
    <row r="83" spans="1:7" ht="37.5" x14ac:dyDescent="0.25">
      <c r="A83" s="251">
        <f t="shared" si="1"/>
        <v>432</v>
      </c>
      <c r="B83" s="231" t="str">
        <f>Suite&amp;" Electrical Room "&amp;SWThree</f>
        <v>G104 Electrical Room XXX</v>
      </c>
      <c r="C83" s="183" t="str">
        <f>"UPS "&amp;SWThree&amp;"2"</f>
        <v>UPS XXX2</v>
      </c>
      <c r="D83" s="233" t="s">
        <v>1754</v>
      </c>
      <c r="E83" s="183" t="s">
        <v>1464</v>
      </c>
      <c r="F83" s="193"/>
      <c r="G83" s="193"/>
    </row>
    <row r="84" spans="1:7" ht="37.5" x14ac:dyDescent="0.25">
      <c r="A84" s="251">
        <f t="shared" si="1"/>
        <v>433</v>
      </c>
      <c r="B84" s="231" t="str">
        <f>Suite&amp;" Electrical Room "&amp;SWThree</f>
        <v>G104 Electrical Room XXX</v>
      </c>
      <c r="C84" s="183" t="str">
        <f>"SCC "&amp;SWThree</f>
        <v>SCC XXX</v>
      </c>
      <c r="D84" s="233" t="s">
        <v>1755</v>
      </c>
      <c r="E84" s="183" t="s">
        <v>1464</v>
      </c>
      <c r="F84" s="193"/>
      <c r="G84" s="193"/>
    </row>
    <row r="85" spans="1:7" ht="37.5" x14ac:dyDescent="0.25">
      <c r="A85" s="251">
        <f t="shared" si="1"/>
        <v>434</v>
      </c>
      <c r="B85" s="231" t="str">
        <f>Suite&amp;" Electrical Room "&amp;SWThree</f>
        <v>G104 Electrical Room XXX</v>
      </c>
      <c r="C85" s="183" t="str">
        <f>"SCC "&amp;SWThree</f>
        <v>SCC XXX</v>
      </c>
      <c r="D85" s="233" t="s">
        <v>1756</v>
      </c>
      <c r="E85" s="183" t="s">
        <v>1464</v>
      </c>
      <c r="F85" s="193"/>
      <c r="G85" s="193"/>
    </row>
    <row r="86" spans="1:7" ht="37.5" x14ac:dyDescent="0.25">
      <c r="A86" s="251">
        <f t="shared" si="1"/>
        <v>435</v>
      </c>
      <c r="B86" s="231" t="str">
        <f>Suite&amp;" Electrical Room "&amp;SWThree</f>
        <v>G104 Electrical Room XXX</v>
      </c>
      <c r="C86" s="183" t="str">
        <f>"SCC "&amp;SWThree</f>
        <v>SCC XXX</v>
      </c>
      <c r="D86" s="233" t="s">
        <v>1757</v>
      </c>
      <c r="E86" s="183" t="s">
        <v>1464</v>
      </c>
      <c r="F86" s="193"/>
      <c r="G86" s="193"/>
    </row>
    <row r="87" spans="1:7" ht="37.5" x14ac:dyDescent="0.25">
      <c r="A87" s="251">
        <f t="shared" si="1"/>
        <v>436</v>
      </c>
      <c r="B87" s="231" t="str">
        <f>Suite&amp;" Electrical Room "&amp;SWThree</f>
        <v>G104 Electrical Room XXX</v>
      </c>
      <c r="C87" s="183" t="str">
        <f>"SW"&amp;SWThree</f>
        <v>SWXXX</v>
      </c>
      <c r="D87" s="233" t="s">
        <v>1758</v>
      </c>
      <c r="E87" s="183" t="s">
        <v>1464</v>
      </c>
      <c r="F87" s="193"/>
      <c r="G87" s="193"/>
    </row>
    <row r="88" spans="1:7" ht="37.5" x14ac:dyDescent="0.25">
      <c r="A88" s="251">
        <f t="shared" si="1"/>
        <v>437</v>
      </c>
      <c r="B88" s="231" t="str">
        <f>Suite&amp;" Electrical Room "&amp;SWThree</f>
        <v>G104 Electrical Room XXX</v>
      </c>
      <c r="C88" s="183" t="str">
        <f>"SW"&amp;SWThree</f>
        <v>SWXXX</v>
      </c>
      <c r="D88" s="186" t="str" cm="1">
        <f t="array" ref="D88">"OPEN breaker UPS-" &amp; SWThree &amp; "1."</f>
        <v>OPEN breaker UPS-XXX1.</v>
      </c>
      <c r="E88" s="183" t="s">
        <v>1464</v>
      </c>
      <c r="F88" s="193"/>
      <c r="G88" s="193"/>
    </row>
    <row r="89" spans="1:7" ht="37.5" x14ac:dyDescent="0.25">
      <c r="A89" s="251">
        <f t="shared" si="1"/>
        <v>438</v>
      </c>
      <c r="B89" s="231" t="str">
        <f>Suite&amp;" Electrical Room "&amp;SWThree</f>
        <v>G104 Electrical Room XXX</v>
      </c>
      <c r="C89" s="183" t="str">
        <f>"SW"&amp;SWThree</f>
        <v>SWXXX</v>
      </c>
      <c r="D89" s="186" t="str" cm="1">
        <f t="array" ref="D89">"Apply LOTO to breaker UPS-" &amp; SWThree &amp; "1."</f>
        <v>Apply LOTO to breaker UPS-XXX1.</v>
      </c>
      <c r="E89" s="183" t="s">
        <v>1464</v>
      </c>
      <c r="F89" s="193"/>
      <c r="G89" s="193"/>
    </row>
    <row r="90" spans="1:7" ht="37.5" x14ac:dyDescent="0.25">
      <c r="A90" s="251">
        <f t="shared" si="1"/>
        <v>439</v>
      </c>
      <c r="B90" s="231" t="str">
        <f>Suite&amp;" Electrical Room "&amp;SWThree</f>
        <v>G104 Electrical Room XXX</v>
      </c>
      <c r="C90" s="183" t="str">
        <f>"SW"&amp;SWThree</f>
        <v>SWXXX</v>
      </c>
      <c r="D90" s="186" t="s">
        <v>1518</v>
      </c>
      <c r="E90" s="183" t="s">
        <v>1464</v>
      </c>
      <c r="F90" s="193"/>
      <c r="G90" s="193"/>
    </row>
    <row r="91" spans="1:7" ht="37.5" x14ac:dyDescent="0.25">
      <c r="A91" s="251">
        <f t="shared" si="1"/>
        <v>440</v>
      </c>
      <c r="B91" s="231" t="str">
        <f>Suite&amp;" Electrical Room "&amp;SWThree</f>
        <v>G104 Electrical Room XXX</v>
      </c>
      <c r="C91" s="183" t="str">
        <f>"SW"&amp;SWThree</f>
        <v>SWXXX</v>
      </c>
      <c r="D91" s="186" t="str" cm="1">
        <f t="array" ref="D91">"OPEN breaker UPS-" &amp; SWThree &amp; "2."</f>
        <v>OPEN breaker UPS-XXX2.</v>
      </c>
      <c r="E91" s="183" t="s">
        <v>1464</v>
      </c>
      <c r="F91" s="193"/>
      <c r="G91" s="193"/>
    </row>
    <row r="92" spans="1:7" ht="37.5" x14ac:dyDescent="0.25">
      <c r="A92" s="251">
        <f t="shared" si="1"/>
        <v>441</v>
      </c>
      <c r="B92" s="231" t="str">
        <f>Suite&amp;" Electrical Room "&amp;SWThree</f>
        <v>G104 Electrical Room XXX</v>
      </c>
      <c r="C92" s="183" t="str">
        <f>"SW"&amp;SWThree</f>
        <v>SWXXX</v>
      </c>
      <c r="D92" s="186" t="str" cm="1">
        <f t="array" ref="D92">"Apply LOTO to breaker UPS-" &amp; SWThree &amp; "2."</f>
        <v>Apply LOTO to breaker UPS-XXX2.</v>
      </c>
      <c r="E92" s="183" t="s">
        <v>1464</v>
      </c>
      <c r="F92" s="193"/>
      <c r="G92" s="193"/>
    </row>
    <row r="93" spans="1:7" ht="37.5" x14ac:dyDescent="0.25">
      <c r="A93" s="251">
        <f t="shared" si="1"/>
        <v>442</v>
      </c>
      <c r="B93" s="231" t="str">
        <f>Suite&amp;" Electrical Room "&amp;SWThree</f>
        <v>G104 Electrical Room XXX</v>
      </c>
      <c r="C93" s="183" t="str">
        <f>"SW"&amp;SWThree</f>
        <v>SWXXX</v>
      </c>
      <c r="D93" s="186" t="s">
        <v>1518</v>
      </c>
      <c r="E93" s="183" t="s">
        <v>1464</v>
      </c>
      <c r="F93" s="193"/>
      <c r="G93" s="193"/>
    </row>
    <row r="94" spans="1:7" ht="37.5" x14ac:dyDescent="0.25">
      <c r="A94" s="251">
        <f t="shared" si="1"/>
        <v>443</v>
      </c>
      <c r="B94" s="231" t="str">
        <f>Suite&amp;" Electrical Room "&amp;SWThree</f>
        <v>G104 Electrical Room XXX</v>
      </c>
      <c r="C94" s="183" t="str">
        <f>"SW"&amp;SWThree</f>
        <v>SWXXX</v>
      </c>
      <c r="D94" s="186" t="str" cm="1">
        <f t="array" ref="D94">"OPEN breaker SCC-" &amp; SWThree &amp; "."</f>
        <v>OPEN breaker SCC-XXX.</v>
      </c>
      <c r="E94" s="183" t="s">
        <v>1464</v>
      </c>
      <c r="F94" s="193"/>
      <c r="G94" s="193"/>
    </row>
    <row r="95" spans="1:7" ht="37.5" x14ac:dyDescent="0.25">
      <c r="A95" s="251">
        <f t="shared" si="1"/>
        <v>444</v>
      </c>
      <c r="B95" s="231" t="str">
        <f>Suite&amp;" Electrical Room "&amp;SWThree</f>
        <v>G104 Electrical Room XXX</v>
      </c>
      <c r="C95" s="183" t="str">
        <f>"SW"&amp;SWThree</f>
        <v>SWXXX</v>
      </c>
      <c r="D95" s="186" t="str" cm="1">
        <f t="array" ref="D95">"Apply LOTO to breaker SCC-" &amp; SWThree &amp; "."</f>
        <v>Apply LOTO to breaker SCC-XXX.</v>
      </c>
      <c r="E95" s="183" t="s">
        <v>1464</v>
      </c>
      <c r="F95" s="193"/>
      <c r="G95" s="193"/>
    </row>
    <row r="96" spans="1:7" ht="37.5" x14ac:dyDescent="0.25">
      <c r="A96" s="251">
        <f t="shared" si="1"/>
        <v>445</v>
      </c>
      <c r="B96" s="231" t="str">
        <f>Suite&amp;" Electrical Room "&amp;SWThree</f>
        <v>G104 Electrical Room XXX</v>
      </c>
      <c r="C96" s="183" t="str">
        <f>"SW"&amp;SWThree</f>
        <v>SWXXX</v>
      </c>
      <c r="D96" s="186" t="s">
        <v>1518</v>
      </c>
      <c r="E96" s="183" t="s">
        <v>1464</v>
      </c>
      <c r="F96" s="193"/>
      <c r="G96" s="193"/>
    </row>
    <row r="97" spans="1:7" ht="37.5" x14ac:dyDescent="0.25">
      <c r="A97" s="251">
        <f t="shared" si="1"/>
        <v>446</v>
      </c>
      <c r="B97" s="231" t="str">
        <f>Suite&amp;" Electrical Room "&amp;SWThree</f>
        <v>G104 Electrical Room XXX</v>
      </c>
      <c r="C97" s="183" t="str">
        <f>"SW"&amp;SWThree</f>
        <v>SWXXX</v>
      </c>
      <c r="D97" s="233" t="str" cm="1">
        <f t="array" ref="D97">"UPS SYSTEM " &amp; SWThree &amp; " is now completely offline. Critical Customer Load remains on Maintenance Bypass Source."</f>
        <v>UPS SYSTEM XXX is now completely offline. Critical Customer Load remains on Maintenance Bypass Source.</v>
      </c>
      <c r="E97" s="183" t="s">
        <v>1464</v>
      </c>
      <c r="F97" s="193"/>
      <c r="G97" s="193"/>
    </row>
    <row r="98" spans="1:7" ht="37.5" x14ac:dyDescent="0.25">
      <c r="A98" s="251">
        <f t="shared" si="1"/>
        <v>447</v>
      </c>
      <c r="B98" s="231" t="str">
        <f>Suite&amp;" Electrical Room "&amp;SWThree</f>
        <v>G104 Electrical Room XXX</v>
      </c>
      <c r="C98" s="183" t="str">
        <f>"SW"&amp;SWThree</f>
        <v>SWXXX</v>
      </c>
      <c r="D98" s="233" t="s">
        <v>1584</v>
      </c>
      <c r="E98" s="183" t="s">
        <v>1464</v>
      </c>
      <c r="F98" s="193"/>
      <c r="G98" s="193"/>
    </row>
    <row r="99" spans="1:7" x14ac:dyDescent="0.25">
      <c r="A99" s="251">
        <f t="shared" si="1"/>
        <v>448</v>
      </c>
      <c r="B99" s="711" t="str" cm="1">
        <f t="array" ref="B99">"Restart UPS System " &amp; SWThree</f>
        <v>Restart UPS System XXX</v>
      </c>
      <c r="C99" s="711"/>
      <c r="D99" s="711"/>
      <c r="E99" s="711"/>
      <c r="F99" s="711"/>
      <c r="G99" s="711"/>
    </row>
    <row r="100" spans="1:7" ht="37.5" x14ac:dyDescent="0.25">
      <c r="A100" s="251">
        <f t="shared" si="1"/>
        <v>449</v>
      </c>
      <c r="B100" s="231" t="str">
        <f>Suite&amp;" Electrical Room "&amp;SWThree</f>
        <v>G104 Electrical Room XXX</v>
      </c>
      <c r="C100" s="183" t="str">
        <f>"UPS "&amp;SWThree</f>
        <v>UPS XXX</v>
      </c>
      <c r="D100" s="233" t="s">
        <v>1585</v>
      </c>
      <c r="E100" s="183" t="s">
        <v>1464</v>
      </c>
      <c r="F100" s="193"/>
      <c r="G100" s="193"/>
    </row>
    <row r="101" spans="1:7" ht="37.5" x14ac:dyDescent="0.25">
      <c r="A101" s="251">
        <f t="shared" si="1"/>
        <v>450</v>
      </c>
      <c r="B101" s="231" t="str">
        <f>Suite&amp;" Electrical Room "&amp;SWThree</f>
        <v>G104 Electrical Room XXX</v>
      </c>
      <c r="C101" s="183" t="str">
        <f>"UPS "&amp;SWThree</f>
        <v>UPS XXX</v>
      </c>
      <c r="D101" s="252" t="str" cm="1">
        <f t="array" ref="D101">"By my signature below I certify that UPS-" &amp; SWThree &amp; " is ready to be returned to service."</f>
        <v>By my signature below I certify that UPS-XXX is ready to be returned to service.</v>
      </c>
      <c r="E101" s="183" t="s">
        <v>1529</v>
      </c>
      <c r="F101" s="193"/>
      <c r="G101" s="193"/>
    </row>
    <row r="102" spans="1:7" ht="37.5" x14ac:dyDescent="0.25">
      <c r="A102" s="251">
        <f t="shared" si="1"/>
        <v>451</v>
      </c>
      <c r="B102" s="231" t="str">
        <f>Suite&amp;" Electrical Room "&amp;SWThree</f>
        <v>G104 Electrical Room XXX</v>
      </c>
      <c r="C102" s="183" t="str">
        <f>"UPS "&amp;SWThree</f>
        <v>UPS XXX</v>
      </c>
      <c r="D102" s="184" t="s">
        <v>1586</v>
      </c>
      <c r="E102" s="183" t="s">
        <v>1529</v>
      </c>
      <c r="F102" s="193"/>
      <c r="G102" s="193"/>
    </row>
    <row r="103" spans="1:7" ht="37.5" x14ac:dyDescent="0.25">
      <c r="A103" s="251">
        <f t="shared" si="1"/>
        <v>452</v>
      </c>
      <c r="B103" s="231" t="str">
        <f>Suite&amp;" Electrical Room "&amp;SWThree</f>
        <v>G104 Electrical Room XXX</v>
      </c>
      <c r="C103" s="183" t="str">
        <f>"UP"&amp;SWThree</f>
        <v>UPXXX</v>
      </c>
      <c r="D103" s="233" t="str" cm="1">
        <f t="array" ref="D103">"NOTATE the kW reading at UP" &amp; SWThree &amp; " Critical Bus Panel Meter: _________"</f>
        <v>NOTATE the kW reading at UPXXX Critical Bus Panel Meter: _________</v>
      </c>
      <c r="E103" s="183" t="s">
        <v>1464</v>
      </c>
      <c r="F103" s="193"/>
      <c r="G103" s="193"/>
    </row>
    <row r="104" spans="1:7" ht="37.5" x14ac:dyDescent="0.25">
      <c r="A104" s="251">
        <f t="shared" si="1"/>
        <v>453</v>
      </c>
      <c r="B104" s="231" t="str">
        <f>Suite&amp;" Electrical Room "&amp;SWThree</f>
        <v>G104 Electrical Room XXX</v>
      </c>
      <c r="C104" s="183" t="str">
        <f>"UP"&amp;SWThree</f>
        <v>UPXXX</v>
      </c>
      <c r="D104" s="233" t="str">
        <f>"VERIFY the readings in step " &amp; A59 &amp; " and " &amp; A103 &amp; " are within 3% of each other. (new kW divided by original kW must be ≤1.03 and ≥0.97)."</f>
        <v>VERIFY the readings in step 408 and 452 are within 3% of each other. (new kW divided by original kW must be ≤1.03 and ≥0.97).</v>
      </c>
      <c r="E104" s="183" t="s">
        <v>1464</v>
      </c>
      <c r="F104" s="193"/>
      <c r="G104" s="193"/>
    </row>
    <row r="105" spans="1:7" ht="56.25" x14ac:dyDescent="0.25">
      <c r="A105" s="251">
        <f t="shared" si="1"/>
        <v>454</v>
      </c>
      <c r="B105" s="231" t="str">
        <f>Suite&amp;" Electrical Room "&amp;SWThree</f>
        <v>G104 Electrical Room XXX</v>
      </c>
      <c r="C105" s="183" t="str">
        <f>"UPS "&amp;SWThree&amp;" Battery Cabinets"</f>
        <v>UPS XXX Battery Cabinets</v>
      </c>
      <c r="D105" s="186" t="str" cm="1">
        <f t="array" ref="D105">"Remove LOTO from the Cabinet " &amp; SWThree &amp; "1-1 battery breaker."</f>
        <v>Remove LOTO from the Cabinet XXX1-1 battery breaker.</v>
      </c>
      <c r="E105" s="183" t="s">
        <v>1464</v>
      </c>
      <c r="F105" s="193"/>
      <c r="G105" s="193"/>
    </row>
    <row r="106" spans="1:7" ht="56.25" x14ac:dyDescent="0.25">
      <c r="A106" s="251">
        <f t="shared" si="1"/>
        <v>455</v>
      </c>
      <c r="B106" s="231" t="str">
        <f>Suite&amp;" Electrical Room "&amp;SWThree</f>
        <v>G104 Electrical Room XXX</v>
      </c>
      <c r="C106" s="183" t="str">
        <f>"UPS "&amp;SWThree&amp;" Battery Cabinets"</f>
        <v>UPS XXX Battery Cabinets</v>
      </c>
      <c r="D106" s="186" t="s">
        <v>1518</v>
      </c>
      <c r="E106" s="183" t="s">
        <v>1464</v>
      </c>
      <c r="F106" s="193"/>
      <c r="G106" s="193"/>
    </row>
    <row r="107" spans="1:7" ht="56.25" x14ac:dyDescent="0.25">
      <c r="A107" s="251">
        <f t="shared" si="1"/>
        <v>456</v>
      </c>
      <c r="B107" s="231" t="str">
        <f>Suite&amp;" Electrical Room "&amp;SWThree</f>
        <v>G104 Electrical Room XXX</v>
      </c>
      <c r="C107" s="183" t="str">
        <f>"UPS "&amp;SWThree&amp;" Battery Cabinets"</f>
        <v>UPS XXX Battery Cabinets</v>
      </c>
      <c r="D107" s="186" t="str" cm="1">
        <f t="array" ref="D107">"Remove LOTO from the Cabinet " &amp; SWThree &amp; "1-2 battery breaker."</f>
        <v>Remove LOTO from the Cabinet XXX1-2 battery breaker.</v>
      </c>
      <c r="E107" s="183" t="s">
        <v>1464</v>
      </c>
      <c r="F107" s="193"/>
      <c r="G107" s="193"/>
    </row>
    <row r="108" spans="1:7" ht="56.25" x14ac:dyDescent="0.25">
      <c r="A108" s="251">
        <f t="shared" si="1"/>
        <v>457</v>
      </c>
      <c r="B108" s="231" t="str">
        <f>Suite&amp;" Electrical Room "&amp;SWThree</f>
        <v>G104 Electrical Room XXX</v>
      </c>
      <c r="C108" s="183" t="str">
        <f>"UPS "&amp;SWThree&amp;" Battery Cabinets"</f>
        <v>UPS XXX Battery Cabinets</v>
      </c>
      <c r="D108" s="186" t="s">
        <v>1518</v>
      </c>
      <c r="E108" s="183" t="s">
        <v>1464</v>
      </c>
      <c r="F108" s="193"/>
      <c r="G108" s="193"/>
    </row>
    <row r="109" spans="1:7" ht="56.25" x14ac:dyDescent="0.25">
      <c r="A109" s="251">
        <f t="shared" si="1"/>
        <v>458</v>
      </c>
      <c r="B109" s="231" t="str">
        <f>Suite&amp;" Electrical Room "&amp;SWThree</f>
        <v>G104 Electrical Room XXX</v>
      </c>
      <c r="C109" s="183" t="str">
        <f>"UPS "&amp;SWThree&amp;" Battery Cabinets"</f>
        <v>UPS XXX Battery Cabinets</v>
      </c>
      <c r="D109" s="186" t="str" cm="1">
        <f t="array" ref="D109">"Remove LOTO from the Cabinet " &amp; SWThree &amp; "1-3 battery breaker."</f>
        <v>Remove LOTO from the Cabinet XXX1-3 battery breaker.</v>
      </c>
      <c r="E109" s="183" t="s">
        <v>1464</v>
      </c>
      <c r="F109" s="193"/>
      <c r="G109" s="193"/>
    </row>
    <row r="110" spans="1:7" ht="56.25" x14ac:dyDescent="0.25">
      <c r="A110" s="251">
        <f t="shared" si="1"/>
        <v>459</v>
      </c>
      <c r="B110" s="231" t="str">
        <f>Suite&amp;" Electrical Room "&amp;SWThree</f>
        <v>G104 Electrical Room XXX</v>
      </c>
      <c r="C110" s="183" t="str">
        <f>"UPS "&amp;SWThree&amp;" Battery Cabinets"</f>
        <v>UPS XXX Battery Cabinets</v>
      </c>
      <c r="D110" s="186" t="s">
        <v>1518</v>
      </c>
      <c r="E110" s="183" t="s">
        <v>1464</v>
      </c>
      <c r="F110" s="193"/>
      <c r="G110" s="193"/>
    </row>
    <row r="111" spans="1:7" ht="56.25" x14ac:dyDescent="0.25">
      <c r="A111" s="251">
        <f t="shared" si="1"/>
        <v>460</v>
      </c>
      <c r="B111" s="231" t="str">
        <f>Suite&amp;" Electrical Room "&amp;SWThree</f>
        <v>G104 Electrical Room XXX</v>
      </c>
      <c r="C111" s="183" t="str">
        <f>"UPS "&amp;SWThree&amp;" Battery Cabinets"</f>
        <v>UPS XXX Battery Cabinets</v>
      </c>
      <c r="D111" s="186" t="str" cm="1">
        <f t="array" ref="D111">"Remove LOTO from the Cabinet " &amp; SWThree &amp; "2-1 battery breaker."</f>
        <v>Remove LOTO from the Cabinet XXX2-1 battery breaker.</v>
      </c>
      <c r="E111" s="183" t="s">
        <v>1464</v>
      </c>
      <c r="F111" s="193"/>
      <c r="G111" s="193"/>
    </row>
    <row r="112" spans="1:7" ht="56.25" x14ac:dyDescent="0.25">
      <c r="A112" s="251">
        <f t="shared" si="1"/>
        <v>461</v>
      </c>
      <c r="B112" s="231" t="str">
        <f>Suite&amp;" Electrical Room "&amp;SWThree</f>
        <v>G104 Electrical Room XXX</v>
      </c>
      <c r="C112" s="183" t="str">
        <f>"UPS "&amp;SWThree&amp;" Battery Cabinets"</f>
        <v>UPS XXX Battery Cabinets</v>
      </c>
      <c r="D112" s="186" t="s">
        <v>1518</v>
      </c>
      <c r="E112" s="183" t="s">
        <v>1464</v>
      </c>
      <c r="F112" s="193"/>
      <c r="G112" s="193"/>
    </row>
    <row r="113" spans="1:7" ht="56.25" x14ac:dyDescent="0.25">
      <c r="A113" s="251">
        <f t="shared" si="1"/>
        <v>462</v>
      </c>
      <c r="B113" s="231" t="str">
        <f>Suite&amp;" Electrical Room "&amp;SWThree</f>
        <v>G104 Electrical Room XXX</v>
      </c>
      <c r="C113" s="183" t="str">
        <f>"UPS "&amp;SWThree&amp;" Battery Cabinets"</f>
        <v>UPS XXX Battery Cabinets</v>
      </c>
      <c r="D113" s="186" t="str" cm="1">
        <f t="array" ref="D113">"Remove LOTO from the Cabinet " &amp; SWThree &amp; "2-2 battery breaker."</f>
        <v>Remove LOTO from the Cabinet XXX2-2 battery breaker.</v>
      </c>
      <c r="E113" s="183" t="s">
        <v>1464</v>
      </c>
      <c r="F113" s="193"/>
      <c r="G113" s="193"/>
    </row>
    <row r="114" spans="1:7" ht="56.25" x14ac:dyDescent="0.25">
      <c r="A114" s="251">
        <f t="shared" si="1"/>
        <v>463</v>
      </c>
      <c r="B114" s="231" t="str">
        <f>Suite&amp;" Electrical Room "&amp;SWThree</f>
        <v>G104 Electrical Room XXX</v>
      </c>
      <c r="C114" s="183" t="str">
        <f>"UPS "&amp;SWThree&amp;" Battery Cabinets"</f>
        <v>UPS XXX Battery Cabinets</v>
      </c>
      <c r="D114" s="186" t="s">
        <v>1518</v>
      </c>
      <c r="E114" s="183" t="s">
        <v>1464</v>
      </c>
      <c r="F114" s="193"/>
      <c r="G114" s="193"/>
    </row>
    <row r="115" spans="1:7" ht="56.25" x14ac:dyDescent="0.25">
      <c r="A115" s="251">
        <f t="shared" si="1"/>
        <v>464</v>
      </c>
      <c r="B115" s="231" t="str">
        <f>Suite&amp;" Electrical Room "&amp;SWThree</f>
        <v>G104 Electrical Room XXX</v>
      </c>
      <c r="C115" s="183" t="str">
        <f>"UPS "&amp;SWThree&amp;" Battery Cabinets"</f>
        <v>UPS XXX Battery Cabinets</v>
      </c>
      <c r="D115" s="186" t="str" cm="1">
        <f t="array" ref="D115">"Remove LOTO from the Cabinet " &amp; SWThree &amp; "2-3 battery breaker."</f>
        <v>Remove LOTO from the Cabinet XXX2-3 battery breaker.</v>
      </c>
      <c r="E115" s="183" t="s">
        <v>1464</v>
      </c>
      <c r="F115" s="193"/>
      <c r="G115" s="193"/>
    </row>
    <row r="116" spans="1:7" ht="56.25" x14ac:dyDescent="0.25">
      <c r="A116" s="251">
        <f t="shared" si="1"/>
        <v>465</v>
      </c>
      <c r="B116" s="231" t="str">
        <f>Suite&amp;" Electrical Room "&amp;SWThree</f>
        <v>G104 Electrical Room XXX</v>
      </c>
      <c r="C116" s="183" t="str">
        <f>"UPS "&amp;SWThree&amp;" Battery Cabinets"</f>
        <v>UPS XXX Battery Cabinets</v>
      </c>
      <c r="D116" s="186" t="s">
        <v>1518</v>
      </c>
      <c r="E116" s="183" t="s">
        <v>1464</v>
      </c>
      <c r="F116" s="193"/>
      <c r="G116" s="193"/>
    </row>
    <row r="117" spans="1:7" ht="37.5" x14ac:dyDescent="0.25">
      <c r="A117" s="251">
        <f t="shared" si="1"/>
        <v>466</v>
      </c>
      <c r="B117" s="231" t="str">
        <f>Suite&amp;" Electrical Room "&amp;SWThree</f>
        <v>G104 Electrical Room XXX</v>
      </c>
      <c r="C117" s="183" t="str">
        <f>"UP"&amp;SWThree</f>
        <v>UPXXX</v>
      </c>
      <c r="D117" s="233" t="str" cm="1">
        <f t="array" ref="D117">"Remove LOTO from breaker MCBUP" &amp; SWThree &amp; "."</f>
        <v>Remove LOTO from breaker MCBUPXXX.</v>
      </c>
      <c r="E117" s="183" t="s">
        <v>1464</v>
      </c>
      <c r="F117" s="193"/>
      <c r="G117" s="193"/>
    </row>
    <row r="118" spans="1:7" ht="37.5" x14ac:dyDescent="0.25">
      <c r="A118" s="251">
        <f t="shared" si="1"/>
        <v>467</v>
      </c>
      <c r="B118" s="231" t="str">
        <f>Suite&amp;" Electrical Room "&amp;SWThree</f>
        <v>G104 Electrical Room XXX</v>
      </c>
      <c r="C118" s="183" t="str">
        <f>"UP"&amp;SWThree</f>
        <v>UPXXX</v>
      </c>
      <c r="D118" s="186" t="s">
        <v>1518</v>
      </c>
      <c r="E118" s="183" t="s">
        <v>1464</v>
      </c>
      <c r="F118" s="193"/>
      <c r="G118" s="193"/>
    </row>
    <row r="119" spans="1:7" ht="37.5" x14ac:dyDescent="0.25">
      <c r="A119" s="251">
        <f t="shared" si="1"/>
        <v>468</v>
      </c>
      <c r="B119" s="231" t="str">
        <f>Suite&amp;" Electrical Room "&amp;SWThree</f>
        <v>G104 Electrical Room XXX</v>
      </c>
      <c r="C119" s="183" t="str">
        <f>"SW"&amp;SWThree</f>
        <v>SWXXX</v>
      </c>
      <c r="D119" s="186" t="str" cm="1">
        <f t="array" ref="D119">"Remove LOTO from breaker UPS-" &amp; SWThree &amp; "1."</f>
        <v>Remove LOTO from breaker UPS-XXX1.</v>
      </c>
      <c r="E119" s="183" t="s">
        <v>1464</v>
      </c>
      <c r="F119" s="193"/>
      <c r="G119" s="193"/>
    </row>
    <row r="120" spans="1:7" ht="37.5" x14ac:dyDescent="0.25">
      <c r="A120" s="251">
        <f t="shared" si="1"/>
        <v>469</v>
      </c>
      <c r="B120" s="231" t="str">
        <f>Suite&amp;" Electrical Room "&amp;SWThree</f>
        <v>G104 Electrical Room XXX</v>
      </c>
      <c r="C120" s="183" t="str">
        <f>"SW"&amp;SWThree</f>
        <v>SWXXX</v>
      </c>
      <c r="D120" s="186" t="s">
        <v>1518</v>
      </c>
      <c r="E120" s="183" t="s">
        <v>1464</v>
      </c>
      <c r="F120" s="193"/>
      <c r="G120" s="193"/>
    </row>
    <row r="121" spans="1:7" ht="37.5" x14ac:dyDescent="0.25">
      <c r="A121" s="251">
        <f t="shared" si="1"/>
        <v>470</v>
      </c>
      <c r="B121" s="231" t="str">
        <f>Suite&amp;" Electrical Room "&amp;SWThree</f>
        <v>G104 Electrical Room XXX</v>
      </c>
      <c r="C121" s="183" t="str">
        <f>"SW"&amp;SWThree</f>
        <v>SWXXX</v>
      </c>
      <c r="D121" s="186" t="str" cm="1">
        <f t="array" ref="D121">"Remove LOTO from breaker UPS-" &amp; SWThree &amp; "2."</f>
        <v>Remove LOTO from breaker UPS-XXX2.</v>
      </c>
      <c r="E121" s="183" t="s">
        <v>1464</v>
      </c>
      <c r="F121" s="193"/>
      <c r="G121" s="193"/>
    </row>
    <row r="122" spans="1:7" ht="37.5" x14ac:dyDescent="0.25">
      <c r="A122" s="251">
        <f t="shared" si="1"/>
        <v>471</v>
      </c>
      <c r="B122" s="231" t="str">
        <f>Suite&amp;" Electrical Room "&amp;SWThree</f>
        <v>G104 Electrical Room XXX</v>
      </c>
      <c r="C122" s="183" t="str">
        <f>"SW"&amp;SWThree</f>
        <v>SWXXX</v>
      </c>
      <c r="D122" s="186" t="s">
        <v>1518</v>
      </c>
      <c r="E122" s="183" t="s">
        <v>1464</v>
      </c>
      <c r="F122" s="193"/>
      <c r="G122" s="193"/>
    </row>
    <row r="123" spans="1:7" ht="37.5" x14ac:dyDescent="0.25">
      <c r="A123" s="251">
        <f t="shared" si="1"/>
        <v>472</v>
      </c>
      <c r="B123" s="231" t="str">
        <f>Suite&amp;" Electrical Room "&amp;SWThree</f>
        <v>G104 Electrical Room XXX</v>
      </c>
      <c r="C123" s="183" t="str">
        <f>"SW"&amp;SWThree</f>
        <v>SWXXX</v>
      </c>
      <c r="D123" s="186" t="str" cm="1">
        <f t="array" ref="D123">"Remove LOTO from breaker SCC-" &amp; SWThree &amp; "."</f>
        <v>Remove LOTO from breaker SCC-XXX.</v>
      </c>
      <c r="E123" s="183" t="s">
        <v>1464</v>
      </c>
      <c r="F123" s="193"/>
      <c r="G123" s="193"/>
    </row>
    <row r="124" spans="1:7" ht="37.5" x14ac:dyDescent="0.25">
      <c r="A124" s="251">
        <f t="shared" si="1"/>
        <v>473</v>
      </c>
      <c r="B124" s="231" t="str">
        <f>Suite&amp;" Electrical Room "&amp;SWThree</f>
        <v>G104 Electrical Room XXX</v>
      </c>
      <c r="C124" s="183" t="str">
        <f>"SW"&amp;SWThree</f>
        <v>SWXXX</v>
      </c>
      <c r="D124" s="186" t="s">
        <v>1518</v>
      </c>
      <c r="E124" s="183" t="s">
        <v>1464</v>
      </c>
      <c r="F124" s="193"/>
      <c r="G124" s="193"/>
    </row>
    <row r="125" spans="1:7" ht="37.5" x14ac:dyDescent="0.25">
      <c r="A125" s="251">
        <f t="shared" si="1"/>
        <v>474</v>
      </c>
      <c r="B125" s="231" t="str">
        <f>Suite&amp;" Electrical Room "&amp;SWThree</f>
        <v>G104 Electrical Room XXX</v>
      </c>
      <c r="C125" s="183" t="str">
        <f>"SW"&amp;SWThree</f>
        <v>SWXXX</v>
      </c>
      <c r="D125" s="186" t="str" cm="1">
        <f t="array" ref="D125">"Close breaker UPS-" &amp; SWThree &amp; "1."</f>
        <v>Close breaker UPS-XXX1.</v>
      </c>
      <c r="E125" s="183" t="s">
        <v>1464</v>
      </c>
      <c r="F125" s="193"/>
      <c r="G125" s="193"/>
    </row>
    <row r="126" spans="1:7" ht="37.5" x14ac:dyDescent="0.25">
      <c r="A126" s="251">
        <f t="shared" si="1"/>
        <v>475</v>
      </c>
      <c r="B126" s="231" t="str">
        <f>Suite&amp;" Electrical Room "&amp;SWThree</f>
        <v>G104 Electrical Room XXX</v>
      </c>
      <c r="C126" s="183" t="str">
        <f>"SW"&amp;SWThree</f>
        <v>SWXXX</v>
      </c>
      <c r="D126" s="186" t="str" cm="1">
        <f t="array" ref="D126">"Close breaker UPS-" &amp; SWThree &amp; "2."</f>
        <v>Close breaker UPS-XXX2.</v>
      </c>
      <c r="E126" s="183" t="s">
        <v>1464</v>
      </c>
      <c r="F126" s="193"/>
      <c r="G126" s="193"/>
    </row>
    <row r="127" spans="1:7" ht="37.5" x14ac:dyDescent="0.25">
      <c r="A127" s="251">
        <f t="shared" si="1"/>
        <v>476</v>
      </c>
      <c r="B127" s="231" t="str">
        <f>Suite&amp;" Electrical Room "&amp;SWThree</f>
        <v>G104 Electrical Room XXX</v>
      </c>
      <c r="C127" s="183" t="str">
        <f>"SW"&amp;SWThree</f>
        <v>SWXXX</v>
      </c>
      <c r="D127" s="186" t="str" cm="1">
        <f t="array" ref="D127">"Close breaker SCC-" &amp; SWThree &amp; "."</f>
        <v>Close breaker SCC-XXX.</v>
      </c>
      <c r="E127" s="183" t="s">
        <v>1464</v>
      </c>
      <c r="F127" s="193"/>
      <c r="G127" s="193"/>
    </row>
    <row r="128" spans="1:7" ht="37.5" x14ac:dyDescent="0.25">
      <c r="A128" s="251">
        <f t="shared" si="1"/>
        <v>477</v>
      </c>
      <c r="B128" s="231" t="str">
        <f>Suite&amp;" Electrical Room "&amp;SWThree</f>
        <v>G104 Electrical Room XXX</v>
      </c>
      <c r="C128" s="183" t="str">
        <f>"SCC "&amp;SWThree</f>
        <v>SCC XXX</v>
      </c>
      <c r="D128" s="233" t="s">
        <v>1755</v>
      </c>
      <c r="E128" s="183" t="s">
        <v>1464</v>
      </c>
      <c r="F128" s="193"/>
      <c r="G128" s="193"/>
    </row>
    <row r="129" spans="1:7" ht="37.5" x14ac:dyDescent="0.25">
      <c r="A129" s="251">
        <f t="shared" si="1"/>
        <v>478</v>
      </c>
      <c r="B129" s="231" t="str">
        <f>Suite&amp;" Electrical Room "&amp;SWThree</f>
        <v>G104 Electrical Room XXX</v>
      </c>
      <c r="C129" s="183" t="str">
        <f>"SCC "&amp;SWThree</f>
        <v>SCC XXX</v>
      </c>
      <c r="D129" s="233" t="s">
        <v>1759</v>
      </c>
      <c r="E129" s="183" t="s">
        <v>1464</v>
      </c>
      <c r="F129" s="193"/>
      <c r="G129" s="193"/>
    </row>
    <row r="130" spans="1:7" ht="37.5" x14ac:dyDescent="0.25">
      <c r="A130" s="251">
        <f t="shared" si="1"/>
        <v>479</v>
      </c>
      <c r="B130" s="231" t="str">
        <f>Suite&amp;" Electrical Room "&amp;SWThree</f>
        <v>G104 Electrical Room XXX</v>
      </c>
      <c r="C130" s="183" t="str">
        <f>"SCC "&amp;SWThree</f>
        <v>SCC XXX</v>
      </c>
      <c r="D130" s="233" t="s">
        <v>1760</v>
      </c>
      <c r="E130" s="183" t="s">
        <v>1464</v>
      </c>
      <c r="F130" s="193"/>
      <c r="G130" s="193"/>
    </row>
    <row r="131" spans="1:7" ht="37.5" x14ac:dyDescent="0.25">
      <c r="A131" s="251">
        <f t="shared" si="1"/>
        <v>480</v>
      </c>
      <c r="B131" s="231" t="str">
        <f>Suite&amp;" Electrical Room "&amp;SWThree</f>
        <v>G104 Electrical Room XXX</v>
      </c>
      <c r="C131" s="183" t="str">
        <f>"SCC "&amp;SWThree</f>
        <v>SCC XXX</v>
      </c>
      <c r="D131" s="233" t="s">
        <v>1761</v>
      </c>
      <c r="E131" s="183" t="s">
        <v>1464</v>
      </c>
      <c r="F131" s="193"/>
      <c r="G131" s="193"/>
    </row>
    <row r="132" spans="1:7" ht="37.5" x14ac:dyDescent="0.25">
      <c r="A132" s="251">
        <f t="shared" si="1"/>
        <v>481</v>
      </c>
      <c r="B132" s="231" t="str">
        <f>Suite&amp;" Electrical Room "&amp;SWThree</f>
        <v>G104 Electrical Room XXX</v>
      </c>
      <c r="C132" s="183" t="str">
        <f>"UPS "&amp;SWThree&amp;"1"</f>
        <v>UPS XXX1</v>
      </c>
      <c r="D132" s="233" t="s">
        <v>1762</v>
      </c>
      <c r="E132" s="183" t="s">
        <v>1464</v>
      </c>
      <c r="F132" s="193"/>
      <c r="G132" s="193"/>
    </row>
    <row r="133" spans="1:7" ht="37.5" x14ac:dyDescent="0.25">
      <c r="A133" s="251">
        <f t="shared" si="1"/>
        <v>482</v>
      </c>
      <c r="B133" s="231" t="str">
        <f>Suite&amp;" Electrical Room "&amp;SWThree</f>
        <v>G104 Electrical Room XXX</v>
      </c>
      <c r="C133" s="183" t="str">
        <f>"UPS "&amp;SWThree&amp;"1"</f>
        <v>UPS XXX1</v>
      </c>
      <c r="D133" s="233" t="s">
        <v>1749</v>
      </c>
      <c r="E133" s="183" t="s">
        <v>1464</v>
      </c>
      <c r="F133" s="193"/>
      <c r="G133" s="193"/>
    </row>
    <row r="134" spans="1:7" ht="37.5" x14ac:dyDescent="0.25">
      <c r="A134" s="251">
        <f t="shared" si="1"/>
        <v>483</v>
      </c>
      <c r="B134" s="231" t="str">
        <f>Suite&amp;" Electrical Room "&amp;SWThree</f>
        <v>G104 Electrical Room XXX</v>
      </c>
      <c r="C134" s="183" t="str">
        <f>"UPS "&amp;SWThree&amp;"2"</f>
        <v>UPS XXX2</v>
      </c>
      <c r="D134" s="233" t="s">
        <v>1762</v>
      </c>
      <c r="E134" s="183" t="s">
        <v>1464</v>
      </c>
      <c r="F134" s="193"/>
      <c r="G134" s="193"/>
    </row>
    <row r="135" spans="1:7" ht="37.5" x14ac:dyDescent="0.25">
      <c r="A135" s="251">
        <f t="shared" si="1"/>
        <v>484</v>
      </c>
      <c r="B135" s="231" t="str">
        <f>Suite&amp;" Electrical Room "&amp;SWThree</f>
        <v>G104 Electrical Room XXX</v>
      </c>
      <c r="C135" s="183" t="str">
        <f>"UPS "&amp;SWThree&amp;"2"</f>
        <v>UPS XXX2</v>
      </c>
      <c r="D135" s="233" t="s">
        <v>1749</v>
      </c>
      <c r="E135" s="183" t="s">
        <v>1464</v>
      </c>
      <c r="F135" s="193"/>
      <c r="G135" s="193"/>
    </row>
    <row r="136" spans="1:7" ht="37.5" x14ac:dyDescent="0.25">
      <c r="A136" s="251">
        <f t="shared" si="1"/>
        <v>485</v>
      </c>
      <c r="B136" s="231" t="str">
        <f>Suite&amp;" Electrical Room "&amp;SWThree</f>
        <v>G104 Electrical Room XXX</v>
      </c>
      <c r="C136" s="183" t="str">
        <f>"SCC "&amp;SWThree</f>
        <v>SCC XXX</v>
      </c>
      <c r="D136" s="233" t="s">
        <v>1749</v>
      </c>
      <c r="E136" s="183" t="s">
        <v>1464</v>
      </c>
      <c r="F136" s="193"/>
      <c r="G136" s="193"/>
    </row>
    <row r="137" spans="1:7" ht="56.25" x14ac:dyDescent="0.25">
      <c r="A137" s="251">
        <f t="shared" si="1"/>
        <v>486</v>
      </c>
      <c r="B137" s="231" t="str">
        <f>Suite&amp;" Electrical Room "&amp;SWThree</f>
        <v>G104 Electrical Room XXX</v>
      </c>
      <c r="C137" s="183" t="str">
        <f>"UPS "&amp;SWThree&amp;" Battery Cabinets"</f>
        <v>UPS XXX Battery Cabinets</v>
      </c>
      <c r="D137" s="186" t="str" cm="1">
        <f t="array" ref="D137">"CLOSE the Cabinet " &amp; SWThree &amp; "1-1 battery breaker."</f>
        <v>CLOSE the Cabinet XXX1-1 battery breaker.</v>
      </c>
      <c r="E137" s="183" t="s">
        <v>1464</v>
      </c>
      <c r="F137" s="193"/>
      <c r="G137" s="193"/>
    </row>
    <row r="138" spans="1:7" ht="56.25" x14ac:dyDescent="0.25">
      <c r="A138" s="251">
        <f t="shared" ref="A138:A182" si="2">A137+1</f>
        <v>487</v>
      </c>
      <c r="B138" s="231" t="str">
        <f>Suite&amp;" Electrical Room "&amp;SWThree</f>
        <v>G104 Electrical Room XXX</v>
      </c>
      <c r="C138" s="183" t="str">
        <f>"UPS "&amp;SWThree&amp;" Battery Cabinets"</f>
        <v>UPS XXX Battery Cabinets</v>
      </c>
      <c r="D138" s="186" t="str" cm="1">
        <f t="array" ref="D138">"CLOSE the Cabinet " &amp; SWThree &amp; "1-2 battery breaker."</f>
        <v>CLOSE the Cabinet XXX1-2 battery breaker.</v>
      </c>
      <c r="E138" s="183" t="s">
        <v>1464</v>
      </c>
      <c r="F138" s="193"/>
      <c r="G138" s="193"/>
    </row>
    <row r="139" spans="1:7" ht="56.25" x14ac:dyDescent="0.25">
      <c r="A139" s="251">
        <f t="shared" si="2"/>
        <v>488</v>
      </c>
      <c r="B139" s="231" t="str">
        <f>Suite&amp;" Electrical Room "&amp;SWThree</f>
        <v>G104 Electrical Room XXX</v>
      </c>
      <c r="C139" s="183" t="str">
        <f>"UPS "&amp;SWThree&amp;" Battery Cabinets"</f>
        <v>UPS XXX Battery Cabinets</v>
      </c>
      <c r="D139" s="186" t="str" cm="1">
        <f t="array" ref="D139">"CLOSE the Cabinet " &amp; SWThree &amp; "1-3 battery breaker."</f>
        <v>CLOSE the Cabinet XXX1-3 battery breaker.</v>
      </c>
      <c r="E139" s="183" t="s">
        <v>1464</v>
      </c>
      <c r="F139" s="193"/>
      <c r="G139" s="193"/>
    </row>
    <row r="140" spans="1:7" ht="56.25" x14ac:dyDescent="0.25">
      <c r="A140" s="251">
        <f t="shared" si="2"/>
        <v>489</v>
      </c>
      <c r="B140" s="231" t="str">
        <f>Suite&amp;" Electrical Room "&amp;SWThree</f>
        <v>G104 Electrical Room XXX</v>
      </c>
      <c r="C140" s="183" t="str">
        <f>"UPS "&amp;SWThree&amp;" Battery Cabinets"</f>
        <v>UPS XXX Battery Cabinets</v>
      </c>
      <c r="D140" s="186" t="str" cm="1">
        <f t="array" ref="D140">"CLOSE the Cabinet " &amp; SWThree &amp; "2-1 battery breaker."</f>
        <v>CLOSE the Cabinet XXX2-1 battery breaker.</v>
      </c>
      <c r="E140" s="183" t="s">
        <v>1464</v>
      </c>
      <c r="F140" s="193"/>
      <c r="G140" s="193"/>
    </row>
    <row r="141" spans="1:7" ht="56.25" x14ac:dyDescent="0.25">
      <c r="A141" s="251">
        <f t="shared" si="2"/>
        <v>490</v>
      </c>
      <c r="B141" s="231" t="str">
        <f>Suite&amp;" Electrical Room "&amp;SWThree</f>
        <v>G104 Electrical Room XXX</v>
      </c>
      <c r="C141" s="183" t="str">
        <f>"UPS "&amp;SWThree&amp;" Battery Cabinets"</f>
        <v>UPS XXX Battery Cabinets</v>
      </c>
      <c r="D141" s="186" t="str" cm="1">
        <f t="array" ref="D141">"CLOSE the Cabinet " &amp; SWThree &amp; "2-2 battery breaker."</f>
        <v>CLOSE the Cabinet XXX2-2 battery breaker.</v>
      </c>
      <c r="E141" s="183" t="s">
        <v>1464</v>
      </c>
      <c r="F141" s="193"/>
      <c r="G141" s="193"/>
    </row>
    <row r="142" spans="1:7" ht="56.25" x14ac:dyDescent="0.25">
      <c r="A142" s="251">
        <f t="shared" si="2"/>
        <v>491</v>
      </c>
      <c r="B142" s="231" t="str">
        <f>Suite&amp;" Electrical Room "&amp;SWThree</f>
        <v>G104 Electrical Room XXX</v>
      </c>
      <c r="C142" s="183" t="str">
        <f>"UPS "&amp;SWThree&amp;" Battery Cabinets"</f>
        <v>UPS XXX Battery Cabinets</v>
      </c>
      <c r="D142" s="186" t="str" cm="1">
        <f t="array" ref="D142">"CLOSE the Cabinet " &amp; SWThree &amp; "2-3 battery breaker."</f>
        <v>CLOSE the Cabinet XXX2-3 battery breaker.</v>
      </c>
      <c r="E142" s="183" t="s">
        <v>1464</v>
      </c>
      <c r="F142" s="193"/>
      <c r="G142" s="193"/>
    </row>
    <row r="143" spans="1:7" ht="37.5" x14ac:dyDescent="0.25">
      <c r="A143" s="251">
        <f t="shared" si="2"/>
        <v>492</v>
      </c>
      <c r="B143" s="231" t="str">
        <f>Suite&amp;" Electrical Room "&amp;SWThree</f>
        <v>G104 Electrical Room XXX</v>
      </c>
      <c r="C143" s="183" t="str">
        <f>"UPS "&amp;SWThree&amp;"1"</f>
        <v>UPS XXX1</v>
      </c>
      <c r="D143" s="233" t="s">
        <v>1763</v>
      </c>
      <c r="E143" s="183" t="s">
        <v>1464</v>
      </c>
      <c r="F143" s="193"/>
      <c r="G143" s="193"/>
    </row>
    <row r="144" spans="1:7" ht="37.5" x14ac:dyDescent="0.25">
      <c r="A144" s="251">
        <f t="shared" si="2"/>
        <v>493</v>
      </c>
      <c r="B144" s="231" t="str">
        <f>Suite&amp;" Electrical Room "&amp;SWThree</f>
        <v>G104 Electrical Room XXX</v>
      </c>
      <c r="C144" s="183" t="str">
        <f>"UPS "&amp;SWThree&amp;"2"</f>
        <v>UPS XXX2</v>
      </c>
      <c r="D144" s="233" t="s">
        <v>1763</v>
      </c>
      <c r="E144" s="183" t="s">
        <v>1464</v>
      </c>
      <c r="F144" s="193"/>
      <c r="G144" s="193"/>
    </row>
    <row r="145" spans="1:7" ht="37.5" x14ac:dyDescent="0.25">
      <c r="A145" s="251">
        <f t="shared" si="2"/>
        <v>494</v>
      </c>
      <c r="B145" s="231" t="str">
        <f>Suite&amp;" Electrical Room "&amp;SWThree</f>
        <v>G104 Electrical Room XXX</v>
      </c>
      <c r="C145" s="183" t="str">
        <f>"UPS "&amp;SWThree</f>
        <v>UPS XXX</v>
      </c>
      <c r="D145" s="233" t="str" cm="1">
        <f t="array" ref="D145">"UPS SYSTEM "&amp; SWThree &amp;" is now online and ready to accept load. Critical Customer Load remains on Maintenance Bypass Source."</f>
        <v>UPS SYSTEM XXX is now online and ready to accept load. Critical Customer Load remains on Maintenance Bypass Source.</v>
      </c>
      <c r="E145" s="183" t="s">
        <v>1464</v>
      </c>
      <c r="F145" s="193"/>
      <c r="G145" s="193"/>
    </row>
    <row r="146" spans="1:7" x14ac:dyDescent="0.25">
      <c r="A146" s="251">
        <f t="shared" si="2"/>
        <v>495</v>
      </c>
      <c r="B146" s="711" t="s">
        <v>1602</v>
      </c>
      <c r="C146" s="711"/>
      <c r="D146" s="711"/>
      <c r="E146" s="711"/>
      <c r="F146" s="711"/>
      <c r="G146" s="711"/>
    </row>
    <row r="147" spans="1:7" ht="37.5" x14ac:dyDescent="0.25">
      <c r="A147" s="251">
        <f t="shared" si="2"/>
        <v>496</v>
      </c>
      <c r="B147" s="231" t="str">
        <f>Suite&amp;" Electrical Room "&amp;SWThree</f>
        <v>G104 Electrical Room XXX</v>
      </c>
      <c r="C147" s="183" t="str">
        <f>"UP"&amp;SWThree</f>
        <v>UPXXX</v>
      </c>
      <c r="D147" s="233" t="str" cm="1">
        <f t="array" ref="D147">"NOTATE the kW reading at UP" &amp; SWThree &amp; " Critical Bus Panel Meter: _________"</f>
        <v>NOTATE the kW reading at UPXXX Critical Bus Panel Meter: _________</v>
      </c>
      <c r="E147" s="183" t="s">
        <v>1464</v>
      </c>
      <c r="F147" s="193"/>
      <c r="G147" s="193"/>
    </row>
    <row r="148" spans="1:7" ht="37.5" x14ac:dyDescent="0.25">
      <c r="A148" s="251">
        <f t="shared" si="2"/>
        <v>497</v>
      </c>
      <c r="B148" s="231" t="str">
        <f>Suite&amp;" Electrical Room "&amp;SWThree</f>
        <v>G104 Electrical Room XXX</v>
      </c>
      <c r="C148" s="183" t="str">
        <f>"UP"&amp;SWThree</f>
        <v>UPXXX</v>
      </c>
      <c r="D148" s="233" t="str">
        <f>"VERIFY the readings in step " &amp; A103 &amp; " and " &amp; A147 &amp; " are within 3% of each other. (new kW divided by original kW must be ≤1.03 and ≥0.97)."</f>
        <v>VERIFY the readings in step 452 and 496 are within 3% of each other. (new kW divided by original kW must be ≤1.03 and ≥0.97).</v>
      </c>
      <c r="E148" s="183" t="s">
        <v>1464</v>
      </c>
      <c r="F148" s="193"/>
      <c r="G148" s="193"/>
    </row>
    <row r="149" spans="1:7" ht="37.5" x14ac:dyDescent="0.25">
      <c r="A149" s="251">
        <f t="shared" si="2"/>
        <v>498</v>
      </c>
      <c r="B149" s="231" t="str">
        <f>Suite&amp;" Electrical Room "&amp;SWThree</f>
        <v>G104 Electrical Room XXX</v>
      </c>
      <c r="C149" s="183" t="str">
        <f>"UP"&amp;SWThree</f>
        <v>UPXXX</v>
      </c>
      <c r="D149" s="186" t="s">
        <v>1569</v>
      </c>
      <c r="E149" s="183" t="s">
        <v>1464</v>
      </c>
      <c r="F149" s="193"/>
      <c r="G149" s="193"/>
    </row>
    <row r="150" spans="1:7" ht="37.5" x14ac:dyDescent="0.25">
      <c r="A150" s="251">
        <f t="shared" si="2"/>
        <v>499</v>
      </c>
      <c r="B150" s="231" t="str">
        <f>Suite&amp;" Electrical Room "&amp;SWThree</f>
        <v>G104 Electrical Room XXX</v>
      </c>
      <c r="C150" s="183" t="str">
        <f>"UP"&amp;SWThree</f>
        <v>UPXXX</v>
      </c>
      <c r="D150" s="186" t="s">
        <v>1570</v>
      </c>
      <c r="E150" s="183" t="s">
        <v>1464</v>
      </c>
      <c r="F150" s="193"/>
      <c r="G150" s="193"/>
    </row>
    <row r="151" spans="1:7" ht="37.5" x14ac:dyDescent="0.25">
      <c r="A151" s="251">
        <f t="shared" si="2"/>
        <v>500</v>
      </c>
      <c r="B151" s="231" t="str">
        <f>Suite&amp;" Electrical Room "&amp;SWThree</f>
        <v>G104 Electrical Room XXX</v>
      </c>
      <c r="C151" s="183" t="str">
        <f>"UP"&amp;SWThree</f>
        <v>UPXXX</v>
      </c>
      <c r="D151" s="233" t="str" cm="1">
        <f t="array" ref="D151">"INSERT the interlock key into the MCBUP" &amp; SWThree &amp; " breaker lock cylinder."</f>
        <v>INSERT the interlock key into the MCBUPXXX breaker lock cylinder.</v>
      </c>
      <c r="E151" s="183" t="s">
        <v>1464</v>
      </c>
      <c r="F151" s="193"/>
      <c r="G151" s="193"/>
    </row>
    <row r="152" spans="1:7" ht="37.5" x14ac:dyDescent="0.25">
      <c r="A152" s="251">
        <f t="shared" si="2"/>
        <v>501</v>
      </c>
      <c r="B152" s="231" t="str">
        <f>Suite&amp;" Electrical Room "&amp;SWThree</f>
        <v>G104 Electrical Room XXX</v>
      </c>
      <c r="C152" s="183" t="str">
        <f>"UP"&amp;SWThree</f>
        <v>UPXXX</v>
      </c>
      <c r="D152" s="186" t="str" cm="1">
        <f t="array" ref="D152">"ROTATE the interlock key 180 degrees to UNLOCK the MCBUP" &amp; SWThree &amp; " breaker."</f>
        <v>ROTATE the interlock key 180 degrees to UNLOCK the MCBUPXXX breaker.</v>
      </c>
      <c r="E152" s="183" t="s">
        <v>1464</v>
      </c>
      <c r="F152" s="193"/>
      <c r="G152" s="193"/>
    </row>
    <row r="153" spans="1:7" ht="37.5" x14ac:dyDescent="0.25">
      <c r="A153" s="251">
        <f t="shared" si="2"/>
        <v>502</v>
      </c>
      <c r="B153" s="231" t="str">
        <f>Suite&amp;" Electrical Room "&amp;SWThree</f>
        <v>G104 Electrical Room XXX</v>
      </c>
      <c r="C153" s="183" t="str">
        <f>"UP"&amp;SWThree</f>
        <v>UPXXX</v>
      </c>
      <c r="D153" s="233" t="str" cm="1">
        <f t="array" ref="D153">"Close breaker MCBUP"&amp;SWThree&amp;"."</f>
        <v>Close breaker MCBUPXXX.</v>
      </c>
      <c r="E153" s="183" t="s">
        <v>1464</v>
      </c>
      <c r="F153" s="193"/>
      <c r="G153" s="193"/>
    </row>
    <row r="154" spans="1:7" ht="37.5" x14ac:dyDescent="0.25">
      <c r="A154" s="251">
        <f t="shared" si="2"/>
        <v>503</v>
      </c>
      <c r="B154" s="231" t="str">
        <f>Suite&amp;" Electrical Room "&amp;SWThree</f>
        <v>G104 Electrical Room XXX</v>
      </c>
      <c r="C154" s="183" t="str">
        <f>"UP"&amp;SWThree</f>
        <v>UPXXX</v>
      </c>
      <c r="D154" s="186" t="str" cm="1">
        <f t="array" ref="D154">"VERIFY MCBUP" &amp; SWThree &amp; " breaker flag indicates CLOSED."</f>
        <v>VERIFY MCBUPXXX breaker flag indicates CLOSED.</v>
      </c>
      <c r="E154" s="183" t="s">
        <v>1464</v>
      </c>
      <c r="F154" s="193"/>
      <c r="G154" s="193"/>
    </row>
    <row r="155" spans="1:7" ht="37.5" x14ac:dyDescent="0.25">
      <c r="A155" s="251">
        <f t="shared" si="2"/>
        <v>504</v>
      </c>
      <c r="B155" s="231" t="str">
        <f>Suite&amp;" Electrical Room "&amp;SWThree</f>
        <v>G104 Electrical Room XXX</v>
      </c>
      <c r="C155" s="183" t="str">
        <f>"UP"&amp;SWThree</f>
        <v>UPXXX</v>
      </c>
      <c r="D155" s="233" t="str" cm="1">
        <f t="array" ref="D155">"VERIFY breaker MCBUP"&amp;SWThree&amp;" is carrying a portion of critical customer load using breaker mounted metering."</f>
        <v>VERIFY breaker MCBUPXXX is carrying a portion of critical customer load using breaker mounted metering.</v>
      </c>
      <c r="E155" s="183" t="s">
        <v>1464</v>
      </c>
      <c r="F155" s="193"/>
      <c r="G155" s="193"/>
    </row>
    <row r="156" spans="1:7" ht="37.5" x14ac:dyDescent="0.25">
      <c r="A156" s="251">
        <f t="shared" si="2"/>
        <v>505</v>
      </c>
      <c r="B156" s="231" t="str">
        <f>Suite&amp;" Electrical Room "&amp;SWThree</f>
        <v>G104 Electrical Room XXX</v>
      </c>
      <c r="C156" s="183" t="str">
        <f>"UP"&amp;SWThree</f>
        <v>UPXXX</v>
      </c>
      <c r="D156" s="233" t="str" cm="1">
        <f t="array" ref="D156">"VERIFY breaker MBUP"&amp;SWThree&amp;" is carrying a portion of critical customer load using breaker mounted metering."</f>
        <v>VERIFY breaker MBUPXXX is carrying a portion of critical customer load using breaker mounted metering.</v>
      </c>
      <c r="E156" s="183" t="s">
        <v>1464</v>
      </c>
      <c r="F156" s="193"/>
      <c r="G156" s="193"/>
    </row>
    <row r="157" spans="1:7" ht="37.5" x14ac:dyDescent="0.25">
      <c r="A157" s="251">
        <f t="shared" si="2"/>
        <v>506</v>
      </c>
      <c r="B157" s="231" t="str">
        <f>Suite&amp;" Electrical Room "&amp;SWThree</f>
        <v>G104 Electrical Room XXX</v>
      </c>
      <c r="C157" s="183" t="str">
        <f>"UP"&amp;SWThree</f>
        <v>UPXXX</v>
      </c>
      <c r="D157" s="233" t="str" cm="1">
        <f t="array" ref="D157">"NOTATE the kW reading at UP" &amp; SWThree &amp; " Critical Bus Panel Meter: _________"</f>
        <v>NOTATE the kW reading at UPXXX Critical Bus Panel Meter: _________</v>
      </c>
      <c r="E157" s="183" t="s">
        <v>1464</v>
      </c>
      <c r="F157" s="193"/>
      <c r="G157" s="193"/>
    </row>
    <row r="158" spans="1:7" ht="37.5" x14ac:dyDescent="0.25">
      <c r="A158" s="251">
        <f t="shared" si="2"/>
        <v>507</v>
      </c>
      <c r="B158" s="231" t="str">
        <f>Suite&amp;" Electrical Room "&amp;SWThree</f>
        <v>G104 Electrical Room XXX</v>
      </c>
      <c r="C158" s="183" t="str">
        <f>"UP"&amp;SWThree</f>
        <v>UPXXX</v>
      </c>
      <c r="D158" s="233" t="str">
        <f>"VERIFY the readings in step " &amp; A147 &amp; " and " &amp; A157 &amp; " are within 3% of each other. (new kW divided by original kW must be ≤1.03 and ≥0.97)."</f>
        <v>VERIFY the readings in step 496 and 506 are within 3% of each other. (new kW divided by original kW must be ≤1.03 and ≥0.97).</v>
      </c>
      <c r="E158" s="183" t="s">
        <v>1464</v>
      </c>
      <c r="F158" s="193"/>
      <c r="G158" s="193"/>
    </row>
    <row r="159" spans="1:7" ht="37.5" x14ac:dyDescent="0.25">
      <c r="A159" s="251">
        <f t="shared" si="2"/>
        <v>508</v>
      </c>
      <c r="B159" s="231" t="str">
        <f>Suite&amp;" Electrical Room "&amp;SWThree</f>
        <v>G104 Electrical Room XXX</v>
      </c>
      <c r="C159" s="183" t="str">
        <f>"UP"&amp;SWThree</f>
        <v>UPXXX</v>
      </c>
      <c r="D159" s="233" t="str" cm="1">
        <f t="array" ref="D159">"OPEN breaker MBUP"&amp;SWThree&amp;"."</f>
        <v>OPEN breaker MBUPXXX.</v>
      </c>
      <c r="E159" s="183" t="s">
        <v>1464</v>
      </c>
      <c r="F159" s="193"/>
      <c r="G159" s="193"/>
    </row>
    <row r="160" spans="1:7" ht="37.5" x14ac:dyDescent="0.25">
      <c r="A160" s="251">
        <f t="shared" si="2"/>
        <v>509</v>
      </c>
      <c r="B160" s="231" t="str">
        <f>Suite&amp;" Electrical Room "&amp;SWThree</f>
        <v>G104 Electrical Room XXX</v>
      </c>
      <c r="C160" s="183" t="str">
        <f>"UP"&amp;SWThree</f>
        <v>UPXXX</v>
      </c>
      <c r="D160" s="233" t="s">
        <v>1501</v>
      </c>
      <c r="E160" s="183" t="s">
        <v>1464</v>
      </c>
      <c r="F160" s="193"/>
      <c r="G160" s="193"/>
    </row>
    <row r="161" spans="1:7" ht="37.5" x14ac:dyDescent="0.25">
      <c r="A161" s="251">
        <f t="shared" si="2"/>
        <v>510</v>
      </c>
      <c r="B161" s="231" t="str">
        <f>Suite&amp;" Electrical Room "&amp;SWThree</f>
        <v>G104 Electrical Room XXX</v>
      </c>
      <c r="C161" s="183" t="str">
        <f>"UP"&amp;SWThree</f>
        <v>UPXXX</v>
      </c>
      <c r="D161" s="186" t="str" cm="1">
        <f t="array" ref="D161">"VERIFY MBUP" &amp; SWThree &amp; " breaker flag indicates OFF."</f>
        <v>VERIFY MBUPXXX breaker flag indicates OFF.</v>
      </c>
      <c r="E161" s="183" t="s">
        <v>1464</v>
      </c>
      <c r="F161" s="193"/>
      <c r="G161" s="193"/>
    </row>
    <row r="162" spans="1:7" ht="37.5" x14ac:dyDescent="0.25">
      <c r="A162" s="251">
        <f t="shared" si="2"/>
        <v>511</v>
      </c>
      <c r="B162" s="231" t="str">
        <f>Suite&amp;" Electrical Room "&amp;SWThree</f>
        <v>G104 Electrical Room XXX</v>
      </c>
      <c r="C162" s="183" t="str">
        <f>"UP"&amp;SWThree</f>
        <v>UPXXX</v>
      </c>
      <c r="D162" s="233" t="str" cm="1">
        <f t="array" ref="D162">"NOTATE the kW reading at UP" &amp; SWThree &amp; " Critical Bus Panel Meter: _________"</f>
        <v>NOTATE the kW reading at UPXXX Critical Bus Panel Meter: _________</v>
      </c>
      <c r="E162" s="183" t="s">
        <v>1464</v>
      </c>
      <c r="F162" s="193"/>
      <c r="G162" s="193"/>
    </row>
    <row r="163" spans="1:7" ht="37.5" x14ac:dyDescent="0.25">
      <c r="A163" s="251">
        <f t="shared" si="2"/>
        <v>512</v>
      </c>
      <c r="B163" s="231" t="str">
        <f>Suite&amp;" Electrical Room "&amp;SWThree</f>
        <v>G104 Electrical Room XXX</v>
      </c>
      <c r="C163" s="183" t="str">
        <f>"UP"&amp;SWThree</f>
        <v>UPXXX</v>
      </c>
      <c r="D163" s="233" t="str">
        <f>"VERIFY the readings in step " &amp; A157 &amp; " and " &amp; A162 &amp; " are within 3% of each other. (new kW divided by original kW must be ≤1.03 and ≥0.97)."</f>
        <v>VERIFY the readings in step 506 and 511 are within 3% of each other. (new kW divided by original kW must be ≤1.03 and ≥0.97).</v>
      </c>
      <c r="E163" s="183" t="s">
        <v>1464</v>
      </c>
      <c r="F163" s="193"/>
      <c r="G163" s="193"/>
    </row>
    <row r="164" spans="1:7" ht="37.5" x14ac:dyDescent="0.25">
      <c r="A164" s="251">
        <f t="shared" si="2"/>
        <v>513</v>
      </c>
      <c r="B164" s="231" t="str">
        <f>Suite&amp;" Electrical Room "&amp;SWThree</f>
        <v>G104 Electrical Room XXX</v>
      </c>
      <c r="C164" s="183" t="str">
        <f>"UP"&amp;SWThree</f>
        <v>UPXXX</v>
      </c>
      <c r="D164" s="186" t="str" cm="1">
        <f t="array" ref="D164">"ROTATE the interlock key 180 degrees to LOCK the MBUP"&amp;SWThree&amp;" breaker while simultaneously pulling the lock tab."</f>
        <v>ROTATE the interlock key 180 degrees to LOCK the MBUPXXX breaker while simultaneously pulling the lock tab.</v>
      </c>
      <c r="E164" s="183" t="s">
        <v>1464</v>
      </c>
      <c r="F164" s="193"/>
      <c r="G164" s="193"/>
    </row>
    <row r="165" spans="1:7" ht="37.5" x14ac:dyDescent="0.25">
      <c r="A165" s="251">
        <f t="shared" si="2"/>
        <v>514</v>
      </c>
      <c r="B165" s="231" t="str">
        <f>Suite&amp;" Electrical Room "&amp;SWThree</f>
        <v>G104 Electrical Room XXX</v>
      </c>
      <c r="C165" s="183" t="str">
        <f>"UP"&amp;SWThree</f>
        <v>UPXXX</v>
      </c>
      <c r="D165" s="186" t="str" cm="1">
        <f t="array" ref="D165">"REMOVE the interlock key from the MBUP"&amp;SWThree&amp;" breaker lock cylinder."</f>
        <v>REMOVE the interlock key from the MBUPXXX breaker lock cylinder.</v>
      </c>
      <c r="E165" s="183" t="s">
        <v>1464</v>
      </c>
      <c r="F165" s="193"/>
      <c r="G165" s="193"/>
    </row>
    <row r="166" spans="1:7" ht="37.5" x14ac:dyDescent="0.25">
      <c r="A166" s="251">
        <f t="shared" si="2"/>
        <v>515</v>
      </c>
      <c r="B166" s="231" t="str">
        <f>Suite&amp;" Electrical Room "&amp;SWThree</f>
        <v>G104 Electrical Room XXX</v>
      </c>
      <c r="C166" s="183" t="str">
        <f>"UP"&amp;SWThree</f>
        <v>UPXXX</v>
      </c>
      <c r="D166" s="233" t="s">
        <v>1573</v>
      </c>
      <c r="E166" s="183" t="s">
        <v>1464</v>
      </c>
      <c r="F166" s="193"/>
      <c r="G166" s="193"/>
    </row>
    <row r="167" spans="1:7" ht="37.5" x14ac:dyDescent="0.25">
      <c r="A167" s="251">
        <f t="shared" si="2"/>
        <v>516</v>
      </c>
      <c r="B167" s="231" t="str">
        <f>Suite&amp;" Electrical Room "&amp;SWThree</f>
        <v>G104 Electrical Room XXX</v>
      </c>
      <c r="C167" s="183" t="str">
        <f>"UP"&amp;SWThree</f>
        <v>UPXXX</v>
      </c>
      <c r="D167" s="186" t="s">
        <v>1574</v>
      </c>
      <c r="E167" s="183" t="s">
        <v>1464</v>
      </c>
      <c r="F167" s="193"/>
      <c r="G167" s="193"/>
    </row>
    <row r="168" spans="1:7" ht="37.5" x14ac:dyDescent="0.25">
      <c r="A168" s="251">
        <f t="shared" si="2"/>
        <v>517</v>
      </c>
      <c r="B168" s="231" t="str">
        <f>Suite&amp;" Electrical Room "&amp;SWThree</f>
        <v>G104 Electrical Room XXX</v>
      </c>
      <c r="C168" s="183" t="str">
        <f>"UP"&amp;SWThree</f>
        <v>UPXXX</v>
      </c>
      <c r="D168" s="186" t="s">
        <v>1575</v>
      </c>
      <c r="E168" s="183" t="s">
        <v>1464</v>
      </c>
      <c r="F168" s="193"/>
      <c r="G168" s="193"/>
    </row>
    <row r="169" spans="1:7" ht="37.5" x14ac:dyDescent="0.25">
      <c r="A169" s="251">
        <f t="shared" si="2"/>
        <v>518</v>
      </c>
      <c r="B169" s="231" t="str">
        <f>Suite&amp;" Electrical Room "&amp;SWThree</f>
        <v>G104 Electrical Room XXX</v>
      </c>
      <c r="C169" s="183" t="str">
        <f>"UP"&amp;SWThree</f>
        <v>UPXXX</v>
      </c>
      <c r="D169" s="186" t="s">
        <v>1510</v>
      </c>
      <c r="E169" s="183" t="s">
        <v>1464</v>
      </c>
      <c r="F169" s="193"/>
      <c r="G169" s="193"/>
    </row>
    <row r="170" spans="1:7" x14ac:dyDescent="0.25">
      <c r="A170" s="251">
        <f t="shared" si="2"/>
        <v>519</v>
      </c>
      <c r="B170" s="711" t="str" cm="1">
        <f t="array" ref="B170">"Transfer UPS System " &amp; SWThree &amp;" to Inverter Service"</f>
        <v>Transfer UPS System XXX to Inverter Service</v>
      </c>
      <c r="C170" s="711"/>
      <c r="D170" s="711"/>
      <c r="E170" s="711"/>
      <c r="F170" s="711"/>
      <c r="G170" s="711"/>
    </row>
    <row r="171" spans="1:7" ht="37.5" x14ac:dyDescent="0.25">
      <c r="A171" s="251">
        <f t="shared" si="2"/>
        <v>520</v>
      </c>
      <c r="B171" s="231" t="str">
        <f>Suite&amp;" Electrical Room "&amp;SWThree</f>
        <v>G104 Electrical Room XXX</v>
      </c>
      <c r="C171" s="183" t="str">
        <f>"UPS "&amp;SWThree&amp;"1"</f>
        <v>UPS XXX1</v>
      </c>
      <c r="D171" s="233" t="s">
        <v>1764</v>
      </c>
      <c r="E171" s="183" t="s">
        <v>1464</v>
      </c>
      <c r="F171" s="193"/>
      <c r="G171" s="193"/>
    </row>
    <row r="172" spans="1:7" ht="56.25" x14ac:dyDescent="0.25">
      <c r="A172" s="251">
        <f t="shared" si="2"/>
        <v>521</v>
      </c>
      <c r="B172" s="231" t="str">
        <f>Suite&amp;" Electrical Room "&amp;SWThree</f>
        <v>G104 Electrical Room XXX</v>
      </c>
      <c r="C172" s="183" t="str">
        <f>"UPS "&amp;SWThree&amp;"1"</f>
        <v>UPS XXX1</v>
      </c>
      <c r="D172" s="233" t="str" cm="1">
        <f t="array" ref="D172">"The red ‘Load Not Protected’ status LED will extinguish and the green ‘Load Protected’ status LED will illuminate. Expect to hear UPS-"&amp; SWThree &amp;"1 inverter start and SCC Internal Bypass Breaker Q2S OPEN at this step."</f>
        <v>The red ‘Load Not Protected’ status LED will extinguish and the green ‘Load Protected’ status LED will illuminate. Expect to hear UPS-XXX1 inverter start and SCC Internal Bypass Breaker Q2S OPEN at this step.</v>
      </c>
      <c r="E172" s="183" t="s">
        <v>1464</v>
      </c>
      <c r="F172" s="193"/>
      <c r="G172" s="193"/>
    </row>
    <row r="173" spans="1:7" ht="37.5" x14ac:dyDescent="0.25">
      <c r="A173" s="251">
        <f t="shared" si="2"/>
        <v>522</v>
      </c>
      <c r="B173" s="231" t="str">
        <f>Suite&amp;" Electrical Room "&amp;SWThree</f>
        <v>G104 Electrical Room XXX</v>
      </c>
      <c r="C173" s="183" t="str">
        <f>"UPS "&amp;SWThree&amp;"2"</f>
        <v>UPS XXX2</v>
      </c>
      <c r="D173" s="233" t="s">
        <v>1764</v>
      </c>
      <c r="E173" s="183" t="s">
        <v>1464</v>
      </c>
      <c r="F173" s="193"/>
      <c r="G173" s="193"/>
    </row>
    <row r="174" spans="1:7" ht="56.25" x14ac:dyDescent="0.25">
      <c r="A174" s="251">
        <f t="shared" si="2"/>
        <v>523</v>
      </c>
      <c r="B174" s="231" t="str">
        <f>Suite&amp;" Electrical Room "&amp;SWThree</f>
        <v>G104 Electrical Room XXX</v>
      </c>
      <c r="C174" s="183" t="str">
        <f>"UPS "&amp;SWThree&amp;"2"</f>
        <v>UPS XXX2</v>
      </c>
      <c r="D174" s="233" t="str" cm="1">
        <f t="array" ref="D174">"The red ‘Load Not Protected’ status LED will extinguish and the green ‘Load Protected’ status LED will illuminate. Expect to hear UPS-"&amp; SWThree &amp;"2 inverter start at this step."</f>
        <v>The red ‘Load Not Protected’ status LED will extinguish and the green ‘Load Protected’ status LED will illuminate. Expect to hear UPS-XXX2 inverter start at this step.</v>
      </c>
      <c r="E174" s="183" t="s">
        <v>1464</v>
      </c>
      <c r="F174" s="193"/>
      <c r="G174" s="193"/>
    </row>
    <row r="175" spans="1:7" ht="37.5" x14ac:dyDescent="0.25">
      <c r="A175" s="251">
        <f t="shared" si="2"/>
        <v>524</v>
      </c>
      <c r="B175" s="231" t="str">
        <f>Suite&amp;" Electrical Room "&amp;SWThree</f>
        <v>G104 Electrical Room XXX</v>
      </c>
      <c r="C175" s="183" t="str">
        <f>"SCC "&amp;SWThree</f>
        <v>SCC XXX</v>
      </c>
      <c r="D175" s="233" t="s">
        <v>1765</v>
      </c>
      <c r="E175" s="183" t="s">
        <v>1464</v>
      </c>
      <c r="F175" s="193"/>
      <c r="G175" s="193"/>
    </row>
    <row r="176" spans="1:7" ht="37.5" x14ac:dyDescent="0.25">
      <c r="A176" s="251">
        <f t="shared" si="2"/>
        <v>525</v>
      </c>
      <c r="B176" s="231" t="str">
        <f>Suite&amp;" Electrical Room "&amp;SWThree</f>
        <v>G104 Electrical Room XXX</v>
      </c>
      <c r="C176" s="183" t="str">
        <f>"SCC "&amp;SWThree</f>
        <v>SCC XXX</v>
      </c>
      <c r="D176" s="233" t="s">
        <v>1557</v>
      </c>
      <c r="E176" s="183" t="s">
        <v>1464</v>
      </c>
      <c r="F176" s="193"/>
      <c r="G176" s="193"/>
    </row>
    <row r="177" spans="1:7" ht="37.5" x14ac:dyDescent="0.25">
      <c r="A177" s="251">
        <f t="shared" si="2"/>
        <v>526</v>
      </c>
      <c r="B177" s="231" t="str">
        <f>Suite&amp;" Electrical Rooms"</f>
        <v>G104 Electrical Rooms</v>
      </c>
      <c r="C177" s="183" t="str" cm="1">
        <f t="array" ref="C177">Suite &amp; " UPS Systems"</f>
        <v>G104 UPS Systems</v>
      </c>
      <c r="D177" s="252" t="str">
        <f>"VERIFY all "&amp;Suite&amp;" UPS systems are on-line with no critical alarms present."</f>
        <v>VERIFY all G104 UPS systems are on-line with no critical alarms present.</v>
      </c>
      <c r="E177" s="183" t="s">
        <v>1464</v>
      </c>
      <c r="F177" s="193"/>
      <c r="G177" s="193"/>
    </row>
    <row r="178" spans="1:7" ht="37.5" x14ac:dyDescent="0.25">
      <c r="A178" s="251">
        <f t="shared" si="2"/>
        <v>527</v>
      </c>
      <c r="B178" s="231" t="str">
        <f>Suite&amp;" Electrical Room "&amp;SWThree</f>
        <v>G104 Electrical Room XXX</v>
      </c>
      <c r="C178" s="183" t="str">
        <f>"UPS "&amp;SWThree&amp;"1"</f>
        <v>UPS XXX1</v>
      </c>
      <c r="D178" s="252" t="str" cm="1">
        <f t="array" ref="D178">"NOTATE the output kW reading at UPS-" &amp; SWThree &amp; "1:  ___________"</f>
        <v>NOTATE the output kW reading at UPS-XXX1:  ___________</v>
      </c>
      <c r="E178" s="183" t="s">
        <v>1464</v>
      </c>
      <c r="F178" s="193"/>
      <c r="G178" s="193"/>
    </row>
    <row r="179" spans="1:7" ht="37.5" x14ac:dyDescent="0.25">
      <c r="A179" s="251">
        <f t="shared" si="2"/>
        <v>528</v>
      </c>
      <c r="B179" s="231" t="str">
        <f>Suite&amp;" Electrical Room "&amp;SWThree</f>
        <v>G104 Electrical Room XXX</v>
      </c>
      <c r="C179" s="183" t="str">
        <f>"UPS "&amp;SWThree&amp;"2"</f>
        <v>UPS XXX2</v>
      </c>
      <c r="D179" s="252" t="str" cm="1">
        <f t="array" ref="D179">"NOTATE the output kW reading at UPS-" &amp; SWThree &amp; "2:  ___________"</f>
        <v>NOTATE the output kW reading at UPS-XXX2:  ___________</v>
      </c>
      <c r="E179" s="183" t="s">
        <v>1464</v>
      </c>
      <c r="F179" s="193"/>
      <c r="G179" s="193"/>
    </row>
    <row r="180" spans="1:7" ht="37.5" x14ac:dyDescent="0.25">
      <c r="A180" s="251">
        <f t="shared" si="2"/>
        <v>529</v>
      </c>
      <c r="B180" s="231" t="str">
        <f>Suite&amp;" Electrical Room "&amp;SWThree</f>
        <v>G104 Electrical Room XXX</v>
      </c>
      <c r="C180" s="183" t="str">
        <f>"UP"&amp;SWThree</f>
        <v>UPXXX</v>
      </c>
      <c r="D180" s="233" t="str" cm="1">
        <f t="array" ref="D180">"NOTATE the kW reading at UP" &amp; SWThree &amp; " Critical Bus Panel Meter: _________"</f>
        <v>NOTATE the kW reading at UPXXX Critical Bus Panel Meter: _________</v>
      </c>
      <c r="E180" s="183" t="s">
        <v>1464</v>
      </c>
      <c r="F180" s="193"/>
      <c r="G180" s="193"/>
    </row>
    <row r="181" spans="1:7" ht="37.5" x14ac:dyDescent="0.25">
      <c r="A181" s="251">
        <f t="shared" si="2"/>
        <v>530</v>
      </c>
      <c r="B181" s="231" t="str">
        <f>Suite&amp;" Electrical Room "&amp;SWThree</f>
        <v>G104 Electrical Room XXX</v>
      </c>
      <c r="C181" s="183" t="str">
        <f>"UP"&amp;SWThree</f>
        <v>UPXXX</v>
      </c>
      <c r="D181" s="233" t="str">
        <f>"VERIFY the readings in step " &amp; A162 &amp; " and " &amp; A180 &amp; " are within 3% of each other. (new kW divided by original kW must be ≤1.03 and ≥0.97)."</f>
        <v>VERIFY the readings in step 511 and 529 are within 3% of each other. (new kW divided by original kW must be ≤1.03 and ≥0.97).</v>
      </c>
      <c r="E181" s="183" t="s">
        <v>1464</v>
      </c>
      <c r="F181" s="193"/>
      <c r="G181" s="193"/>
    </row>
    <row r="182" spans="1:7" ht="37.5" x14ac:dyDescent="0.25">
      <c r="A182" s="251">
        <f t="shared" si="2"/>
        <v>531</v>
      </c>
      <c r="B182" s="183" t="s">
        <v>1462</v>
      </c>
      <c r="C182" s="183" t="s">
        <v>84</v>
      </c>
      <c r="D182" s="252" t="str">
        <f>"Contact the engineer stationed on base to verify no abnormal conditions exist on the suite " &amp; Suite &amp; " electrical systems."</f>
        <v>Contact the engineer stationed on base to verify no abnormal conditions exist on the suite G104 electrical systems.</v>
      </c>
      <c r="E182" s="183" t="s">
        <v>1464</v>
      </c>
      <c r="F182" s="193"/>
      <c r="G182" s="193"/>
    </row>
    <row r="183" spans="1:7" x14ac:dyDescent="0.3">
      <c r="A183" s="192"/>
    </row>
    <row r="184" spans="1:7" x14ac:dyDescent="0.3">
      <c r="A184" s="192"/>
    </row>
    <row r="185" spans="1:7" x14ac:dyDescent="0.3">
      <c r="A185" s="192"/>
    </row>
    <row r="186" spans="1:7" x14ac:dyDescent="0.3">
      <c r="A186" s="192"/>
    </row>
    <row r="187" spans="1:7" x14ac:dyDescent="0.3">
      <c r="A187" s="192"/>
    </row>
    <row r="188" spans="1:7" x14ac:dyDescent="0.3">
      <c r="A188" s="192"/>
    </row>
    <row r="189" spans="1:7" x14ac:dyDescent="0.3">
      <c r="A189" s="192"/>
    </row>
    <row r="190" spans="1:7" x14ac:dyDescent="0.3">
      <c r="A190" s="192"/>
    </row>
    <row r="191" spans="1:7" x14ac:dyDescent="0.3">
      <c r="A191" s="192"/>
    </row>
  </sheetData>
  <sheetProtection formatCells="0" formatColumns="0" formatRows="0" insertRows="0" deleteRows="0" sort="0" autoFilter="0"/>
  <mergeCells count="12">
    <mergeCell ref="A2:B2"/>
    <mergeCell ref="C2:G2"/>
    <mergeCell ref="B146:G146"/>
    <mergeCell ref="B170:G170"/>
    <mergeCell ref="A4:C4"/>
    <mergeCell ref="B6:G6"/>
    <mergeCell ref="B8:G8"/>
    <mergeCell ref="B19:G19"/>
    <mergeCell ref="B21:G21"/>
    <mergeCell ref="B32:G32"/>
    <mergeCell ref="B61:G61"/>
    <mergeCell ref="B99:G9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85330-83A7-43A5-B891-77C4E838CD6C}">
  <sheetPr codeName="MGE_D">
    <pageSetUpPr fitToPage="1"/>
  </sheetPr>
  <dimension ref="A1:I191"/>
  <sheetViews>
    <sheetView view="pageBreakPreview" zoomScale="90" zoomScaleNormal="100" zoomScaleSheetLayoutView="90" workbookViewId="0">
      <selection activeCell="A182" sqref="A18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51">
        <f>'MGE-C'!A182+1</f>
        <v>532</v>
      </c>
      <c r="B6" s="712" t="s">
        <v>1461</v>
      </c>
      <c r="C6" s="712"/>
      <c r="D6" s="715"/>
      <c r="E6" s="712"/>
      <c r="F6" s="712"/>
      <c r="G6" s="712"/>
    </row>
    <row r="7" spans="1:9" ht="37.5" x14ac:dyDescent="0.25">
      <c r="A7" s="251">
        <f>A6+1</f>
        <v>533</v>
      </c>
      <c r="B7" s="183" t="s">
        <v>1462</v>
      </c>
      <c r="C7" s="183" t="s">
        <v>84</v>
      </c>
      <c r="D7" s="252" t="str">
        <f>"Contact the engineer stationed on base to verify no abnormal conditions exist on the suite " &amp; Suite &amp; " electrical systems."</f>
        <v>Contact the engineer stationed on base to verify no abnormal conditions exist on the suite G104 electrical systems.</v>
      </c>
      <c r="E7" s="183" t="s">
        <v>1464</v>
      </c>
      <c r="F7" s="193"/>
      <c r="G7" s="193"/>
    </row>
    <row r="8" spans="1:9" x14ac:dyDescent="0.25">
      <c r="A8" s="251">
        <f t="shared" ref="A8:A73" si="0">A7+1</f>
        <v>534</v>
      </c>
      <c r="B8" s="713" t="s">
        <v>1465</v>
      </c>
      <c r="C8" s="713"/>
      <c r="D8" s="713"/>
      <c r="E8" s="713"/>
      <c r="F8" s="713"/>
      <c r="G8" s="713"/>
    </row>
    <row r="9" spans="1:9" ht="37.5" x14ac:dyDescent="0.25">
      <c r="A9" s="251">
        <f t="shared" si="0"/>
        <v>535</v>
      </c>
      <c r="B9" s="231" t="str">
        <f>Suite&amp;" Electrical Rooms"</f>
        <v>G104 Electrical Rooms</v>
      </c>
      <c r="C9" s="183" t="str" cm="1">
        <f t="array" ref="C9">Suite &amp; " UPS Systems"</f>
        <v>G104 UPS Systems</v>
      </c>
      <c r="D9" s="252" t="str">
        <f>"VERIFY all "&amp;Suite&amp;" UPS systems are on-line with no critical alarms present."</f>
        <v>VERIFY all G104 UPS systems are on-line with no critical alarms present.</v>
      </c>
      <c r="E9" s="183" t="s">
        <v>1464</v>
      </c>
      <c r="F9" s="193"/>
      <c r="G9" s="193"/>
    </row>
    <row r="10" spans="1:9" ht="37.5" x14ac:dyDescent="0.25">
      <c r="A10" s="251">
        <f t="shared" si="0"/>
        <v>536</v>
      </c>
      <c r="B10" s="231" t="str">
        <f>Suite&amp;" Electrical Room "&amp;SWThree</f>
        <v>G104 Electrical Room XXX</v>
      </c>
      <c r="C10" s="183" t="str">
        <f>"UPS "&amp;SWThree&amp;"1"</f>
        <v>UPS XXX1</v>
      </c>
      <c r="D10" s="252" t="str" cm="1">
        <f t="array" ref="D10">"NOTATE the output kW reading at UPS-" &amp; SWThree &amp; "1:  ___________"</f>
        <v>NOTATE the output kW reading at UPS-XXX1:  ___________</v>
      </c>
      <c r="E10" s="183" t="s">
        <v>1464</v>
      </c>
      <c r="F10" s="193"/>
      <c r="G10" s="193"/>
    </row>
    <row r="11" spans="1:9" ht="37.5" x14ac:dyDescent="0.25">
      <c r="A11" s="251">
        <f t="shared" si="0"/>
        <v>537</v>
      </c>
      <c r="B11" s="231" t="str">
        <f>Suite&amp;" Electrical Room "&amp;SWThree</f>
        <v>G104 Electrical Room XXX</v>
      </c>
      <c r="C11" s="183" t="str">
        <f>"UPS "&amp;SWThree&amp;"2"</f>
        <v>UPS XXX2</v>
      </c>
      <c r="D11" s="252" t="str" cm="1">
        <f t="array" ref="D11">"NOTATE the output kW reading at UPS-" &amp; SWThree &amp; "2:  ___________"</f>
        <v>NOTATE the output kW reading at UPS-XXX2:  ___________</v>
      </c>
      <c r="E11" s="183" t="s">
        <v>1464</v>
      </c>
      <c r="F11" s="193"/>
      <c r="G11" s="193"/>
    </row>
    <row r="12" spans="1:9" ht="37.5" x14ac:dyDescent="0.25">
      <c r="A12" s="251">
        <f t="shared" si="0"/>
        <v>538</v>
      </c>
      <c r="B12" s="231" t="str">
        <f>Suite&amp;" Electrical Room "&amp;SWThree</f>
        <v>G104 Electrical Room XXX</v>
      </c>
      <c r="C12" s="183" t="str">
        <f>"UP"&amp;SWThree</f>
        <v>UPXXX</v>
      </c>
      <c r="D12" s="252" t="str" cm="1">
        <f t="array" ref="D12">"NOTATE the kW reading at UP" &amp; SWThree &amp; " Critical Bus Panel Meter: _________"</f>
        <v>NOTATE the kW reading at UPXXX Critical Bus Panel Meter: _________</v>
      </c>
      <c r="E12" s="183" t="s">
        <v>1464</v>
      </c>
      <c r="F12" s="193"/>
      <c r="G12" s="193"/>
    </row>
    <row r="13" spans="1:9" ht="37.5" x14ac:dyDescent="0.25">
      <c r="A13" s="251">
        <f t="shared" si="0"/>
        <v>539</v>
      </c>
      <c r="B13" s="231" t="str">
        <f>Suite&amp;" Electrical Room "&amp;SWFour</f>
        <v>G104 Electrical Room XXX</v>
      </c>
      <c r="C13" s="183" t="str">
        <f>"UPS "&amp;SWFour&amp;"1"</f>
        <v>UPS XXX1</v>
      </c>
      <c r="D13" s="252" t="str" cm="1">
        <f t="array" ref="D13">"NOTATE the output kW reading at UPS-" &amp; SWFour &amp; "1:  ___________"</f>
        <v>NOTATE the output kW reading at UPS-XXX1:  ___________</v>
      </c>
      <c r="E13" s="183" t="s">
        <v>1464</v>
      </c>
      <c r="F13" s="193"/>
      <c r="G13" s="193"/>
    </row>
    <row r="14" spans="1:9" ht="37.5" x14ac:dyDescent="0.25">
      <c r="A14" s="251">
        <f t="shared" si="0"/>
        <v>540</v>
      </c>
      <c r="B14" s="231" t="str">
        <f>Suite&amp;" Electrical Room "&amp;SWFour</f>
        <v>G104 Electrical Room XXX</v>
      </c>
      <c r="C14" s="183" t="str">
        <f>"UPS "&amp;SWFour&amp;"2"</f>
        <v>UPS XXX2</v>
      </c>
      <c r="D14" s="252" t="str" cm="1">
        <f t="array" ref="D14">"NOTATE the output kW reading at UPS-" &amp; SWFour &amp; "2:  ___________"</f>
        <v>NOTATE the output kW reading at UPS-XXX2:  ___________</v>
      </c>
      <c r="E14" s="183" t="s">
        <v>1464</v>
      </c>
      <c r="F14" s="193"/>
      <c r="G14" s="193"/>
    </row>
    <row r="15" spans="1:9" ht="37.5" x14ac:dyDescent="0.25">
      <c r="A15" s="251">
        <f t="shared" si="0"/>
        <v>541</v>
      </c>
      <c r="B15" s="231" t="str">
        <f>Suite&amp;" Electrical Room "&amp;SWFour</f>
        <v>G104 Electrical Room XXX</v>
      </c>
      <c r="C15" s="183" t="str">
        <f>"UP"&amp;SWFour</f>
        <v>UPXXX</v>
      </c>
      <c r="D15" s="252" t="str" cm="1">
        <f t="array" ref="D15">"NOTATE the kW reading at UP" &amp; SWFour &amp; " Critical Bus Panel Meter: _________"</f>
        <v>NOTATE the kW reading at UPXXX Critical Bus Panel Meter: _________</v>
      </c>
      <c r="E15" s="183" t="s">
        <v>1464</v>
      </c>
      <c r="F15" s="193"/>
      <c r="G15" s="193"/>
    </row>
    <row r="16" spans="1:9" ht="56.25" x14ac:dyDescent="0.25">
      <c r="A16" s="251">
        <f t="shared" si="0"/>
        <v>542</v>
      </c>
      <c r="B16" s="500" t="str" cm="1">
        <f t="array" ref="B16">Suite &amp; " Electrical Rooms"</f>
        <v>G104 Electrical Rooms</v>
      </c>
      <c r="C16" s="499" t="str" cm="1">
        <f t="array" ref="C16">Suite &amp; " UPS System"</f>
        <v>G104 UPS System</v>
      </c>
      <c r="D16" s="190" t="s">
        <v>4621</v>
      </c>
      <c r="E16" s="499" t="s">
        <v>1464</v>
      </c>
      <c r="F16" s="500"/>
      <c r="G16" s="519"/>
    </row>
    <row r="17" spans="1:7" ht="37.5" x14ac:dyDescent="0.25">
      <c r="A17" s="251">
        <f t="shared" si="0"/>
        <v>543</v>
      </c>
      <c r="B17" s="500" t="str" cm="1">
        <f t="array" ref="B17">Suite &amp; " Electrical Rooms"</f>
        <v>G104 Electrical Rooms</v>
      </c>
      <c r="C17" s="499" t="str" cm="1">
        <f t="array" ref="C17">Suite &amp; " UPS System"</f>
        <v>G104 UPS System</v>
      </c>
      <c r="D17" s="191" t="str" cm="1">
        <f t="array" ref="D17">"Verify output kW readings on all UPS modules do not exceed " &amp; ROUNDDOWN(IF(POD="DR", (NumberOfSW-1)/NumberOfSW, 0.5)*(UPSkW), 0) &amp; " kW."</f>
        <v>Verify output kW readings on all UPS modules do not exceed 281 kW.</v>
      </c>
      <c r="E17" s="499" t="s">
        <v>1464</v>
      </c>
      <c r="F17" s="500"/>
      <c r="G17" s="519"/>
    </row>
    <row r="18" spans="1:7" ht="37.5" x14ac:dyDescent="0.25">
      <c r="A18" s="251">
        <f t="shared" si="0"/>
        <v>544</v>
      </c>
      <c r="B18" s="231" t="str">
        <f>Suite&amp;" Electrical Rooms"</f>
        <v>G104 Electrical Rooms</v>
      </c>
      <c r="C18" s="183" t="str" cm="1">
        <f t="array" ref="C18">Suite &amp; " UPS Systems"</f>
        <v>G104 UPS Systems</v>
      </c>
      <c r="D18" s="184" t="s">
        <v>1559</v>
      </c>
      <c r="E18" s="183" t="s">
        <v>1464</v>
      </c>
      <c r="F18" s="193"/>
      <c r="G18" s="193"/>
    </row>
    <row r="19" spans="1:7" x14ac:dyDescent="0.25">
      <c r="A19" s="251">
        <f t="shared" si="0"/>
        <v>545</v>
      </c>
      <c r="B19" s="713" t="str" cm="1">
        <f t="array" ref="B19">"Prepare UP"&amp;SWFour&amp;" for Transfer to Maintenance Bypass"</f>
        <v>Prepare UPXXX for Transfer to Maintenance Bypass</v>
      </c>
      <c r="C19" s="713"/>
      <c r="D19" s="713"/>
      <c r="E19" s="713"/>
      <c r="F19" s="713"/>
      <c r="G19" s="713"/>
    </row>
    <row r="20" spans="1:7" ht="37.5" x14ac:dyDescent="0.25">
      <c r="A20" s="251">
        <f t="shared" si="0"/>
        <v>546</v>
      </c>
      <c r="B20" s="231" t="str">
        <f>Suite&amp;" Electrical Room "&amp;SWFour</f>
        <v>G104 Electrical Room XXX</v>
      </c>
      <c r="C20" s="183" t="str">
        <f>"UP"&amp;SWFour</f>
        <v>UPXXX</v>
      </c>
      <c r="D20" s="233" t="str" cm="1">
        <f t="array" ref="D20">"Pump the MBUP" &amp; SWFour &amp; " breaker charging handle repeatedly to compress the charging spring and charge the breaker."</f>
        <v>Pump the MBUPXXX breaker charging handle repeatedly to compress the charging spring and charge the breaker.</v>
      </c>
      <c r="E20" s="183" t="s">
        <v>1464</v>
      </c>
      <c r="F20" s="193"/>
      <c r="G20" s="193"/>
    </row>
    <row r="21" spans="1:7" x14ac:dyDescent="0.25">
      <c r="A21" s="251">
        <f t="shared" si="0"/>
        <v>547</v>
      </c>
      <c r="B21" s="711" t="str" cm="1">
        <f t="array" ref="B21">"Transfer UPS System " &amp; SWFour &amp; " to Static Bypass"</f>
        <v>Transfer UPS System XXX to Static Bypass</v>
      </c>
      <c r="C21" s="711"/>
      <c r="D21" s="711"/>
      <c r="E21" s="711"/>
      <c r="F21" s="711"/>
      <c r="G21" s="711"/>
    </row>
    <row r="22" spans="1:7" ht="56.25" x14ac:dyDescent="0.25">
      <c r="A22" s="251">
        <f t="shared" si="0"/>
        <v>548</v>
      </c>
      <c r="B22" s="231" t="str">
        <f>Suite&amp;" Electrical Room "&amp;SWFour</f>
        <v>G104 Electrical Room XXX</v>
      </c>
      <c r="C22" s="183" t="str">
        <f>"UPS "&amp;SWFour&amp;"1"</f>
        <v>UPS XXX1</v>
      </c>
      <c r="D22" s="233" t="s">
        <v>1748</v>
      </c>
      <c r="E22" s="183" t="s">
        <v>1464</v>
      </c>
      <c r="F22" s="193"/>
      <c r="G22" s="193"/>
    </row>
    <row r="23" spans="1:7" ht="37.5" x14ac:dyDescent="0.25">
      <c r="A23" s="251">
        <f t="shared" si="0"/>
        <v>549</v>
      </c>
      <c r="B23" s="231" t="str">
        <f>Suite&amp;" Electrical Room "&amp;SWFour</f>
        <v>G104 Electrical Room XXX</v>
      </c>
      <c r="C23" s="183" t="str">
        <f>"UPS "&amp;SWFour&amp;"1"</f>
        <v>UPS XXX1</v>
      </c>
      <c r="D23" s="233" t="s">
        <v>1749</v>
      </c>
      <c r="E23" s="183" t="s">
        <v>1464</v>
      </c>
      <c r="F23" s="193"/>
      <c r="G23" s="193"/>
    </row>
    <row r="24" spans="1:7" ht="75" x14ac:dyDescent="0.25">
      <c r="A24" s="251">
        <f t="shared" si="0"/>
        <v>550</v>
      </c>
      <c r="B24" s="231" t="str">
        <f>Suite&amp;" Electrical Room "&amp;SWFour</f>
        <v>G104 Electrical Room XXX</v>
      </c>
      <c r="C24" s="183" t="str">
        <f>"UPS "&amp;SWFour&amp;"2"</f>
        <v>UPS XXX2</v>
      </c>
      <c r="D24" s="233" t="s">
        <v>1750</v>
      </c>
      <c r="E24" s="183" t="s">
        <v>1464</v>
      </c>
      <c r="F24" s="193"/>
      <c r="G24" s="193"/>
    </row>
    <row r="25" spans="1:7" ht="37.5" x14ac:dyDescent="0.25">
      <c r="A25" s="251">
        <f t="shared" si="0"/>
        <v>551</v>
      </c>
      <c r="B25" s="231" t="str">
        <f>Suite&amp;" Electrical Room "&amp;SWFour</f>
        <v>G104 Electrical Room XXX</v>
      </c>
      <c r="C25" s="183" t="str">
        <f>"UPS "&amp;SWFour&amp;"2"</f>
        <v>UPS XXX2</v>
      </c>
      <c r="D25" s="233" t="s">
        <v>1749</v>
      </c>
      <c r="E25" s="183" t="s">
        <v>1464</v>
      </c>
      <c r="F25" s="193"/>
      <c r="G25" s="193"/>
    </row>
    <row r="26" spans="1:7" ht="37.5" x14ac:dyDescent="0.25">
      <c r="A26" s="251">
        <f t="shared" si="0"/>
        <v>552</v>
      </c>
      <c r="B26" s="231" t="str">
        <f>Suite&amp;" Electrical Room "&amp;SWFour</f>
        <v>G104 Electrical Room XXX</v>
      </c>
      <c r="C26" s="183" t="str">
        <f>"SCC "&amp;SWFour</f>
        <v>SCC XXX</v>
      </c>
      <c r="D26" s="233" t="s">
        <v>1751</v>
      </c>
      <c r="E26" s="183" t="s">
        <v>1464</v>
      </c>
      <c r="F26" s="193"/>
      <c r="G26" s="193"/>
    </row>
    <row r="27" spans="1:7" ht="37.5" x14ac:dyDescent="0.25">
      <c r="A27" s="251">
        <f t="shared" si="0"/>
        <v>553</v>
      </c>
      <c r="B27" s="231" t="str">
        <f>Suite&amp;" Electrical Room "&amp;SWFour</f>
        <v>G104 Electrical Room XXX</v>
      </c>
      <c r="C27" s="183" t="str">
        <f>"SCC "&amp;SWFour</f>
        <v>SCC XXX</v>
      </c>
      <c r="D27" s="233" t="s">
        <v>1752</v>
      </c>
      <c r="E27" s="183" t="s">
        <v>1464</v>
      </c>
      <c r="F27" s="193"/>
      <c r="G27" s="193"/>
    </row>
    <row r="28" spans="1:7" ht="37.5" x14ac:dyDescent="0.25">
      <c r="A28" s="251">
        <f t="shared" si="0"/>
        <v>554</v>
      </c>
      <c r="B28" s="231" t="str">
        <f>Suite&amp;" Electrical Room "&amp;SWFour</f>
        <v>G104 Electrical Room XXX</v>
      </c>
      <c r="C28" s="183" t="str">
        <f>"SCC "&amp;SWFour</f>
        <v>SCC XXX</v>
      </c>
      <c r="D28" s="233" t="s">
        <v>1749</v>
      </c>
      <c r="E28" s="183" t="s">
        <v>1464</v>
      </c>
      <c r="F28" s="193"/>
      <c r="G28" s="193"/>
    </row>
    <row r="29" spans="1:7" ht="37.5" x14ac:dyDescent="0.25">
      <c r="A29" s="251">
        <f t="shared" si="0"/>
        <v>555</v>
      </c>
      <c r="B29" s="231" t="str">
        <f>Suite&amp;" Electrical Room "&amp;SWFour</f>
        <v>G104 Electrical Room XXX</v>
      </c>
      <c r="C29" s="183" t="str">
        <f>"SCC "&amp;SWFour</f>
        <v>SCC XXX</v>
      </c>
      <c r="D29" s="233" t="s">
        <v>1501</v>
      </c>
      <c r="E29" s="183" t="s">
        <v>1464</v>
      </c>
      <c r="F29" s="193"/>
      <c r="G29" s="193"/>
    </row>
    <row r="30" spans="1:7" ht="37.5" x14ac:dyDescent="0.25">
      <c r="A30" s="251">
        <f t="shared" si="0"/>
        <v>556</v>
      </c>
      <c r="B30" s="231" t="str">
        <f>Suite&amp;" Electrical Room "&amp;SWFour</f>
        <v>G104 Electrical Room XXX</v>
      </c>
      <c r="C30" s="183" t="str">
        <f>"UP"&amp;SWFour</f>
        <v>UPXXX</v>
      </c>
      <c r="D30" s="233" t="str" cm="1">
        <f t="array" ref="D30">"NOTATE the kW reading at UP" &amp; SWFour &amp; " Critical Bus Panel Meter: _________"</f>
        <v>NOTATE the kW reading at UPXXX Critical Bus Panel Meter: _________</v>
      </c>
      <c r="E30" s="183" t="s">
        <v>1464</v>
      </c>
      <c r="F30" s="193"/>
      <c r="G30" s="193"/>
    </row>
    <row r="31" spans="1:7" ht="37.5" x14ac:dyDescent="0.25">
      <c r="A31" s="251">
        <f t="shared" si="0"/>
        <v>557</v>
      </c>
      <c r="B31" s="231" t="str">
        <f>Suite&amp;" Electrical Room "&amp;SWFour</f>
        <v>G104 Electrical Room XXX</v>
      </c>
      <c r="C31" s="183" t="str">
        <f>"UP"&amp;SWFour</f>
        <v>UPXXX</v>
      </c>
      <c r="D31" s="233" t="str">
        <f>"VERIFY the readings in step " &amp; A12 &amp; " and " &amp; A30 &amp; " are within 3% of each other. (new kW divided by original kW must be ≤1.03 and ≥0.97)."</f>
        <v>VERIFY the readings in step 538 and 556 are within 3% of each other. (new kW divided by original kW must be ≤1.03 and ≥0.97).</v>
      </c>
      <c r="E31" s="183" t="s">
        <v>1464</v>
      </c>
      <c r="F31" s="193"/>
      <c r="G31" s="193"/>
    </row>
    <row r="32" spans="1:7" x14ac:dyDescent="0.25">
      <c r="A32" s="251">
        <f t="shared" si="0"/>
        <v>558</v>
      </c>
      <c r="B32" s="711" t="s">
        <v>1502</v>
      </c>
      <c r="C32" s="711"/>
      <c r="D32" s="711"/>
      <c r="E32" s="711"/>
      <c r="F32" s="711"/>
      <c r="G32" s="711"/>
    </row>
    <row r="33" spans="1:7" ht="37.5" x14ac:dyDescent="0.25">
      <c r="A33" s="251">
        <f t="shared" si="0"/>
        <v>559</v>
      </c>
      <c r="B33" s="231" t="str">
        <f>Suite&amp;" Electrical Room "&amp;SWFour</f>
        <v>G104 Electrical Room XXX</v>
      </c>
      <c r="C33" s="183" t="str">
        <f>"UP"&amp;SWFour</f>
        <v>UPXXX</v>
      </c>
      <c r="D33" s="233" t="s">
        <v>1568</v>
      </c>
      <c r="E33" s="183" t="s">
        <v>1464</v>
      </c>
      <c r="F33" s="193"/>
      <c r="G33" s="193"/>
    </row>
    <row r="34" spans="1:7" ht="37.5" x14ac:dyDescent="0.25">
      <c r="A34" s="251">
        <f t="shared" si="0"/>
        <v>560</v>
      </c>
      <c r="B34" s="231" t="str">
        <f>Suite&amp;" Electrical Room "&amp;SWFour</f>
        <v>G104 Electrical Room XXX</v>
      </c>
      <c r="C34" s="183" t="str">
        <f>"UP"&amp;SWFour</f>
        <v>UPXXX</v>
      </c>
      <c r="D34" s="186" t="s">
        <v>1569</v>
      </c>
      <c r="E34" s="183" t="s">
        <v>1464</v>
      </c>
      <c r="F34" s="193"/>
      <c r="G34" s="193"/>
    </row>
    <row r="35" spans="1:7" ht="37.5" x14ac:dyDescent="0.25">
      <c r="A35" s="251">
        <f t="shared" si="0"/>
        <v>561</v>
      </c>
      <c r="B35" s="231" t="str">
        <f>Suite&amp;" Electrical Room "&amp;SWFour</f>
        <v>G104 Electrical Room XXX</v>
      </c>
      <c r="C35" s="183" t="str">
        <f>"UP"&amp;SWFour</f>
        <v>UPXXX</v>
      </c>
      <c r="D35" s="186" t="s">
        <v>1570</v>
      </c>
      <c r="E35" s="183" t="s">
        <v>1464</v>
      </c>
      <c r="F35" s="193"/>
      <c r="G35" s="193"/>
    </row>
    <row r="36" spans="1:7" ht="37.5" x14ac:dyDescent="0.25">
      <c r="A36" s="251">
        <f t="shared" si="0"/>
        <v>562</v>
      </c>
      <c r="B36" s="231" t="str">
        <f>Suite&amp;" Electrical Room "&amp;SWFour</f>
        <v>G104 Electrical Room XXX</v>
      </c>
      <c r="C36" s="183" t="str">
        <f>"UP"&amp;SWFour</f>
        <v>UPXXX</v>
      </c>
      <c r="D36" s="233" t="str" cm="1">
        <f t="array" ref="D36">"INSERT the interlock key into the MBUP" &amp; SWFour &amp; " breaker lock cylinder."</f>
        <v>INSERT the interlock key into the MBUPXXX breaker lock cylinder.</v>
      </c>
      <c r="E36" s="183" t="s">
        <v>1464</v>
      </c>
      <c r="F36" s="193"/>
      <c r="G36" s="193"/>
    </row>
    <row r="37" spans="1:7" ht="37.5" x14ac:dyDescent="0.25">
      <c r="A37" s="251">
        <f t="shared" si="0"/>
        <v>563</v>
      </c>
      <c r="B37" s="231" t="str">
        <f>Suite&amp;" Electrical Room "&amp;SWFour</f>
        <v>G104 Electrical Room XXX</v>
      </c>
      <c r="C37" s="183" t="str">
        <f>"UP"&amp;SWFour</f>
        <v>UPXXX</v>
      </c>
      <c r="D37" s="186" t="str" cm="1">
        <f t="array" ref="D37">"ROTATE the interlock key 180 degrees to UNLOCK the MBUP" &amp; SWFour &amp; " breaker."</f>
        <v>ROTATE the interlock key 180 degrees to UNLOCK the MBUPXXX breaker.</v>
      </c>
      <c r="E37" s="183" t="s">
        <v>1464</v>
      </c>
      <c r="F37" s="193"/>
      <c r="G37" s="193"/>
    </row>
    <row r="38" spans="1:7" ht="37.5" x14ac:dyDescent="0.25">
      <c r="A38" s="251">
        <f t="shared" si="0"/>
        <v>564</v>
      </c>
      <c r="B38" s="231" t="str">
        <f>Suite&amp;" Electrical Room "&amp;SWFour</f>
        <v>G104 Electrical Room XXX</v>
      </c>
      <c r="C38" s="183" t="str">
        <f>"UP"&amp;SWFour</f>
        <v>UPXXX</v>
      </c>
      <c r="D38" s="233" t="str" cm="1">
        <f t="array" ref="D38">"Close breaker MBUP" &amp; SWFour &amp; "."</f>
        <v>Close breaker MBUPXXX.</v>
      </c>
      <c r="E38" s="183" t="s">
        <v>1464</v>
      </c>
      <c r="F38" s="193"/>
      <c r="G38" s="193"/>
    </row>
    <row r="39" spans="1:7" ht="37.5" x14ac:dyDescent="0.25">
      <c r="A39" s="251">
        <f t="shared" si="0"/>
        <v>565</v>
      </c>
      <c r="B39" s="231" t="str">
        <f>Suite&amp;" Electrical Room "&amp;SWFour</f>
        <v>G104 Electrical Room XXX</v>
      </c>
      <c r="C39" s="183" t="str">
        <f>"UP"&amp;SWFour</f>
        <v>UPXXX</v>
      </c>
      <c r="D39" s="186" t="str" cm="1">
        <f t="array" ref="D39">"VERIFY MBUP" &amp; SWFour &amp; " breaker flag indicates CLOSED."</f>
        <v>VERIFY MBUPXXX breaker flag indicates CLOSED.</v>
      </c>
      <c r="E39" s="183" t="s">
        <v>1464</v>
      </c>
      <c r="F39" s="193"/>
      <c r="G39" s="193"/>
    </row>
    <row r="40" spans="1:7" ht="37.5" x14ac:dyDescent="0.25">
      <c r="A40" s="251">
        <f t="shared" si="0"/>
        <v>566</v>
      </c>
      <c r="B40" s="231" t="str">
        <f>Suite&amp;" Electrical Room "&amp;SWFour</f>
        <v>G104 Electrical Room XXX</v>
      </c>
      <c r="C40" s="183" t="str">
        <f>"UP"&amp;SWFour</f>
        <v>UPXXX</v>
      </c>
      <c r="D40" s="233" t="str" cm="1">
        <f t="array" ref="D40">"VERIFY breaker MBUP" &amp; SWFour &amp; " is carrying a portion of critical customer load using breaker mounted metering."</f>
        <v>VERIFY breaker MBUPXXX is carrying a portion of critical customer load using breaker mounted metering.</v>
      </c>
      <c r="E40" s="183" t="s">
        <v>1464</v>
      </c>
      <c r="F40" s="193"/>
      <c r="G40" s="193"/>
    </row>
    <row r="41" spans="1:7" ht="37.5" x14ac:dyDescent="0.25">
      <c r="A41" s="251">
        <f t="shared" si="0"/>
        <v>567</v>
      </c>
      <c r="B41" s="231" t="str">
        <f>Suite&amp;" Electrical Room "&amp;SWFour</f>
        <v>G104 Electrical Room XXX</v>
      </c>
      <c r="C41" s="183" t="str">
        <f>"UP"&amp;SWFour</f>
        <v>UPXXX</v>
      </c>
      <c r="D41" s="233" t="str" cm="1">
        <f t="array" ref="D41">"VERIFY breaker MCBUP" &amp; SWFour &amp; " is carrying a portion of critical customer load using breaker mounted metering."</f>
        <v>VERIFY breaker MCBUPXXX is carrying a portion of critical customer load using breaker mounted metering.</v>
      </c>
      <c r="E41" s="183" t="s">
        <v>1464</v>
      </c>
      <c r="F41" s="193"/>
      <c r="G41" s="193"/>
    </row>
    <row r="42" spans="1:7" ht="37.5" x14ac:dyDescent="0.25">
      <c r="A42" s="251">
        <f t="shared" si="0"/>
        <v>568</v>
      </c>
      <c r="B42" s="231" t="str">
        <f>Suite&amp;" Electrical Room "&amp;SWFour</f>
        <v>G104 Electrical Room XXX</v>
      </c>
      <c r="C42" s="183" t="str">
        <f>"UP"&amp;SWFour</f>
        <v>UPXXX</v>
      </c>
      <c r="D42" s="233" t="str" cm="1">
        <f t="array" ref="D42">"NOTATE the kW reading at UP" &amp; SWFour &amp; " Critical Bus Panel Meter: _________"</f>
        <v>NOTATE the kW reading at UPXXX Critical Bus Panel Meter: _________</v>
      </c>
      <c r="E42" s="183" t="s">
        <v>1464</v>
      </c>
      <c r="F42" s="193"/>
      <c r="G42" s="193"/>
    </row>
    <row r="43" spans="1:7" ht="37.5" x14ac:dyDescent="0.25">
      <c r="A43" s="251">
        <f t="shared" si="0"/>
        <v>569</v>
      </c>
      <c r="B43" s="231" t="str">
        <f>Suite&amp;" Electrical Room "&amp;SWFour</f>
        <v>G104 Electrical Room XXX</v>
      </c>
      <c r="C43" s="183" t="str">
        <f>"UP"&amp;SWFour</f>
        <v>UPXXX</v>
      </c>
      <c r="D43" s="233" t="str">
        <f>"VERIFY the readings in step " &amp; A30 &amp; " and " &amp; A42 &amp; " are within 3% of each other. (new kW divided by original kW must be ≤1.03 and ≥0.97)."</f>
        <v>VERIFY the readings in step 556 and 568 are within 3% of each other. (new kW divided by original kW must be ≤1.03 and ≥0.97).</v>
      </c>
      <c r="E43" s="183" t="s">
        <v>1464</v>
      </c>
      <c r="F43" s="193"/>
      <c r="G43" s="193"/>
    </row>
    <row r="44" spans="1:7" ht="37.5" x14ac:dyDescent="0.25">
      <c r="A44" s="251">
        <f t="shared" si="0"/>
        <v>570</v>
      </c>
      <c r="B44" s="231" t="str">
        <f>Suite&amp;" Electrical Room "&amp;SWFour</f>
        <v>G104 Electrical Room XXX</v>
      </c>
      <c r="C44" s="183" t="str">
        <f>"UP"&amp;SWFour</f>
        <v>UPXXX</v>
      </c>
      <c r="D44" s="233" t="str" cm="1">
        <f t="array" ref="D44">"Pump the MCBUP" &amp; SWFour &amp; " breaker charging handle repeatedly to compress the charging spring and charge the breaker."</f>
        <v>Pump the MCBUPXXX breaker charging handle repeatedly to compress the charging spring and charge the breaker.</v>
      </c>
      <c r="E44" s="183" t="s">
        <v>1464</v>
      </c>
      <c r="F44" s="193"/>
      <c r="G44" s="193"/>
    </row>
    <row r="45" spans="1:7" ht="56.25" x14ac:dyDescent="0.25">
      <c r="A45" s="251">
        <f t="shared" si="0"/>
        <v>571</v>
      </c>
      <c r="B45" s="231" t="str">
        <f>Suite&amp;" Electrical Room "&amp;SWFour</f>
        <v>G104 Electrical Room XXX</v>
      </c>
      <c r="C45" s="183" t="str">
        <f>"UP"&amp;SWFour</f>
        <v>UPXXX</v>
      </c>
      <c r="D45" s="233" t="str" cm="1">
        <f t="array" ref="D45">"Note: If breaker MCBUP" &amp; SWFour &amp; " fails to charge, do not proceed with the procedure as this will prevent system restoration and stabilization following completion of maintenance."</f>
        <v>Note: If breaker MCBUPXXX fails to charge, do not proceed with the procedure as this will prevent system restoration and stabilization following completion of maintenance.</v>
      </c>
      <c r="E45" s="183" t="s">
        <v>1464</v>
      </c>
      <c r="F45" s="193"/>
      <c r="G45" s="193"/>
    </row>
    <row r="46" spans="1:7" ht="37.5" x14ac:dyDescent="0.25">
      <c r="A46" s="251">
        <f t="shared" si="0"/>
        <v>572</v>
      </c>
      <c r="B46" s="231" t="str">
        <f>Suite&amp;" Electrical Room "&amp;SWFour</f>
        <v>G104 Electrical Room XXX</v>
      </c>
      <c r="C46" s="183" t="str">
        <f>"UP"&amp;SWFour</f>
        <v>UPXXX</v>
      </c>
      <c r="D46" s="233" t="str" cm="1">
        <f t="array" ref="D46">"OPEN breaker MCBUP" &amp; SWFour &amp; "."</f>
        <v>OPEN breaker MCBUPXXX.</v>
      </c>
      <c r="E46" s="183" t="s">
        <v>1464</v>
      </c>
      <c r="F46" s="193"/>
      <c r="G46" s="193"/>
    </row>
    <row r="47" spans="1:7" ht="37.5" x14ac:dyDescent="0.25">
      <c r="A47" s="251">
        <f t="shared" si="0"/>
        <v>573</v>
      </c>
      <c r="B47" s="231" t="str">
        <f>Suite&amp;" Electrical Room "&amp;SWFour</f>
        <v>G104 Electrical Room XXX</v>
      </c>
      <c r="C47" s="183" t="str">
        <f>"UP"&amp;SWFour</f>
        <v>UPXXX</v>
      </c>
      <c r="D47" s="233" t="s">
        <v>1506</v>
      </c>
      <c r="E47" s="183" t="s">
        <v>1464</v>
      </c>
      <c r="F47" s="193"/>
      <c r="G47" s="193"/>
    </row>
    <row r="48" spans="1:7" ht="37.5" x14ac:dyDescent="0.25">
      <c r="A48" s="251">
        <f t="shared" si="0"/>
        <v>574</v>
      </c>
      <c r="B48" s="231" t="str">
        <f>Suite&amp;" Electrical Room "&amp;SWFour</f>
        <v>G104 Electrical Room XXX</v>
      </c>
      <c r="C48" s="183" t="str">
        <f>"UP"&amp;SWFour</f>
        <v>UPXXX</v>
      </c>
      <c r="D48" s="186" t="str" cm="1">
        <f t="array" ref="D48">"VERIFY MCBUP" &amp; SWFour &amp; " breaker flag indicates OPEN."</f>
        <v>VERIFY MCBUPXXX breaker flag indicates OPEN.</v>
      </c>
      <c r="E48" s="183" t="s">
        <v>1464</v>
      </c>
      <c r="F48" s="193"/>
      <c r="G48" s="193"/>
    </row>
    <row r="49" spans="1:7" ht="37.5" x14ac:dyDescent="0.25">
      <c r="A49" s="251">
        <f t="shared" si="0"/>
        <v>575</v>
      </c>
      <c r="B49" s="231" t="str">
        <f>Suite&amp;" Electrical Room "&amp;SWFour</f>
        <v>G104 Electrical Room XXX</v>
      </c>
      <c r="C49" s="183" t="str">
        <f>"UP"&amp;SWFour</f>
        <v>UPXXX</v>
      </c>
      <c r="D49" s="233" t="str" cm="1">
        <f t="array" ref="D49">"Apply LOTO to breaker MCBUP" &amp; SWFour &amp; "."</f>
        <v>Apply LOTO to breaker MCBUPXXX.</v>
      </c>
      <c r="E49" s="183" t="s">
        <v>1464</v>
      </c>
      <c r="F49" s="193"/>
      <c r="G49" s="193"/>
    </row>
    <row r="50" spans="1:7" ht="37.5" x14ac:dyDescent="0.25">
      <c r="A50" s="251">
        <f t="shared" si="0"/>
        <v>576</v>
      </c>
      <c r="B50" s="231" t="str">
        <f>Suite&amp;" Electrical Room "&amp;SWFour</f>
        <v>G104 Electrical Room XXX</v>
      </c>
      <c r="C50" s="183" t="str">
        <f>"UP"&amp;SWFour</f>
        <v>UPXXX</v>
      </c>
      <c r="D50" s="186" t="s">
        <v>1518</v>
      </c>
      <c r="E50" s="183" t="s">
        <v>1464</v>
      </c>
      <c r="F50" s="193"/>
      <c r="G50" s="193"/>
    </row>
    <row r="51" spans="1:7" ht="37.5" x14ac:dyDescent="0.25">
      <c r="A51" s="251">
        <f t="shared" si="0"/>
        <v>577</v>
      </c>
      <c r="B51" s="231" t="str">
        <f>Suite&amp;" Electrical Room "&amp;SWFour</f>
        <v>G104 Electrical Room XXX</v>
      </c>
      <c r="C51" s="183" t="str">
        <f>"UP"&amp;SWFour</f>
        <v>UPXXX</v>
      </c>
      <c r="D51" s="233" t="str" cm="1">
        <f t="array" ref="D51">"NOTATE the kW reading at UP" &amp; SWFour &amp; " Critical Bus Panel Meter: _________"</f>
        <v>NOTATE the kW reading at UPXXX Critical Bus Panel Meter: _________</v>
      </c>
      <c r="E51" s="183" t="s">
        <v>1464</v>
      </c>
      <c r="F51" s="193"/>
      <c r="G51" s="193"/>
    </row>
    <row r="52" spans="1:7" ht="37.5" x14ac:dyDescent="0.25">
      <c r="A52" s="251">
        <f t="shared" si="0"/>
        <v>578</v>
      </c>
      <c r="B52" s="231" t="str">
        <f>Suite&amp;" Electrical Room "&amp;SWFour</f>
        <v>G104 Electrical Room XXX</v>
      </c>
      <c r="C52" s="183" t="str">
        <f>"UP"&amp;SWFour</f>
        <v>UPXXX</v>
      </c>
      <c r="D52" s="233" t="str">
        <f>"VERIFY the readings in step " &amp; A42 &amp; " and " &amp; A51 &amp; " are within 3% of each other. (new kW divided by original kW must be ≤1.03 and ≥0.97)."</f>
        <v>VERIFY the readings in step 568 and 577 are within 3% of each other. (new kW divided by original kW must be ≤1.03 and ≥0.97).</v>
      </c>
      <c r="E52" s="183" t="s">
        <v>1464</v>
      </c>
      <c r="F52" s="193"/>
      <c r="G52" s="193"/>
    </row>
    <row r="53" spans="1:7" ht="37.5" x14ac:dyDescent="0.25">
      <c r="A53" s="251">
        <f t="shared" si="0"/>
        <v>579</v>
      </c>
      <c r="B53" s="231" t="str">
        <f>Suite&amp;" Electrical Room "&amp;SWFour</f>
        <v>G104 Electrical Room XXX</v>
      </c>
      <c r="C53" s="183" t="str">
        <f>"UP"&amp;SWFour</f>
        <v>UPXXX</v>
      </c>
      <c r="D53" s="186" t="str" cm="1">
        <f t="array" ref="D53">"ROTATE the interlock key 180 degrees to LOCK the MCBUP"&amp;SWFour&amp;" breaker while simultaneously pulling the lock tab."</f>
        <v>ROTATE the interlock key 180 degrees to LOCK the MCBUPXXX breaker while simultaneously pulling the lock tab.</v>
      </c>
      <c r="E53" s="183" t="s">
        <v>1464</v>
      </c>
      <c r="F53" s="193"/>
      <c r="G53" s="193"/>
    </row>
    <row r="54" spans="1:7" ht="37.5" x14ac:dyDescent="0.25">
      <c r="A54" s="251">
        <f t="shared" si="0"/>
        <v>580</v>
      </c>
      <c r="B54" s="231" t="str">
        <f>Suite&amp;" Electrical Room "&amp;SWFour</f>
        <v>G104 Electrical Room XXX</v>
      </c>
      <c r="C54" s="183" t="str">
        <f>"UP"&amp;SWFour</f>
        <v>UPXXX</v>
      </c>
      <c r="D54" s="186" t="str" cm="1">
        <f t="array" ref="D54">"REMOVE the interlock key from the MCBUP"&amp;SWFour&amp;" breaker lock cylinder."</f>
        <v>REMOVE the interlock key from the MCBUPXXX breaker lock cylinder.</v>
      </c>
      <c r="E54" s="183" t="s">
        <v>1464</v>
      </c>
      <c r="F54" s="193"/>
      <c r="G54" s="193"/>
    </row>
    <row r="55" spans="1:7" ht="37.5" x14ac:dyDescent="0.25">
      <c r="A55" s="251">
        <f t="shared" si="0"/>
        <v>581</v>
      </c>
      <c r="B55" s="231" t="str">
        <f>Suite&amp;" Electrical Room "&amp;SWFour</f>
        <v>G104 Electrical Room XXX</v>
      </c>
      <c r="C55" s="183" t="str">
        <f>"UP"&amp;SWFour</f>
        <v>UPXXX</v>
      </c>
      <c r="D55" s="233" t="s">
        <v>1573</v>
      </c>
      <c r="E55" s="183" t="s">
        <v>1464</v>
      </c>
      <c r="F55" s="193"/>
      <c r="G55" s="193"/>
    </row>
    <row r="56" spans="1:7" ht="37.5" x14ac:dyDescent="0.25">
      <c r="A56" s="251">
        <f t="shared" si="0"/>
        <v>582</v>
      </c>
      <c r="B56" s="231" t="str">
        <f>Suite&amp;" Electrical Room "&amp;SWFour</f>
        <v>G104 Electrical Room XXX</v>
      </c>
      <c r="C56" s="183" t="str">
        <f>"UP"&amp;SWFour</f>
        <v>UPXXX</v>
      </c>
      <c r="D56" s="186" t="s">
        <v>1574</v>
      </c>
      <c r="E56" s="183" t="s">
        <v>1464</v>
      </c>
      <c r="F56" s="193"/>
      <c r="G56" s="193"/>
    </row>
    <row r="57" spans="1:7" ht="37.5" x14ac:dyDescent="0.25">
      <c r="A57" s="251">
        <f t="shared" si="0"/>
        <v>583</v>
      </c>
      <c r="B57" s="231" t="str">
        <f>Suite&amp;" Electrical Room "&amp;SWFour</f>
        <v>G104 Electrical Room XXX</v>
      </c>
      <c r="C57" s="183" t="str">
        <f>"UP"&amp;SWFour</f>
        <v>UPXXX</v>
      </c>
      <c r="D57" s="186" t="s">
        <v>1575</v>
      </c>
      <c r="E57" s="183" t="s">
        <v>1464</v>
      </c>
      <c r="F57" s="193"/>
      <c r="G57" s="193"/>
    </row>
    <row r="58" spans="1:7" ht="37.5" x14ac:dyDescent="0.25">
      <c r="A58" s="251">
        <f t="shared" si="0"/>
        <v>584</v>
      </c>
      <c r="B58" s="231" t="str">
        <f>Suite&amp;" Electrical Room "&amp;SWFour</f>
        <v>G104 Electrical Room XXX</v>
      </c>
      <c r="C58" s="183" t="str">
        <f>"UP"&amp;SWFour</f>
        <v>UPXXX</v>
      </c>
      <c r="D58" s="186" t="s">
        <v>1510</v>
      </c>
      <c r="E58" s="183" t="s">
        <v>1464</v>
      </c>
      <c r="F58" s="193"/>
      <c r="G58" s="193"/>
    </row>
    <row r="59" spans="1:7" ht="37.5" x14ac:dyDescent="0.25">
      <c r="A59" s="251">
        <f t="shared" si="0"/>
        <v>585</v>
      </c>
      <c r="B59" s="231" t="str">
        <f>Suite&amp;" Electrical Room "&amp;SWFour</f>
        <v>G104 Electrical Room XXX</v>
      </c>
      <c r="C59" s="183" t="str">
        <f>"UP"&amp;SWFour</f>
        <v>UPXXX</v>
      </c>
      <c r="D59" s="233" t="str" cm="1">
        <f t="array" ref="D59">"NOTATE the kW reading at UP" &amp; SWFour &amp; " Critical Bus Panel Meter: _________"</f>
        <v>NOTATE the kW reading at UPXXX Critical Bus Panel Meter: _________</v>
      </c>
      <c r="E59" s="183" t="s">
        <v>1464</v>
      </c>
      <c r="F59" s="193"/>
      <c r="G59" s="193"/>
    </row>
    <row r="60" spans="1:7" ht="37.5" x14ac:dyDescent="0.25">
      <c r="A60" s="251">
        <f t="shared" si="0"/>
        <v>586</v>
      </c>
      <c r="B60" s="231" t="str">
        <f>Suite&amp;" Electrical Room "&amp;SWFour</f>
        <v>G104 Electrical Room XXX</v>
      </c>
      <c r="C60" s="183" t="str">
        <f>"UP"&amp;SWFour</f>
        <v>UPXXX</v>
      </c>
      <c r="D60" s="233" t="str">
        <f>"VERIFY the readings in step " &amp; A51 &amp; " and " &amp; A59 &amp; " are within 3% of each other. (new kW divided by original kW must be ≤1.03 and ≥0.97)."</f>
        <v>VERIFY the readings in step 577 and 585 are within 3% of each other. (new kW divided by original kW must be ≤1.03 and ≥0.97).</v>
      </c>
      <c r="E60" s="183" t="s">
        <v>1464</v>
      </c>
      <c r="F60" s="193"/>
      <c r="G60" s="193"/>
    </row>
    <row r="61" spans="1:7" x14ac:dyDescent="0.25">
      <c r="A61" s="251">
        <f t="shared" si="0"/>
        <v>587</v>
      </c>
      <c r="B61" s="711" t="str" cm="1">
        <f t="array" ref="B61">"Shutdown UPS System " &amp; SWFour</f>
        <v>Shutdown UPS System XXX</v>
      </c>
      <c r="C61" s="711"/>
      <c r="D61" s="711"/>
      <c r="E61" s="711"/>
      <c r="F61" s="711"/>
      <c r="G61" s="711"/>
    </row>
    <row r="62" spans="1:7" ht="37.5" x14ac:dyDescent="0.25">
      <c r="A62" s="251">
        <f t="shared" si="0"/>
        <v>588</v>
      </c>
      <c r="B62" s="231" t="str">
        <f>Suite&amp;" Electrical Room "&amp;SWFour</f>
        <v>G104 Electrical Room XXX</v>
      </c>
      <c r="C62" s="183" t="str">
        <f>"UPS "&amp;SWFour&amp;"1"</f>
        <v>UPS XXX1</v>
      </c>
      <c r="D62" s="233" t="s">
        <v>1753</v>
      </c>
      <c r="E62" s="183" t="s">
        <v>1464</v>
      </c>
      <c r="F62" s="193"/>
      <c r="G62" s="193"/>
    </row>
    <row r="63" spans="1:7" ht="37.5" x14ac:dyDescent="0.25">
      <c r="A63" s="251">
        <f t="shared" si="0"/>
        <v>589</v>
      </c>
      <c r="B63" s="231" t="str">
        <f>Suite&amp;" Electrical Room "&amp;SWFour</f>
        <v>G104 Electrical Room XXX</v>
      </c>
      <c r="C63" s="183" t="str">
        <f>"UPS "&amp;SWFour&amp;"2"</f>
        <v>UPS XXX2</v>
      </c>
      <c r="D63" s="233" t="s">
        <v>1753</v>
      </c>
      <c r="E63" s="183" t="s">
        <v>1464</v>
      </c>
      <c r="F63" s="193"/>
      <c r="G63" s="193"/>
    </row>
    <row r="64" spans="1:7" ht="56.25" x14ac:dyDescent="0.25">
      <c r="A64" s="251">
        <f t="shared" si="0"/>
        <v>590</v>
      </c>
      <c r="B64" s="231" t="str">
        <f>Suite&amp;" Electrical Room "&amp;SWFour</f>
        <v>G104 Electrical Room XXX</v>
      </c>
      <c r="C64" s="183" t="str">
        <f>"UPS "&amp;SWFour&amp;" Battery Cabinets"</f>
        <v>UPS XXX Battery Cabinets</v>
      </c>
      <c r="D64" s="186" t="str" cm="1">
        <f t="array" ref="D64">"OPEN the Cabinet " &amp; SWFour &amp; "1-1 battery breaker."</f>
        <v>OPEN the Cabinet XXX1-1 battery breaker.</v>
      </c>
      <c r="E64" s="183" t="s">
        <v>1464</v>
      </c>
      <c r="F64" s="193"/>
      <c r="G64" s="193"/>
    </row>
    <row r="65" spans="1:7" ht="56.25" x14ac:dyDescent="0.25">
      <c r="A65" s="251">
        <f t="shared" si="0"/>
        <v>591</v>
      </c>
      <c r="B65" s="231" t="str">
        <f>Suite&amp;" Electrical Room "&amp;SWFour</f>
        <v>G104 Electrical Room XXX</v>
      </c>
      <c r="C65" s="183" t="str">
        <f>"UPS "&amp;SWFour&amp;" Battery Cabinets"</f>
        <v>UPS XXX Battery Cabinets</v>
      </c>
      <c r="D65" s="186" t="str" cm="1">
        <f t="array" ref="D65">"Apply LOTO to the Cabinet " &amp; SWFour &amp; "1-1 battery breaker."</f>
        <v>Apply LOTO to the Cabinet XXX1-1 battery breaker.</v>
      </c>
      <c r="E65" s="183" t="s">
        <v>1464</v>
      </c>
      <c r="F65" s="193"/>
      <c r="G65" s="193"/>
    </row>
    <row r="66" spans="1:7" ht="56.25" x14ac:dyDescent="0.25">
      <c r="A66" s="251">
        <f t="shared" si="0"/>
        <v>592</v>
      </c>
      <c r="B66" s="231" t="str">
        <f>Suite&amp;" Electrical Room "&amp;SWFour</f>
        <v>G104 Electrical Room XXX</v>
      </c>
      <c r="C66" s="183" t="str">
        <f>"UPS "&amp;SWFour&amp;" Battery Cabinets"</f>
        <v>UPS XXX Battery Cabinets</v>
      </c>
      <c r="D66" s="186" t="s">
        <v>1518</v>
      </c>
      <c r="E66" s="183" t="s">
        <v>1464</v>
      </c>
      <c r="F66" s="193"/>
      <c r="G66" s="193"/>
    </row>
    <row r="67" spans="1:7" ht="56.25" x14ac:dyDescent="0.25">
      <c r="A67" s="251">
        <f t="shared" si="0"/>
        <v>593</v>
      </c>
      <c r="B67" s="231" t="str">
        <f>Suite&amp;" Electrical Room "&amp;SWFour</f>
        <v>G104 Electrical Room XXX</v>
      </c>
      <c r="C67" s="183" t="str">
        <f>"UPS "&amp;SWFour&amp;" Battery Cabinets"</f>
        <v>UPS XXX Battery Cabinets</v>
      </c>
      <c r="D67" s="186" t="str" cm="1">
        <f t="array" ref="D67">"OPEN the Cabinet " &amp; SWFour &amp; "1-2 battery breaker."</f>
        <v>OPEN the Cabinet XXX1-2 battery breaker.</v>
      </c>
      <c r="E67" s="183" t="s">
        <v>1464</v>
      </c>
      <c r="F67" s="193"/>
      <c r="G67" s="193"/>
    </row>
    <row r="68" spans="1:7" ht="56.25" x14ac:dyDescent="0.25">
      <c r="A68" s="251">
        <f t="shared" si="0"/>
        <v>594</v>
      </c>
      <c r="B68" s="231" t="str">
        <f>Suite&amp;" Electrical Room "&amp;SWFour</f>
        <v>G104 Electrical Room XXX</v>
      </c>
      <c r="C68" s="183" t="str">
        <f>"UPS "&amp;SWFour&amp;" Battery Cabinets"</f>
        <v>UPS XXX Battery Cabinets</v>
      </c>
      <c r="D68" s="186" t="str" cm="1">
        <f t="array" ref="D68">"Apply LOTO to the Cabinet " &amp; SWFour &amp; "1-2 battery breaker."</f>
        <v>Apply LOTO to the Cabinet XXX1-2 battery breaker.</v>
      </c>
      <c r="E68" s="183" t="s">
        <v>1464</v>
      </c>
      <c r="F68" s="193"/>
      <c r="G68" s="193"/>
    </row>
    <row r="69" spans="1:7" ht="56.25" x14ac:dyDescent="0.25">
      <c r="A69" s="251">
        <f t="shared" si="0"/>
        <v>595</v>
      </c>
      <c r="B69" s="231" t="str">
        <f>Suite&amp;" Electrical Room "&amp;SWFour</f>
        <v>G104 Electrical Room XXX</v>
      </c>
      <c r="C69" s="183" t="str">
        <f>"UPS "&amp;SWFour&amp;" Battery Cabinets"</f>
        <v>UPS XXX Battery Cabinets</v>
      </c>
      <c r="D69" s="186" t="s">
        <v>1518</v>
      </c>
      <c r="E69" s="183" t="s">
        <v>1464</v>
      </c>
      <c r="F69" s="193"/>
      <c r="G69" s="193"/>
    </row>
    <row r="70" spans="1:7" ht="56.25" x14ac:dyDescent="0.25">
      <c r="A70" s="251">
        <f t="shared" si="0"/>
        <v>596</v>
      </c>
      <c r="B70" s="231" t="str">
        <f>Suite&amp;" Electrical Room "&amp;SWFour</f>
        <v>G104 Electrical Room XXX</v>
      </c>
      <c r="C70" s="183" t="str">
        <f>"UPS "&amp;SWFour&amp;" Battery Cabinets"</f>
        <v>UPS XXX Battery Cabinets</v>
      </c>
      <c r="D70" s="186" t="str" cm="1">
        <f t="array" ref="D70">"OPEN the Cabinet " &amp; SWFour &amp; "1-3 battery breaker."</f>
        <v>OPEN the Cabinet XXX1-3 battery breaker.</v>
      </c>
      <c r="E70" s="183" t="s">
        <v>1464</v>
      </c>
      <c r="F70" s="193"/>
      <c r="G70" s="193"/>
    </row>
    <row r="71" spans="1:7" ht="56.25" x14ac:dyDescent="0.25">
      <c r="A71" s="251">
        <f t="shared" si="0"/>
        <v>597</v>
      </c>
      <c r="B71" s="231" t="str">
        <f>Suite&amp;" Electrical Room "&amp;SWFour</f>
        <v>G104 Electrical Room XXX</v>
      </c>
      <c r="C71" s="183" t="str">
        <f>"UPS "&amp;SWFour&amp;" Battery Cabinets"</f>
        <v>UPS XXX Battery Cabinets</v>
      </c>
      <c r="D71" s="186" t="str" cm="1">
        <f t="array" ref="D71">"Apply LOTO to the Cabinet " &amp; SWFour &amp; "1-3 battery breaker."</f>
        <v>Apply LOTO to the Cabinet XXX1-3 battery breaker.</v>
      </c>
      <c r="E71" s="183" t="s">
        <v>1464</v>
      </c>
      <c r="F71" s="193"/>
      <c r="G71" s="193"/>
    </row>
    <row r="72" spans="1:7" ht="56.25" x14ac:dyDescent="0.25">
      <c r="A72" s="251">
        <f t="shared" si="0"/>
        <v>598</v>
      </c>
      <c r="B72" s="231" t="str">
        <f>Suite&amp;" Electrical Room "&amp;SWFour</f>
        <v>G104 Electrical Room XXX</v>
      </c>
      <c r="C72" s="183" t="str">
        <f>"UPS "&amp;SWFour&amp;" Battery Cabinets"</f>
        <v>UPS XXX Battery Cabinets</v>
      </c>
      <c r="D72" s="186" t="s">
        <v>1518</v>
      </c>
      <c r="E72" s="183" t="s">
        <v>1464</v>
      </c>
      <c r="F72" s="193"/>
      <c r="G72" s="193"/>
    </row>
    <row r="73" spans="1:7" ht="56.25" x14ac:dyDescent="0.25">
      <c r="A73" s="251">
        <f t="shared" si="0"/>
        <v>599</v>
      </c>
      <c r="B73" s="231" t="str">
        <f>Suite&amp;" Electrical Room "&amp;SWFour</f>
        <v>G104 Electrical Room XXX</v>
      </c>
      <c r="C73" s="183" t="str">
        <f>"UPS "&amp;SWFour&amp;" Battery Cabinets"</f>
        <v>UPS XXX Battery Cabinets</v>
      </c>
      <c r="D73" s="186" t="str" cm="1">
        <f t="array" ref="D73">"OPEN the Cabinet " &amp; SWFour &amp; "2-1 battery breaker."</f>
        <v>OPEN the Cabinet XXX2-1 battery breaker.</v>
      </c>
      <c r="E73" s="183" t="s">
        <v>1464</v>
      </c>
      <c r="F73" s="193"/>
      <c r="G73" s="193"/>
    </row>
    <row r="74" spans="1:7" ht="56.25" x14ac:dyDescent="0.25">
      <c r="A74" s="251">
        <f t="shared" ref="A74:A137" si="1">A73+1</f>
        <v>600</v>
      </c>
      <c r="B74" s="231" t="str">
        <f>Suite&amp;" Electrical Room "&amp;SWFour</f>
        <v>G104 Electrical Room XXX</v>
      </c>
      <c r="C74" s="183" t="str">
        <f>"UPS "&amp;SWFour&amp;" Battery Cabinets"</f>
        <v>UPS XXX Battery Cabinets</v>
      </c>
      <c r="D74" s="186" t="str" cm="1">
        <f t="array" ref="D74">"Apply LOTO to the Cabinet " &amp; SWFour &amp; "2-1 battery breaker."</f>
        <v>Apply LOTO to the Cabinet XXX2-1 battery breaker.</v>
      </c>
      <c r="E74" s="183" t="s">
        <v>1464</v>
      </c>
      <c r="F74" s="193"/>
      <c r="G74" s="193"/>
    </row>
    <row r="75" spans="1:7" ht="56.25" x14ac:dyDescent="0.25">
      <c r="A75" s="251">
        <f t="shared" si="1"/>
        <v>601</v>
      </c>
      <c r="B75" s="231" t="str">
        <f>Suite&amp;" Electrical Room "&amp;SWFour</f>
        <v>G104 Electrical Room XXX</v>
      </c>
      <c r="C75" s="183" t="str">
        <f>"UPS "&amp;SWFour&amp;" Battery Cabinets"</f>
        <v>UPS XXX Battery Cabinets</v>
      </c>
      <c r="D75" s="186" t="s">
        <v>1518</v>
      </c>
      <c r="E75" s="183" t="s">
        <v>1464</v>
      </c>
      <c r="F75" s="193"/>
      <c r="G75" s="193"/>
    </row>
    <row r="76" spans="1:7" ht="56.25" x14ac:dyDescent="0.25">
      <c r="A76" s="251">
        <f t="shared" si="1"/>
        <v>602</v>
      </c>
      <c r="B76" s="231" t="str">
        <f>Suite&amp;" Electrical Room "&amp;SWFour</f>
        <v>G104 Electrical Room XXX</v>
      </c>
      <c r="C76" s="183" t="str">
        <f>"UPS "&amp;SWFour&amp;" Battery Cabinets"</f>
        <v>UPS XXX Battery Cabinets</v>
      </c>
      <c r="D76" s="186" t="str" cm="1">
        <f t="array" ref="D76">"OPEN the Cabinet " &amp; SWFour &amp; "2-2 battery breaker."</f>
        <v>OPEN the Cabinet XXX2-2 battery breaker.</v>
      </c>
      <c r="E76" s="183" t="s">
        <v>1464</v>
      </c>
      <c r="F76" s="193"/>
      <c r="G76" s="193"/>
    </row>
    <row r="77" spans="1:7" ht="56.25" x14ac:dyDescent="0.25">
      <c r="A77" s="251">
        <f t="shared" si="1"/>
        <v>603</v>
      </c>
      <c r="B77" s="231" t="str">
        <f>Suite&amp;" Electrical Room "&amp;SWFour</f>
        <v>G104 Electrical Room XXX</v>
      </c>
      <c r="C77" s="183" t="str">
        <f>"UPS "&amp;SWFour&amp;" Battery Cabinets"</f>
        <v>UPS XXX Battery Cabinets</v>
      </c>
      <c r="D77" s="186" t="str" cm="1">
        <f t="array" ref="D77">"Apply LOTO to the Cabinet " &amp; SWFour &amp; "2-2 battery breaker."</f>
        <v>Apply LOTO to the Cabinet XXX2-2 battery breaker.</v>
      </c>
      <c r="E77" s="183" t="s">
        <v>1464</v>
      </c>
      <c r="F77" s="193"/>
      <c r="G77" s="193"/>
    </row>
    <row r="78" spans="1:7" ht="56.25" x14ac:dyDescent="0.25">
      <c r="A78" s="251">
        <f t="shared" si="1"/>
        <v>604</v>
      </c>
      <c r="B78" s="231" t="str">
        <f>Suite&amp;" Electrical Room "&amp;SWFour</f>
        <v>G104 Electrical Room XXX</v>
      </c>
      <c r="C78" s="183" t="str">
        <f>"UPS "&amp;SWFour&amp;" Battery Cabinets"</f>
        <v>UPS XXX Battery Cabinets</v>
      </c>
      <c r="D78" s="186" t="s">
        <v>1518</v>
      </c>
      <c r="E78" s="183" t="s">
        <v>1464</v>
      </c>
      <c r="F78" s="193"/>
      <c r="G78" s="193"/>
    </row>
    <row r="79" spans="1:7" ht="56.25" x14ac:dyDescent="0.25">
      <c r="A79" s="251">
        <f t="shared" si="1"/>
        <v>605</v>
      </c>
      <c r="B79" s="231" t="str">
        <f>Suite&amp;" Electrical Room "&amp;SWFour</f>
        <v>G104 Electrical Room XXX</v>
      </c>
      <c r="C79" s="183" t="str">
        <f>"UPS "&amp;SWFour&amp;" Battery Cabinets"</f>
        <v>UPS XXX Battery Cabinets</v>
      </c>
      <c r="D79" s="186" t="str" cm="1">
        <f t="array" ref="D79">"OPEN the Cabinet " &amp; SWFour &amp; "2-3 battery breaker."</f>
        <v>OPEN the Cabinet XXX2-3 battery breaker.</v>
      </c>
      <c r="E79" s="183" t="s">
        <v>1464</v>
      </c>
      <c r="F79" s="193"/>
      <c r="G79" s="193"/>
    </row>
    <row r="80" spans="1:7" ht="56.25" x14ac:dyDescent="0.25">
      <c r="A80" s="251">
        <f t="shared" si="1"/>
        <v>606</v>
      </c>
      <c r="B80" s="231" t="str">
        <f>Suite&amp;" Electrical Room "&amp;SWFour</f>
        <v>G104 Electrical Room XXX</v>
      </c>
      <c r="C80" s="183" t="str">
        <f>"UPS "&amp;SWFour&amp;" Battery Cabinets"</f>
        <v>UPS XXX Battery Cabinets</v>
      </c>
      <c r="D80" s="186" t="str" cm="1">
        <f t="array" ref="D80">"Apply LOTO to the Cabinet " &amp; SWFour &amp; "2-3 battery breaker."</f>
        <v>Apply LOTO to the Cabinet XXX2-3 battery breaker.</v>
      </c>
      <c r="E80" s="183" t="s">
        <v>1464</v>
      </c>
      <c r="F80" s="193"/>
      <c r="G80" s="193"/>
    </row>
    <row r="81" spans="1:7" ht="56.25" x14ac:dyDescent="0.25">
      <c r="A81" s="251">
        <f t="shared" si="1"/>
        <v>607</v>
      </c>
      <c r="B81" s="231" t="str">
        <f>Suite&amp;" Electrical Room "&amp;SWFour</f>
        <v>G104 Electrical Room XXX</v>
      </c>
      <c r="C81" s="183" t="str">
        <f>"UPS "&amp;SWFour&amp;" Battery Cabinets"</f>
        <v>UPS XXX Battery Cabinets</v>
      </c>
      <c r="D81" s="186" t="s">
        <v>1518</v>
      </c>
      <c r="E81" s="183" t="s">
        <v>1464</v>
      </c>
      <c r="F81" s="193"/>
      <c r="G81" s="193"/>
    </row>
    <row r="82" spans="1:7" ht="37.5" x14ac:dyDescent="0.25">
      <c r="A82" s="251">
        <f t="shared" si="1"/>
        <v>608</v>
      </c>
      <c r="B82" s="231" t="str">
        <f>Suite&amp;" Electrical Room "&amp;SWFour</f>
        <v>G104 Electrical Room XXX</v>
      </c>
      <c r="C82" s="183" t="str">
        <f>"UPS "&amp;SWFour&amp;"1"</f>
        <v>UPS XXX1</v>
      </c>
      <c r="D82" s="233" t="s">
        <v>1754</v>
      </c>
      <c r="E82" s="183" t="s">
        <v>1464</v>
      </c>
      <c r="F82" s="193"/>
      <c r="G82" s="193"/>
    </row>
    <row r="83" spans="1:7" ht="37.5" x14ac:dyDescent="0.25">
      <c r="A83" s="251">
        <f t="shared" si="1"/>
        <v>609</v>
      </c>
      <c r="B83" s="231" t="str">
        <f>Suite&amp;" Electrical Room "&amp;SWFour</f>
        <v>G104 Electrical Room XXX</v>
      </c>
      <c r="C83" s="183" t="str">
        <f>"UPS "&amp;SWFour&amp;"2"</f>
        <v>UPS XXX2</v>
      </c>
      <c r="D83" s="233" t="s">
        <v>1754</v>
      </c>
      <c r="E83" s="183" t="s">
        <v>1464</v>
      </c>
      <c r="F83" s="193"/>
      <c r="G83" s="193"/>
    </row>
    <row r="84" spans="1:7" ht="37.5" x14ac:dyDescent="0.25">
      <c r="A84" s="251">
        <f t="shared" si="1"/>
        <v>610</v>
      </c>
      <c r="B84" s="231" t="str">
        <f>Suite&amp;" Electrical Room "&amp;SWFour</f>
        <v>G104 Electrical Room XXX</v>
      </c>
      <c r="C84" s="183" t="str">
        <f>"SCC "&amp;SWFour</f>
        <v>SCC XXX</v>
      </c>
      <c r="D84" s="233" t="s">
        <v>1755</v>
      </c>
      <c r="E84" s="183" t="s">
        <v>1464</v>
      </c>
      <c r="F84" s="193"/>
      <c r="G84" s="193"/>
    </row>
    <row r="85" spans="1:7" ht="37.5" x14ac:dyDescent="0.25">
      <c r="A85" s="251">
        <f t="shared" si="1"/>
        <v>611</v>
      </c>
      <c r="B85" s="231" t="str">
        <f>Suite&amp;" Electrical Room "&amp;SWFour</f>
        <v>G104 Electrical Room XXX</v>
      </c>
      <c r="C85" s="183" t="str">
        <f>"SCC "&amp;SWFour</f>
        <v>SCC XXX</v>
      </c>
      <c r="D85" s="233" t="s">
        <v>1756</v>
      </c>
      <c r="E85" s="183" t="s">
        <v>1464</v>
      </c>
      <c r="F85" s="193"/>
      <c r="G85" s="193"/>
    </row>
    <row r="86" spans="1:7" ht="37.5" x14ac:dyDescent="0.25">
      <c r="A86" s="251">
        <f t="shared" si="1"/>
        <v>612</v>
      </c>
      <c r="B86" s="231" t="str">
        <f>Suite&amp;" Electrical Room "&amp;SWFour</f>
        <v>G104 Electrical Room XXX</v>
      </c>
      <c r="C86" s="183" t="str">
        <f>"SCC "&amp;SWFour</f>
        <v>SCC XXX</v>
      </c>
      <c r="D86" s="233" t="s">
        <v>1757</v>
      </c>
      <c r="E86" s="183" t="s">
        <v>1464</v>
      </c>
      <c r="F86" s="193"/>
      <c r="G86" s="193"/>
    </row>
    <row r="87" spans="1:7" ht="37.5" x14ac:dyDescent="0.25">
      <c r="A87" s="251">
        <f t="shared" si="1"/>
        <v>613</v>
      </c>
      <c r="B87" s="231" t="str">
        <f>Suite&amp;" Electrical Room "&amp;SWFour</f>
        <v>G104 Electrical Room XXX</v>
      </c>
      <c r="C87" s="183" t="str">
        <f>"SW"&amp;SWFour</f>
        <v>SWXXX</v>
      </c>
      <c r="D87" s="233" t="s">
        <v>1758</v>
      </c>
      <c r="E87" s="183" t="s">
        <v>1464</v>
      </c>
      <c r="F87" s="193"/>
      <c r="G87" s="193"/>
    </row>
    <row r="88" spans="1:7" ht="37.5" x14ac:dyDescent="0.25">
      <c r="A88" s="251">
        <f t="shared" si="1"/>
        <v>614</v>
      </c>
      <c r="B88" s="231" t="str">
        <f>Suite&amp;" Electrical Room "&amp;SWFour</f>
        <v>G104 Electrical Room XXX</v>
      </c>
      <c r="C88" s="183" t="str">
        <f>"SW"&amp;SWFour</f>
        <v>SWXXX</v>
      </c>
      <c r="D88" s="186" t="str" cm="1">
        <f t="array" ref="D88">"OPEN breaker UPS-" &amp; SWFour &amp; "1."</f>
        <v>OPEN breaker UPS-XXX1.</v>
      </c>
      <c r="E88" s="183" t="s">
        <v>1464</v>
      </c>
      <c r="F88" s="193"/>
      <c r="G88" s="193"/>
    </row>
    <row r="89" spans="1:7" ht="37.5" x14ac:dyDescent="0.25">
      <c r="A89" s="251">
        <f t="shared" si="1"/>
        <v>615</v>
      </c>
      <c r="B89" s="231" t="str">
        <f>Suite&amp;" Electrical Room "&amp;SWFour</f>
        <v>G104 Electrical Room XXX</v>
      </c>
      <c r="C89" s="183" t="str">
        <f>"SW"&amp;SWFour</f>
        <v>SWXXX</v>
      </c>
      <c r="D89" s="186" t="str" cm="1">
        <f t="array" ref="D89">"Apply LOTO to breaker UPS-" &amp; SWFour &amp; "1."</f>
        <v>Apply LOTO to breaker UPS-XXX1.</v>
      </c>
      <c r="E89" s="183" t="s">
        <v>1464</v>
      </c>
      <c r="F89" s="193"/>
      <c r="G89" s="193"/>
    </row>
    <row r="90" spans="1:7" ht="37.5" x14ac:dyDescent="0.25">
      <c r="A90" s="251">
        <f t="shared" si="1"/>
        <v>616</v>
      </c>
      <c r="B90" s="231" t="str">
        <f>Suite&amp;" Electrical Room "&amp;SWFour</f>
        <v>G104 Electrical Room XXX</v>
      </c>
      <c r="C90" s="183" t="str">
        <f>"SW"&amp;SWFour</f>
        <v>SWXXX</v>
      </c>
      <c r="D90" s="186" t="s">
        <v>1518</v>
      </c>
      <c r="E90" s="183" t="s">
        <v>1464</v>
      </c>
      <c r="F90" s="193"/>
      <c r="G90" s="193"/>
    </row>
    <row r="91" spans="1:7" ht="37.5" x14ac:dyDescent="0.25">
      <c r="A91" s="251">
        <f t="shared" si="1"/>
        <v>617</v>
      </c>
      <c r="B91" s="231" t="str">
        <f>Suite&amp;" Electrical Room "&amp;SWFour</f>
        <v>G104 Electrical Room XXX</v>
      </c>
      <c r="C91" s="183" t="str">
        <f>"SW"&amp;SWFour</f>
        <v>SWXXX</v>
      </c>
      <c r="D91" s="186" t="str" cm="1">
        <f t="array" ref="D91">"OPEN breaker UPS-" &amp; SWFour &amp; "2."</f>
        <v>OPEN breaker UPS-XXX2.</v>
      </c>
      <c r="E91" s="183" t="s">
        <v>1464</v>
      </c>
      <c r="F91" s="193"/>
      <c r="G91" s="193"/>
    </row>
    <row r="92" spans="1:7" ht="37.5" x14ac:dyDescent="0.25">
      <c r="A92" s="251">
        <f t="shared" si="1"/>
        <v>618</v>
      </c>
      <c r="B92" s="231" t="str">
        <f>Suite&amp;" Electrical Room "&amp;SWFour</f>
        <v>G104 Electrical Room XXX</v>
      </c>
      <c r="C92" s="183" t="str">
        <f>"SW"&amp;SWFour</f>
        <v>SWXXX</v>
      </c>
      <c r="D92" s="186" t="str" cm="1">
        <f t="array" ref="D92">"Apply LOTO to breaker UPS-" &amp; SWFour &amp; "2."</f>
        <v>Apply LOTO to breaker UPS-XXX2.</v>
      </c>
      <c r="E92" s="183" t="s">
        <v>1464</v>
      </c>
      <c r="F92" s="193"/>
      <c r="G92" s="193"/>
    </row>
    <row r="93" spans="1:7" ht="37.5" x14ac:dyDescent="0.25">
      <c r="A93" s="251">
        <f t="shared" si="1"/>
        <v>619</v>
      </c>
      <c r="B93" s="231" t="str">
        <f>Suite&amp;" Electrical Room "&amp;SWFour</f>
        <v>G104 Electrical Room XXX</v>
      </c>
      <c r="C93" s="183" t="str">
        <f>"SW"&amp;SWFour</f>
        <v>SWXXX</v>
      </c>
      <c r="D93" s="186" t="s">
        <v>1518</v>
      </c>
      <c r="E93" s="183" t="s">
        <v>1464</v>
      </c>
      <c r="F93" s="193"/>
      <c r="G93" s="193"/>
    </row>
    <row r="94" spans="1:7" ht="37.5" x14ac:dyDescent="0.25">
      <c r="A94" s="251">
        <f t="shared" si="1"/>
        <v>620</v>
      </c>
      <c r="B94" s="231" t="str">
        <f>Suite&amp;" Electrical Room "&amp;SWFour</f>
        <v>G104 Electrical Room XXX</v>
      </c>
      <c r="C94" s="183" t="str">
        <f>"SW"&amp;SWFour</f>
        <v>SWXXX</v>
      </c>
      <c r="D94" s="186" t="str" cm="1">
        <f t="array" ref="D94">"OPEN breaker SCC-" &amp; SWFour &amp; "."</f>
        <v>OPEN breaker SCC-XXX.</v>
      </c>
      <c r="E94" s="183" t="s">
        <v>1464</v>
      </c>
      <c r="F94" s="193"/>
      <c r="G94" s="193"/>
    </row>
    <row r="95" spans="1:7" ht="37.5" x14ac:dyDescent="0.25">
      <c r="A95" s="251">
        <f t="shared" si="1"/>
        <v>621</v>
      </c>
      <c r="B95" s="231" t="str">
        <f>Suite&amp;" Electrical Room "&amp;SWFour</f>
        <v>G104 Electrical Room XXX</v>
      </c>
      <c r="C95" s="183" t="str">
        <f>"SW"&amp;SWFour</f>
        <v>SWXXX</v>
      </c>
      <c r="D95" s="186" t="str" cm="1">
        <f t="array" ref="D95">"Apply LOTO to breaker SCC-" &amp; SWFour &amp; "."</f>
        <v>Apply LOTO to breaker SCC-XXX.</v>
      </c>
      <c r="E95" s="183" t="s">
        <v>1464</v>
      </c>
      <c r="F95" s="193"/>
      <c r="G95" s="193"/>
    </row>
    <row r="96" spans="1:7" ht="37.5" x14ac:dyDescent="0.25">
      <c r="A96" s="251">
        <f t="shared" si="1"/>
        <v>622</v>
      </c>
      <c r="B96" s="231" t="str">
        <f>Suite&amp;" Electrical Room "&amp;SWFour</f>
        <v>G104 Electrical Room XXX</v>
      </c>
      <c r="C96" s="183" t="str">
        <f>"SW"&amp;SWFour</f>
        <v>SWXXX</v>
      </c>
      <c r="D96" s="186" t="s">
        <v>1518</v>
      </c>
      <c r="E96" s="183" t="s">
        <v>1464</v>
      </c>
      <c r="F96" s="193"/>
      <c r="G96" s="193"/>
    </row>
    <row r="97" spans="1:7" ht="37.5" x14ac:dyDescent="0.25">
      <c r="A97" s="251">
        <f t="shared" si="1"/>
        <v>623</v>
      </c>
      <c r="B97" s="231" t="str">
        <f>Suite&amp;" Electrical Room "&amp;SWFour</f>
        <v>G104 Electrical Room XXX</v>
      </c>
      <c r="C97" s="183" t="str">
        <f>"SW"&amp;SWFour</f>
        <v>SWXXX</v>
      </c>
      <c r="D97" s="233" t="str" cm="1">
        <f t="array" ref="D97">"UPS SYSTEM " &amp; SWFour &amp; " is now completely offline. Critical Customer Load remains on Maintenance Bypass Source."</f>
        <v>UPS SYSTEM XXX is now completely offline. Critical Customer Load remains on Maintenance Bypass Source.</v>
      </c>
      <c r="E97" s="183" t="s">
        <v>1464</v>
      </c>
      <c r="F97" s="193"/>
      <c r="G97" s="193"/>
    </row>
    <row r="98" spans="1:7" ht="37.5" x14ac:dyDescent="0.25">
      <c r="A98" s="251">
        <f t="shared" si="1"/>
        <v>624</v>
      </c>
      <c r="B98" s="231" t="str">
        <f>Suite&amp;" Electrical Room "&amp;SWFour</f>
        <v>G104 Electrical Room XXX</v>
      </c>
      <c r="C98" s="183" t="str">
        <f>"SW"&amp;SWFour</f>
        <v>SWXXX</v>
      </c>
      <c r="D98" s="233" t="s">
        <v>1584</v>
      </c>
      <c r="E98" s="183" t="s">
        <v>1464</v>
      </c>
      <c r="F98" s="193"/>
      <c r="G98" s="193"/>
    </row>
    <row r="99" spans="1:7" x14ac:dyDescent="0.25">
      <c r="A99" s="251">
        <f t="shared" si="1"/>
        <v>625</v>
      </c>
      <c r="B99" s="711" t="str" cm="1">
        <f t="array" ref="B99">"Restart UPS System " &amp; SWFour</f>
        <v>Restart UPS System XXX</v>
      </c>
      <c r="C99" s="711"/>
      <c r="D99" s="711"/>
      <c r="E99" s="711"/>
      <c r="F99" s="711"/>
      <c r="G99" s="711"/>
    </row>
    <row r="100" spans="1:7" ht="37.5" x14ac:dyDescent="0.25">
      <c r="A100" s="251">
        <f t="shared" si="1"/>
        <v>626</v>
      </c>
      <c r="B100" s="231" t="str">
        <f>Suite&amp;" Electrical Room "&amp;SWFour</f>
        <v>G104 Electrical Room XXX</v>
      </c>
      <c r="C100" s="183" t="str">
        <f>"UPS "&amp;SWFour</f>
        <v>UPS XXX</v>
      </c>
      <c r="D100" s="233" t="s">
        <v>1585</v>
      </c>
      <c r="E100" s="183" t="s">
        <v>1464</v>
      </c>
      <c r="F100" s="193"/>
      <c r="G100" s="193"/>
    </row>
    <row r="101" spans="1:7" ht="37.5" x14ac:dyDescent="0.25">
      <c r="A101" s="251">
        <f t="shared" si="1"/>
        <v>627</v>
      </c>
      <c r="B101" s="231" t="str">
        <f>Suite&amp;" Electrical Room "&amp;SWFour</f>
        <v>G104 Electrical Room XXX</v>
      </c>
      <c r="C101" s="183" t="str">
        <f>"UPS "&amp;SWFour</f>
        <v>UPS XXX</v>
      </c>
      <c r="D101" s="252" t="str" cm="1">
        <f t="array" ref="D101">"By my signature below I certify that UPS-" &amp; SWFour &amp; " is ready to be returned to service."</f>
        <v>By my signature below I certify that UPS-XXX is ready to be returned to service.</v>
      </c>
      <c r="E101" s="183" t="s">
        <v>1529</v>
      </c>
      <c r="F101" s="193"/>
      <c r="G101" s="193"/>
    </row>
    <row r="102" spans="1:7" ht="37.5" x14ac:dyDescent="0.25">
      <c r="A102" s="251">
        <f t="shared" si="1"/>
        <v>628</v>
      </c>
      <c r="B102" s="231" t="str">
        <f>Suite&amp;" Electrical Room "&amp;SWFour</f>
        <v>G104 Electrical Room XXX</v>
      </c>
      <c r="C102" s="183" t="str">
        <f>"UPS "&amp;SWFour</f>
        <v>UPS XXX</v>
      </c>
      <c r="D102" s="184" t="s">
        <v>1586</v>
      </c>
      <c r="E102" s="183" t="s">
        <v>1529</v>
      </c>
      <c r="F102" s="193"/>
      <c r="G102" s="193"/>
    </row>
    <row r="103" spans="1:7" ht="37.5" x14ac:dyDescent="0.25">
      <c r="A103" s="251">
        <f t="shared" si="1"/>
        <v>629</v>
      </c>
      <c r="B103" s="231" t="str">
        <f>Suite&amp;" Electrical Room "&amp;SWFour</f>
        <v>G104 Electrical Room XXX</v>
      </c>
      <c r="C103" s="183" t="str">
        <f>"UP"&amp;SWFour</f>
        <v>UPXXX</v>
      </c>
      <c r="D103" s="233" t="str" cm="1">
        <f t="array" ref="D103">"NOTATE the kW reading at UP" &amp; SWFour &amp; " Critical Bus Panel Meter: _________"</f>
        <v>NOTATE the kW reading at UPXXX Critical Bus Panel Meter: _________</v>
      </c>
      <c r="E103" s="183" t="s">
        <v>1464</v>
      </c>
      <c r="F103" s="193"/>
      <c r="G103" s="193"/>
    </row>
    <row r="104" spans="1:7" ht="37.5" x14ac:dyDescent="0.25">
      <c r="A104" s="251">
        <f t="shared" si="1"/>
        <v>630</v>
      </c>
      <c r="B104" s="231" t="str">
        <f>Suite&amp;" Electrical Room "&amp;SWFour</f>
        <v>G104 Electrical Room XXX</v>
      </c>
      <c r="C104" s="183" t="str">
        <f>"UP"&amp;SWFour</f>
        <v>UPXXX</v>
      </c>
      <c r="D104" s="233" t="str">
        <f>"VERIFY the readings in step " &amp; A59 &amp; " and " &amp; A103 &amp; " are within 3% of each other. (new kW divided by original kW must be ≤1.03 and ≥0.97)."</f>
        <v>VERIFY the readings in step 585 and 629 are within 3% of each other. (new kW divided by original kW must be ≤1.03 and ≥0.97).</v>
      </c>
      <c r="E104" s="183" t="s">
        <v>1464</v>
      </c>
      <c r="F104" s="193"/>
      <c r="G104" s="193"/>
    </row>
    <row r="105" spans="1:7" ht="56.25" x14ac:dyDescent="0.25">
      <c r="A105" s="251">
        <f t="shared" si="1"/>
        <v>631</v>
      </c>
      <c r="B105" s="231" t="str">
        <f>Suite&amp;" Electrical Room "&amp;SWFour</f>
        <v>G104 Electrical Room XXX</v>
      </c>
      <c r="C105" s="183" t="str">
        <f>"UPS "&amp;SWFour&amp;" Battery Cabinets"</f>
        <v>UPS XXX Battery Cabinets</v>
      </c>
      <c r="D105" s="186" t="str" cm="1">
        <f t="array" ref="D105">"Remove LOTO from the Cabinet " &amp; SWFour &amp; "1-1 battery breaker."</f>
        <v>Remove LOTO from the Cabinet XXX1-1 battery breaker.</v>
      </c>
      <c r="E105" s="183" t="s">
        <v>1464</v>
      </c>
      <c r="F105" s="193"/>
      <c r="G105" s="193"/>
    </row>
    <row r="106" spans="1:7" ht="56.25" x14ac:dyDescent="0.25">
      <c r="A106" s="251">
        <f t="shared" si="1"/>
        <v>632</v>
      </c>
      <c r="B106" s="231" t="str">
        <f>Suite&amp;" Electrical Room "&amp;SWFour</f>
        <v>G104 Electrical Room XXX</v>
      </c>
      <c r="C106" s="183" t="str">
        <f>"UPS "&amp;SWFour&amp;" Battery Cabinets"</f>
        <v>UPS XXX Battery Cabinets</v>
      </c>
      <c r="D106" s="186" t="s">
        <v>1518</v>
      </c>
      <c r="E106" s="183" t="s">
        <v>1464</v>
      </c>
      <c r="F106" s="193"/>
      <c r="G106" s="193"/>
    </row>
    <row r="107" spans="1:7" ht="56.25" x14ac:dyDescent="0.25">
      <c r="A107" s="251">
        <f t="shared" si="1"/>
        <v>633</v>
      </c>
      <c r="B107" s="231" t="str">
        <f>Suite&amp;" Electrical Room "&amp;SWFour</f>
        <v>G104 Electrical Room XXX</v>
      </c>
      <c r="C107" s="183" t="str">
        <f>"UPS "&amp;SWFour&amp;" Battery Cabinets"</f>
        <v>UPS XXX Battery Cabinets</v>
      </c>
      <c r="D107" s="186" t="str" cm="1">
        <f t="array" ref="D107">"Remove LOTO from the Cabinet " &amp; SWFour &amp; "1-2 battery breaker."</f>
        <v>Remove LOTO from the Cabinet XXX1-2 battery breaker.</v>
      </c>
      <c r="E107" s="183" t="s">
        <v>1464</v>
      </c>
      <c r="F107" s="193"/>
      <c r="G107" s="193"/>
    </row>
    <row r="108" spans="1:7" ht="56.25" x14ac:dyDescent="0.25">
      <c r="A108" s="251">
        <f t="shared" si="1"/>
        <v>634</v>
      </c>
      <c r="B108" s="231" t="str">
        <f>Suite&amp;" Electrical Room "&amp;SWFour</f>
        <v>G104 Electrical Room XXX</v>
      </c>
      <c r="C108" s="183" t="str">
        <f>"UPS "&amp;SWFour&amp;" Battery Cabinets"</f>
        <v>UPS XXX Battery Cabinets</v>
      </c>
      <c r="D108" s="186" t="s">
        <v>1518</v>
      </c>
      <c r="E108" s="183" t="s">
        <v>1464</v>
      </c>
      <c r="F108" s="193"/>
      <c r="G108" s="193"/>
    </row>
    <row r="109" spans="1:7" ht="56.25" x14ac:dyDescent="0.25">
      <c r="A109" s="251">
        <f t="shared" si="1"/>
        <v>635</v>
      </c>
      <c r="B109" s="231" t="str">
        <f>Suite&amp;" Electrical Room "&amp;SWFour</f>
        <v>G104 Electrical Room XXX</v>
      </c>
      <c r="C109" s="183" t="str">
        <f>"UPS "&amp;SWFour&amp;" Battery Cabinets"</f>
        <v>UPS XXX Battery Cabinets</v>
      </c>
      <c r="D109" s="186" t="str" cm="1">
        <f t="array" ref="D109">"Remove LOTO from the Cabinet " &amp; SWFour &amp; "1-3 battery breaker."</f>
        <v>Remove LOTO from the Cabinet XXX1-3 battery breaker.</v>
      </c>
      <c r="E109" s="183" t="s">
        <v>1464</v>
      </c>
      <c r="F109" s="193"/>
      <c r="G109" s="193"/>
    </row>
    <row r="110" spans="1:7" ht="56.25" x14ac:dyDescent="0.25">
      <c r="A110" s="251">
        <f t="shared" si="1"/>
        <v>636</v>
      </c>
      <c r="B110" s="231" t="str">
        <f>Suite&amp;" Electrical Room "&amp;SWFour</f>
        <v>G104 Electrical Room XXX</v>
      </c>
      <c r="C110" s="183" t="str">
        <f>"UPS "&amp;SWFour&amp;" Battery Cabinets"</f>
        <v>UPS XXX Battery Cabinets</v>
      </c>
      <c r="D110" s="186" t="s">
        <v>1518</v>
      </c>
      <c r="E110" s="183" t="s">
        <v>1464</v>
      </c>
      <c r="F110" s="193"/>
      <c r="G110" s="193"/>
    </row>
    <row r="111" spans="1:7" ht="56.25" x14ac:dyDescent="0.25">
      <c r="A111" s="251">
        <f t="shared" si="1"/>
        <v>637</v>
      </c>
      <c r="B111" s="231" t="str">
        <f>Suite&amp;" Electrical Room "&amp;SWFour</f>
        <v>G104 Electrical Room XXX</v>
      </c>
      <c r="C111" s="183" t="str">
        <f>"UPS "&amp;SWFour&amp;" Battery Cabinets"</f>
        <v>UPS XXX Battery Cabinets</v>
      </c>
      <c r="D111" s="186" t="str" cm="1">
        <f t="array" ref="D111">"Remove LOTO from the Cabinet " &amp; SWFour &amp; "2-1 battery breaker."</f>
        <v>Remove LOTO from the Cabinet XXX2-1 battery breaker.</v>
      </c>
      <c r="E111" s="183" t="s">
        <v>1464</v>
      </c>
      <c r="F111" s="193"/>
      <c r="G111" s="193"/>
    </row>
    <row r="112" spans="1:7" ht="56.25" x14ac:dyDescent="0.25">
      <c r="A112" s="251">
        <f t="shared" si="1"/>
        <v>638</v>
      </c>
      <c r="B112" s="231" t="str">
        <f>Suite&amp;" Electrical Room "&amp;SWFour</f>
        <v>G104 Electrical Room XXX</v>
      </c>
      <c r="C112" s="183" t="str">
        <f>"UPS "&amp;SWFour&amp;" Battery Cabinets"</f>
        <v>UPS XXX Battery Cabinets</v>
      </c>
      <c r="D112" s="186" t="s">
        <v>1518</v>
      </c>
      <c r="E112" s="183" t="s">
        <v>1464</v>
      </c>
      <c r="F112" s="193"/>
      <c r="G112" s="193"/>
    </row>
    <row r="113" spans="1:7" ht="56.25" x14ac:dyDescent="0.25">
      <c r="A113" s="251">
        <f t="shared" si="1"/>
        <v>639</v>
      </c>
      <c r="B113" s="231" t="str">
        <f>Suite&amp;" Electrical Room "&amp;SWFour</f>
        <v>G104 Electrical Room XXX</v>
      </c>
      <c r="C113" s="183" t="str">
        <f>"UPS "&amp;SWFour&amp;" Battery Cabinets"</f>
        <v>UPS XXX Battery Cabinets</v>
      </c>
      <c r="D113" s="186" t="str" cm="1">
        <f t="array" ref="D113">"Remove LOTO from the Cabinet " &amp; SWFour &amp; "2-2 battery breaker."</f>
        <v>Remove LOTO from the Cabinet XXX2-2 battery breaker.</v>
      </c>
      <c r="E113" s="183" t="s">
        <v>1464</v>
      </c>
      <c r="F113" s="193"/>
      <c r="G113" s="193"/>
    </row>
    <row r="114" spans="1:7" ht="56.25" x14ac:dyDescent="0.25">
      <c r="A114" s="251">
        <f t="shared" si="1"/>
        <v>640</v>
      </c>
      <c r="B114" s="231" t="str">
        <f>Suite&amp;" Electrical Room "&amp;SWFour</f>
        <v>G104 Electrical Room XXX</v>
      </c>
      <c r="C114" s="183" t="str">
        <f>"UPS "&amp;SWFour&amp;" Battery Cabinets"</f>
        <v>UPS XXX Battery Cabinets</v>
      </c>
      <c r="D114" s="186" t="s">
        <v>1518</v>
      </c>
      <c r="E114" s="183" t="s">
        <v>1464</v>
      </c>
      <c r="F114" s="193"/>
      <c r="G114" s="193"/>
    </row>
    <row r="115" spans="1:7" ht="56.25" x14ac:dyDescent="0.25">
      <c r="A115" s="251">
        <f t="shared" si="1"/>
        <v>641</v>
      </c>
      <c r="B115" s="231" t="str">
        <f>Suite&amp;" Electrical Room "&amp;SWFour</f>
        <v>G104 Electrical Room XXX</v>
      </c>
      <c r="C115" s="183" t="str">
        <f>"UPS "&amp;SWFour&amp;" Battery Cabinets"</f>
        <v>UPS XXX Battery Cabinets</v>
      </c>
      <c r="D115" s="186" t="str" cm="1">
        <f t="array" ref="D115">"Remove LOTO from the Cabinet " &amp; SWFour &amp; "2-3 battery breaker."</f>
        <v>Remove LOTO from the Cabinet XXX2-3 battery breaker.</v>
      </c>
      <c r="E115" s="183" t="s">
        <v>1464</v>
      </c>
      <c r="F115" s="193"/>
      <c r="G115" s="193"/>
    </row>
    <row r="116" spans="1:7" ht="56.25" x14ac:dyDescent="0.25">
      <c r="A116" s="251">
        <f t="shared" si="1"/>
        <v>642</v>
      </c>
      <c r="B116" s="231" t="str">
        <f>Suite&amp;" Electrical Room "&amp;SWFour</f>
        <v>G104 Electrical Room XXX</v>
      </c>
      <c r="C116" s="183" t="str">
        <f>"UPS "&amp;SWFour&amp;" Battery Cabinets"</f>
        <v>UPS XXX Battery Cabinets</v>
      </c>
      <c r="D116" s="186" t="s">
        <v>1518</v>
      </c>
      <c r="E116" s="183" t="s">
        <v>1464</v>
      </c>
      <c r="F116" s="193"/>
      <c r="G116" s="193"/>
    </row>
    <row r="117" spans="1:7" ht="37.5" x14ac:dyDescent="0.25">
      <c r="A117" s="251">
        <f t="shared" si="1"/>
        <v>643</v>
      </c>
      <c r="B117" s="231" t="str">
        <f>Suite&amp;" Electrical Room "&amp;SWFour</f>
        <v>G104 Electrical Room XXX</v>
      </c>
      <c r="C117" s="183" t="str">
        <f>"UP"&amp;SWFour</f>
        <v>UPXXX</v>
      </c>
      <c r="D117" s="233" t="str" cm="1">
        <f t="array" ref="D117">"Remove LOTO from breaker MCBUP" &amp; SWFour &amp; "."</f>
        <v>Remove LOTO from breaker MCBUPXXX.</v>
      </c>
      <c r="E117" s="183" t="s">
        <v>1464</v>
      </c>
      <c r="F117" s="193"/>
      <c r="G117" s="193"/>
    </row>
    <row r="118" spans="1:7" ht="37.5" x14ac:dyDescent="0.25">
      <c r="A118" s="251">
        <f t="shared" si="1"/>
        <v>644</v>
      </c>
      <c r="B118" s="231" t="str">
        <f>Suite&amp;" Electrical Room "&amp;SWFour</f>
        <v>G104 Electrical Room XXX</v>
      </c>
      <c r="C118" s="183" t="str">
        <f>"UP"&amp;SWFour</f>
        <v>UPXXX</v>
      </c>
      <c r="D118" s="186" t="s">
        <v>1518</v>
      </c>
      <c r="E118" s="183" t="s">
        <v>1464</v>
      </c>
      <c r="F118" s="193"/>
      <c r="G118" s="193"/>
    </row>
    <row r="119" spans="1:7" ht="37.5" x14ac:dyDescent="0.25">
      <c r="A119" s="251">
        <f t="shared" si="1"/>
        <v>645</v>
      </c>
      <c r="B119" s="231" t="str">
        <f>Suite&amp;" Electrical Room "&amp;SWFour</f>
        <v>G104 Electrical Room XXX</v>
      </c>
      <c r="C119" s="183" t="str">
        <f>"SW"&amp;SWFour</f>
        <v>SWXXX</v>
      </c>
      <c r="D119" s="186" t="str" cm="1">
        <f t="array" ref="D119">"Remove LOTO from breaker UPS-" &amp; SWFour &amp; "1."</f>
        <v>Remove LOTO from breaker UPS-XXX1.</v>
      </c>
      <c r="E119" s="183" t="s">
        <v>1464</v>
      </c>
      <c r="F119" s="193"/>
      <c r="G119" s="193"/>
    </row>
    <row r="120" spans="1:7" ht="37.5" x14ac:dyDescent="0.25">
      <c r="A120" s="251">
        <f t="shared" si="1"/>
        <v>646</v>
      </c>
      <c r="B120" s="231" t="str">
        <f>Suite&amp;" Electrical Room "&amp;SWFour</f>
        <v>G104 Electrical Room XXX</v>
      </c>
      <c r="C120" s="183" t="str">
        <f>"SW"&amp;SWFour</f>
        <v>SWXXX</v>
      </c>
      <c r="D120" s="186" t="s">
        <v>1518</v>
      </c>
      <c r="E120" s="183" t="s">
        <v>1464</v>
      </c>
      <c r="F120" s="193"/>
      <c r="G120" s="193"/>
    </row>
    <row r="121" spans="1:7" ht="37.5" x14ac:dyDescent="0.25">
      <c r="A121" s="251">
        <f t="shared" si="1"/>
        <v>647</v>
      </c>
      <c r="B121" s="231" t="str">
        <f>Suite&amp;" Electrical Room "&amp;SWFour</f>
        <v>G104 Electrical Room XXX</v>
      </c>
      <c r="C121" s="183" t="str">
        <f>"SW"&amp;SWFour</f>
        <v>SWXXX</v>
      </c>
      <c r="D121" s="186" t="str" cm="1">
        <f t="array" ref="D121">"Remove LOTO from breaker UPS-" &amp; SWFour &amp; "2."</f>
        <v>Remove LOTO from breaker UPS-XXX2.</v>
      </c>
      <c r="E121" s="183" t="s">
        <v>1464</v>
      </c>
      <c r="F121" s="193"/>
      <c r="G121" s="193"/>
    </row>
    <row r="122" spans="1:7" ht="37.5" x14ac:dyDescent="0.25">
      <c r="A122" s="251">
        <f t="shared" si="1"/>
        <v>648</v>
      </c>
      <c r="B122" s="231" t="str">
        <f>Suite&amp;" Electrical Room "&amp;SWFour</f>
        <v>G104 Electrical Room XXX</v>
      </c>
      <c r="C122" s="183" t="str">
        <f>"SW"&amp;SWFour</f>
        <v>SWXXX</v>
      </c>
      <c r="D122" s="186" t="s">
        <v>1518</v>
      </c>
      <c r="E122" s="183" t="s">
        <v>1464</v>
      </c>
      <c r="F122" s="193"/>
      <c r="G122" s="193"/>
    </row>
    <row r="123" spans="1:7" ht="37.5" x14ac:dyDescent="0.25">
      <c r="A123" s="251">
        <f t="shared" si="1"/>
        <v>649</v>
      </c>
      <c r="B123" s="231" t="str">
        <f>Suite&amp;" Electrical Room "&amp;SWFour</f>
        <v>G104 Electrical Room XXX</v>
      </c>
      <c r="C123" s="183" t="str">
        <f>"SW"&amp;SWFour</f>
        <v>SWXXX</v>
      </c>
      <c r="D123" s="186" t="str" cm="1">
        <f t="array" ref="D123">"Remove LOTO from breaker SCC-" &amp; SWFour &amp; "."</f>
        <v>Remove LOTO from breaker SCC-XXX.</v>
      </c>
      <c r="E123" s="183" t="s">
        <v>1464</v>
      </c>
      <c r="F123" s="193"/>
      <c r="G123" s="193"/>
    </row>
    <row r="124" spans="1:7" ht="37.5" x14ac:dyDescent="0.25">
      <c r="A124" s="251">
        <f t="shared" si="1"/>
        <v>650</v>
      </c>
      <c r="B124" s="231" t="str">
        <f>Suite&amp;" Electrical Room "&amp;SWFour</f>
        <v>G104 Electrical Room XXX</v>
      </c>
      <c r="C124" s="183" t="str">
        <f>"SW"&amp;SWFour</f>
        <v>SWXXX</v>
      </c>
      <c r="D124" s="186" t="s">
        <v>1518</v>
      </c>
      <c r="E124" s="183" t="s">
        <v>1464</v>
      </c>
      <c r="F124" s="193"/>
      <c r="G124" s="193"/>
    </row>
    <row r="125" spans="1:7" ht="37.5" x14ac:dyDescent="0.25">
      <c r="A125" s="251">
        <f t="shared" si="1"/>
        <v>651</v>
      </c>
      <c r="B125" s="231" t="str">
        <f>Suite&amp;" Electrical Room "&amp;SWFour</f>
        <v>G104 Electrical Room XXX</v>
      </c>
      <c r="C125" s="183" t="str">
        <f>"SW"&amp;SWFour</f>
        <v>SWXXX</v>
      </c>
      <c r="D125" s="186" t="str" cm="1">
        <f t="array" ref="D125">"Close breaker UPS-" &amp; SWFour &amp; "1."</f>
        <v>Close breaker UPS-XXX1.</v>
      </c>
      <c r="E125" s="183" t="s">
        <v>1464</v>
      </c>
      <c r="F125" s="193"/>
      <c r="G125" s="193"/>
    </row>
    <row r="126" spans="1:7" ht="37.5" x14ac:dyDescent="0.25">
      <c r="A126" s="251">
        <f t="shared" si="1"/>
        <v>652</v>
      </c>
      <c r="B126" s="231" t="str">
        <f>Suite&amp;" Electrical Room "&amp;SWFour</f>
        <v>G104 Electrical Room XXX</v>
      </c>
      <c r="C126" s="183" t="str">
        <f>"SW"&amp;SWFour</f>
        <v>SWXXX</v>
      </c>
      <c r="D126" s="186" t="str" cm="1">
        <f t="array" ref="D126">"Close breaker UPS-" &amp; SWFour &amp; "2."</f>
        <v>Close breaker UPS-XXX2.</v>
      </c>
      <c r="E126" s="183" t="s">
        <v>1464</v>
      </c>
      <c r="F126" s="193"/>
      <c r="G126" s="193"/>
    </row>
    <row r="127" spans="1:7" ht="37.5" x14ac:dyDescent="0.25">
      <c r="A127" s="251">
        <f t="shared" si="1"/>
        <v>653</v>
      </c>
      <c r="B127" s="231" t="str">
        <f>Suite&amp;" Electrical Room "&amp;SWFour</f>
        <v>G104 Electrical Room XXX</v>
      </c>
      <c r="C127" s="183" t="str">
        <f>"SW"&amp;SWFour</f>
        <v>SWXXX</v>
      </c>
      <c r="D127" s="186" t="str" cm="1">
        <f t="array" ref="D127">"Close breaker SCC-" &amp; SWFour &amp; "."</f>
        <v>Close breaker SCC-XXX.</v>
      </c>
      <c r="E127" s="183" t="s">
        <v>1464</v>
      </c>
      <c r="F127" s="193"/>
      <c r="G127" s="193"/>
    </row>
    <row r="128" spans="1:7" ht="37.5" x14ac:dyDescent="0.25">
      <c r="A128" s="251">
        <f t="shared" si="1"/>
        <v>654</v>
      </c>
      <c r="B128" s="231" t="str">
        <f>Suite&amp;" Electrical Room "&amp;SWFour</f>
        <v>G104 Electrical Room XXX</v>
      </c>
      <c r="C128" s="183" t="str">
        <f>"SCC "&amp;SWFour</f>
        <v>SCC XXX</v>
      </c>
      <c r="D128" s="233" t="s">
        <v>1755</v>
      </c>
      <c r="E128" s="183" t="s">
        <v>1464</v>
      </c>
      <c r="F128" s="193"/>
      <c r="G128" s="193"/>
    </row>
    <row r="129" spans="1:7" ht="37.5" x14ac:dyDescent="0.25">
      <c r="A129" s="251">
        <f t="shared" si="1"/>
        <v>655</v>
      </c>
      <c r="B129" s="231" t="str">
        <f>Suite&amp;" Electrical Room "&amp;SWFour</f>
        <v>G104 Electrical Room XXX</v>
      </c>
      <c r="C129" s="183" t="str">
        <f>"SCC "&amp;SWFour</f>
        <v>SCC XXX</v>
      </c>
      <c r="D129" s="233" t="s">
        <v>1759</v>
      </c>
      <c r="E129" s="183" t="s">
        <v>1464</v>
      </c>
      <c r="F129" s="193"/>
      <c r="G129" s="193"/>
    </row>
    <row r="130" spans="1:7" ht="37.5" x14ac:dyDescent="0.25">
      <c r="A130" s="251">
        <f t="shared" si="1"/>
        <v>656</v>
      </c>
      <c r="B130" s="231" t="str">
        <f>Suite&amp;" Electrical Room "&amp;SWFour</f>
        <v>G104 Electrical Room XXX</v>
      </c>
      <c r="C130" s="183" t="str">
        <f>"SCC "&amp;SWFour</f>
        <v>SCC XXX</v>
      </c>
      <c r="D130" s="233" t="s">
        <v>1760</v>
      </c>
      <c r="E130" s="183" t="s">
        <v>1464</v>
      </c>
      <c r="F130" s="193"/>
      <c r="G130" s="193"/>
    </row>
    <row r="131" spans="1:7" ht="37.5" x14ac:dyDescent="0.25">
      <c r="A131" s="251">
        <f t="shared" si="1"/>
        <v>657</v>
      </c>
      <c r="B131" s="231" t="str">
        <f>Suite&amp;" Electrical Room "&amp;SWFour</f>
        <v>G104 Electrical Room XXX</v>
      </c>
      <c r="C131" s="183" t="str">
        <f>"SCC "&amp;SWFour</f>
        <v>SCC XXX</v>
      </c>
      <c r="D131" s="233" t="s">
        <v>1761</v>
      </c>
      <c r="E131" s="183" t="s">
        <v>1464</v>
      </c>
      <c r="F131" s="193"/>
      <c r="G131" s="193"/>
    </row>
    <row r="132" spans="1:7" ht="37.5" x14ac:dyDescent="0.25">
      <c r="A132" s="251">
        <f t="shared" si="1"/>
        <v>658</v>
      </c>
      <c r="B132" s="231" t="str">
        <f>Suite&amp;" Electrical Room "&amp;SWFour</f>
        <v>G104 Electrical Room XXX</v>
      </c>
      <c r="C132" s="183" t="str">
        <f>"UPS "&amp;SWFour&amp;"1"</f>
        <v>UPS XXX1</v>
      </c>
      <c r="D132" s="233" t="s">
        <v>1762</v>
      </c>
      <c r="E132" s="183" t="s">
        <v>1464</v>
      </c>
      <c r="F132" s="193"/>
      <c r="G132" s="193"/>
    </row>
    <row r="133" spans="1:7" ht="37.5" x14ac:dyDescent="0.25">
      <c r="A133" s="251">
        <f t="shared" si="1"/>
        <v>659</v>
      </c>
      <c r="B133" s="231" t="str">
        <f>Suite&amp;" Electrical Room "&amp;SWFour</f>
        <v>G104 Electrical Room XXX</v>
      </c>
      <c r="C133" s="183" t="str">
        <f>"UPS "&amp;SWFour&amp;"1"</f>
        <v>UPS XXX1</v>
      </c>
      <c r="D133" s="233" t="s">
        <v>1749</v>
      </c>
      <c r="E133" s="183" t="s">
        <v>1464</v>
      </c>
      <c r="F133" s="193"/>
      <c r="G133" s="193"/>
    </row>
    <row r="134" spans="1:7" ht="37.5" x14ac:dyDescent="0.25">
      <c r="A134" s="251">
        <f t="shared" si="1"/>
        <v>660</v>
      </c>
      <c r="B134" s="231" t="str">
        <f>Suite&amp;" Electrical Room "&amp;SWFour</f>
        <v>G104 Electrical Room XXX</v>
      </c>
      <c r="C134" s="183" t="str">
        <f>"UPS "&amp;SWFour&amp;"2"</f>
        <v>UPS XXX2</v>
      </c>
      <c r="D134" s="233" t="s">
        <v>1762</v>
      </c>
      <c r="E134" s="183" t="s">
        <v>1464</v>
      </c>
      <c r="F134" s="193"/>
      <c r="G134" s="193"/>
    </row>
    <row r="135" spans="1:7" ht="37.5" x14ac:dyDescent="0.25">
      <c r="A135" s="251">
        <f t="shared" si="1"/>
        <v>661</v>
      </c>
      <c r="B135" s="231" t="str">
        <f>Suite&amp;" Electrical Room "&amp;SWFour</f>
        <v>G104 Electrical Room XXX</v>
      </c>
      <c r="C135" s="183" t="str">
        <f>"UPS "&amp;SWFour&amp;"2"</f>
        <v>UPS XXX2</v>
      </c>
      <c r="D135" s="233" t="s">
        <v>1749</v>
      </c>
      <c r="E135" s="183" t="s">
        <v>1464</v>
      </c>
      <c r="F135" s="193"/>
      <c r="G135" s="193"/>
    </row>
    <row r="136" spans="1:7" ht="37.5" x14ac:dyDescent="0.25">
      <c r="A136" s="251">
        <f t="shared" si="1"/>
        <v>662</v>
      </c>
      <c r="B136" s="231" t="str">
        <f>Suite&amp;" Electrical Room "&amp;SWFour</f>
        <v>G104 Electrical Room XXX</v>
      </c>
      <c r="C136" s="183" t="str">
        <f>"SCC "&amp;SWFour</f>
        <v>SCC XXX</v>
      </c>
      <c r="D136" s="233" t="s">
        <v>1749</v>
      </c>
      <c r="E136" s="183" t="s">
        <v>1464</v>
      </c>
      <c r="F136" s="193"/>
      <c r="G136" s="193"/>
    </row>
    <row r="137" spans="1:7" ht="56.25" x14ac:dyDescent="0.25">
      <c r="A137" s="251">
        <f t="shared" si="1"/>
        <v>663</v>
      </c>
      <c r="B137" s="231" t="str">
        <f>Suite&amp;" Electrical Room "&amp;SWFour</f>
        <v>G104 Electrical Room XXX</v>
      </c>
      <c r="C137" s="183" t="str">
        <f>"UPS "&amp;SWFour&amp;" Battery Cabinets"</f>
        <v>UPS XXX Battery Cabinets</v>
      </c>
      <c r="D137" s="186" t="str" cm="1">
        <f t="array" ref="D137">"CLOSE the Cabinet " &amp; SWFour &amp; "1-1 battery breaker."</f>
        <v>CLOSE the Cabinet XXX1-1 battery breaker.</v>
      </c>
      <c r="E137" s="183" t="s">
        <v>1464</v>
      </c>
      <c r="F137" s="193"/>
      <c r="G137" s="193"/>
    </row>
    <row r="138" spans="1:7" ht="56.25" x14ac:dyDescent="0.25">
      <c r="A138" s="251">
        <f t="shared" ref="A138:A182" si="2">A137+1</f>
        <v>664</v>
      </c>
      <c r="B138" s="231" t="str">
        <f>Suite&amp;" Electrical Room "&amp;SWFour</f>
        <v>G104 Electrical Room XXX</v>
      </c>
      <c r="C138" s="183" t="str">
        <f>"UPS "&amp;SWFour&amp;" Battery Cabinets"</f>
        <v>UPS XXX Battery Cabinets</v>
      </c>
      <c r="D138" s="186" t="str" cm="1">
        <f t="array" ref="D138">"CLOSE the Cabinet " &amp; SWFour &amp; "1-2 battery breaker."</f>
        <v>CLOSE the Cabinet XXX1-2 battery breaker.</v>
      </c>
      <c r="E138" s="183" t="s">
        <v>1464</v>
      </c>
      <c r="F138" s="193"/>
      <c r="G138" s="193"/>
    </row>
    <row r="139" spans="1:7" ht="56.25" x14ac:dyDescent="0.25">
      <c r="A139" s="251">
        <f t="shared" si="2"/>
        <v>665</v>
      </c>
      <c r="B139" s="231" t="str">
        <f>Suite&amp;" Electrical Room "&amp;SWFour</f>
        <v>G104 Electrical Room XXX</v>
      </c>
      <c r="C139" s="183" t="str">
        <f>"UPS "&amp;SWFour&amp;" Battery Cabinets"</f>
        <v>UPS XXX Battery Cabinets</v>
      </c>
      <c r="D139" s="186" t="str" cm="1">
        <f t="array" ref="D139">"CLOSE the Cabinet " &amp; SWFour &amp; "1-3 battery breaker."</f>
        <v>CLOSE the Cabinet XXX1-3 battery breaker.</v>
      </c>
      <c r="E139" s="183" t="s">
        <v>1464</v>
      </c>
      <c r="F139" s="193"/>
      <c r="G139" s="193"/>
    </row>
    <row r="140" spans="1:7" ht="56.25" x14ac:dyDescent="0.25">
      <c r="A140" s="251">
        <f t="shared" si="2"/>
        <v>666</v>
      </c>
      <c r="B140" s="231" t="str">
        <f>Suite&amp;" Electrical Room "&amp;SWFour</f>
        <v>G104 Electrical Room XXX</v>
      </c>
      <c r="C140" s="183" t="str">
        <f>"UPS "&amp;SWFour&amp;" Battery Cabinets"</f>
        <v>UPS XXX Battery Cabinets</v>
      </c>
      <c r="D140" s="186" t="str" cm="1">
        <f t="array" ref="D140">"CLOSE the Cabinet " &amp; SWFour &amp; "2-1 battery breaker."</f>
        <v>CLOSE the Cabinet XXX2-1 battery breaker.</v>
      </c>
      <c r="E140" s="183" t="s">
        <v>1464</v>
      </c>
      <c r="F140" s="193"/>
      <c r="G140" s="193"/>
    </row>
    <row r="141" spans="1:7" ht="56.25" x14ac:dyDescent="0.25">
      <c r="A141" s="251">
        <f t="shared" si="2"/>
        <v>667</v>
      </c>
      <c r="B141" s="231" t="str">
        <f>Suite&amp;" Electrical Room "&amp;SWFour</f>
        <v>G104 Electrical Room XXX</v>
      </c>
      <c r="C141" s="183" t="str">
        <f>"UPS "&amp;SWFour&amp;" Battery Cabinets"</f>
        <v>UPS XXX Battery Cabinets</v>
      </c>
      <c r="D141" s="186" t="str" cm="1">
        <f t="array" ref="D141">"CLOSE the Cabinet " &amp; SWFour &amp; "2-2 battery breaker."</f>
        <v>CLOSE the Cabinet XXX2-2 battery breaker.</v>
      </c>
      <c r="E141" s="183" t="s">
        <v>1464</v>
      </c>
      <c r="F141" s="193"/>
      <c r="G141" s="193"/>
    </row>
    <row r="142" spans="1:7" ht="56.25" x14ac:dyDescent="0.25">
      <c r="A142" s="251">
        <f t="shared" si="2"/>
        <v>668</v>
      </c>
      <c r="B142" s="231" t="str">
        <f>Suite&amp;" Electrical Room "&amp;SWFour</f>
        <v>G104 Electrical Room XXX</v>
      </c>
      <c r="C142" s="183" t="str">
        <f>"UPS "&amp;SWFour&amp;" Battery Cabinets"</f>
        <v>UPS XXX Battery Cabinets</v>
      </c>
      <c r="D142" s="186" t="str" cm="1">
        <f t="array" ref="D142">"CLOSE the Cabinet " &amp; SWFour &amp; "2-3 battery breaker."</f>
        <v>CLOSE the Cabinet XXX2-3 battery breaker.</v>
      </c>
      <c r="E142" s="183" t="s">
        <v>1464</v>
      </c>
      <c r="F142" s="193"/>
      <c r="G142" s="193"/>
    </row>
    <row r="143" spans="1:7" ht="37.5" x14ac:dyDescent="0.25">
      <c r="A143" s="251">
        <f t="shared" si="2"/>
        <v>669</v>
      </c>
      <c r="B143" s="231" t="str">
        <f>Suite&amp;" Electrical Room "&amp;SWFour</f>
        <v>G104 Electrical Room XXX</v>
      </c>
      <c r="C143" s="183" t="str">
        <f>"UPS "&amp;SWFour&amp;"1"</f>
        <v>UPS XXX1</v>
      </c>
      <c r="D143" s="233" t="s">
        <v>1763</v>
      </c>
      <c r="E143" s="183" t="s">
        <v>1464</v>
      </c>
      <c r="F143" s="193"/>
      <c r="G143" s="193"/>
    </row>
    <row r="144" spans="1:7" ht="37.5" x14ac:dyDescent="0.25">
      <c r="A144" s="251">
        <f t="shared" si="2"/>
        <v>670</v>
      </c>
      <c r="B144" s="231" t="str">
        <f>Suite&amp;" Electrical Room "&amp;SWFour</f>
        <v>G104 Electrical Room XXX</v>
      </c>
      <c r="C144" s="183" t="str">
        <f>"UPS "&amp;SWFour&amp;"2"</f>
        <v>UPS XXX2</v>
      </c>
      <c r="D144" s="233" t="s">
        <v>1763</v>
      </c>
      <c r="E144" s="183" t="s">
        <v>1464</v>
      </c>
      <c r="F144" s="193"/>
      <c r="G144" s="193"/>
    </row>
    <row r="145" spans="1:7" ht="37.5" x14ac:dyDescent="0.25">
      <c r="A145" s="251">
        <f t="shared" si="2"/>
        <v>671</v>
      </c>
      <c r="B145" s="231" t="str">
        <f>Suite&amp;" Electrical Room "&amp;SWFour</f>
        <v>G104 Electrical Room XXX</v>
      </c>
      <c r="C145" s="183" t="str">
        <f>"UPS "&amp;SWFour</f>
        <v>UPS XXX</v>
      </c>
      <c r="D145" s="233" t="str" cm="1">
        <f t="array" ref="D145">"UPS SYSTEM "&amp; SWFour &amp;" is now online and ready to accept load. Critical Customer Load remains on Maintenance Bypass Source."</f>
        <v>UPS SYSTEM XXX is now online and ready to accept load. Critical Customer Load remains on Maintenance Bypass Source.</v>
      </c>
      <c r="E145" s="183" t="s">
        <v>1464</v>
      </c>
      <c r="F145" s="193"/>
      <c r="G145" s="193"/>
    </row>
    <row r="146" spans="1:7" x14ac:dyDescent="0.25">
      <c r="A146" s="251">
        <f t="shared" si="2"/>
        <v>672</v>
      </c>
      <c r="B146" s="711" t="s">
        <v>1602</v>
      </c>
      <c r="C146" s="711"/>
      <c r="D146" s="711"/>
      <c r="E146" s="711"/>
      <c r="F146" s="711"/>
      <c r="G146" s="711"/>
    </row>
    <row r="147" spans="1:7" ht="37.5" x14ac:dyDescent="0.25">
      <c r="A147" s="251">
        <f t="shared" si="2"/>
        <v>673</v>
      </c>
      <c r="B147" s="231" t="str">
        <f>Suite&amp;" Electrical Room "&amp;SWFour</f>
        <v>G104 Electrical Room XXX</v>
      </c>
      <c r="C147" s="183" t="str">
        <f>"UP"&amp;SWFour</f>
        <v>UPXXX</v>
      </c>
      <c r="D147" s="233" t="str" cm="1">
        <f t="array" ref="D147">"NOTATE the kW reading at UP" &amp; SWFour &amp; " Critical Bus Panel Meter: _________"</f>
        <v>NOTATE the kW reading at UPXXX Critical Bus Panel Meter: _________</v>
      </c>
      <c r="E147" s="183" t="s">
        <v>1464</v>
      </c>
      <c r="F147" s="193"/>
      <c r="G147" s="193"/>
    </row>
    <row r="148" spans="1:7" ht="37.5" x14ac:dyDescent="0.25">
      <c r="A148" s="251">
        <f t="shared" si="2"/>
        <v>674</v>
      </c>
      <c r="B148" s="231" t="str">
        <f>Suite&amp;" Electrical Room "&amp;SWFour</f>
        <v>G104 Electrical Room XXX</v>
      </c>
      <c r="C148" s="183" t="str">
        <f>"UP"&amp;SWFour</f>
        <v>UPXXX</v>
      </c>
      <c r="D148" s="233" t="str">
        <f>"VERIFY the readings in step " &amp; A103 &amp; " and " &amp; A147 &amp; " are within 3% of each other. (new kW divided by original kW must be ≤1.03 and ≥0.97)."</f>
        <v>VERIFY the readings in step 629 and 673 are within 3% of each other. (new kW divided by original kW must be ≤1.03 and ≥0.97).</v>
      </c>
      <c r="E148" s="183" t="s">
        <v>1464</v>
      </c>
      <c r="F148" s="193"/>
      <c r="G148" s="193"/>
    </row>
    <row r="149" spans="1:7" ht="37.5" x14ac:dyDescent="0.25">
      <c r="A149" s="251">
        <f t="shared" si="2"/>
        <v>675</v>
      </c>
      <c r="B149" s="231" t="str">
        <f>Suite&amp;" Electrical Room "&amp;SWFour</f>
        <v>G104 Electrical Room XXX</v>
      </c>
      <c r="C149" s="183" t="str">
        <f>"UP"&amp;SWFour</f>
        <v>UPXXX</v>
      </c>
      <c r="D149" s="186" t="s">
        <v>1569</v>
      </c>
      <c r="E149" s="183" t="s">
        <v>1464</v>
      </c>
      <c r="F149" s="193"/>
      <c r="G149" s="193"/>
    </row>
    <row r="150" spans="1:7" ht="37.5" x14ac:dyDescent="0.25">
      <c r="A150" s="251">
        <f t="shared" si="2"/>
        <v>676</v>
      </c>
      <c r="B150" s="231" t="str">
        <f>Suite&amp;" Electrical Room "&amp;SWFour</f>
        <v>G104 Electrical Room XXX</v>
      </c>
      <c r="C150" s="183" t="str">
        <f>"UP"&amp;SWFour</f>
        <v>UPXXX</v>
      </c>
      <c r="D150" s="186" t="s">
        <v>1570</v>
      </c>
      <c r="E150" s="183" t="s">
        <v>1464</v>
      </c>
      <c r="F150" s="193"/>
      <c r="G150" s="193"/>
    </row>
    <row r="151" spans="1:7" ht="37.5" x14ac:dyDescent="0.25">
      <c r="A151" s="251">
        <f t="shared" si="2"/>
        <v>677</v>
      </c>
      <c r="B151" s="231" t="str">
        <f>Suite&amp;" Electrical Room "&amp;SWFour</f>
        <v>G104 Electrical Room XXX</v>
      </c>
      <c r="C151" s="183" t="str">
        <f>"UP"&amp;SWFour</f>
        <v>UPXXX</v>
      </c>
      <c r="D151" s="233" t="str" cm="1">
        <f t="array" ref="D151">"INSERT the interlock key into the MCBUP" &amp; SWFour &amp; " breaker lock cylinder."</f>
        <v>INSERT the interlock key into the MCBUPXXX breaker lock cylinder.</v>
      </c>
      <c r="E151" s="183" t="s">
        <v>1464</v>
      </c>
      <c r="F151" s="193"/>
      <c r="G151" s="193"/>
    </row>
    <row r="152" spans="1:7" ht="37.5" x14ac:dyDescent="0.25">
      <c r="A152" s="251">
        <f t="shared" si="2"/>
        <v>678</v>
      </c>
      <c r="B152" s="231" t="str">
        <f>Suite&amp;" Electrical Room "&amp;SWFour</f>
        <v>G104 Electrical Room XXX</v>
      </c>
      <c r="C152" s="183" t="str">
        <f>"UP"&amp;SWFour</f>
        <v>UPXXX</v>
      </c>
      <c r="D152" s="186" t="str" cm="1">
        <f t="array" ref="D152">"ROTATE the interlock key 180 degrees to UNLOCK the MCBUP" &amp; SWFour &amp; " breaker."</f>
        <v>ROTATE the interlock key 180 degrees to UNLOCK the MCBUPXXX breaker.</v>
      </c>
      <c r="E152" s="183" t="s">
        <v>1464</v>
      </c>
      <c r="F152" s="193"/>
      <c r="G152" s="193"/>
    </row>
    <row r="153" spans="1:7" ht="37.5" x14ac:dyDescent="0.25">
      <c r="A153" s="251">
        <f t="shared" si="2"/>
        <v>679</v>
      </c>
      <c r="B153" s="231" t="str">
        <f>Suite&amp;" Electrical Room "&amp;SWFour</f>
        <v>G104 Electrical Room XXX</v>
      </c>
      <c r="C153" s="183" t="str">
        <f>"UP"&amp;SWFour</f>
        <v>UPXXX</v>
      </c>
      <c r="D153" s="233" t="str" cm="1">
        <f t="array" ref="D153">"Close breaker MCBUP"&amp;SWFour&amp;"."</f>
        <v>Close breaker MCBUPXXX.</v>
      </c>
      <c r="E153" s="183" t="s">
        <v>1464</v>
      </c>
      <c r="F153" s="193"/>
      <c r="G153" s="193"/>
    </row>
    <row r="154" spans="1:7" ht="37.5" x14ac:dyDescent="0.25">
      <c r="A154" s="251">
        <f t="shared" si="2"/>
        <v>680</v>
      </c>
      <c r="B154" s="231" t="str">
        <f>Suite&amp;" Electrical Room "&amp;SWFour</f>
        <v>G104 Electrical Room XXX</v>
      </c>
      <c r="C154" s="183" t="str">
        <f>"UP"&amp;SWFour</f>
        <v>UPXXX</v>
      </c>
      <c r="D154" s="186" t="str" cm="1">
        <f t="array" ref="D154">"VERIFY MCBUP" &amp; SWFour &amp; " breaker flag indicates CLOSED."</f>
        <v>VERIFY MCBUPXXX breaker flag indicates CLOSED.</v>
      </c>
      <c r="E154" s="183" t="s">
        <v>1464</v>
      </c>
      <c r="F154" s="193"/>
      <c r="G154" s="193"/>
    </row>
    <row r="155" spans="1:7" ht="37.5" x14ac:dyDescent="0.25">
      <c r="A155" s="251">
        <f t="shared" si="2"/>
        <v>681</v>
      </c>
      <c r="B155" s="231" t="str">
        <f>Suite&amp;" Electrical Room "&amp;SWFour</f>
        <v>G104 Electrical Room XXX</v>
      </c>
      <c r="C155" s="183" t="str">
        <f>"UP"&amp;SWFour</f>
        <v>UPXXX</v>
      </c>
      <c r="D155" s="233" t="str" cm="1">
        <f t="array" ref="D155">"VERIFY breaker MCBUP"&amp;SWFour&amp;" is carrying a portion of critical customer load using breaker mounted metering."</f>
        <v>VERIFY breaker MCBUPXXX is carrying a portion of critical customer load using breaker mounted metering.</v>
      </c>
      <c r="E155" s="183" t="s">
        <v>1464</v>
      </c>
      <c r="F155" s="193"/>
      <c r="G155" s="193"/>
    </row>
    <row r="156" spans="1:7" ht="37.5" x14ac:dyDescent="0.25">
      <c r="A156" s="251">
        <f t="shared" si="2"/>
        <v>682</v>
      </c>
      <c r="B156" s="231" t="str">
        <f>Suite&amp;" Electrical Room "&amp;SWFour</f>
        <v>G104 Electrical Room XXX</v>
      </c>
      <c r="C156" s="183" t="str">
        <f>"UP"&amp;SWFour</f>
        <v>UPXXX</v>
      </c>
      <c r="D156" s="233" t="str" cm="1">
        <f t="array" ref="D156">"VERIFY breaker MBUP"&amp;SWFour&amp;" is carrying a portion of critical customer load using breaker mounted metering."</f>
        <v>VERIFY breaker MBUPXXX is carrying a portion of critical customer load using breaker mounted metering.</v>
      </c>
      <c r="E156" s="183" t="s">
        <v>1464</v>
      </c>
      <c r="F156" s="193"/>
      <c r="G156" s="193"/>
    </row>
    <row r="157" spans="1:7" ht="37.5" x14ac:dyDescent="0.25">
      <c r="A157" s="251">
        <f t="shared" si="2"/>
        <v>683</v>
      </c>
      <c r="B157" s="231" t="str">
        <f>Suite&amp;" Electrical Room "&amp;SWFour</f>
        <v>G104 Electrical Room XXX</v>
      </c>
      <c r="C157" s="183" t="str">
        <f>"UP"&amp;SWFour</f>
        <v>UPXXX</v>
      </c>
      <c r="D157" s="233" t="str" cm="1">
        <f t="array" ref="D157">"NOTATE the kW reading at UP" &amp; SWFour &amp; " Critical Bus Panel Meter: _________"</f>
        <v>NOTATE the kW reading at UPXXX Critical Bus Panel Meter: _________</v>
      </c>
      <c r="E157" s="183" t="s">
        <v>1464</v>
      </c>
      <c r="F157" s="193"/>
      <c r="G157" s="193"/>
    </row>
    <row r="158" spans="1:7" ht="37.5" x14ac:dyDescent="0.25">
      <c r="A158" s="251">
        <f t="shared" si="2"/>
        <v>684</v>
      </c>
      <c r="B158" s="231" t="str">
        <f>Suite&amp;" Electrical Room "&amp;SWFour</f>
        <v>G104 Electrical Room XXX</v>
      </c>
      <c r="C158" s="183" t="str">
        <f>"UP"&amp;SWFour</f>
        <v>UPXXX</v>
      </c>
      <c r="D158" s="233" t="str">
        <f>"VERIFY the readings in step " &amp; A147 &amp; " and " &amp; A157 &amp; " are within 3% of each other. (new kW divided by original kW must be ≤1.03 and ≥0.97)."</f>
        <v>VERIFY the readings in step 673 and 683 are within 3% of each other. (new kW divided by original kW must be ≤1.03 and ≥0.97).</v>
      </c>
      <c r="E158" s="183" t="s">
        <v>1464</v>
      </c>
      <c r="F158" s="193"/>
      <c r="G158" s="193"/>
    </row>
    <row r="159" spans="1:7" ht="37.5" x14ac:dyDescent="0.25">
      <c r="A159" s="251">
        <f t="shared" si="2"/>
        <v>685</v>
      </c>
      <c r="B159" s="231" t="str">
        <f>Suite&amp;" Electrical Room "&amp;SWFour</f>
        <v>G104 Electrical Room XXX</v>
      </c>
      <c r="C159" s="183" t="str">
        <f>"UP"&amp;SWFour</f>
        <v>UPXXX</v>
      </c>
      <c r="D159" s="233" t="str" cm="1">
        <f t="array" ref="D159">"OPEN breaker MBUP"&amp;SWFour&amp;"."</f>
        <v>OPEN breaker MBUPXXX.</v>
      </c>
      <c r="E159" s="183" t="s">
        <v>1464</v>
      </c>
      <c r="F159" s="193"/>
      <c r="G159" s="193"/>
    </row>
    <row r="160" spans="1:7" ht="37.5" x14ac:dyDescent="0.25">
      <c r="A160" s="251">
        <f t="shared" si="2"/>
        <v>686</v>
      </c>
      <c r="B160" s="231" t="str">
        <f>Suite&amp;" Electrical Room "&amp;SWFour</f>
        <v>G104 Electrical Room XXX</v>
      </c>
      <c r="C160" s="183" t="str">
        <f>"UP"&amp;SWFour</f>
        <v>UPXXX</v>
      </c>
      <c r="D160" s="233" t="s">
        <v>1501</v>
      </c>
      <c r="E160" s="183" t="s">
        <v>1464</v>
      </c>
      <c r="F160" s="193"/>
      <c r="G160" s="193"/>
    </row>
    <row r="161" spans="1:7" ht="37.5" x14ac:dyDescent="0.25">
      <c r="A161" s="251">
        <f t="shared" si="2"/>
        <v>687</v>
      </c>
      <c r="B161" s="231" t="str">
        <f>Suite&amp;" Electrical Room "&amp;SWFour</f>
        <v>G104 Electrical Room XXX</v>
      </c>
      <c r="C161" s="183" t="str">
        <f>"UP"&amp;SWFour</f>
        <v>UPXXX</v>
      </c>
      <c r="D161" s="186" t="str" cm="1">
        <f t="array" ref="D161">"VERIFY MBUP" &amp; SWFour &amp; " breaker flag indicates OFF."</f>
        <v>VERIFY MBUPXXX breaker flag indicates OFF.</v>
      </c>
      <c r="E161" s="183" t="s">
        <v>1464</v>
      </c>
      <c r="F161" s="193"/>
      <c r="G161" s="193"/>
    </row>
    <row r="162" spans="1:7" ht="37.5" x14ac:dyDescent="0.25">
      <c r="A162" s="251">
        <f t="shared" si="2"/>
        <v>688</v>
      </c>
      <c r="B162" s="231" t="str">
        <f>Suite&amp;" Electrical Room "&amp;SWFour</f>
        <v>G104 Electrical Room XXX</v>
      </c>
      <c r="C162" s="183" t="str">
        <f>"UP"&amp;SWFour</f>
        <v>UPXXX</v>
      </c>
      <c r="D162" s="233" t="str" cm="1">
        <f t="array" ref="D162">"NOTATE the kW reading at UP" &amp; SWFour &amp; " Critical Bus Panel Meter: _________"</f>
        <v>NOTATE the kW reading at UPXXX Critical Bus Panel Meter: _________</v>
      </c>
      <c r="E162" s="183" t="s">
        <v>1464</v>
      </c>
      <c r="F162" s="193"/>
      <c r="G162" s="193"/>
    </row>
    <row r="163" spans="1:7" ht="37.5" x14ac:dyDescent="0.25">
      <c r="A163" s="251">
        <f t="shared" si="2"/>
        <v>689</v>
      </c>
      <c r="B163" s="231" t="str">
        <f>Suite&amp;" Electrical Room "&amp;SWFour</f>
        <v>G104 Electrical Room XXX</v>
      </c>
      <c r="C163" s="183" t="str">
        <f>"UP"&amp;SWFour</f>
        <v>UPXXX</v>
      </c>
      <c r="D163" s="233" t="str">
        <f>"VERIFY the readings in step " &amp; A157 &amp; " and " &amp; A162 &amp; " are within 3% of each other. (new kW divided by original kW must be ≤1.03 and ≥0.97)."</f>
        <v>VERIFY the readings in step 683 and 688 are within 3% of each other. (new kW divided by original kW must be ≤1.03 and ≥0.97).</v>
      </c>
      <c r="E163" s="183" t="s">
        <v>1464</v>
      </c>
      <c r="F163" s="193"/>
      <c r="G163" s="193"/>
    </row>
    <row r="164" spans="1:7" ht="37.5" x14ac:dyDescent="0.25">
      <c r="A164" s="251">
        <f t="shared" si="2"/>
        <v>690</v>
      </c>
      <c r="B164" s="231" t="str">
        <f>Suite&amp;" Electrical Room "&amp;SWFour</f>
        <v>G104 Electrical Room XXX</v>
      </c>
      <c r="C164" s="183" t="str">
        <f>"UP"&amp;SWFour</f>
        <v>UPXXX</v>
      </c>
      <c r="D164" s="186" t="str" cm="1">
        <f t="array" ref="D164">"ROTATE the interlock key 180 degrees to LOCK the MBUP"&amp;SWFour&amp;" breaker while simultaneously pulling the lock tab."</f>
        <v>ROTATE the interlock key 180 degrees to LOCK the MBUPXXX breaker while simultaneously pulling the lock tab.</v>
      </c>
      <c r="E164" s="183" t="s">
        <v>1464</v>
      </c>
      <c r="F164" s="193"/>
      <c r="G164" s="193"/>
    </row>
    <row r="165" spans="1:7" ht="37.5" x14ac:dyDescent="0.25">
      <c r="A165" s="251">
        <f t="shared" si="2"/>
        <v>691</v>
      </c>
      <c r="B165" s="231" t="str">
        <f>Suite&amp;" Electrical Room "&amp;SWFour</f>
        <v>G104 Electrical Room XXX</v>
      </c>
      <c r="C165" s="183" t="str">
        <f>"UP"&amp;SWFour</f>
        <v>UPXXX</v>
      </c>
      <c r="D165" s="186" t="str" cm="1">
        <f t="array" ref="D165">"REMOVE the interlock key from the MBUP"&amp;SWFour&amp;" breaker lock cylinder."</f>
        <v>REMOVE the interlock key from the MBUPXXX breaker lock cylinder.</v>
      </c>
      <c r="E165" s="183" t="s">
        <v>1464</v>
      </c>
      <c r="F165" s="193"/>
      <c r="G165" s="193"/>
    </row>
    <row r="166" spans="1:7" ht="37.5" x14ac:dyDescent="0.25">
      <c r="A166" s="251">
        <f t="shared" si="2"/>
        <v>692</v>
      </c>
      <c r="B166" s="231" t="str">
        <f>Suite&amp;" Electrical Room "&amp;SWFour</f>
        <v>G104 Electrical Room XXX</v>
      </c>
      <c r="C166" s="183" t="str">
        <f>"UP"&amp;SWFour</f>
        <v>UPXXX</v>
      </c>
      <c r="D166" s="233" t="s">
        <v>1573</v>
      </c>
      <c r="E166" s="183" t="s">
        <v>1464</v>
      </c>
      <c r="F166" s="193"/>
      <c r="G166" s="193"/>
    </row>
    <row r="167" spans="1:7" ht="37.5" x14ac:dyDescent="0.25">
      <c r="A167" s="251">
        <f t="shared" si="2"/>
        <v>693</v>
      </c>
      <c r="B167" s="231" t="str">
        <f>Suite&amp;" Electrical Room "&amp;SWFour</f>
        <v>G104 Electrical Room XXX</v>
      </c>
      <c r="C167" s="183" t="str">
        <f>"UP"&amp;SWFour</f>
        <v>UPXXX</v>
      </c>
      <c r="D167" s="186" t="s">
        <v>1574</v>
      </c>
      <c r="E167" s="183" t="s">
        <v>1464</v>
      </c>
      <c r="F167" s="193"/>
      <c r="G167" s="193"/>
    </row>
    <row r="168" spans="1:7" ht="37.5" x14ac:dyDescent="0.25">
      <c r="A168" s="251">
        <f t="shared" si="2"/>
        <v>694</v>
      </c>
      <c r="B168" s="231" t="str">
        <f>Suite&amp;" Electrical Room "&amp;SWFour</f>
        <v>G104 Electrical Room XXX</v>
      </c>
      <c r="C168" s="183" t="str">
        <f>"UP"&amp;SWFour</f>
        <v>UPXXX</v>
      </c>
      <c r="D168" s="186" t="s">
        <v>1575</v>
      </c>
      <c r="E168" s="183" t="s">
        <v>1464</v>
      </c>
      <c r="F168" s="193"/>
      <c r="G168" s="193"/>
    </row>
    <row r="169" spans="1:7" ht="37.5" x14ac:dyDescent="0.25">
      <c r="A169" s="251">
        <f t="shared" si="2"/>
        <v>695</v>
      </c>
      <c r="B169" s="231" t="str">
        <f>Suite&amp;" Electrical Room "&amp;SWFour</f>
        <v>G104 Electrical Room XXX</v>
      </c>
      <c r="C169" s="183" t="str">
        <f>"UP"&amp;SWFour</f>
        <v>UPXXX</v>
      </c>
      <c r="D169" s="186" t="s">
        <v>1510</v>
      </c>
      <c r="E169" s="183" t="s">
        <v>1464</v>
      </c>
      <c r="F169" s="193"/>
      <c r="G169" s="193"/>
    </row>
    <row r="170" spans="1:7" x14ac:dyDescent="0.25">
      <c r="A170" s="251">
        <f t="shared" si="2"/>
        <v>696</v>
      </c>
      <c r="B170" s="711" t="str" cm="1">
        <f t="array" ref="B170">"Transfer UPS System " &amp; SWFour &amp;" to Inverter Service"</f>
        <v>Transfer UPS System XXX to Inverter Service</v>
      </c>
      <c r="C170" s="711"/>
      <c r="D170" s="711"/>
      <c r="E170" s="711"/>
      <c r="F170" s="711"/>
      <c r="G170" s="711"/>
    </row>
    <row r="171" spans="1:7" ht="37.5" x14ac:dyDescent="0.25">
      <c r="A171" s="251">
        <f t="shared" si="2"/>
        <v>697</v>
      </c>
      <c r="B171" s="231" t="str">
        <f>Suite&amp;" Electrical Room "&amp;SWFour</f>
        <v>G104 Electrical Room XXX</v>
      </c>
      <c r="C171" s="183" t="str">
        <f>"UPS "&amp;SWFour&amp;"1"</f>
        <v>UPS XXX1</v>
      </c>
      <c r="D171" s="233" t="s">
        <v>1764</v>
      </c>
      <c r="E171" s="183" t="s">
        <v>1464</v>
      </c>
      <c r="F171" s="193"/>
      <c r="G171" s="193"/>
    </row>
    <row r="172" spans="1:7" ht="56.25" x14ac:dyDescent="0.25">
      <c r="A172" s="251">
        <f t="shared" si="2"/>
        <v>698</v>
      </c>
      <c r="B172" s="231" t="str">
        <f>Suite&amp;" Electrical Room "&amp;SWFour</f>
        <v>G104 Electrical Room XXX</v>
      </c>
      <c r="C172" s="183" t="str">
        <f>"UPS "&amp;SWFour&amp;"1"</f>
        <v>UPS XXX1</v>
      </c>
      <c r="D172" s="233" t="str" cm="1">
        <f t="array" ref="D172">"The red ‘Load Not Protected’ status LED will extinguish and the green ‘Load Protected’ status LED will illuminate. Expect to hear UPS-"&amp; SWFour &amp;"1 inverter start and SCC Internal Bypass Breaker Q2S OPEN at this step."</f>
        <v>The red ‘Load Not Protected’ status LED will extinguish and the green ‘Load Protected’ status LED will illuminate. Expect to hear UPS-XXX1 inverter start and SCC Internal Bypass Breaker Q2S OPEN at this step.</v>
      </c>
      <c r="E172" s="183" t="s">
        <v>1464</v>
      </c>
      <c r="F172" s="193"/>
      <c r="G172" s="193"/>
    </row>
    <row r="173" spans="1:7" ht="37.5" x14ac:dyDescent="0.25">
      <c r="A173" s="251">
        <f t="shared" si="2"/>
        <v>699</v>
      </c>
      <c r="B173" s="231" t="str">
        <f>Suite&amp;" Electrical Room "&amp;SWFour</f>
        <v>G104 Electrical Room XXX</v>
      </c>
      <c r="C173" s="183" t="str">
        <f>"UPS "&amp;SWFour&amp;"2"</f>
        <v>UPS XXX2</v>
      </c>
      <c r="D173" s="233" t="s">
        <v>1764</v>
      </c>
      <c r="E173" s="183" t="s">
        <v>1464</v>
      </c>
      <c r="F173" s="193"/>
      <c r="G173" s="193"/>
    </row>
    <row r="174" spans="1:7" ht="56.25" x14ac:dyDescent="0.25">
      <c r="A174" s="251">
        <f t="shared" si="2"/>
        <v>700</v>
      </c>
      <c r="B174" s="231" t="str">
        <f>Suite&amp;" Electrical Room "&amp;SWFour</f>
        <v>G104 Electrical Room XXX</v>
      </c>
      <c r="C174" s="183" t="str">
        <f>"UPS "&amp;SWFour&amp;"2"</f>
        <v>UPS XXX2</v>
      </c>
      <c r="D174" s="233" t="str" cm="1">
        <f t="array" ref="D174">"The red ‘Load Not Protected’ status LED will extinguish and the green ‘Load Protected’ status LED will illuminate. Expect to hear UPS-"&amp; SWFour &amp;"2 inverter start at this step."</f>
        <v>The red ‘Load Not Protected’ status LED will extinguish and the green ‘Load Protected’ status LED will illuminate. Expect to hear UPS-XXX2 inverter start at this step.</v>
      </c>
      <c r="E174" s="183" t="s">
        <v>1464</v>
      </c>
      <c r="F174" s="193"/>
      <c r="G174" s="193"/>
    </row>
    <row r="175" spans="1:7" ht="37.5" x14ac:dyDescent="0.25">
      <c r="A175" s="251">
        <f t="shared" si="2"/>
        <v>701</v>
      </c>
      <c r="B175" s="231" t="str">
        <f>Suite&amp;" Electrical Room "&amp;SWFour</f>
        <v>G104 Electrical Room XXX</v>
      </c>
      <c r="C175" s="183" t="str">
        <f>"SCC "&amp;SWFour</f>
        <v>SCC XXX</v>
      </c>
      <c r="D175" s="233" t="s">
        <v>1765</v>
      </c>
      <c r="E175" s="183" t="s">
        <v>1464</v>
      </c>
      <c r="F175" s="193"/>
      <c r="G175" s="193"/>
    </row>
    <row r="176" spans="1:7" ht="37.5" x14ac:dyDescent="0.25">
      <c r="A176" s="251">
        <f t="shared" si="2"/>
        <v>702</v>
      </c>
      <c r="B176" s="231" t="str">
        <f>Suite&amp;" Electrical Room "&amp;SWFour</f>
        <v>G104 Electrical Room XXX</v>
      </c>
      <c r="C176" s="183" t="str">
        <f>"SCC "&amp;SWFour</f>
        <v>SCC XXX</v>
      </c>
      <c r="D176" s="233" t="s">
        <v>1557</v>
      </c>
      <c r="E176" s="183" t="s">
        <v>1464</v>
      </c>
      <c r="F176" s="193"/>
      <c r="G176" s="193"/>
    </row>
    <row r="177" spans="1:7" ht="37.5" x14ac:dyDescent="0.25">
      <c r="A177" s="251">
        <f t="shared" si="2"/>
        <v>703</v>
      </c>
      <c r="B177" s="231" t="str">
        <f>Suite&amp;" Electrical Rooms"</f>
        <v>G104 Electrical Rooms</v>
      </c>
      <c r="C177" s="183" t="str" cm="1">
        <f t="array" ref="C177">Suite &amp; " UPS Systems"</f>
        <v>G104 UPS Systems</v>
      </c>
      <c r="D177" s="252" t="str">
        <f>"VERIFY all "&amp;Suite&amp;" UPS systems are on-line with no critical alarms present."</f>
        <v>VERIFY all G104 UPS systems are on-line with no critical alarms present.</v>
      </c>
      <c r="E177" s="183" t="s">
        <v>1464</v>
      </c>
      <c r="F177" s="193"/>
      <c r="G177" s="193"/>
    </row>
    <row r="178" spans="1:7" ht="37.5" x14ac:dyDescent="0.25">
      <c r="A178" s="251">
        <f t="shared" si="2"/>
        <v>704</v>
      </c>
      <c r="B178" s="231" t="str">
        <f>Suite&amp;" Electrical Room "&amp;SWFour</f>
        <v>G104 Electrical Room XXX</v>
      </c>
      <c r="C178" s="183" t="str">
        <f>"UPS "&amp;SWFour&amp;"1"</f>
        <v>UPS XXX1</v>
      </c>
      <c r="D178" s="252" t="str" cm="1">
        <f t="array" ref="D178">"NOTATE the output kW reading at UPS-" &amp; SWFour &amp; "1:  ___________"</f>
        <v>NOTATE the output kW reading at UPS-XXX1:  ___________</v>
      </c>
      <c r="E178" s="183" t="s">
        <v>1464</v>
      </c>
      <c r="F178" s="193"/>
      <c r="G178" s="193"/>
    </row>
    <row r="179" spans="1:7" ht="37.5" x14ac:dyDescent="0.25">
      <c r="A179" s="251">
        <f t="shared" si="2"/>
        <v>705</v>
      </c>
      <c r="B179" s="231" t="str">
        <f>Suite&amp;" Electrical Room "&amp;SWFour</f>
        <v>G104 Electrical Room XXX</v>
      </c>
      <c r="C179" s="183" t="str">
        <f>"UPS "&amp;SWFour&amp;"2"</f>
        <v>UPS XXX2</v>
      </c>
      <c r="D179" s="252" t="str" cm="1">
        <f t="array" ref="D179">"NOTATE the output kW reading at UPS-" &amp; SWFour &amp; "2:  ___________"</f>
        <v>NOTATE the output kW reading at UPS-XXX2:  ___________</v>
      </c>
      <c r="E179" s="183" t="s">
        <v>1464</v>
      </c>
      <c r="F179" s="193"/>
      <c r="G179" s="193"/>
    </row>
    <row r="180" spans="1:7" ht="37.5" x14ac:dyDescent="0.25">
      <c r="A180" s="251">
        <f t="shared" si="2"/>
        <v>706</v>
      </c>
      <c r="B180" s="231" t="str">
        <f>Suite&amp;" Electrical Room "&amp;SWFour</f>
        <v>G104 Electrical Room XXX</v>
      </c>
      <c r="C180" s="183" t="str">
        <f>"UP"&amp;SWFour</f>
        <v>UPXXX</v>
      </c>
      <c r="D180" s="233" t="str" cm="1">
        <f t="array" ref="D180">"NOTATE the kW reading at UP" &amp; SWFour &amp; " Critical Bus Panel Meter: _________"</f>
        <v>NOTATE the kW reading at UPXXX Critical Bus Panel Meter: _________</v>
      </c>
      <c r="E180" s="183" t="s">
        <v>1464</v>
      </c>
      <c r="F180" s="193"/>
      <c r="G180" s="193"/>
    </row>
    <row r="181" spans="1:7" ht="37.5" x14ac:dyDescent="0.25">
      <c r="A181" s="251">
        <f t="shared" si="2"/>
        <v>707</v>
      </c>
      <c r="B181" s="231" t="str">
        <f>Suite&amp;" Electrical Room "&amp;SWFour</f>
        <v>G104 Electrical Room XXX</v>
      </c>
      <c r="C181" s="183" t="str">
        <f>"UP"&amp;SWFour</f>
        <v>UPXXX</v>
      </c>
      <c r="D181" s="233" t="str">
        <f>"VERIFY the readings in step " &amp; A162 &amp; " and " &amp; A180 &amp; " are within 3% of each other. (new kW divided by original kW must be ≤1.03 and ≥0.97)."</f>
        <v>VERIFY the readings in step 688 and 706 are within 3% of each other. (new kW divided by original kW must be ≤1.03 and ≥0.97).</v>
      </c>
      <c r="E181" s="183" t="s">
        <v>1464</v>
      </c>
      <c r="F181" s="193"/>
      <c r="G181" s="193"/>
    </row>
    <row r="182" spans="1:7" ht="37.5" x14ac:dyDescent="0.25">
      <c r="A182" s="251">
        <f t="shared" si="2"/>
        <v>708</v>
      </c>
      <c r="B182" s="183" t="s">
        <v>1462</v>
      </c>
      <c r="C182" s="183" t="s">
        <v>84</v>
      </c>
      <c r="D182" s="252" t="str">
        <f>"Contact the engineer stationed on base to verify no abnormal conditions exist on the suite " &amp; Suite &amp; " electrical systems."</f>
        <v>Contact the engineer stationed on base to verify no abnormal conditions exist on the suite G104 electrical systems.</v>
      </c>
      <c r="E182" s="183" t="s">
        <v>1464</v>
      </c>
      <c r="F182" s="193"/>
      <c r="G182" s="193"/>
    </row>
    <row r="183" spans="1:7" x14ac:dyDescent="0.3">
      <c r="A183" s="192"/>
    </row>
    <row r="184" spans="1:7" x14ac:dyDescent="0.3">
      <c r="A184" s="192"/>
    </row>
    <row r="185" spans="1:7" x14ac:dyDescent="0.3">
      <c r="A185" s="192"/>
    </row>
    <row r="186" spans="1:7" x14ac:dyDescent="0.3">
      <c r="A186" s="192"/>
    </row>
    <row r="187" spans="1:7" x14ac:dyDescent="0.3">
      <c r="A187" s="192"/>
    </row>
    <row r="188" spans="1:7" x14ac:dyDescent="0.3">
      <c r="A188" s="192"/>
    </row>
    <row r="189" spans="1:7" x14ac:dyDescent="0.3">
      <c r="A189" s="192"/>
    </row>
    <row r="190" spans="1:7" x14ac:dyDescent="0.3">
      <c r="A190" s="192"/>
    </row>
    <row r="191" spans="1:7" x14ac:dyDescent="0.3">
      <c r="A191" s="192"/>
    </row>
  </sheetData>
  <sheetProtection formatCells="0" formatColumns="0" formatRows="0" insertRows="0" deleteRows="0" sort="0" autoFilter="0"/>
  <mergeCells count="12">
    <mergeCell ref="A2:B2"/>
    <mergeCell ref="C2:G2"/>
    <mergeCell ref="B146:G146"/>
    <mergeCell ref="B170:G170"/>
    <mergeCell ref="A4:C4"/>
    <mergeCell ref="B6:G6"/>
    <mergeCell ref="B8:G8"/>
    <mergeCell ref="B19:G19"/>
    <mergeCell ref="B21:G21"/>
    <mergeCell ref="B32:G32"/>
    <mergeCell ref="B61:G61"/>
    <mergeCell ref="B99:G9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E1032-85A2-4D49-9F65-D03EA9C221ED}">
  <sheetPr codeName="Battery_APM">
    <pageSetUpPr fitToPage="1"/>
  </sheetPr>
  <dimension ref="A1:I208"/>
  <sheetViews>
    <sheetView view="pageBreakPreview" zoomScale="90" zoomScaleNormal="100" zoomScaleSheetLayoutView="90" workbookViewId="0">
      <selection activeCell="K12" sqref="K12"/>
    </sheetView>
  </sheetViews>
  <sheetFormatPr defaultColWidth="8.7109375" defaultRowHeight="23.25" x14ac:dyDescent="0.35"/>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60" customWidth="1"/>
    <col min="9" max="9" width="8" style="60" customWidth="1"/>
    <col min="10" max="10" width="2.7109375" style="60" customWidth="1"/>
    <col min="11" max="11" width="72.28515625" style="60" customWidth="1"/>
    <col min="12" max="16384" width="8.7109375" style="60"/>
  </cols>
  <sheetData>
    <row r="1" spans="1:9" customFormat="1" ht="18.75" x14ac:dyDescent="0.25">
      <c r="A1" s="172" t="s">
        <v>1454</v>
      </c>
      <c r="B1" s="172"/>
      <c r="C1" s="173"/>
      <c r="D1" s="173"/>
      <c r="E1" s="173"/>
      <c r="F1" s="173"/>
      <c r="G1" s="173"/>
    </row>
    <row r="2" spans="1:9" customFormat="1" ht="18.75" customHeight="1" x14ac:dyDescent="0.25">
      <c r="A2" s="705" t="s">
        <v>42</v>
      </c>
      <c r="B2" s="705"/>
      <c r="C2" s="708" t="str">
        <f>zTaskName</f>
        <v>Routine Generator run with no load transfer</v>
      </c>
      <c r="D2" s="709"/>
      <c r="E2" s="709"/>
      <c r="F2" s="709"/>
      <c r="G2" s="710"/>
    </row>
    <row r="3" spans="1:9" customFormat="1" ht="9.9499999999999993" customHeight="1" x14ac:dyDescent="0.25">
      <c r="A3" s="459"/>
      <c r="B3" s="460"/>
      <c r="C3" s="461"/>
      <c r="D3" s="461"/>
      <c r="E3" s="461"/>
      <c r="F3" s="461"/>
      <c r="G3" s="462"/>
    </row>
    <row r="4" spans="1:9" customFormat="1" ht="9.9499999999999993" customHeight="1" x14ac:dyDescent="0.25">
      <c r="A4" s="706"/>
      <c r="B4" s="707"/>
      <c r="C4" s="707"/>
      <c r="D4" s="382"/>
      <c r="E4" s="382"/>
      <c r="F4" s="382"/>
      <c r="G4" s="383"/>
      <c r="H4" s="3"/>
      <c r="I4" s="3"/>
    </row>
    <row r="5" spans="1:9" customFormat="1" ht="37.5" x14ac:dyDescent="0.25">
      <c r="A5" s="378" t="s">
        <v>1455</v>
      </c>
      <c r="B5" s="379" t="s">
        <v>8</v>
      </c>
      <c r="C5" s="379" t="s">
        <v>1456</v>
      </c>
      <c r="D5" s="378" t="s">
        <v>1457</v>
      </c>
      <c r="E5" s="379" t="s">
        <v>1458</v>
      </c>
      <c r="F5" s="379" t="s">
        <v>1459</v>
      </c>
      <c r="G5" s="378" t="s">
        <v>1460</v>
      </c>
    </row>
    <row r="6" spans="1:9" x14ac:dyDescent="0.35">
      <c r="A6" s="174">
        <v>1</v>
      </c>
      <c r="B6" s="712" t="s">
        <v>1461</v>
      </c>
      <c r="C6" s="712"/>
      <c r="D6" s="715"/>
      <c r="E6" s="712"/>
      <c r="F6" s="712"/>
      <c r="G6" s="712"/>
    </row>
    <row r="7" spans="1:9" ht="37.5" x14ac:dyDescent="0.35">
      <c r="A7" s="174">
        <v>2</v>
      </c>
      <c r="B7" s="388" t="s">
        <v>1462</v>
      </c>
      <c r="C7" s="388" t="s">
        <v>84</v>
      </c>
      <c r="D7" s="248" t="s">
        <v>1766</v>
      </c>
      <c r="E7" s="388" t="s">
        <v>1464</v>
      </c>
      <c r="F7" s="189"/>
      <c r="G7" s="189"/>
    </row>
    <row r="8" spans="1:9" x14ac:dyDescent="0.35">
      <c r="A8" s="174">
        <v>3</v>
      </c>
      <c r="B8" s="716" t="s">
        <v>1767</v>
      </c>
      <c r="C8" s="716"/>
      <c r="D8" s="716"/>
      <c r="E8" s="716"/>
      <c r="F8" s="716"/>
      <c r="G8" s="716"/>
    </row>
    <row r="9" spans="1:9" ht="37.5" x14ac:dyDescent="0.35">
      <c r="A9" s="174">
        <v>4</v>
      </c>
      <c r="B9" s="388" t="s">
        <v>84</v>
      </c>
      <c r="C9" s="388" t="s">
        <v>84</v>
      </c>
      <c r="D9" s="249" t="s">
        <v>1768</v>
      </c>
      <c r="E9" s="174" t="s">
        <v>1529</v>
      </c>
      <c r="F9" s="189"/>
      <c r="G9" s="189"/>
    </row>
    <row r="10" spans="1:9" ht="37.5" x14ac:dyDescent="0.35">
      <c r="A10" s="174">
        <v>5</v>
      </c>
      <c r="B10" s="388" t="s">
        <v>1769</v>
      </c>
      <c r="C10" s="388" t="s">
        <v>1770</v>
      </c>
      <c r="D10" s="249" t="s">
        <v>1771</v>
      </c>
      <c r="E10" s="174" t="s">
        <v>1464</v>
      </c>
      <c r="F10" s="189"/>
      <c r="G10" s="189"/>
    </row>
    <row r="11" spans="1:9" ht="37.5" x14ac:dyDescent="0.35">
      <c r="A11" s="174">
        <v>6</v>
      </c>
      <c r="B11" s="388" t="s">
        <v>1769</v>
      </c>
      <c r="C11" s="388" t="s">
        <v>1772</v>
      </c>
      <c r="D11" s="195" t="s">
        <v>1773</v>
      </c>
      <c r="E11" s="174" t="s">
        <v>1464</v>
      </c>
      <c r="F11" s="189"/>
      <c r="G11" s="189"/>
    </row>
    <row r="12" spans="1:9" ht="37.5" x14ac:dyDescent="0.35">
      <c r="A12" s="174">
        <v>7</v>
      </c>
      <c r="B12" s="388" t="s">
        <v>1769</v>
      </c>
      <c r="C12" s="388" t="s">
        <v>1772</v>
      </c>
      <c r="D12" s="195" t="s">
        <v>1774</v>
      </c>
      <c r="E12" s="174" t="s">
        <v>1529</v>
      </c>
      <c r="F12" s="189"/>
      <c r="G12" s="189"/>
    </row>
    <row r="13" spans="1:9" ht="37.5" x14ac:dyDescent="0.35">
      <c r="A13" s="174">
        <v>8</v>
      </c>
      <c r="B13" s="388" t="s">
        <v>1769</v>
      </c>
      <c r="C13" s="388" t="s">
        <v>1772</v>
      </c>
      <c r="D13" s="195" t="s">
        <v>1775</v>
      </c>
      <c r="E13" s="174" t="s">
        <v>1464</v>
      </c>
      <c r="F13" s="189"/>
      <c r="G13" s="189"/>
    </row>
    <row r="14" spans="1:9" ht="37.5" x14ac:dyDescent="0.35">
      <c r="A14" s="174">
        <v>9</v>
      </c>
      <c r="B14" s="388" t="s">
        <v>1769</v>
      </c>
      <c r="C14" s="388" t="s">
        <v>1776</v>
      </c>
      <c r="D14" s="195" t="s">
        <v>1777</v>
      </c>
      <c r="E14" s="174" t="s">
        <v>1464</v>
      </c>
      <c r="F14" s="189"/>
      <c r="G14" s="189"/>
    </row>
    <row r="15" spans="1:9" ht="37.5" x14ac:dyDescent="0.35">
      <c r="A15" s="174">
        <v>10</v>
      </c>
      <c r="B15" s="388" t="s">
        <v>1769</v>
      </c>
      <c r="C15" s="388" t="s">
        <v>1776</v>
      </c>
      <c r="D15" s="195" t="s">
        <v>1774</v>
      </c>
      <c r="E15" s="174" t="s">
        <v>1529</v>
      </c>
      <c r="F15" s="189"/>
      <c r="G15" s="189"/>
    </row>
    <row r="16" spans="1:9" ht="37.5" x14ac:dyDescent="0.35">
      <c r="A16" s="174">
        <v>11</v>
      </c>
      <c r="B16" s="388" t="s">
        <v>1769</v>
      </c>
      <c r="C16" s="388" t="s">
        <v>1776</v>
      </c>
      <c r="D16" s="195" t="s">
        <v>1778</v>
      </c>
      <c r="E16" s="174" t="s">
        <v>1464</v>
      </c>
      <c r="F16" s="189"/>
      <c r="G16" s="189"/>
    </row>
    <row r="17" spans="1:7" ht="37.5" x14ac:dyDescent="0.35">
      <c r="A17" s="174">
        <v>12</v>
      </c>
      <c r="B17" s="388" t="s">
        <v>1769</v>
      </c>
      <c r="C17" s="388" t="s">
        <v>1779</v>
      </c>
      <c r="D17" s="195" t="s">
        <v>1780</v>
      </c>
      <c r="E17" s="174" t="s">
        <v>1464</v>
      </c>
      <c r="F17" s="189"/>
      <c r="G17" s="189"/>
    </row>
    <row r="18" spans="1:7" ht="37.5" x14ac:dyDescent="0.35">
      <c r="A18" s="174">
        <v>13</v>
      </c>
      <c r="B18" s="388" t="s">
        <v>1769</v>
      </c>
      <c r="C18" s="388" t="s">
        <v>1779</v>
      </c>
      <c r="D18" s="195" t="s">
        <v>1774</v>
      </c>
      <c r="E18" s="174" t="s">
        <v>1529</v>
      </c>
      <c r="F18" s="189"/>
      <c r="G18" s="189"/>
    </row>
    <row r="19" spans="1:7" ht="37.5" x14ac:dyDescent="0.35">
      <c r="A19" s="174">
        <v>14</v>
      </c>
      <c r="B19" s="388" t="s">
        <v>1769</v>
      </c>
      <c r="C19" s="388" t="s">
        <v>1779</v>
      </c>
      <c r="D19" s="195" t="s">
        <v>1781</v>
      </c>
      <c r="E19" s="174" t="s">
        <v>1464</v>
      </c>
      <c r="F19" s="189"/>
      <c r="G19" s="189"/>
    </row>
    <row r="20" spans="1:7" ht="37.5" x14ac:dyDescent="0.35">
      <c r="A20" s="174">
        <v>15</v>
      </c>
      <c r="B20" s="388" t="s">
        <v>1769</v>
      </c>
      <c r="C20" s="388" t="s">
        <v>1782</v>
      </c>
      <c r="D20" s="195" t="s">
        <v>1783</v>
      </c>
      <c r="E20" s="174" t="s">
        <v>1464</v>
      </c>
      <c r="F20" s="189"/>
      <c r="G20" s="189"/>
    </row>
    <row r="21" spans="1:7" ht="37.5" x14ac:dyDescent="0.35">
      <c r="A21" s="174">
        <v>16</v>
      </c>
      <c r="B21" s="388" t="s">
        <v>1769</v>
      </c>
      <c r="C21" s="388" t="s">
        <v>1782</v>
      </c>
      <c r="D21" s="195" t="s">
        <v>1774</v>
      </c>
      <c r="E21" s="174" t="s">
        <v>1529</v>
      </c>
      <c r="F21" s="189"/>
      <c r="G21" s="189"/>
    </row>
    <row r="22" spans="1:7" ht="37.5" x14ac:dyDescent="0.35">
      <c r="A22" s="174">
        <v>17</v>
      </c>
      <c r="B22" s="388" t="s">
        <v>1769</v>
      </c>
      <c r="C22" s="388" t="s">
        <v>1782</v>
      </c>
      <c r="D22" s="195" t="s">
        <v>1784</v>
      </c>
      <c r="E22" s="174" t="s">
        <v>1464</v>
      </c>
      <c r="F22" s="189"/>
      <c r="G22" s="189"/>
    </row>
    <row r="23" spans="1:7" ht="37.5" x14ac:dyDescent="0.35">
      <c r="A23" s="174">
        <v>18</v>
      </c>
      <c r="B23" s="388" t="s">
        <v>1769</v>
      </c>
      <c r="C23" s="388" t="s">
        <v>1785</v>
      </c>
      <c r="D23" s="195" t="s">
        <v>1786</v>
      </c>
      <c r="E23" s="174" t="s">
        <v>1464</v>
      </c>
      <c r="F23" s="189"/>
      <c r="G23" s="189"/>
    </row>
    <row r="24" spans="1:7" ht="37.5" x14ac:dyDescent="0.35">
      <c r="A24" s="174">
        <v>19</v>
      </c>
      <c r="B24" s="388" t="s">
        <v>1769</v>
      </c>
      <c r="C24" s="388" t="s">
        <v>1785</v>
      </c>
      <c r="D24" s="195" t="s">
        <v>1774</v>
      </c>
      <c r="E24" s="174" t="s">
        <v>1529</v>
      </c>
      <c r="F24" s="189"/>
      <c r="G24" s="189"/>
    </row>
    <row r="25" spans="1:7" ht="37.5" x14ac:dyDescent="0.35">
      <c r="A25" s="174">
        <v>20</v>
      </c>
      <c r="B25" s="388" t="s">
        <v>1769</v>
      </c>
      <c r="C25" s="388" t="s">
        <v>1785</v>
      </c>
      <c r="D25" s="195" t="s">
        <v>1787</v>
      </c>
      <c r="E25" s="174" t="s">
        <v>1464</v>
      </c>
      <c r="F25" s="189"/>
      <c r="G25" s="189"/>
    </row>
    <row r="26" spans="1:7" ht="37.5" x14ac:dyDescent="0.35">
      <c r="A26" s="174">
        <v>21</v>
      </c>
      <c r="B26" s="388" t="s">
        <v>1769</v>
      </c>
      <c r="C26" s="388" t="s">
        <v>1788</v>
      </c>
      <c r="D26" s="195" t="s">
        <v>1789</v>
      </c>
      <c r="E26" s="174" t="s">
        <v>1464</v>
      </c>
      <c r="F26" s="198"/>
      <c r="G26" s="198"/>
    </row>
    <row r="27" spans="1:7" ht="37.5" x14ac:dyDescent="0.35">
      <c r="A27" s="174">
        <v>22</v>
      </c>
      <c r="B27" s="388" t="s">
        <v>1769</v>
      </c>
      <c r="C27" s="388" t="s">
        <v>1788</v>
      </c>
      <c r="D27" s="195" t="s">
        <v>1774</v>
      </c>
      <c r="E27" s="174" t="s">
        <v>1529</v>
      </c>
      <c r="F27" s="198"/>
      <c r="G27" s="198"/>
    </row>
    <row r="28" spans="1:7" ht="37.5" x14ac:dyDescent="0.35">
      <c r="A28" s="174">
        <v>23</v>
      </c>
      <c r="B28" s="388" t="s">
        <v>1769</v>
      </c>
      <c r="C28" s="388" t="s">
        <v>1788</v>
      </c>
      <c r="D28" s="195" t="s">
        <v>1790</v>
      </c>
      <c r="E28" s="174" t="s">
        <v>1464</v>
      </c>
      <c r="F28" s="198"/>
      <c r="G28" s="198"/>
    </row>
    <row r="29" spans="1:7" ht="37.5" x14ac:dyDescent="0.35">
      <c r="A29" s="174">
        <v>24</v>
      </c>
      <c r="B29" s="388" t="s">
        <v>1769</v>
      </c>
      <c r="C29" s="388" t="s">
        <v>1791</v>
      </c>
      <c r="D29" s="249" t="s">
        <v>1792</v>
      </c>
      <c r="E29" s="174" t="s">
        <v>1464</v>
      </c>
      <c r="F29" s="198"/>
      <c r="G29" s="198"/>
    </row>
    <row r="30" spans="1:7" ht="37.5" x14ac:dyDescent="0.35">
      <c r="A30" s="174">
        <v>25</v>
      </c>
      <c r="B30" s="388" t="s">
        <v>1769</v>
      </c>
      <c r="C30" s="388" t="s">
        <v>1793</v>
      </c>
      <c r="D30" s="195" t="s">
        <v>1794</v>
      </c>
      <c r="E30" s="174" t="s">
        <v>1464</v>
      </c>
      <c r="F30" s="198"/>
      <c r="G30" s="198"/>
    </row>
    <row r="31" spans="1:7" ht="37.5" x14ac:dyDescent="0.35">
      <c r="A31" s="174">
        <v>26</v>
      </c>
      <c r="B31" s="388" t="s">
        <v>1769</v>
      </c>
      <c r="C31" s="388" t="s">
        <v>1793</v>
      </c>
      <c r="D31" s="195" t="s">
        <v>1774</v>
      </c>
      <c r="E31" s="174" t="s">
        <v>1529</v>
      </c>
      <c r="F31" s="198"/>
      <c r="G31" s="198"/>
    </row>
    <row r="32" spans="1:7" ht="37.5" x14ac:dyDescent="0.35">
      <c r="A32" s="174">
        <v>27</v>
      </c>
      <c r="B32" s="388" t="s">
        <v>1769</v>
      </c>
      <c r="C32" s="388" t="s">
        <v>1793</v>
      </c>
      <c r="D32" s="195" t="s">
        <v>1795</v>
      </c>
      <c r="E32" s="174" t="s">
        <v>1464</v>
      </c>
      <c r="F32" s="198"/>
      <c r="G32" s="198"/>
    </row>
    <row r="33" spans="1:7" ht="37.5" x14ac:dyDescent="0.35">
      <c r="A33" s="174">
        <v>28</v>
      </c>
      <c r="B33" s="388" t="s">
        <v>1769</v>
      </c>
      <c r="C33" s="388" t="s">
        <v>1796</v>
      </c>
      <c r="D33" s="195" t="s">
        <v>1797</v>
      </c>
      <c r="E33" s="174" t="s">
        <v>1464</v>
      </c>
      <c r="F33" s="198"/>
      <c r="G33" s="198"/>
    </row>
    <row r="34" spans="1:7" ht="37.5" x14ac:dyDescent="0.35">
      <c r="A34" s="174">
        <v>29</v>
      </c>
      <c r="B34" s="388" t="s">
        <v>1769</v>
      </c>
      <c r="C34" s="388" t="s">
        <v>1796</v>
      </c>
      <c r="D34" s="195" t="s">
        <v>1774</v>
      </c>
      <c r="E34" s="174" t="s">
        <v>1529</v>
      </c>
      <c r="F34" s="198"/>
      <c r="G34" s="198"/>
    </row>
    <row r="35" spans="1:7" ht="37.5" x14ac:dyDescent="0.35">
      <c r="A35" s="174">
        <v>30</v>
      </c>
      <c r="B35" s="388" t="s">
        <v>1769</v>
      </c>
      <c r="C35" s="388" t="s">
        <v>1796</v>
      </c>
      <c r="D35" s="195" t="s">
        <v>1798</v>
      </c>
      <c r="E35" s="174" t="s">
        <v>1464</v>
      </c>
      <c r="F35" s="198"/>
      <c r="G35" s="198"/>
    </row>
    <row r="36" spans="1:7" ht="37.5" x14ac:dyDescent="0.35">
      <c r="A36" s="174">
        <v>31</v>
      </c>
      <c r="B36" s="388" t="s">
        <v>1769</v>
      </c>
      <c r="C36" s="388" t="s">
        <v>1799</v>
      </c>
      <c r="D36" s="195" t="s">
        <v>1800</v>
      </c>
      <c r="E36" s="174" t="s">
        <v>1464</v>
      </c>
      <c r="F36" s="198"/>
      <c r="G36" s="198"/>
    </row>
    <row r="37" spans="1:7" ht="37.5" x14ac:dyDescent="0.35">
      <c r="A37" s="174">
        <v>32</v>
      </c>
      <c r="B37" s="388" t="s">
        <v>1769</v>
      </c>
      <c r="C37" s="388" t="s">
        <v>1799</v>
      </c>
      <c r="D37" s="195" t="s">
        <v>1774</v>
      </c>
      <c r="E37" s="174" t="s">
        <v>1529</v>
      </c>
      <c r="F37" s="198"/>
      <c r="G37" s="198"/>
    </row>
    <row r="38" spans="1:7" ht="37.5" x14ac:dyDescent="0.35">
      <c r="A38" s="174">
        <v>33</v>
      </c>
      <c r="B38" s="388" t="s">
        <v>1769</v>
      </c>
      <c r="C38" s="388" t="s">
        <v>1799</v>
      </c>
      <c r="D38" s="195" t="s">
        <v>1801</v>
      </c>
      <c r="E38" s="174" t="s">
        <v>1464</v>
      </c>
      <c r="F38" s="198"/>
      <c r="G38" s="198"/>
    </row>
    <row r="39" spans="1:7" ht="37.5" x14ac:dyDescent="0.35">
      <c r="A39" s="174">
        <v>34</v>
      </c>
      <c r="B39" s="388" t="s">
        <v>1769</v>
      </c>
      <c r="C39" s="388" t="s">
        <v>1802</v>
      </c>
      <c r="D39" s="195" t="s">
        <v>1803</v>
      </c>
      <c r="E39" s="174" t="s">
        <v>1464</v>
      </c>
      <c r="F39" s="198"/>
      <c r="G39" s="198"/>
    </row>
    <row r="40" spans="1:7" ht="37.5" x14ac:dyDescent="0.35">
      <c r="A40" s="174">
        <v>35</v>
      </c>
      <c r="B40" s="388" t="s">
        <v>1769</v>
      </c>
      <c r="C40" s="388" t="s">
        <v>1802</v>
      </c>
      <c r="D40" s="195" t="s">
        <v>1774</v>
      </c>
      <c r="E40" s="174" t="s">
        <v>1529</v>
      </c>
      <c r="F40" s="198"/>
      <c r="G40" s="198"/>
    </row>
    <row r="41" spans="1:7" ht="37.5" x14ac:dyDescent="0.35">
      <c r="A41" s="174">
        <v>36</v>
      </c>
      <c r="B41" s="388" t="s">
        <v>1769</v>
      </c>
      <c r="C41" s="388" t="s">
        <v>1802</v>
      </c>
      <c r="D41" s="195" t="s">
        <v>1804</v>
      </c>
      <c r="E41" s="174" t="s">
        <v>1464</v>
      </c>
      <c r="F41" s="198"/>
      <c r="G41" s="198"/>
    </row>
    <row r="42" spans="1:7" ht="37.5" x14ac:dyDescent="0.35">
      <c r="A42" s="174">
        <v>37</v>
      </c>
      <c r="B42" s="388" t="s">
        <v>1769</v>
      </c>
      <c r="C42" s="388" t="s">
        <v>1805</v>
      </c>
      <c r="D42" s="195" t="s">
        <v>1806</v>
      </c>
      <c r="E42" s="174" t="s">
        <v>1464</v>
      </c>
      <c r="F42" s="198"/>
      <c r="G42" s="198"/>
    </row>
    <row r="43" spans="1:7" ht="37.5" x14ac:dyDescent="0.35">
      <c r="A43" s="174">
        <v>38</v>
      </c>
      <c r="B43" s="388" t="s">
        <v>1769</v>
      </c>
      <c r="C43" s="388" t="s">
        <v>1805</v>
      </c>
      <c r="D43" s="195" t="s">
        <v>1774</v>
      </c>
      <c r="E43" s="174" t="s">
        <v>1529</v>
      </c>
      <c r="F43" s="198"/>
      <c r="G43" s="198"/>
    </row>
    <row r="44" spans="1:7" ht="37.5" x14ac:dyDescent="0.35">
      <c r="A44" s="174">
        <v>39</v>
      </c>
      <c r="B44" s="388" t="s">
        <v>1769</v>
      </c>
      <c r="C44" s="388" t="s">
        <v>1805</v>
      </c>
      <c r="D44" s="195" t="s">
        <v>1807</v>
      </c>
      <c r="E44" s="174" t="s">
        <v>1464</v>
      </c>
      <c r="F44" s="198"/>
      <c r="G44" s="198"/>
    </row>
    <row r="45" spans="1:7" ht="37.5" x14ac:dyDescent="0.35">
      <c r="A45" s="174">
        <v>40</v>
      </c>
      <c r="B45" s="388" t="s">
        <v>1769</v>
      </c>
      <c r="C45" s="388" t="s">
        <v>1808</v>
      </c>
      <c r="D45" s="195" t="s">
        <v>1809</v>
      </c>
      <c r="E45" s="174" t="s">
        <v>1464</v>
      </c>
      <c r="F45" s="198"/>
      <c r="G45" s="198"/>
    </row>
    <row r="46" spans="1:7" ht="37.5" x14ac:dyDescent="0.35">
      <c r="A46" s="174">
        <v>41</v>
      </c>
      <c r="B46" s="388" t="s">
        <v>1769</v>
      </c>
      <c r="C46" s="388" t="s">
        <v>1808</v>
      </c>
      <c r="D46" s="195" t="s">
        <v>1774</v>
      </c>
      <c r="E46" s="174" t="s">
        <v>1529</v>
      </c>
      <c r="F46" s="198"/>
      <c r="G46" s="198"/>
    </row>
    <row r="47" spans="1:7" ht="37.5" x14ac:dyDescent="0.35">
      <c r="A47" s="174">
        <v>42</v>
      </c>
      <c r="B47" s="388" t="s">
        <v>1769</v>
      </c>
      <c r="C47" s="388" t="s">
        <v>1808</v>
      </c>
      <c r="D47" s="195" t="s">
        <v>1810</v>
      </c>
      <c r="E47" s="174" t="s">
        <v>1464</v>
      </c>
      <c r="F47" s="198"/>
      <c r="G47" s="198"/>
    </row>
    <row r="48" spans="1:7" ht="37.5" x14ac:dyDescent="0.35">
      <c r="A48" s="174">
        <v>43</v>
      </c>
      <c r="B48" s="388" t="s">
        <v>1811</v>
      </c>
      <c r="C48" s="388" t="s">
        <v>1812</v>
      </c>
      <c r="D48" s="249" t="s">
        <v>1813</v>
      </c>
      <c r="E48" s="174" t="s">
        <v>1464</v>
      </c>
      <c r="F48" s="198"/>
      <c r="G48" s="198"/>
    </row>
    <row r="49" spans="1:7" x14ac:dyDescent="0.35">
      <c r="A49" s="174">
        <v>44</v>
      </c>
      <c r="B49" s="388" t="s">
        <v>1811</v>
      </c>
      <c r="C49" s="388" t="s">
        <v>1814</v>
      </c>
      <c r="D49" s="195" t="s">
        <v>1815</v>
      </c>
      <c r="E49" s="174" t="s">
        <v>1464</v>
      </c>
      <c r="F49" s="198"/>
      <c r="G49" s="198"/>
    </row>
    <row r="50" spans="1:7" x14ac:dyDescent="0.35">
      <c r="A50" s="174">
        <v>45</v>
      </c>
      <c r="B50" s="388" t="s">
        <v>1811</v>
      </c>
      <c r="C50" s="388" t="s">
        <v>1814</v>
      </c>
      <c r="D50" s="195" t="s">
        <v>1774</v>
      </c>
      <c r="E50" s="174" t="s">
        <v>1529</v>
      </c>
      <c r="F50" s="198"/>
      <c r="G50" s="198"/>
    </row>
    <row r="51" spans="1:7" x14ac:dyDescent="0.35">
      <c r="A51" s="174">
        <v>46</v>
      </c>
      <c r="B51" s="388" t="s">
        <v>1811</v>
      </c>
      <c r="C51" s="388" t="s">
        <v>1814</v>
      </c>
      <c r="D51" s="195" t="s">
        <v>1816</v>
      </c>
      <c r="E51" s="174" t="s">
        <v>1464</v>
      </c>
      <c r="F51" s="198"/>
      <c r="G51" s="198"/>
    </row>
    <row r="52" spans="1:7" x14ac:dyDescent="0.35">
      <c r="A52" s="174">
        <v>47</v>
      </c>
      <c r="B52" s="388" t="s">
        <v>1811</v>
      </c>
      <c r="C52" s="388" t="s">
        <v>1817</v>
      </c>
      <c r="D52" s="195" t="s">
        <v>1818</v>
      </c>
      <c r="E52" s="174" t="s">
        <v>1464</v>
      </c>
      <c r="F52" s="198"/>
      <c r="G52" s="198"/>
    </row>
    <row r="53" spans="1:7" x14ac:dyDescent="0.35">
      <c r="A53" s="174">
        <v>48</v>
      </c>
      <c r="B53" s="388" t="s">
        <v>1811</v>
      </c>
      <c r="C53" s="388" t="s">
        <v>1817</v>
      </c>
      <c r="D53" s="195" t="s">
        <v>1774</v>
      </c>
      <c r="E53" s="174" t="s">
        <v>1529</v>
      </c>
      <c r="F53" s="198"/>
      <c r="G53" s="198"/>
    </row>
    <row r="54" spans="1:7" x14ac:dyDescent="0.35">
      <c r="A54" s="174">
        <v>49</v>
      </c>
      <c r="B54" s="388" t="s">
        <v>1811</v>
      </c>
      <c r="C54" s="388" t="s">
        <v>1817</v>
      </c>
      <c r="D54" s="195" t="s">
        <v>1819</v>
      </c>
      <c r="E54" s="174" t="s">
        <v>1464</v>
      </c>
      <c r="F54" s="198"/>
      <c r="G54" s="198"/>
    </row>
    <row r="55" spans="1:7" x14ac:dyDescent="0.35">
      <c r="A55" s="174">
        <v>50</v>
      </c>
      <c r="B55" s="388" t="s">
        <v>1811</v>
      </c>
      <c r="C55" s="388" t="s">
        <v>1820</v>
      </c>
      <c r="D55" s="195" t="s">
        <v>1821</v>
      </c>
      <c r="E55" s="174" t="s">
        <v>1464</v>
      </c>
      <c r="F55" s="198"/>
      <c r="G55" s="198"/>
    </row>
    <row r="56" spans="1:7" x14ac:dyDescent="0.35">
      <c r="A56" s="174">
        <v>51</v>
      </c>
      <c r="B56" s="388" t="s">
        <v>1811</v>
      </c>
      <c r="C56" s="388" t="s">
        <v>1820</v>
      </c>
      <c r="D56" s="195" t="s">
        <v>1774</v>
      </c>
      <c r="E56" s="174" t="s">
        <v>1529</v>
      </c>
      <c r="F56" s="198"/>
      <c r="G56" s="198"/>
    </row>
    <row r="57" spans="1:7" x14ac:dyDescent="0.35">
      <c r="A57" s="174">
        <v>52</v>
      </c>
      <c r="B57" s="388" t="s">
        <v>1811</v>
      </c>
      <c r="C57" s="388" t="s">
        <v>1820</v>
      </c>
      <c r="D57" s="195" t="s">
        <v>1822</v>
      </c>
      <c r="E57" s="174" t="s">
        <v>1464</v>
      </c>
      <c r="F57" s="198"/>
      <c r="G57" s="198"/>
    </row>
    <row r="58" spans="1:7" x14ac:dyDescent="0.35">
      <c r="A58" s="174">
        <v>53</v>
      </c>
      <c r="B58" s="388" t="s">
        <v>1811</v>
      </c>
      <c r="C58" s="388" t="s">
        <v>1823</v>
      </c>
      <c r="D58" s="195" t="s">
        <v>1824</v>
      </c>
      <c r="E58" s="174" t="s">
        <v>1464</v>
      </c>
      <c r="F58" s="198"/>
      <c r="G58" s="198"/>
    </row>
    <row r="59" spans="1:7" x14ac:dyDescent="0.35">
      <c r="A59" s="174">
        <v>54</v>
      </c>
      <c r="B59" s="388" t="s">
        <v>1811</v>
      </c>
      <c r="C59" s="388" t="s">
        <v>1823</v>
      </c>
      <c r="D59" s="195" t="s">
        <v>1774</v>
      </c>
      <c r="E59" s="174" t="s">
        <v>1529</v>
      </c>
      <c r="F59" s="198"/>
      <c r="G59" s="198"/>
    </row>
    <row r="60" spans="1:7" x14ac:dyDescent="0.35">
      <c r="A60" s="174">
        <v>55</v>
      </c>
      <c r="B60" s="388" t="s">
        <v>1811</v>
      </c>
      <c r="C60" s="388" t="s">
        <v>1823</v>
      </c>
      <c r="D60" s="195" t="s">
        <v>1825</v>
      </c>
      <c r="E60" s="174" t="s">
        <v>1464</v>
      </c>
      <c r="F60" s="198"/>
      <c r="G60" s="198"/>
    </row>
    <row r="61" spans="1:7" x14ac:dyDescent="0.35">
      <c r="A61" s="174">
        <v>56</v>
      </c>
      <c r="B61" s="388" t="s">
        <v>1811</v>
      </c>
      <c r="C61" s="388" t="s">
        <v>1826</v>
      </c>
      <c r="D61" s="195" t="s">
        <v>1827</v>
      </c>
      <c r="E61" s="174" t="s">
        <v>1464</v>
      </c>
      <c r="F61" s="198"/>
      <c r="G61" s="198"/>
    </row>
    <row r="62" spans="1:7" x14ac:dyDescent="0.35">
      <c r="A62" s="174">
        <v>57</v>
      </c>
      <c r="B62" s="388" t="s">
        <v>1811</v>
      </c>
      <c r="C62" s="388" t="s">
        <v>1826</v>
      </c>
      <c r="D62" s="195" t="s">
        <v>1774</v>
      </c>
      <c r="E62" s="174" t="s">
        <v>1529</v>
      </c>
      <c r="F62" s="198"/>
      <c r="G62" s="198"/>
    </row>
    <row r="63" spans="1:7" x14ac:dyDescent="0.35">
      <c r="A63" s="174">
        <v>58</v>
      </c>
      <c r="B63" s="388" t="s">
        <v>1811</v>
      </c>
      <c r="C63" s="388" t="s">
        <v>1826</v>
      </c>
      <c r="D63" s="195" t="s">
        <v>1828</v>
      </c>
      <c r="E63" s="174" t="s">
        <v>1464</v>
      </c>
      <c r="F63" s="198"/>
      <c r="G63" s="198"/>
    </row>
    <row r="64" spans="1:7" x14ac:dyDescent="0.35">
      <c r="A64" s="174">
        <v>59</v>
      </c>
      <c r="B64" s="388" t="s">
        <v>1811</v>
      </c>
      <c r="C64" s="388" t="s">
        <v>1829</v>
      </c>
      <c r="D64" s="195" t="s">
        <v>1830</v>
      </c>
      <c r="E64" s="174" t="s">
        <v>1464</v>
      </c>
      <c r="F64" s="198"/>
      <c r="G64" s="198"/>
    </row>
    <row r="65" spans="1:7" x14ac:dyDescent="0.35">
      <c r="A65" s="174">
        <v>60</v>
      </c>
      <c r="B65" s="388" t="s">
        <v>1811</v>
      </c>
      <c r="C65" s="388" t="s">
        <v>1829</v>
      </c>
      <c r="D65" s="195" t="s">
        <v>1774</v>
      </c>
      <c r="E65" s="174" t="s">
        <v>1529</v>
      </c>
      <c r="F65" s="198"/>
      <c r="G65" s="198"/>
    </row>
    <row r="66" spans="1:7" x14ac:dyDescent="0.35">
      <c r="A66" s="174">
        <v>61</v>
      </c>
      <c r="B66" s="388" t="s">
        <v>1811</v>
      </c>
      <c r="C66" s="388" t="s">
        <v>1829</v>
      </c>
      <c r="D66" s="195" t="s">
        <v>1831</v>
      </c>
      <c r="E66" s="174" t="s">
        <v>1464</v>
      </c>
      <c r="F66" s="198"/>
      <c r="G66" s="198"/>
    </row>
    <row r="67" spans="1:7" ht="37.5" x14ac:dyDescent="0.35">
      <c r="A67" s="174">
        <v>62</v>
      </c>
      <c r="B67" s="388" t="s">
        <v>1811</v>
      </c>
      <c r="C67" s="388" t="s">
        <v>1832</v>
      </c>
      <c r="D67" s="249" t="s">
        <v>1833</v>
      </c>
      <c r="E67" s="174" t="s">
        <v>1464</v>
      </c>
      <c r="F67" s="198"/>
      <c r="G67" s="198"/>
    </row>
    <row r="68" spans="1:7" x14ac:dyDescent="0.35">
      <c r="A68" s="174">
        <v>63</v>
      </c>
      <c r="B68" s="388" t="s">
        <v>1811</v>
      </c>
      <c r="C68" s="388" t="s">
        <v>1834</v>
      </c>
      <c r="D68" s="195" t="s">
        <v>1835</v>
      </c>
      <c r="E68" s="174" t="s">
        <v>1464</v>
      </c>
      <c r="F68" s="198"/>
      <c r="G68" s="198"/>
    </row>
    <row r="69" spans="1:7" x14ac:dyDescent="0.35">
      <c r="A69" s="174">
        <v>64</v>
      </c>
      <c r="B69" s="388" t="s">
        <v>1811</v>
      </c>
      <c r="C69" s="388" t="s">
        <v>1834</v>
      </c>
      <c r="D69" s="195" t="s">
        <v>1774</v>
      </c>
      <c r="E69" s="174" t="s">
        <v>1529</v>
      </c>
      <c r="F69" s="198"/>
      <c r="G69" s="198"/>
    </row>
    <row r="70" spans="1:7" x14ac:dyDescent="0.35">
      <c r="A70" s="174">
        <v>65</v>
      </c>
      <c r="B70" s="388" t="s">
        <v>1811</v>
      </c>
      <c r="C70" s="388" t="s">
        <v>1834</v>
      </c>
      <c r="D70" s="195" t="s">
        <v>1836</v>
      </c>
      <c r="E70" s="174" t="s">
        <v>1464</v>
      </c>
      <c r="F70" s="198"/>
      <c r="G70" s="198"/>
    </row>
    <row r="71" spans="1:7" x14ac:dyDescent="0.35">
      <c r="A71" s="174">
        <v>66</v>
      </c>
      <c r="B71" s="388" t="s">
        <v>1811</v>
      </c>
      <c r="C71" s="388" t="s">
        <v>1837</v>
      </c>
      <c r="D71" s="195" t="s">
        <v>1838</v>
      </c>
      <c r="E71" s="174" t="s">
        <v>1464</v>
      </c>
      <c r="F71" s="198"/>
      <c r="G71" s="198"/>
    </row>
    <row r="72" spans="1:7" x14ac:dyDescent="0.35">
      <c r="A72" s="174">
        <v>67</v>
      </c>
      <c r="B72" s="388" t="s">
        <v>1811</v>
      </c>
      <c r="C72" s="388" t="s">
        <v>1837</v>
      </c>
      <c r="D72" s="195" t="s">
        <v>1774</v>
      </c>
      <c r="E72" s="174" t="s">
        <v>1529</v>
      </c>
      <c r="F72" s="198"/>
      <c r="G72" s="198"/>
    </row>
    <row r="73" spans="1:7" x14ac:dyDescent="0.35">
      <c r="A73" s="174">
        <v>68</v>
      </c>
      <c r="B73" s="388" t="s">
        <v>1811</v>
      </c>
      <c r="C73" s="388" t="s">
        <v>1837</v>
      </c>
      <c r="D73" s="195" t="s">
        <v>1839</v>
      </c>
      <c r="E73" s="174" t="s">
        <v>1464</v>
      </c>
      <c r="F73" s="198"/>
      <c r="G73" s="198"/>
    </row>
    <row r="74" spans="1:7" x14ac:dyDescent="0.35">
      <c r="A74" s="174">
        <v>69</v>
      </c>
      <c r="B74" s="388" t="s">
        <v>1811</v>
      </c>
      <c r="C74" s="388" t="s">
        <v>1840</v>
      </c>
      <c r="D74" s="195" t="s">
        <v>1841</v>
      </c>
      <c r="E74" s="174" t="s">
        <v>1464</v>
      </c>
      <c r="F74" s="198"/>
      <c r="G74" s="198"/>
    </row>
    <row r="75" spans="1:7" x14ac:dyDescent="0.35">
      <c r="A75" s="174">
        <v>70</v>
      </c>
      <c r="B75" s="388" t="s">
        <v>1811</v>
      </c>
      <c r="C75" s="388" t="s">
        <v>1840</v>
      </c>
      <c r="D75" s="195" t="s">
        <v>1774</v>
      </c>
      <c r="E75" s="174" t="s">
        <v>1529</v>
      </c>
      <c r="F75" s="198"/>
      <c r="G75" s="198"/>
    </row>
    <row r="76" spans="1:7" x14ac:dyDescent="0.35">
      <c r="A76" s="174">
        <v>71</v>
      </c>
      <c r="B76" s="388" t="s">
        <v>1811</v>
      </c>
      <c r="C76" s="388" t="s">
        <v>1840</v>
      </c>
      <c r="D76" s="195" t="s">
        <v>1842</v>
      </c>
      <c r="E76" s="174" t="s">
        <v>1464</v>
      </c>
      <c r="F76" s="198"/>
      <c r="G76" s="198"/>
    </row>
    <row r="77" spans="1:7" x14ac:dyDescent="0.35">
      <c r="A77" s="174">
        <v>72</v>
      </c>
      <c r="B77" s="388" t="s">
        <v>1811</v>
      </c>
      <c r="C77" s="388" t="s">
        <v>1843</v>
      </c>
      <c r="D77" s="195" t="s">
        <v>1844</v>
      </c>
      <c r="E77" s="174" t="s">
        <v>1464</v>
      </c>
      <c r="F77" s="198"/>
      <c r="G77" s="198"/>
    </row>
    <row r="78" spans="1:7" x14ac:dyDescent="0.35">
      <c r="A78" s="174">
        <v>73</v>
      </c>
      <c r="B78" s="388" t="s">
        <v>1811</v>
      </c>
      <c r="C78" s="388" t="s">
        <v>1843</v>
      </c>
      <c r="D78" s="195" t="s">
        <v>1774</v>
      </c>
      <c r="E78" s="174" t="s">
        <v>1529</v>
      </c>
      <c r="F78" s="198"/>
      <c r="G78" s="198"/>
    </row>
    <row r="79" spans="1:7" x14ac:dyDescent="0.35">
      <c r="A79" s="174">
        <v>74</v>
      </c>
      <c r="B79" s="388" t="s">
        <v>1811</v>
      </c>
      <c r="C79" s="388" t="s">
        <v>1843</v>
      </c>
      <c r="D79" s="195" t="s">
        <v>1845</v>
      </c>
      <c r="E79" s="174" t="s">
        <v>1464</v>
      </c>
      <c r="F79" s="198"/>
      <c r="G79" s="198"/>
    </row>
    <row r="80" spans="1:7" x14ac:dyDescent="0.35">
      <c r="A80" s="174">
        <v>75</v>
      </c>
      <c r="B80" s="388" t="s">
        <v>1811</v>
      </c>
      <c r="C80" s="388" t="s">
        <v>1846</v>
      </c>
      <c r="D80" s="195" t="s">
        <v>1847</v>
      </c>
      <c r="E80" s="174" t="s">
        <v>1464</v>
      </c>
      <c r="F80" s="198"/>
      <c r="G80" s="198"/>
    </row>
    <row r="81" spans="1:7" x14ac:dyDescent="0.35">
      <c r="A81" s="174">
        <v>76</v>
      </c>
      <c r="B81" s="388" t="s">
        <v>1811</v>
      </c>
      <c r="C81" s="388" t="s">
        <v>1846</v>
      </c>
      <c r="D81" s="195" t="s">
        <v>1774</v>
      </c>
      <c r="E81" s="174" t="s">
        <v>1529</v>
      </c>
      <c r="F81" s="198"/>
      <c r="G81" s="198"/>
    </row>
    <row r="82" spans="1:7" x14ac:dyDescent="0.35">
      <c r="A82" s="174">
        <v>77</v>
      </c>
      <c r="B82" s="388" t="s">
        <v>1811</v>
      </c>
      <c r="C82" s="388" t="s">
        <v>1846</v>
      </c>
      <c r="D82" s="195" t="s">
        <v>1848</v>
      </c>
      <c r="E82" s="174" t="s">
        <v>1464</v>
      </c>
      <c r="F82" s="198"/>
      <c r="G82" s="198"/>
    </row>
    <row r="83" spans="1:7" x14ac:dyDescent="0.35">
      <c r="A83" s="174">
        <v>78</v>
      </c>
      <c r="B83" s="388" t="s">
        <v>1811</v>
      </c>
      <c r="C83" s="388" t="s">
        <v>1849</v>
      </c>
      <c r="D83" s="195" t="s">
        <v>1850</v>
      </c>
      <c r="E83" s="174" t="s">
        <v>1464</v>
      </c>
      <c r="F83" s="198"/>
      <c r="G83" s="198"/>
    </row>
    <row r="84" spans="1:7" x14ac:dyDescent="0.35">
      <c r="A84" s="174">
        <v>79</v>
      </c>
      <c r="B84" s="388" t="s">
        <v>1811</v>
      </c>
      <c r="C84" s="388" t="s">
        <v>1849</v>
      </c>
      <c r="D84" s="195" t="s">
        <v>1774</v>
      </c>
      <c r="E84" s="174" t="s">
        <v>1529</v>
      </c>
      <c r="F84" s="198"/>
      <c r="G84" s="198"/>
    </row>
    <row r="85" spans="1:7" x14ac:dyDescent="0.35">
      <c r="A85" s="174">
        <v>80</v>
      </c>
      <c r="B85" s="388" t="s">
        <v>1811</v>
      </c>
      <c r="C85" s="388" t="s">
        <v>1849</v>
      </c>
      <c r="D85" s="195" t="s">
        <v>1851</v>
      </c>
      <c r="E85" s="174" t="s">
        <v>1464</v>
      </c>
      <c r="F85" s="198"/>
      <c r="G85" s="198"/>
    </row>
    <row r="86" spans="1:7" ht="37.5" hidden="1" x14ac:dyDescent="0.35">
      <c r="A86" s="174">
        <f>IF(AND('Config-Batt'!$P$2="Hidden", 'Config-Batt'!$Q$2="Visible"), A9+1, A85+1)</f>
        <v>81</v>
      </c>
      <c r="B86" s="388" t="s">
        <v>1852</v>
      </c>
      <c r="C86" s="388" t="s">
        <v>1853</v>
      </c>
      <c r="D86" s="249" t="s">
        <v>1854</v>
      </c>
      <c r="E86" s="174" t="s">
        <v>1464</v>
      </c>
      <c r="F86" s="198"/>
      <c r="G86" s="198"/>
    </row>
    <row r="87" spans="1:7" hidden="1" x14ac:dyDescent="0.35">
      <c r="A87" s="174">
        <f>A86+1</f>
        <v>82</v>
      </c>
      <c r="B87" s="388" t="s">
        <v>1852</v>
      </c>
      <c r="C87" s="388" t="s">
        <v>1855</v>
      </c>
      <c r="D87" s="195" t="s">
        <v>1856</v>
      </c>
      <c r="E87" s="174" t="s">
        <v>1464</v>
      </c>
      <c r="F87" s="198"/>
      <c r="G87" s="198"/>
    </row>
    <row r="88" spans="1:7" hidden="1" x14ac:dyDescent="0.35">
      <c r="A88" s="174">
        <f t="shared" ref="A88:A151" si="0">A87+1</f>
        <v>83</v>
      </c>
      <c r="B88" s="388" t="s">
        <v>1852</v>
      </c>
      <c r="C88" s="388" t="s">
        <v>1855</v>
      </c>
      <c r="D88" s="195" t="s">
        <v>1774</v>
      </c>
      <c r="E88" s="174" t="s">
        <v>1529</v>
      </c>
      <c r="F88" s="198"/>
      <c r="G88" s="198"/>
    </row>
    <row r="89" spans="1:7" hidden="1" x14ac:dyDescent="0.35">
      <c r="A89" s="174">
        <f t="shared" si="0"/>
        <v>84</v>
      </c>
      <c r="B89" s="388" t="s">
        <v>1852</v>
      </c>
      <c r="C89" s="388" t="s">
        <v>1855</v>
      </c>
      <c r="D89" s="195" t="s">
        <v>1857</v>
      </c>
      <c r="E89" s="174" t="s">
        <v>1464</v>
      </c>
      <c r="F89" s="198"/>
      <c r="G89" s="198"/>
    </row>
    <row r="90" spans="1:7" hidden="1" x14ac:dyDescent="0.35">
      <c r="A90" s="174">
        <f t="shared" si="0"/>
        <v>85</v>
      </c>
      <c r="B90" s="388" t="s">
        <v>1852</v>
      </c>
      <c r="C90" s="388" t="s">
        <v>1858</v>
      </c>
      <c r="D90" s="195" t="s">
        <v>1859</v>
      </c>
      <c r="E90" s="174" t="s">
        <v>1464</v>
      </c>
      <c r="F90" s="198"/>
      <c r="G90" s="198"/>
    </row>
    <row r="91" spans="1:7" hidden="1" x14ac:dyDescent="0.35">
      <c r="A91" s="174">
        <f t="shared" si="0"/>
        <v>86</v>
      </c>
      <c r="B91" s="388" t="s">
        <v>1852</v>
      </c>
      <c r="C91" s="388" t="s">
        <v>1858</v>
      </c>
      <c r="D91" s="195" t="s">
        <v>1774</v>
      </c>
      <c r="E91" s="174" t="s">
        <v>1529</v>
      </c>
      <c r="F91" s="198"/>
      <c r="G91" s="198"/>
    </row>
    <row r="92" spans="1:7" hidden="1" x14ac:dyDescent="0.35">
      <c r="A92" s="174">
        <f t="shared" si="0"/>
        <v>87</v>
      </c>
      <c r="B92" s="388" t="s">
        <v>1852</v>
      </c>
      <c r="C92" s="388" t="s">
        <v>1858</v>
      </c>
      <c r="D92" s="195" t="s">
        <v>1860</v>
      </c>
      <c r="E92" s="174" t="s">
        <v>1464</v>
      </c>
      <c r="F92" s="198"/>
      <c r="G92" s="198"/>
    </row>
    <row r="93" spans="1:7" hidden="1" x14ac:dyDescent="0.35">
      <c r="A93" s="174">
        <f t="shared" si="0"/>
        <v>88</v>
      </c>
      <c r="B93" s="388" t="s">
        <v>1852</v>
      </c>
      <c r="C93" s="388" t="s">
        <v>1861</v>
      </c>
      <c r="D93" s="195" t="s">
        <v>1862</v>
      </c>
      <c r="E93" s="174" t="s">
        <v>1464</v>
      </c>
      <c r="F93" s="198"/>
      <c r="G93" s="198"/>
    </row>
    <row r="94" spans="1:7" hidden="1" x14ac:dyDescent="0.35">
      <c r="A94" s="174">
        <f t="shared" si="0"/>
        <v>89</v>
      </c>
      <c r="B94" s="388" t="s">
        <v>1852</v>
      </c>
      <c r="C94" s="388" t="s">
        <v>1861</v>
      </c>
      <c r="D94" s="195" t="s">
        <v>1774</v>
      </c>
      <c r="E94" s="174" t="s">
        <v>1529</v>
      </c>
      <c r="F94" s="198"/>
      <c r="G94" s="198"/>
    </row>
    <row r="95" spans="1:7" hidden="1" x14ac:dyDescent="0.35">
      <c r="A95" s="174">
        <f t="shared" si="0"/>
        <v>90</v>
      </c>
      <c r="B95" s="388" t="s">
        <v>1852</v>
      </c>
      <c r="C95" s="388" t="s">
        <v>1861</v>
      </c>
      <c r="D95" s="195" t="s">
        <v>1863</v>
      </c>
      <c r="E95" s="174" t="s">
        <v>1464</v>
      </c>
      <c r="F95" s="198"/>
      <c r="G95" s="198"/>
    </row>
    <row r="96" spans="1:7" hidden="1" x14ac:dyDescent="0.35">
      <c r="A96" s="174">
        <f t="shared" si="0"/>
        <v>91</v>
      </c>
      <c r="B96" s="388" t="s">
        <v>1852</v>
      </c>
      <c r="C96" s="388" t="s">
        <v>1864</v>
      </c>
      <c r="D96" s="195" t="s">
        <v>1865</v>
      </c>
      <c r="E96" s="174" t="s">
        <v>1464</v>
      </c>
      <c r="F96" s="198"/>
      <c r="G96" s="198"/>
    </row>
    <row r="97" spans="1:7" hidden="1" x14ac:dyDescent="0.35">
      <c r="A97" s="174">
        <f t="shared" si="0"/>
        <v>92</v>
      </c>
      <c r="B97" s="388" t="s">
        <v>1852</v>
      </c>
      <c r="C97" s="388" t="s">
        <v>1864</v>
      </c>
      <c r="D97" s="195" t="s">
        <v>1774</v>
      </c>
      <c r="E97" s="174" t="s">
        <v>1529</v>
      </c>
      <c r="F97" s="198"/>
      <c r="G97" s="198"/>
    </row>
    <row r="98" spans="1:7" hidden="1" x14ac:dyDescent="0.35">
      <c r="A98" s="174">
        <f t="shared" si="0"/>
        <v>93</v>
      </c>
      <c r="B98" s="388" t="s">
        <v>1852</v>
      </c>
      <c r="C98" s="388" t="s">
        <v>1864</v>
      </c>
      <c r="D98" s="195" t="s">
        <v>1866</v>
      </c>
      <c r="E98" s="174" t="s">
        <v>1464</v>
      </c>
      <c r="F98" s="198"/>
      <c r="G98" s="198"/>
    </row>
    <row r="99" spans="1:7" hidden="1" x14ac:dyDescent="0.35">
      <c r="A99" s="174">
        <f t="shared" si="0"/>
        <v>94</v>
      </c>
      <c r="B99" s="388" t="s">
        <v>1852</v>
      </c>
      <c r="C99" s="388" t="s">
        <v>1867</v>
      </c>
      <c r="D99" s="195" t="s">
        <v>1868</v>
      </c>
      <c r="E99" s="174" t="s">
        <v>1464</v>
      </c>
      <c r="F99" s="198"/>
      <c r="G99" s="198"/>
    </row>
    <row r="100" spans="1:7" hidden="1" x14ac:dyDescent="0.35">
      <c r="A100" s="174">
        <f t="shared" si="0"/>
        <v>95</v>
      </c>
      <c r="B100" s="388" t="s">
        <v>1852</v>
      </c>
      <c r="C100" s="388" t="s">
        <v>1867</v>
      </c>
      <c r="D100" s="195" t="s">
        <v>1774</v>
      </c>
      <c r="E100" s="174" t="s">
        <v>1529</v>
      </c>
      <c r="F100" s="198"/>
      <c r="G100" s="198"/>
    </row>
    <row r="101" spans="1:7" hidden="1" x14ac:dyDescent="0.35">
      <c r="A101" s="174">
        <f t="shared" si="0"/>
        <v>96</v>
      </c>
      <c r="B101" s="388" t="s">
        <v>1852</v>
      </c>
      <c r="C101" s="388" t="s">
        <v>1867</v>
      </c>
      <c r="D101" s="195" t="s">
        <v>1869</v>
      </c>
      <c r="E101" s="174" t="s">
        <v>1464</v>
      </c>
      <c r="F101" s="198"/>
      <c r="G101" s="198"/>
    </row>
    <row r="102" spans="1:7" hidden="1" x14ac:dyDescent="0.35">
      <c r="A102" s="174">
        <f t="shared" si="0"/>
        <v>97</v>
      </c>
      <c r="B102" s="388" t="s">
        <v>1852</v>
      </c>
      <c r="C102" s="388" t="s">
        <v>1870</v>
      </c>
      <c r="D102" s="195" t="s">
        <v>1871</v>
      </c>
      <c r="E102" s="174" t="s">
        <v>1464</v>
      </c>
      <c r="F102" s="198"/>
      <c r="G102" s="198"/>
    </row>
    <row r="103" spans="1:7" hidden="1" x14ac:dyDescent="0.35">
      <c r="A103" s="174">
        <f t="shared" si="0"/>
        <v>98</v>
      </c>
      <c r="B103" s="388" t="s">
        <v>1852</v>
      </c>
      <c r="C103" s="388" t="s">
        <v>1870</v>
      </c>
      <c r="D103" s="195" t="s">
        <v>1774</v>
      </c>
      <c r="E103" s="174" t="s">
        <v>1529</v>
      </c>
      <c r="F103" s="198"/>
      <c r="G103" s="198"/>
    </row>
    <row r="104" spans="1:7" hidden="1" x14ac:dyDescent="0.35">
      <c r="A104" s="174">
        <f t="shared" si="0"/>
        <v>99</v>
      </c>
      <c r="B104" s="388" t="s">
        <v>1852</v>
      </c>
      <c r="C104" s="388" t="s">
        <v>1870</v>
      </c>
      <c r="D104" s="195" t="s">
        <v>1872</v>
      </c>
      <c r="E104" s="174" t="s">
        <v>1464</v>
      </c>
      <c r="F104" s="198"/>
      <c r="G104" s="198"/>
    </row>
    <row r="105" spans="1:7" ht="37.5" hidden="1" x14ac:dyDescent="0.35">
      <c r="A105" s="174">
        <f t="shared" si="0"/>
        <v>100</v>
      </c>
      <c r="B105" s="388" t="s">
        <v>1852</v>
      </c>
      <c r="C105" s="388" t="s">
        <v>1873</v>
      </c>
      <c r="D105" s="249" t="s">
        <v>1874</v>
      </c>
      <c r="E105" s="174" t="s">
        <v>1464</v>
      </c>
      <c r="F105" s="198"/>
      <c r="G105" s="198"/>
    </row>
    <row r="106" spans="1:7" hidden="1" x14ac:dyDescent="0.35">
      <c r="A106" s="174">
        <f t="shared" si="0"/>
        <v>101</v>
      </c>
      <c r="B106" s="388" t="s">
        <v>1852</v>
      </c>
      <c r="C106" s="388" t="s">
        <v>1875</v>
      </c>
      <c r="D106" s="195" t="s">
        <v>1876</v>
      </c>
      <c r="E106" s="174" t="s">
        <v>1464</v>
      </c>
      <c r="F106" s="198"/>
      <c r="G106" s="198"/>
    </row>
    <row r="107" spans="1:7" hidden="1" x14ac:dyDescent="0.35">
      <c r="A107" s="174">
        <f t="shared" si="0"/>
        <v>102</v>
      </c>
      <c r="B107" s="388" t="s">
        <v>1852</v>
      </c>
      <c r="C107" s="388" t="s">
        <v>1875</v>
      </c>
      <c r="D107" s="195" t="s">
        <v>1774</v>
      </c>
      <c r="E107" s="174" t="s">
        <v>1529</v>
      </c>
      <c r="F107" s="198"/>
      <c r="G107" s="198"/>
    </row>
    <row r="108" spans="1:7" hidden="1" x14ac:dyDescent="0.35">
      <c r="A108" s="174">
        <f t="shared" si="0"/>
        <v>103</v>
      </c>
      <c r="B108" s="388" t="s">
        <v>1852</v>
      </c>
      <c r="C108" s="388" t="s">
        <v>1875</v>
      </c>
      <c r="D108" s="195" t="s">
        <v>1877</v>
      </c>
      <c r="E108" s="174" t="s">
        <v>1464</v>
      </c>
      <c r="F108" s="198"/>
      <c r="G108" s="198"/>
    </row>
    <row r="109" spans="1:7" hidden="1" x14ac:dyDescent="0.35">
      <c r="A109" s="174">
        <f t="shared" si="0"/>
        <v>104</v>
      </c>
      <c r="B109" s="388" t="s">
        <v>1852</v>
      </c>
      <c r="C109" s="388" t="s">
        <v>1878</v>
      </c>
      <c r="D109" s="195" t="s">
        <v>1879</v>
      </c>
      <c r="E109" s="174" t="s">
        <v>1464</v>
      </c>
      <c r="F109" s="198"/>
      <c r="G109" s="198"/>
    </row>
    <row r="110" spans="1:7" hidden="1" x14ac:dyDescent="0.35">
      <c r="A110" s="174">
        <f t="shared" si="0"/>
        <v>105</v>
      </c>
      <c r="B110" s="388" t="s">
        <v>1852</v>
      </c>
      <c r="C110" s="388" t="s">
        <v>1878</v>
      </c>
      <c r="D110" s="195" t="s">
        <v>1774</v>
      </c>
      <c r="E110" s="174" t="s">
        <v>1529</v>
      </c>
      <c r="F110" s="198"/>
      <c r="G110" s="198"/>
    </row>
    <row r="111" spans="1:7" hidden="1" x14ac:dyDescent="0.35">
      <c r="A111" s="174">
        <f t="shared" si="0"/>
        <v>106</v>
      </c>
      <c r="B111" s="388" t="s">
        <v>1852</v>
      </c>
      <c r="C111" s="388" t="s">
        <v>1878</v>
      </c>
      <c r="D111" s="195" t="s">
        <v>1880</v>
      </c>
      <c r="E111" s="174" t="s">
        <v>1464</v>
      </c>
      <c r="F111" s="198"/>
      <c r="G111" s="198"/>
    </row>
    <row r="112" spans="1:7" hidden="1" x14ac:dyDescent="0.35">
      <c r="A112" s="174">
        <f t="shared" si="0"/>
        <v>107</v>
      </c>
      <c r="B112" s="388" t="s">
        <v>1852</v>
      </c>
      <c r="C112" s="388" t="s">
        <v>1881</v>
      </c>
      <c r="D112" s="195" t="s">
        <v>1882</v>
      </c>
      <c r="E112" s="174" t="s">
        <v>1464</v>
      </c>
      <c r="F112" s="198"/>
      <c r="G112" s="198"/>
    </row>
    <row r="113" spans="1:7" hidden="1" x14ac:dyDescent="0.35">
      <c r="A113" s="174">
        <f t="shared" si="0"/>
        <v>108</v>
      </c>
      <c r="B113" s="388" t="s">
        <v>1852</v>
      </c>
      <c r="C113" s="388" t="s">
        <v>1881</v>
      </c>
      <c r="D113" s="195" t="s">
        <v>1774</v>
      </c>
      <c r="E113" s="174" t="s">
        <v>1529</v>
      </c>
      <c r="F113" s="198"/>
      <c r="G113" s="198"/>
    </row>
    <row r="114" spans="1:7" hidden="1" x14ac:dyDescent="0.35">
      <c r="A114" s="174">
        <f t="shared" si="0"/>
        <v>109</v>
      </c>
      <c r="B114" s="388" t="s">
        <v>1852</v>
      </c>
      <c r="C114" s="388" t="s">
        <v>1881</v>
      </c>
      <c r="D114" s="195" t="s">
        <v>1883</v>
      </c>
      <c r="E114" s="174" t="s">
        <v>1464</v>
      </c>
      <c r="F114" s="198"/>
      <c r="G114" s="198"/>
    </row>
    <row r="115" spans="1:7" hidden="1" x14ac:dyDescent="0.35">
      <c r="A115" s="174">
        <f t="shared" si="0"/>
        <v>110</v>
      </c>
      <c r="B115" s="388" t="s">
        <v>1852</v>
      </c>
      <c r="C115" s="388" t="s">
        <v>1884</v>
      </c>
      <c r="D115" s="195" t="s">
        <v>1885</v>
      </c>
      <c r="E115" s="174" t="s">
        <v>1464</v>
      </c>
      <c r="F115" s="198"/>
      <c r="G115" s="198"/>
    </row>
    <row r="116" spans="1:7" hidden="1" x14ac:dyDescent="0.35">
      <c r="A116" s="174">
        <f t="shared" si="0"/>
        <v>111</v>
      </c>
      <c r="B116" s="388" t="s">
        <v>1852</v>
      </c>
      <c r="C116" s="388" t="s">
        <v>1884</v>
      </c>
      <c r="D116" s="195" t="s">
        <v>1774</v>
      </c>
      <c r="E116" s="174" t="s">
        <v>1529</v>
      </c>
      <c r="F116" s="198"/>
      <c r="G116" s="198"/>
    </row>
    <row r="117" spans="1:7" hidden="1" x14ac:dyDescent="0.35">
      <c r="A117" s="174">
        <f t="shared" si="0"/>
        <v>112</v>
      </c>
      <c r="B117" s="388" t="s">
        <v>1852</v>
      </c>
      <c r="C117" s="388" t="s">
        <v>1884</v>
      </c>
      <c r="D117" s="195" t="s">
        <v>1886</v>
      </c>
      <c r="E117" s="174" t="s">
        <v>1464</v>
      </c>
      <c r="F117" s="198"/>
      <c r="G117" s="198"/>
    </row>
    <row r="118" spans="1:7" hidden="1" x14ac:dyDescent="0.35">
      <c r="A118" s="174">
        <f t="shared" si="0"/>
        <v>113</v>
      </c>
      <c r="B118" s="388" t="s">
        <v>1852</v>
      </c>
      <c r="C118" s="388" t="s">
        <v>1887</v>
      </c>
      <c r="D118" s="195" t="s">
        <v>1888</v>
      </c>
      <c r="E118" s="174" t="s">
        <v>1464</v>
      </c>
      <c r="F118" s="198"/>
      <c r="G118" s="198"/>
    </row>
    <row r="119" spans="1:7" hidden="1" x14ac:dyDescent="0.35">
      <c r="A119" s="174">
        <f t="shared" si="0"/>
        <v>114</v>
      </c>
      <c r="B119" s="388" t="s">
        <v>1852</v>
      </c>
      <c r="C119" s="388" t="s">
        <v>1887</v>
      </c>
      <c r="D119" s="195" t="s">
        <v>1774</v>
      </c>
      <c r="E119" s="174" t="s">
        <v>1529</v>
      </c>
      <c r="F119" s="198"/>
      <c r="G119" s="198"/>
    </row>
    <row r="120" spans="1:7" hidden="1" x14ac:dyDescent="0.35">
      <c r="A120" s="174">
        <f t="shared" si="0"/>
        <v>115</v>
      </c>
      <c r="B120" s="388" t="s">
        <v>1852</v>
      </c>
      <c r="C120" s="388" t="s">
        <v>1887</v>
      </c>
      <c r="D120" s="195" t="s">
        <v>1889</v>
      </c>
      <c r="E120" s="174" t="s">
        <v>1464</v>
      </c>
      <c r="F120" s="198"/>
      <c r="G120" s="198"/>
    </row>
    <row r="121" spans="1:7" hidden="1" x14ac:dyDescent="0.35">
      <c r="A121" s="174">
        <f t="shared" si="0"/>
        <v>116</v>
      </c>
      <c r="B121" s="388" t="s">
        <v>1852</v>
      </c>
      <c r="C121" s="388" t="s">
        <v>1890</v>
      </c>
      <c r="D121" s="195" t="s">
        <v>1891</v>
      </c>
      <c r="E121" s="174" t="s">
        <v>1464</v>
      </c>
      <c r="F121" s="198"/>
      <c r="G121" s="198"/>
    </row>
    <row r="122" spans="1:7" hidden="1" x14ac:dyDescent="0.35">
      <c r="A122" s="174">
        <f t="shared" si="0"/>
        <v>117</v>
      </c>
      <c r="B122" s="388" t="s">
        <v>1852</v>
      </c>
      <c r="C122" s="388" t="s">
        <v>1890</v>
      </c>
      <c r="D122" s="195" t="s">
        <v>1774</v>
      </c>
      <c r="E122" s="174" t="s">
        <v>1529</v>
      </c>
      <c r="F122" s="198"/>
      <c r="G122" s="198"/>
    </row>
    <row r="123" spans="1:7" hidden="1" x14ac:dyDescent="0.35">
      <c r="A123" s="174">
        <f t="shared" si="0"/>
        <v>118</v>
      </c>
      <c r="B123" s="388" t="s">
        <v>1852</v>
      </c>
      <c r="C123" s="388" t="s">
        <v>1890</v>
      </c>
      <c r="D123" s="195" t="s">
        <v>1892</v>
      </c>
      <c r="E123" s="174" t="s">
        <v>1464</v>
      </c>
      <c r="F123" s="198"/>
      <c r="G123" s="198"/>
    </row>
    <row r="124" spans="1:7" ht="37.5" hidden="1" x14ac:dyDescent="0.35">
      <c r="A124" s="174">
        <f t="shared" si="0"/>
        <v>119</v>
      </c>
      <c r="B124" s="388" t="s">
        <v>1893</v>
      </c>
      <c r="C124" s="388" t="s">
        <v>1894</v>
      </c>
      <c r="D124" s="249" t="s">
        <v>1895</v>
      </c>
      <c r="E124" s="174" t="s">
        <v>1464</v>
      </c>
      <c r="F124" s="198"/>
      <c r="G124" s="198"/>
    </row>
    <row r="125" spans="1:7" ht="37.5" hidden="1" x14ac:dyDescent="0.35">
      <c r="A125" s="174">
        <f t="shared" si="0"/>
        <v>120</v>
      </c>
      <c r="B125" s="388" t="s">
        <v>1893</v>
      </c>
      <c r="C125" s="388" t="s">
        <v>1896</v>
      </c>
      <c r="D125" s="195" t="s">
        <v>1897</v>
      </c>
      <c r="E125" s="174" t="s">
        <v>1464</v>
      </c>
      <c r="F125" s="198"/>
      <c r="G125" s="198"/>
    </row>
    <row r="126" spans="1:7" ht="37.5" hidden="1" x14ac:dyDescent="0.35">
      <c r="A126" s="174">
        <f t="shared" si="0"/>
        <v>121</v>
      </c>
      <c r="B126" s="388" t="s">
        <v>1893</v>
      </c>
      <c r="C126" s="388" t="s">
        <v>1896</v>
      </c>
      <c r="D126" s="195" t="s">
        <v>1774</v>
      </c>
      <c r="E126" s="174" t="s">
        <v>1529</v>
      </c>
      <c r="F126" s="198"/>
      <c r="G126" s="198"/>
    </row>
    <row r="127" spans="1:7" ht="37.5" hidden="1" x14ac:dyDescent="0.35">
      <c r="A127" s="174">
        <f t="shared" si="0"/>
        <v>122</v>
      </c>
      <c r="B127" s="388" t="s">
        <v>1893</v>
      </c>
      <c r="C127" s="388" t="s">
        <v>1896</v>
      </c>
      <c r="D127" s="195" t="s">
        <v>1898</v>
      </c>
      <c r="E127" s="174" t="s">
        <v>1464</v>
      </c>
      <c r="F127" s="198"/>
      <c r="G127" s="198"/>
    </row>
    <row r="128" spans="1:7" ht="37.5" hidden="1" x14ac:dyDescent="0.35">
      <c r="A128" s="174">
        <f t="shared" si="0"/>
        <v>123</v>
      </c>
      <c r="B128" s="388" t="s">
        <v>1893</v>
      </c>
      <c r="C128" s="388" t="s">
        <v>1899</v>
      </c>
      <c r="D128" s="195" t="s">
        <v>1900</v>
      </c>
      <c r="E128" s="174" t="s">
        <v>1464</v>
      </c>
      <c r="F128" s="198"/>
      <c r="G128" s="198"/>
    </row>
    <row r="129" spans="1:7" ht="37.5" hidden="1" x14ac:dyDescent="0.35">
      <c r="A129" s="174">
        <f t="shared" si="0"/>
        <v>124</v>
      </c>
      <c r="B129" s="388" t="s">
        <v>1893</v>
      </c>
      <c r="C129" s="388" t="s">
        <v>1899</v>
      </c>
      <c r="D129" s="195" t="s">
        <v>1774</v>
      </c>
      <c r="E129" s="174" t="s">
        <v>1529</v>
      </c>
      <c r="F129" s="198"/>
      <c r="G129" s="198"/>
    </row>
    <row r="130" spans="1:7" ht="37.5" hidden="1" x14ac:dyDescent="0.35">
      <c r="A130" s="174">
        <f t="shared" si="0"/>
        <v>125</v>
      </c>
      <c r="B130" s="388" t="s">
        <v>1893</v>
      </c>
      <c r="C130" s="388" t="s">
        <v>1899</v>
      </c>
      <c r="D130" s="195" t="s">
        <v>1901</v>
      </c>
      <c r="E130" s="174" t="s">
        <v>1464</v>
      </c>
      <c r="F130" s="198"/>
      <c r="G130" s="198"/>
    </row>
    <row r="131" spans="1:7" ht="37.5" hidden="1" x14ac:dyDescent="0.35">
      <c r="A131" s="174">
        <f t="shared" si="0"/>
        <v>126</v>
      </c>
      <c r="B131" s="388" t="s">
        <v>1893</v>
      </c>
      <c r="C131" s="388" t="s">
        <v>1902</v>
      </c>
      <c r="D131" s="195" t="s">
        <v>1903</v>
      </c>
      <c r="E131" s="174" t="s">
        <v>1464</v>
      </c>
      <c r="F131" s="198"/>
      <c r="G131" s="198"/>
    </row>
    <row r="132" spans="1:7" ht="37.5" hidden="1" x14ac:dyDescent="0.35">
      <c r="A132" s="174">
        <f t="shared" si="0"/>
        <v>127</v>
      </c>
      <c r="B132" s="388" t="s">
        <v>1893</v>
      </c>
      <c r="C132" s="388" t="s">
        <v>1902</v>
      </c>
      <c r="D132" s="195" t="s">
        <v>1774</v>
      </c>
      <c r="E132" s="174" t="s">
        <v>1529</v>
      </c>
      <c r="F132" s="198"/>
      <c r="G132" s="198"/>
    </row>
    <row r="133" spans="1:7" ht="37.5" hidden="1" x14ac:dyDescent="0.35">
      <c r="A133" s="174">
        <f t="shared" si="0"/>
        <v>128</v>
      </c>
      <c r="B133" s="388" t="s">
        <v>1893</v>
      </c>
      <c r="C133" s="388" t="s">
        <v>1902</v>
      </c>
      <c r="D133" s="195" t="s">
        <v>1904</v>
      </c>
      <c r="E133" s="174" t="s">
        <v>1464</v>
      </c>
      <c r="F133" s="198"/>
      <c r="G133" s="198"/>
    </row>
    <row r="134" spans="1:7" ht="37.5" hidden="1" x14ac:dyDescent="0.35">
      <c r="A134" s="174">
        <f t="shared" si="0"/>
        <v>129</v>
      </c>
      <c r="B134" s="388" t="s">
        <v>1893</v>
      </c>
      <c r="C134" s="388" t="s">
        <v>1905</v>
      </c>
      <c r="D134" s="195" t="s">
        <v>1906</v>
      </c>
      <c r="E134" s="174" t="s">
        <v>1464</v>
      </c>
      <c r="F134" s="198"/>
      <c r="G134" s="198"/>
    </row>
    <row r="135" spans="1:7" ht="37.5" hidden="1" x14ac:dyDescent="0.35">
      <c r="A135" s="174">
        <f t="shared" si="0"/>
        <v>130</v>
      </c>
      <c r="B135" s="388" t="s">
        <v>1893</v>
      </c>
      <c r="C135" s="388" t="s">
        <v>1905</v>
      </c>
      <c r="D135" s="195" t="s">
        <v>1774</v>
      </c>
      <c r="E135" s="174" t="s">
        <v>1529</v>
      </c>
      <c r="F135" s="198"/>
      <c r="G135" s="198"/>
    </row>
    <row r="136" spans="1:7" ht="37.5" hidden="1" x14ac:dyDescent="0.35">
      <c r="A136" s="174">
        <f t="shared" si="0"/>
        <v>131</v>
      </c>
      <c r="B136" s="388" t="s">
        <v>1893</v>
      </c>
      <c r="C136" s="388" t="s">
        <v>1905</v>
      </c>
      <c r="D136" s="195" t="s">
        <v>1907</v>
      </c>
      <c r="E136" s="174" t="s">
        <v>1464</v>
      </c>
      <c r="F136" s="198"/>
      <c r="G136" s="198"/>
    </row>
    <row r="137" spans="1:7" ht="37.5" hidden="1" x14ac:dyDescent="0.35">
      <c r="A137" s="174">
        <f t="shared" si="0"/>
        <v>132</v>
      </c>
      <c r="B137" s="388" t="s">
        <v>1893</v>
      </c>
      <c r="C137" s="388" t="s">
        <v>1908</v>
      </c>
      <c r="D137" s="195" t="s">
        <v>1909</v>
      </c>
      <c r="E137" s="174" t="s">
        <v>1464</v>
      </c>
      <c r="F137" s="198"/>
      <c r="G137" s="198"/>
    </row>
    <row r="138" spans="1:7" ht="37.5" hidden="1" x14ac:dyDescent="0.35">
      <c r="A138" s="174">
        <f t="shared" si="0"/>
        <v>133</v>
      </c>
      <c r="B138" s="388" t="s">
        <v>1893</v>
      </c>
      <c r="C138" s="388" t="s">
        <v>1908</v>
      </c>
      <c r="D138" s="195" t="s">
        <v>1774</v>
      </c>
      <c r="E138" s="174" t="s">
        <v>1529</v>
      </c>
      <c r="F138" s="198"/>
      <c r="G138" s="198"/>
    </row>
    <row r="139" spans="1:7" ht="37.5" hidden="1" x14ac:dyDescent="0.35">
      <c r="A139" s="174">
        <f t="shared" si="0"/>
        <v>134</v>
      </c>
      <c r="B139" s="388" t="s">
        <v>1893</v>
      </c>
      <c r="C139" s="388" t="s">
        <v>1908</v>
      </c>
      <c r="D139" s="195" t="s">
        <v>1910</v>
      </c>
      <c r="E139" s="174" t="s">
        <v>1464</v>
      </c>
      <c r="F139" s="198"/>
      <c r="G139" s="198"/>
    </row>
    <row r="140" spans="1:7" ht="37.5" hidden="1" x14ac:dyDescent="0.35">
      <c r="A140" s="174">
        <f t="shared" si="0"/>
        <v>135</v>
      </c>
      <c r="B140" s="388" t="s">
        <v>1893</v>
      </c>
      <c r="C140" s="388" t="s">
        <v>1911</v>
      </c>
      <c r="D140" s="195" t="s">
        <v>1912</v>
      </c>
      <c r="E140" s="174" t="s">
        <v>1464</v>
      </c>
      <c r="F140" s="198"/>
      <c r="G140" s="198"/>
    </row>
    <row r="141" spans="1:7" ht="37.5" hidden="1" x14ac:dyDescent="0.35">
      <c r="A141" s="174">
        <f t="shared" si="0"/>
        <v>136</v>
      </c>
      <c r="B141" s="388" t="s">
        <v>1893</v>
      </c>
      <c r="C141" s="388" t="s">
        <v>1911</v>
      </c>
      <c r="D141" s="195" t="s">
        <v>1774</v>
      </c>
      <c r="E141" s="174" t="s">
        <v>1529</v>
      </c>
      <c r="F141" s="198"/>
      <c r="G141" s="198"/>
    </row>
    <row r="142" spans="1:7" ht="37.5" hidden="1" x14ac:dyDescent="0.35">
      <c r="A142" s="174">
        <f t="shared" si="0"/>
        <v>137</v>
      </c>
      <c r="B142" s="388" t="s">
        <v>1893</v>
      </c>
      <c r="C142" s="388" t="s">
        <v>1911</v>
      </c>
      <c r="D142" s="195" t="s">
        <v>1913</v>
      </c>
      <c r="E142" s="174" t="s">
        <v>1464</v>
      </c>
      <c r="F142" s="198"/>
      <c r="G142" s="198"/>
    </row>
    <row r="143" spans="1:7" ht="37.5" hidden="1" x14ac:dyDescent="0.35">
      <c r="A143" s="174">
        <f t="shared" si="0"/>
        <v>138</v>
      </c>
      <c r="B143" s="388" t="s">
        <v>1893</v>
      </c>
      <c r="C143" s="388" t="s">
        <v>1914</v>
      </c>
      <c r="D143" s="249" t="s">
        <v>1915</v>
      </c>
      <c r="E143" s="174" t="s">
        <v>1464</v>
      </c>
      <c r="F143" s="198"/>
      <c r="G143" s="198"/>
    </row>
    <row r="144" spans="1:7" ht="37.5" hidden="1" x14ac:dyDescent="0.35">
      <c r="A144" s="174">
        <f t="shared" si="0"/>
        <v>139</v>
      </c>
      <c r="B144" s="388" t="s">
        <v>1893</v>
      </c>
      <c r="C144" s="388" t="s">
        <v>1916</v>
      </c>
      <c r="D144" s="195" t="s">
        <v>1917</v>
      </c>
      <c r="E144" s="174" t="s">
        <v>1464</v>
      </c>
      <c r="F144" s="198"/>
      <c r="G144" s="198"/>
    </row>
    <row r="145" spans="1:7" ht="37.5" hidden="1" x14ac:dyDescent="0.35">
      <c r="A145" s="174">
        <f t="shared" si="0"/>
        <v>140</v>
      </c>
      <c r="B145" s="388" t="s">
        <v>1893</v>
      </c>
      <c r="C145" s="388" t="s">
        <v>1916</v>
      </c>
      <c r="D145" s="195" t="s">
        <v>1774</v>
      </c>
      <c r="E145" s="174" t="s">
        <v>1529</v>
      </c>
      <c r="F145" s="198"/>
      <c r="G145" s="198"/>
    </row>
    <row r="146" spans="1:7" ht="37.5" hidden="1" x14ac:dyDescent="0.35">
      <c r="A146" s="174">
        <f t="shared" si="0"/>
        <v>141</v>
      </c>
      <c r="B146" s="388" t="s">
        <v>1893</v>
      </c>
      <c r="C146" s="388" t="s">
        <v>1916</v>
      </c>
      <c r="D146" s="195" t="s">
        <v>1918</v>
      </c>
      <c r="E146" s="174" t="s">
        <v>1464</v>
      </c>
      <c r="F146" s="198"/>
      <c r="G146" s="198"/>
    </row>
    <row r="147" spans="1:7" ht="37.5" hidden="1" x14ac:dyDescent="0.35">
      <c r="A147" s="174">
        <f t="shared" si="0"/>
        <v>142</v>
      </c>
      <c r="B147" s="388" t="s">
        <v>1893</v>
      </c>
      <c r="C147" s="388" t="s">
        <v>1919</v>
      </c>
      <c r="D147" s="195" t="s">
        <v>1920</v>
      </c>
      <c r="E147" s="174" t="s">
        <v>1464</v>
      </c>
      <c r="F147" s="198"/>
      <c r="G147" s="198"/>
    </row>
    <row r="148" spans="1:7" ht="37.5" hidden="1" x14ac:dyDescent="0.35">
      <c r="A148" s="174">
        <f t="shared" si="0"/>
        <v>143</v>
      </c>
      <c r="B148" s="388" t="s">
        <v>1893</v>
      </c>
      <c r="C148" s="388" t="s">
        <v>1919</v>
      </c>
      <c r="D148" s="195" t="s">
        <v>1774</v>
      </c>
      <c r="E148" s="174" t="s">
        <v>1529</v>
      </c>
      <c r="F148" s="198"/>
      <c r="G148" s="198"/>
    </row>
    <row r="149" spans="1:7" ht="37.5" hidden="1" x14ac:dyDescent="0.35">
      <c r="A149" s="174">
        <f t="shared" si="0"/>
        <v>144</v>
      </c>
      <c r="B149" s="388" t="s">
        <v>1893</v>
      </c>
      <c r="C149" s="388" t="s">
        <v>1919</v>
      </c>
      <c r="D149" s="195" t="s">
        <v>1921</v>
      </c>
      <c r="E149" s="174" t="s">
        <v>1464</v>
      </c>
      <c r="F149" s="198"/>
      <c r="G149" s="198"/>
    </row>
    <row r="150" spans="1:7" ht="37.5" hidden="1" x14ac:dyDescent="0.35">
      <c r="A150" s="174">
        <f t="shared" si="0"/>
        <v>145</v>
      </c>
      <c r="B150" s="388" t="s">
        <v>1893</v>
      </c>
      <c r="C150" s="388" t="s">
        <v>1922</v>
      </c>
      <c r="D150" s="195" t="s">
        <v>1923</v>
      </c>
      <c r="E150" s="174" t="s">
        <v>1464</v>
      </c>
      <c r="F150" s="198"/>
      <c r="G150" s="198"/>
    </row>
    <row r="151" spans="1:7" ht="37.5" hidden="1" x14ac:dyDescent="0.35">
      <c r="A151" s="174">
        <f t="shared" si="0"/>
        <v>146</v>
      </c>
      <c r="B151" s="388" t="s">
        <v>1893</v>
      </c>
      <c r="C151" s="388" t="s">
        <v>1922</v>
      </c>
      <c r="D151" s="195" t="s">
        <v>1774</v>
      </c>
      <c r="E151" s="174" t="s">
        <v>1529</v>
      </c>
      <c r="F151" s="198"/>
      <c r="G151" s="198"/>
    </row>
    <row r="152" spans="1:7" ht="37.5" hidden="1" x14ac:dyDescent="0.35">
      <c r="A152" s="174">
        <f t="shared" ref="A152:A161" si="1">A151+1</f>
        <v>147</v>
      </c>
      <c r="B152" s="388" t="s">
        <v>1893</v>
      </c>
      <c r="C152" s="388" t="s">
        <v>1922</v>
      </c>
      <c r="D152" s="195" t="s">
        <v>1924</v>
      </c>
      <c r="E152" s="174" t="s">
        <v>1464</v>
      </c>
      <c r="F152" s="198"/>
      <c r="G152" s="198"/>
    </row>
    <row r="153" spans="1:7" ht="37.5" hidden="1" x14ac:dyDescent="0.35">
      <c r="A153" s="174">
        <f t="shared" si="1"/>
        <v>148</v>
      </c>
      <c r="B153" s="388" t="s">
        <v>1893</v>
      </c>
      <c r="C153" s="388" t="s">
        <v>1925</v>
      </c>
      <c r="D153" s="195" t="s">
        <v>1926</v>
      </c>
      <c r="E153" s="174" t="s">
        <v>1464</v>
      </c>
      <c r="F153" s="198"/>
      <c r="G153" s="198"/>
    </row>
    <row r="154" spans="1:7" ht="37.5" hidden="1" x14ac:dyDescent="0.35">
      <c r="A154" s="174">
        <f t="shared" si="1"/>
        <v>149</v>
      </c>
      <c r="B154" s="388" t="s">
        <v>1893</v>
      </c>
      <c r="C154" s="388" t="s">
        <v>1925</v>
      </c>
      <c r="D154" s="195" t="s">
        <v>1774</v>
      </c>
      <c r="E154" s="174" t="s">
        <v>1529</v>
      </c>
      <c r="F154" s="198"/>
      <c r="G154" s="198"/>
    </row>
    <row r="155" spans="1:7" ht="37.5" hidden="1" x14ac:dyDescent="0.35">
      <c r="A155" s="174">
        <f t="shared" si="1"/>
        <v>150</v>
      </c>
      <c r="B155" s="388" t="s">
        <v>1893</v>
      </c>
      <c r="C155" s="388" t="s">
        <v>1925</v>
      </c>
      <c r="D155" s="195" t="s">
        <v>1927</v>
      </c>
      <c r="E155" s="174" t="s">
        <v>1464</v>
      </c>
      <c r="F155" s="198"/>
      <c r="G155" s="198"/>
    </row>
    <row r="156" spans="1:7" ht="37.5" hidden="1" x14ac:dyDescent="0.35">
      <c r="A156" s="174">
        <f t="shared" si="1"/>
        <v>151</v>
      </c>
      <c r="B156" s="388" t="s">
        <v>1893</v>
      </c>
      <c r="C156" s="388" t="s">
        <v>1928</v>
      </c>
      <c r="D156" s="195" t="s">
        <v>1929</v>
      </c>
      <c r="E156" s="174" t="s">
        <v>1464</v>
      </c>
      <c r="F156" s="198"/>
      <c r="G156" s="198"/>
    </row>
    <row r="157" spans="1:7" ht="37.5" hidden="1" x14ac:dyDescent="0.35">
      <c r="A157" s="174">
        <f t="shared" si="1"/>
        <v>152</v>
      </c>
      <c r="B157" s="388" t="s">
        <v>1893</v>
      </c>
      <c r="C157" s="388" t="s">
        <v>1928</v>
      </c>
      <c r="D157" s="195" t="s">
        <v>1774</v>
      </c>
      <c r="E157" s="174" t="s">
        <v>1529</v>
      </c>
      <c r="F157" s="198"/>
      <c r="G157" s="198"/>
    </row>
    <row r="158" spans="1:7" ht="37.5" hidden="1" x14ac:dyDescent="0.35">
      <c r="A158" s="174">
        <f t="shared" si="1"/>
        <v>153</v>
      </c>
      <c r="B158" s="388" t="s">
        <v>1893</v>
      </c>
      <c r="C158" s="388" t="s">
        <v>1928</v>
      </c>
      <c r="D158" s="195" t="s">
        <v>1930</v>
      </c>
      <c r="E158" s="174" t="s">
        <v>1464</v>
      </c>
      <c r="F158" s="198"/>
      <c r="G158" s="198"/>
    </row>
    <row r="159" spans="1:7" ht="37.5" hidden="1" x14ac:dyDescent="0.35">
      <c r="A159" s="174">
        <f t="shared" si="1"/>
        <v>154</v>
      </c>
      <c r="B159" s="388" t="s">
        <v>1893</v>
      </c>
      <c r="C159" s="388" t="s">
        <v>1931</v>
      </c>
      <c r="D159" s="195" t="s">
        <v>1932</v>
      </c>
      <c r="E159" s="174" t="s">
        <v>1464</v>
      </c>
      <c r="F159" s="198"/>
      <c r="G159" s="198"/>
    </row>
    <row r="160" spans="1:7" ht="37.5" hidden="1" x14ac:dyDescent="0.35">
      <c r="A160" s="174">
        <f t="shared" si="1"/>
        <v>155</v>
      </c>
      <c r="B160" s="388" t="s">
        <v>1893</v>
      </c>
      <c r="C160" s="388" t="s">
        <v>1931</v>
      </c>
      <c r="D160" s="195" t="s">
        <v>1774</v>
      </c>
      <c r="E160" s="174" t="s">
        <v>1529</v>
      </c>
      <c r="F160" s="198"/>
      <c r="G160" s="198"/>
    </row>
    <row r="161" spans="1:7" ht="37.5" hidden="1" x14ac:dyDescent="0.35">
      <c r="A161" s="174">
        <f t="shared" si="1"/>
        <v>156</v>
      </c>
      <c r="B161" s="388" t="s">
        <v>1893</v>
      </c>
      <c r="C161" s="388" t="s">
        <v>1931</v>
      </c>
      <c r="D161" s="195" t="s">
        <v>1933</v>
      </c>
      <c r="E161" s="174" t="s">
        <v>1464</v>
      </c>
      <c r="F161" s="198"/>
      <c r="G161" s="198"/>
    </row>
    <row r="162" spans="1:7" ht="37.5" hidden="1" x14ac:dyDescent="0.35">
      <c r="A162" s="174">
        <v>157</v>
      </c>
      <c r="B162" s="388" t="s">
        <v>1934</v>
      </c>
      <c r="C162" s="388" t="s">
        <v>1935</v>
      </c>
      <c r="D162" s="249" t="s">
        <v>1936</v>
      </c>
      <c r="E162" s="174" t="s">
        <v>1464</v>
      </c>
      <c r="F162" s="198"/>
      <c r="G162" s="198"/>
    </row>
    <row r="163" spans="1:7" hidden="1" x14ac:dyDescent="0.35">
      <c r="A163" s="174">
        <v>158</v>
      </c>
      <c r="B163" s="388" t="s">
        <v>1934</v>
      </c>
      <c r="C163" s="388" t="s">
        <v>1937</v>
      </c>
      <c r="D163" s="195" t="s">
        <v>1938</v>
      </c>
      <c r="E163" s="174" t="s">
        <v>1464</v>
      </c>
      <c r="F163" s="198"/>
      <c r="G163" s="198"/>
    </row>
    <row r="164" spans="1:7" hidden="1" x14ac:dyDescent="0.35">
      <c r="A164" s="174">
        <v>159</v>
      </c>
      <c r="B164" s="388" t="s">
        <v>1934</v>
      </c>
      <c r="C164" s="388" t="s">
        <v>1937</v>
      </c>
      <c r="D164" s="195" t="s">
        <v>1774</v>
      </c>
      <c r="E164" s="174" t="s">
        <v>1529</v>
      </c>
      <c r="F164" s="198"/>
      <c r="G164" s="198"/>
    </row>
    <row r="165" spans="1:7" hidden="1" x14ac:dyDescent="0.35">
      <c r="A165" s="174">
        <v>160</v>
      </c>
      <c r="B165" s="388" t="s">
        <v>1934</v>
      </c>
      <c r="C165" s="388" t="s">
        <v>1937</v>
      </c>
      <c r="D165" s="195" t="s">
        <v>1939</v>
      </c>
      <c r="E165" s="174" t="s">
        <v>1464</v>
      </c>
      <c r="F165" s="198"/>
      <c r="G165" s="198"/>
    </row>
    <row r="166" spans="1:7" hidden="1" x14ac:dyDescent="0.35">
      <c r="A166" s="174">
        <v>161</v>
      </c>
      <c r="B166" s="388" t="s">
        <v>1934</v>
      </c>
      <c r="C166" s="388" t="s">
        <v>1940</v>
      </c>
      <c r="D166" s="195" t="s">
        <v>1941</v>
      </c>
      <c r="E166" s="174" t="s">
        <v>1464</v>
      </c>
      <c r="F166" s="198"/>
      <c r="G166" s="198"/>
    </row>
    <row r="167" spans="1:7" hidden="1" x14ac:dyDescent="0.35">
      <c r="A167" s="174">
        <v>162</v>
      </c>
      <c r="B167" s="388" t="s">
        <v>1934</v>
      </c>
      <c r="C167" s="388" t="s">
        <v>1940</v>
      </c>
      <c r="D167" s="195" t="s">
        <v>1774</v>
      </c>
      <c r="E167" s="174" t="s">
        <v>1529</v>
      </c>
      <c r="F167" s="198"/>
      <c r="G167" s="198"/>
    </row>
    <row r="168" spans="1:7" hidden="1" x14ac:dyDescent="0.35">
      <c r="A168" s="174">
        <v>163</v>
      </c>
      <c r="B168" s="388" t="s">
        <v>1934</v>
      </c>
      <c r="C168" s="388" t="s">
        <v>1940</v>
      </c>
      <c r="D168" s="195" t="s">
        <v>1942</v>
      </c>
      <c r="E168" s="174" t="s">
        <v>1464</v>
      </c>
      <c r="F168" s="198"/>
      <c r="G168" s="198"/>
    </row>
    <row r="169" spans="1:7" hidden="1" x14ac:dyDescent="0.35">
      <c r="A169" s="174">
        <v>164</v>
      </c>
      <c r="B169" s="388" t="s">
        <v>1934</v>
      </c>
      <c r="C169" s="388" t="s">
        <v>1943</v>
      </c>
      <c r="D169" s="195" t="s">
        <v>1944</v>
      </c>
      <c r="E169" s="174" t="s">
        <v>1464</v>
      </c>
      <c r="F169" s="198"/>
      <c r="G169" s="198"/>
    </row>
    <row r="170" spans="1:7" hidden="1" x14ac:dyDescent="0.35">
      <c r="A170" s="174">
        <v>165</v>
      </c>
      <c r="B170" s="388" t="s">
        <v>1934</v>
      </c>
      <c r="C170" s="388" t="s">
        <v>1943</v>
      </c>
      <c r="D170" s="195" t="s">
        <v>1774</v>
      </c>
      <c r="E170" s="174" t="s">
        <v>1529</v>
      </c>
      <c r="F170" s="198"/>
      <c r="G170" s="198"/>
    </row>
    <row r="171" spans="1:7" hidden="1" x14ac:dyDescent="0.35">
      <c r="A171" s="174">
        <v>166</v>
      </c>
      <c r="B171" s="388" t="s">
        <v>1934</v>
      </c>
      <c r="C171" s="388" t="s">
        <v>1943</v>
      </c>
      <c r="D171" s="195" t="s">
        <v>1945</v>
      </c>
      <c r="E171" s="174" t="s">
        <v>1464</v>
      </c>
      <c r="F171" s="198"/>
      <c r="G171" s="198"/>
    </row>
    <row r="172" spans="1:7" hidden="1" x14ac:dyDescent="0.35">
      <c r="A172" s="174">
        <v>167</v>
      </c>
      <c r="B172" s="388" t="s">
        <v>1934</v>
      </c>
      <c r="C172" s="388" t="s">
        <v>1946</v>
      </c>
      <c r="D172" s="195" t="s">
        <v>1947</v>
      </c>
      <c r="E172" s="174" t="s">
        <v>1464</v>
      </c>
      <c r="F172" s="198"/>
      <c r="G172" s="198"/>
    </row>
    <row r="173" spans="1:7" hidden="1" x14ac:dyDescent="0.35">
      <c r="A173" s="174">
        <v>168</v>
      </c>
      <c r="B173" s="388" t="s">
        <v>1934</v>
      </c>
      <c r="C173" s="388" t="s">
        <v>1946</v>
      </c>
      <c r="D173" s="195" t="s">
        <v>1774</v>
      </c>
      <c r="E173" s="174" t="s">
        <v>1529</v>
      </c>
      <c r="F173" s="198"/>
      <c r="G173" s="198"/>
    </row>
    <row r="174" spans="1:7" hidden="1" x14ac:dyDescent="0.35">
      <c r="A174" s="174">
        <v>169</v>
      </c>
      <c r="B174" s="388" t="s">
        <v>1934</v>
      </c>
      <c r="C174" s="388" t="s">
        <v>1946</v>
      </c>
      <c r="D174" s="195" t="s">
        <v>1948</v>
      </c>
      <c r="E174" s="174" t="s">
        <v>1464</v>
      </c>
      <c r="F174" s="198"/>
      <c r="G174" s="198"/>
    </row>
    <row r="175" spans="1:7" hidden="1" x14ac:dyDescent="0.35">
      <c r="A175" s="174">
        <v>170</v>
      </c>
      <c r="B175" s="388" t="s">
        <v>1934</v>
      </c>
      <c r="C175" s="388" t="s">
        <v>1949</v>
      </c>
      <c r="D175" s="195" t="s">
        <v>1950</v>
      </c>
      <c r="E175" s="174" t="s">
        <v>1464</v>
      </c>
      <c r="F175" s="198"/>
      <c r="G175" s="198"/>
    </row>
    <row r="176" spans="1:7" hidden="1" x14ac:dyDescent="0.35">
      <c r="A176" s="174">
        <v>171</v>
      </c>
      <c r="B176" s="388" t="s">
        <v>1934</v>
      </c>
      <c r="C176" s="388" t="s">
        <v>1949</v>
      </c>
      <c r="D176" s="195" t="s">
        <v>1774</v>
      </c>
      <c r="E176" s="174" t="s">
        <v>1529</v>
      </c>
      <c r="F176" s="198"/>
      <c r="G176" s="198"/>
    </row>
    <row r="177" spans="1:7" hidden="1" x14ac:dyDescent="0.35">
      <c r="A177" s="174">
        <v>172</v>
      </c>
      <c r="B177" s="388" t="s">
        <v>1934</v>
      </c>
      <c r="C177" s="388" t="s">
        <v>1949</v>
      </c>
      <c r="D177" s="195" t="s">
        <v>1951</v>
      </c>
      <c r="E177" s="174" t="s">
        <v>1464</v>
      </c>
      <c r="F177" s="198"/>
      <c r="G177" s="198"/>
    </row>
    <row r="178" spans="1:7" hidden="1" x14ac:dyDescent="0.35">
      <c r="A178" s="174">
        <v>173</v>
      </c>
      <c r="B178" s="388" t="s">
        <v>1934</v>
      </c>
      <c r="C178" s="388" t="s">
        <v>1952</v>
      </c>
      <c r="D178" s="195" t="s">
        <v>1953</v>
      </c>
      <c r="E178" s="174" t="s">
        <v>1464</v>
      </c>
      <c r="F178" s="198"/>
      <c r="G178" s="198"/>
    </row>
    <row r="179" spans="1:7" hidden="1" x14ac:dyDescent="0.35">
      <c r="A179" s="174">
        <v>174</v>
      </c>
      <c r="B179" s="388" t="s">
        <v>1934</v>
      </c>
      <c r="C179" s="388" t="s">
        <v>1952</v>
      </c>
      <c r="D179" s="195" t="s">
        <v>1774</v>
      </c>
      <c r="E179" s="174" t="s">
        <v>1529</v>
      </c>
      <c r="F179" s="198"/>
      <c r="G179" s="198"/>
    </row>
    <row r="180" spans="1:7" hidden="1" x14ac:dyDescent="0.35">
      <c r="A180" s="174">
        <v>175</v>
      </c>
      <c r="B180" s="388" t="s">
        <v>1934</v>
      </c>
      <c r="C180" s="388" t="s">
        <v>1952</v>
      </c>
      <c r="D180" s="195" t="s">
        <v>1954</v>
      </c>
      <c r="E180" s="174" t="s">
        <v>1464</v>
      </c>
      <c r="F180" s="198"/>
      <c r="G180" s="198"/>
    </row>
    <row r="181" spans="1:7" ht="37.5" hidden="1" x14ac:dyDescent="0.35">
      <c r="A181" s="174">
        <v>176</v>
      </c>
      <c r="B181" s="388" t="s">
        <v>1934</v>
      </c>
      <c r="C181" s="388" t="s">
        <v>1955</v>
      </c>
      <c r="D181" s="249" t="s">
        <v>1956</v>
      </c>
      <c r="E181" s="174" t="s">
        <v>1464</v>
      </c>
      <c r="F181" s="198"/>
      <c r="G181" s="198"/>
    </row>
    <row r="182" spans="1:7" hidden="1" x14ac:dyDescent="0.35">
      <c r="A182" s="174">
        <v>177</v>
      </c>
      <c r="B182" s="388" t="s">
        <v>1934</v>
      </c>
      <c r="C182" s="388" t="s">
        <v>1957</v>
      </c>
      <c r="D182" s="195" t="s">
        <v>1958</v>
      </c>
      <c r="E182" s="174" t="s">
        <v>1464</v>
      </c>
      <c r="F182" s="198"/>
      <c r="G182" s="198"/>
    </row>
    <row r="183" spans="1:7" hidden="1" x14ac:dyDescent="0.35">
      <c r="A183" s="174">
        <v>178</v>
      </c>
      <c r="B183" s="388" t="s">
        <v>1934</v>
      </c>
      <c r="C183" s="388" t="s">
        <v>1957</v>
      </c>
      <c r="D183" s="195" t="s">
        <v>1774</v>
      </c>
      <c r="E183" s="174" t="s">
        <v>1529</v>
      </c>
      <c r="F183" s="198"/>
      <c r="G183" s="198"/>
    </row>
    <row r="184" spans="1:7" hidden="1" x14ac:dyDescent="0.35">
      <c r="A184" s="174">
        <v>179</v>
      </c>
      <c r="B184" s="388" t="s">
        <v>1934</v>
      </c>
      <c r="C184" s="388" t="s">
        <v>1957</v>
      </c>
      <c r="D184" s="195" t="s">
        <v>1959</v>
      </c>
      <c r="E184" s="174" t="s">
        <v>1464</v>
      </c>
      <c r="F184" s="198"/>
      <c r="G184" s="198"/>
    </row>
    <row r="185" spans="1:7" hidden="1" x14ac:dyDescent="0.35">
      <c r="A185" s="174">
        <v>180</v>
      </c>
      <c r="B185" s="388" t="s">
        <v>1934</v>
      </c>
      <c r="C185" s="388" t="s">
        <v>1960</v>
      </c>
      <c r="D185" s="195" t="s">
        <v>1961</v>
      </c>
      <c r="E185" s="174" t="s">
        <v>1464</v>
      </c>
      <c r="F185" s="198"/>
      <c r="G185" s="198"/>
    </row>
    <row r="186" spans="1:7" hidden="1" x14ac:dyDescent="0.35">
      <c r="A186" s="174">
        <v>181</v>
      </c>
      <c r="B186" s="388" t="s">
        <v>1934</v>
      </c>
      <c r="C186" s="388" t="s">
        <v>1960</v>
      </c>
      <c r="D186" s="195" t="s">
        <v>1774</v>
      </c>
      <c r="E186" s="174" t="s">
        <v>1529</v>
      </c>
      <c r="F186" s="198"/>
      <c r="G186" s="198"/>
    </row>
    <row r="187" spans="1:7" hidden="1" x14ac:dyDescent="0.35">
      <c r="A187" s="174">
        <v>182</v>
      </c>
      <c r="B187" s="388" t="s">
        <v>1934</v>
      </c>
      <c r="C187" s="388" t="s">
        <v>1960</v>
      </c>
      <c r="D187" s="195" t="s">
        <v>1962</v>
      </c>
      <c r="E187" s="174" t="s">
        <v>1464</v>
      </c>
      <c r="F187" s="198"/>
      <c r="G187" s="198"/>
    </row>
    <row r="188" spans="1:7" hidden="1" x14ac:dyDescent="0.35">
      <c r="A188" s="174">
        <v>183</v>
      </c>
      <c r="B188" s="388" t="s">
        <v>1934</v>
      </c>
      <c r="C188" s="388" t="s">
        <v>1963</v>
      </c>
      <c r="D188" s="195" t="s">
        <v>1964</v>
      </c>
      <c r="E188" s="174" t="s">
        <v>1464</v>
      </c>
      <c r="F188" s="198"/>
      <c r="G188" s="198"/>
    </row>
    <row r="189" spans="1:7" hidden="1" x14ac:dyDescent="0.35">
      <c r="A189" s="174">
        <v>184</v>
      </c>
      <c r="B189" s="388" t="s">
        <v>1934</v>
      </c>
      <c r="C189" s="388" t="s">
        <v>1963</v>
      </c>
      <c r="D189" s="195" t="s">
        <v>1774</v>
      </c>
      <c r="E189" s="174" t="s">
        <v>1529</v>
      </c>
      <c r="F189" s="198"/>
      <c r="G189" s="198"/>
    </row>
    <row r="190" spans="1:7" hidden="1" x14ac:dyDescent="0.35">
      <c r="A190" s="174">
        <v>185</v>
      </c>
      <c r="B190" s="388" t="s">
        <v>1934</v>
      </c>
      <c r="C190" s="388" t="s">
        <v>1963</v>
      </c>
      <c r="D190" s="195" t="s">
        <v>1965</v>
      </c>
      <c r="E190" s="174" t="s">
        <v>1464</v>
      </c>
      <c r="F190" s="198"/>
      <c r="G190" s="198"/>
    </row>
    <row r="191" spans="1:7" hidden="1" x14ac:dyDescent="0.35">
      <c r="A191" s="174">
        <v>186</v>
      </c>
      <c r="B191" s="388" t="s">
        <v>1934</v>
      </c>
      <c r="C191" s="388" t="s">
        <v>1966</v>
      </c>
      <c r="D191" s="195" t="s">
        <v>1967</v>
      </c>
      <c r="E191" s="174" t="s">
        <v>1464</v>
      </c>
      <c r="F191" s="198"/>
      <c r="G191" s="198"/>
    </row>
    <row r="192" spans="1:7" hidden="1" x14ac:dyDescent="0.35">
      <c r="A192" s="174">
        <v>187</v>
      </c>
      <c r="B192" s="388" t="s">
        <v>1934</v>
      </c>
      <c r="C192" s="388" t="s">
        <v>1966</v>
      </c>
      <c r="D192" s="195" t="s">
        <v>1774</v>
      </c>
      <c r="E192" s="174" t="s">
        <v>1529</v>
      </c>
      <c r="F192" s="198"/>
      <c r="G192" s="198"/>
    </row>
    <row r="193" spans="1:7" hidden="1" x14ac:dyDescent="0.35">
      <c r="A193" s="174">
        <v>188</v>
      </c>
      <c r="B193" s="388" t="s">
        <v>1934</v>
      </c>
      <c r="C193" s="388" t="s">
        <v>1966</v>
      </c>
      <c r="D193" s="195" t="s">
        <v>1968</v>
      </c>
      <c r="E193" s="174" t="s">
        <v>1464</v>
      </c>
      <c r="F193" s="198"/>
      <c r="G193" s="198"/>
    </row>
    <row r="194" spans="1:7" hidden="1" x14ac:dyDescent="0.35">
      <c r="A194" s="174">
        <v>189</v>
      </c>
      <c r="B194" s="388" t="s">
        <v>1934</v>
      </c>
      <c r="C194" s="388" t="s">
        <v>1969</v>
      </c>
      <c r="D194" s="195" t="s">
        <v>1970</v>
      </c>
      <c r="E194" s="174" t="s">
        <v>1464</v>
      </c>
      <c r="F194" s="198"/>
      <c r="G194" s="198"/>
    </row>
    <row r="195" spans="1:7" hidden="1" x14ac:dyDescent="0.35">
      <c r="A195" s="174">
        <v>190</v>
      </c>
      <c r="B195" s="388" t="s">
        <v>1934</v>
      </c>
      <c r="C195" s="388" t="s">
        <v>1969</v>
      </c>
      <c r="D195" s="195" t="s">
        <v>1774</v>
      </c>
      <c r="E195" s="174" t="s">
        <v>1529</v>
      </c>
      <c r="F195" s="198"/>
      <c r="G195" s="198"/>
    </row>
    <row r="196" spans="1:7" hidden="1" x14ac:dyDescent="0.35">
      <c r="A196" s="174">
        <v>191</v>
      </c>
      <c r="B196" s="388" t="s">
        <v>1934</v>
      </c>
      <c r="C196" s="388" t="s">
        <v>1969</v>
      </c>
      <c r="D196" s="195" t="s">
        <v>1971</v>
      </c>
      <c r="E196" s="174" t="s">
        <v>1464</v>
      </c>
      <c r="F196" s="198"/>
      <c r="G196" s="198"/>
    </row>
    <row r="197" spans="1:7" hidden="1" x14ac:dyDescent="0.35">
      <c r="A197" s="174">
        <v>192</v>
      </c>
      <c r="B197" s="388" t="s">
        <v>1934</v>
      </c>
      <c r="C197" s="388" t="s">
        <v>1972</v>
      </c>
      <c r="D197" s="195" t="s">
        <v>1973</v>
      </c>
      <c r="E197" s="174" t="s">
        <v>1464</v>
      </c>
      <c r="F197" s="198"/>
      <c r="G197" s="198"/>
    </row>
    <row r="198" spans="1:7" hidden="1" x14ac:dyDescent="0.35">
      <c r="A198" s="174">
        <v>193</v>
      </c>
      <c r="B198" s="388" t="s">
        <v>1934</v>
      </c>
      <c r="C198" s="388" t="s">
        <v>1972</v>
      </c>
      <c r="D198" s="195" t="s">
        <v>1774</v>
      </c>
      <c r="E198" s="174" t="s">
        <v>1529</v>
      </c>
      <c r="F198" s="198"/>
      <c r="G198" s="198"/>
    </row>
    <row r="199" spans="1:7" hidden="1" x14ac:dyDescent="0.35">
      <c r="A199" s="174">
        <v>194</v>
      </c>
      <c r="B199" s="388" t="s">
        <v>1934</v>
      </c>
      <c r="C199" s="388" t="s">
        <v>1972</v>
      </c>
      <c r="D199" s="195" t="s">
        <v>1974</v>
      </c>
      <c r="E199" s="174" t="s">
        <v>1464</v>
      </c>
      <c r="F199" s="198"/>
      <c r="G199" s="198"/>
    </row>
    <row r="200" spans="1:7" hidden="1" x14ac:dyDescent="0.35">
      <c r="A200" s="174">
        <f>IF(Suite="J206", A199+1, IF(Suite="F170", A161+1, IF(AND('Config-Batt'!$P$2="Visible",'Config-Batt'!$Q$2= "Hidden"), A85+1, IF(AND('Config-Batt'!$Q$2="Visible",'Config-Batt'!$R$2= "Hidden"), A123+1, A161+1))))</f>
        <v>157</v>
      </c>
      <c r="B200" s="716" t="s">
        <v>1975</v>
      </c>
      <c r="C200" s="716"/>
      <c r="D200" s="716"/>
      <c r="E200" s="716"/>
      <c r="F200" s="716"/>
      <c r="G200" s="716"/>
    </row>
    <row r="201" spans="1:7" ht="37.5" x14ac:dyDescent="0.35">
      <c r="A201" s="174">
        <f>A200+1</f>
        <v>158</v>
      </c>
      <c r="B201" s="388" t="s">
        <v>1462</v>
      </c>
      <c r="C201" s="388" t="s">
        <v>84</v>
      </c>
      <c r="D201" s="248" t="s">
        <v>1976</v>
      </c>
      <c r="E201" s="388" t="s">
        <v>1464</v>
      </c>
      <c r="F201" s="189"/>
      <c r="G201" s="189"/>
    </row>
    <row r="208" spans="1:7" x14ac:dyDescent="0.35">
      <c r="A208" s="250"/>
    </row>
  </sheetData>
  <sheetProtection formatCells="0" formatColumns="0" formatRows="0" insertRows="0" deleteRows="0" sort="0" autoFilter="0"/>
  <mergeCells count="6">
    <mergeCell ref="B200:G200"/>
    <mergeCell ref="A4:C4"/>
    <mergeCell ref="B6:G6"/>
    <mergeCell ref="B8:G8"/>
    <mergeCell ref="A2:B2"/>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2D5A8-69D8-42DD-BA19-74C11F877DD9}">
  <sheetPr codeName="Battery_QPM">
    <pageSetUpPr fitToPage="1"/>
  </sheetPr>
  <dimension ref="A1:I116"/>
  <sheetViews>
    <sheetView view="pageBreakPreview" zoomScale="90" zoomScaleNormal="100" zoomScaleSheetLayoutView="90" workbookViewId="0">
      <selection activeCell="K12" sqref="K12"/>
    </sheetView>
  </sheetViews>
  <sheetFormatPr defaultColWidth="8.7109375" defaultRowHeight="23.25" x14ac:dyDescent="0.35"/>
  <cols>
    <col min="1" max="1" width="6.85546875" style="246"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60" customWidth="1"/>
    <col min="9" max="9" width="8" style="60" customWidth="1"/>
    <col min="10" max="10" width="30.28515625" style="60" customWidth="1"/>
    <col min="11" max="11" width="23.7109375" style="60" customWidth="1"/>
    <col min="12" max="16384" width="8.7109375" style="60"/>
  </cols>
  <sheetData>
    <row r="1" spans="1:9" customFormat="1" ht="18.75" x14ac:dyDescent="0.25">
      <c r="A1" s="172" t="s">
        <v>1454</v>
      </c>
      <c r="B1" s="172"/>
      <c r="C1" s="173"/>
      <c r="D1" s="173"/>
      <c r="E1" s="173"/>
      <c r="F1" s="173"/>
      <c r="G1" s="173"/>
    </row>
    <row r="2" spans="1:9" customFormat="1" ht="18.75" customHeight="1" x14ac:dyDescent="0.25">
      <c r="A2" s="705" t="s">
        <v>42</v>
      </c>
      <c r="B2" s="705"/>
      <c r="C2" s="708" t="str">
        <f>zTaskName</f>
        <v>Routine Generator run with no load transfer</v>
      </c>
      <c r="D2" s="709"/>
      <c r="E2" s="709"/>
      <c r="F2" s="709"/>
      <c r="G2" s="710"/>
    </row>
    <row r="3" spans="1:9" customFormat="1" ht="9.9499999999999993" customHeight="1" x14ac:dyDescent="0.25">
      <c r="A3" s="459"/>
      <c r="B3" s="460"/>
      <c r="C3" s="461"/>
      <c r="D3" s="461"/>
      <c r="E3" s="461"/>
      <c r="F3" s="461"/>
      <c r="G3" s="462"/>
    </row>
    <row r="4" spans="1:9" customFormat="1" ht="9.9499999999999993" customHeight="1" x14ac:dyDescent="0.25">
      <c r="A4" s="706"/>
      <c r="B4" s="707"/>
      <c r="C4" s="707"/>
      <c r="D4" s="382"/>
      <c r="E4" s="382"/>
      <c r="F4" s="382"/>
      <c r="G4" s="383"/>
      <c r="H4" s="3"/>
      <c r="I4" s="3"/>
    </row>
    <row r="5" spans="1:9" customFormat="1" ht="37.5" x14ac:dyDescent="0.25">
      <c r="A5" s="378" t="s">
        <v>1455</v>
      </c>
      <c r="B5" s="379" t="s">
        <v>8</v>
      </c>
      <c r="C5" s="379" t="s">
        <v>1456</v>
      </c>
      <c r="D5" s="378" t="s">
        <v>1457</v>
      </c>
      <c r="E5" s="379" t="s">
        <v>1458</v>
      </c>
      <c r="F5" s="379" t="s">
        <v>1459</v>
      </c>
      <c r="G5" s="378" t="s">
        <v>1460</v>
      </c>
    </row>
    <row r="6" spans="1:9" x14ac:dyDescent="0.35">
      <c r="A6" s="174">
        <v>1</v>
      </c>
      <c r="B6" s="716" t="s">
        <v>1977</v>
      </c>
      <c r="C6" s="716"/>
      <c r="D6" s="716"/>
      <c r="E6" s="716"/>
      <c r="F6" s="716"/>
      <c r="G6" s="716"/>
    </row>
    <row r="7" spans="1:9" ht="37.5" x14ac:dyDescent="0.35">
      <c r="A7" s="174">
        <v>2</v>
      </c>
      <c r="B7" s="283" t="s">
        <v>1462</v>
      </c>
      <c r="C7" s="242" t="s">
        <v>84</v>
      </c>
      <c r="D7" s="282" t="s">
        <v>1978</v>
      </c>
      <c r="E7" s="283" t="s">
        <v>1464</v>
      </c>
      <c r="F7" s="243"/>
      <c r="G7" s="243"/>
    </row>
    <row r="8" spans="1:9" ht="56.25" x14ac:dyDescent="0.35">
      <c r="A8" s="174">
        <v>3</v>
      </c>
      <c r="B8" s="388" t="str">
        <f>Suite &amp; " Battery Room " &amp; SWOne</f>
        <v>G104 Battery Room XXX</v>
      </c>
      <c r="C8" s="180" t="str">
        <f>SWOne &amp; "1 Battery Cabinets"</f>
        <v>XXX1 Battery Cabinets</v>
      </c>
      <c r="D8" s="244" t="s">
        <v>1979</v>
      </c>
      <c r="E8" s="174" t="s">
        <v>1529</v>
      </c>
      <c r="F8" s="189"/>
      <c r="G8" s="189"/>
    </row>
    <row r="9" spans="1:9" ht="37.5" x14ac:dyDescent="0.35">
      <c r="A9" s="174">
        <v>4</v>
      </c>
      <c r="B9" s="388" t="str">
        <f>Suite &amp; " Battery Room " &amp; SWOne</f>
        <v>G104 Battery Room XXX</v>
      </c>
      <c r="C9" s="180" t="str">
        <f>"Cabinet
" &amp; SWOne &amp; "1-1"</f>
        <v>Cabinet
XXX1-1</v>
      </c>
      <c r="D9" s="245" t="s">
        <v>1980</v>
      </c>
      <c r="E9" s="174" t="s">
        <v>1529</v>
      </c>
      <c r="F9" s="189"/>
      <c r="G9" s="189"/>
    </row>
    <row r="10" spans="1:9" ht="37.5" x14ac:dyDescent="0.35">
      <c r="A10" s="174">
        <v>5</v>
      </c>
      <c r="B10" s="388" t="str">
        <f>Suite &amp; " Battery Room " &amp; SWOne</f>
        <v>G104 Battery Room XXX</v>
      </c>
      <c r="C10" s="180" t="str">
        <f>"Cabinet
" &amp; SWOne &amp; "1-2"</f>
        <v>Cabinet
XXX1-2</v>
      </c>
      <c r="D10" s="245" t="s">
        <v>1980</v>
      </c>
      <c r="E10" s="174" t="s">
        <v>1529</v>
      </c>
      <c r="F10" s="189"/>
      <c r="G10" s="189"/>
    </row>
    <row r="11" spans="1:9" ht="37.5" x14ac:dyDescent="0.35">
      <c r="A11" s="174">
        <v>6</v>
      </c>
      <c r="B11" s="388" t="str">
        <f>Suite &amp; " Battery Room " &amp; SWOne</f>
        <v>G104 Battery Room XXX</v>
      </c>
      <c r="C11" s="180" t="str">
        <f>"Cabinet
" &amp; SWOne &amp; "1-3"</f>
        <v>Cabinet
XXX1-3</v>
      </c>
      <c r="D11" s="245" t="s">
        <v>1980</v>
      </c>
      <c r="E11" s="174" t="s">
        <v>1529</v>
      </c>
      <c r="F11" s="189"/>
      <c r="G11" s="189"/>
    </row>
    <row r="12" spans="1:9" ht="37.5" hidden="1" x14ac:dyDescent="0.35">
      <c r="A12" s="174">
        <v>7</v>
      </c>
      <c r="B12" s="388" t="str">
        <f>Suite &amp; " Battery Room " &amp; SWOne</f>
        <v>G104 Battery Room XXX</v>
      </c>
      <c r="C12" s="180" t="str">
        <f>"Cabinet
" &amp; SWOne &amp; "1-4"</f>
        <v>Cabinet
XXX1-4</v>
      </c>
      <c r="D12" s="245" t="s">
        <v>1980</v>
      </c>
      <c r="E12" s="174" t="s">
        <v>1529</v>
      </c>
      <c r="F12" s="189"/>
      <c r="G12" s="189"/>
    </row>
    <row r="13" spans="1:9" ht="37.5" hidden="1" x14ac:dyDescent="0.35">
      <c r="A13" s="174">
        <v>8</v>
      </c>
      <c r="B13" s="388" t="str">
        <f>Suite &amp; " Battery Room " &amp; SWOne</f>
        <v>G104 Battery Room XXX</v>
      </c>
      <c r="C13" s="180" t="str">
        <f>"Cabinet
" &amp; SWOne &amp; "1-5"</f>
        <v>Cabinet
XXX1-5</v>
      </c>
      <c r="D13" s="245" t="s">
        <v>1980</v>
      </c>
      <c r="E13" s="174" t="s">
        <v>1529</v>
      </c>
      <c r="F13" s="189"/>
      <c r="G13" s="189"/>
    </row>
    <row r="14" spans="1:9" ht="37.5" hidden="1" x14ac:dyDescent="0.35">
      <c r="A14" s="174">
        <v>9</v>
      </c>
      <c r="B14" s="388" t="str">
        <f>Suite &amp; " Battery Room " &amp; SWOne</f>
        <v>G104 Battery Room XXX</v>
      </c>
      <c r="C14" s="180" t="str">
        <f>"Cabinet
" &amp; SWOne &amp; "1-6"</f>
        <v>Cabinet
XXX1-6</v>
      </c>
      <c r="D14" s="245" t="s">
        <v>1980</v>
      </c>
      <c r="E14" s="174" t="s">
        <v>1529</v>
      </c>
      <c r="F14" s="189"/>
      <c r="G14" s="189"/>
    </row>
    <row r="15" spans="1:9" ht="56.25" x14ac:dyDescent="0.35">
      <c r="A15" s="174">
        <f>IF(NumberOfICDs=3, A11+1, IF(NumberOfICDs=4, A12+1, A14+ 1))</f>
        <v>10</v>
      </c>
      <c r="B15" s="388" t="str">
        <f>Suite &amp; " Battery Room " &amp; SWOne</f>
        <v>G104 Battery Room XXX</v>
      </c>
      <c r="C15" s="180" t="str">
        <f>SWOne &amp; "1 Battery Cabinets"</f>
        <v>XXX1 Battery Cabinets</v>
      </c>
      <c r="D15" s="245" t="s">
        <v>1981</v>
      </c>
      <c r="E15" s="174" t="s">
        <v>1529</v>
      </c>
      <c r="F15" s="189"/>
      <c r="G15" s="189"/>
    </row>
    <row r="16" spans="1:9" ht="56.25" x14ac:dyDescent="0.35">
      <c r="A16" s="225">
        <f>A15+1</f>
        <v>11</v>
      </c>
      <c r="B16" s="388" t="str">
        <f>Suite &amp; " Battery Room " &amp; SWOne</f>
        <v>G104 Battery Room XXX</v>
      </c>
      <c r="C16" s="180" t="str">
        <f>SWOne &amp; "2 Battery Cabinets"</f>
        <v>XXX2 Battery Cabinets</v>
      </c>
      <c r="D16" s="244" t="s">
        <v>1979</v>
      </c>
      <c r="E16" s="174" t="s">
        <v>1529</v>
      </c>
      <c r="F16" s="189"/>
      <c r="G16" s="189"/>
    </row>
    <row r="17" spans="1:7" ht="37.5" x14ac:dyDescent="0.35">
      <c r="A17" s="225">
        <f t="shared" ref="A17:A22" si="0">A16+1</f>
        <v>12</v>
      </c>
      <c r="B17" s="388" t="str">
        <f>Suite &amp; " Battery Room " &amp; SWOne</f>
        <v>G104 Battery Room XXX</v>
      </c>
      <c r="C17" s="180" t="str">
        <f>"Cabinet
" &amp; SWOne &amp; "2-1"</f>
        <v>Cabinet
XXX2-1</v>
      </c>
      <c r="D17" s="245" t="s">
        <v>1980</v>
      </c>
      <c r="E17" s="174" t="s">
        <v>1529</v>
      </c>
      <c r="F17" s="189"/>
      <c r="G17" s="189"/>
    </row>
    <row r="18" spans="1:7" ht="37.5" x14ac:dyDescent="0.35">
      <c r="A18" s="225">
        <f t="shared" si="0"/>
        <v>13</v>
      </c>
      <c r="B18" s="388" t="str">
        <f>Suite &amp; " Battery Room " &amp; SWOne</f>
        <v>G104 Battery Room XXX</v>
      </c>
      <c r="C18" s="180" t="str">
        <f>"Cabinet
" &amp; SWOne &amp; "2-2"</f>
        <v>Cabinet
XXX2-2</v>
      </c>
      <c r="D18" s="245" t="s">
        <v>1980</v>
      </c>
      <c r="E18" s="174" t="s">
        <v>1529</v>
      </c>
      <c r="F18" s="189"/>
      <c r="G18" s="189"/>
    </row>
    <row r="19" spans="1:7" ht="37.5" x14ac:dyDescent="0.35">
      <c r="A19" s="225">
        <f t="shared" si="0"/>
        <v>14</v>
      </c>
      <c r="B19" s="388" t="str">
        <f>Suite &amp; " Battery Room " &amp; SWOne</f>
        <v>G104 Battery Room XXX</v>
      </c>
      <c r="C19" s="180" t="str">
        <f>"Cabinet
" &amp; SWOne &amp; "2-3"</f>
        <v>Cabinet
XXX2-3</v>
      </c>
      <c r="D19" s="245" t="s">
        <v>1980</v>
      </c>
      <c r="E19" s="174" t="s">
        <v>1529</v>
      </c>
      <c r="F19" s="189"/>
      <c r="G19" s="189"/>
    </row>
    <row r="20" spans="1:7" ht="37.5" hidden="1" x14ac:dyDescent="0.35">
      <c r="A20" s="225">
        <f t="shared" si="0"/>
        <v>15</v>
      </c>
      <c r="B20" s="388" t="str">
        <f>Suite &amp; " Battery Room " &amp; SWOne</f>
        <v>G104 Battery Room XXX</v>
      </c>
      <c r="C20" s="180" t="str">
        <f>"Cabinet
" &amp; SWOne &amp; "2-4"</f>
        <v>Cabinet
XXX2-4</v>
      </c>
      <c r="D20" s="245" t="s">
        <v>1980</v>
      </c>
      <c r="E20" s="174" t="s">
        <v>1529</v>
      </c>
      <c r="F20" s="189"/>
      <c r="G20" s="189"/>
    </row>
    <row r="21" spans="1:7" ht="37.5" hidden="1" x14ac:dyDescent="0.35">
      <c r="A21" s="225">
        <f t="shared" si="0"/>
        <v>16</v>
      </c>
      <c r="B21" s="388" t="str">
        <f>Suite &amp; " Battery Room " &amp; SWOne</f>
        <v>G104 Battery Room XXX</v>
      </c>
      <c r="C21" s="180" t="str">
        <f>"Cabinet
" &amp; SWOne &amp; "2-5"</f>
        <v>Cabinet
XXX2-5</v>
      </c>
      <c r="D21" s="245" t="s">
        <v>1980</v>
      </c>
      <c r="E21" s="174" t="s">
        <v>1529</v>
      </c>
      <c r="F21" s="189"/>
      <c r="G21" s="189"/>
    </row>
    <row r="22" spans="1:7" ht="37.5" hidden="1" x14ac:dyDescent="0.35">
      <c r="A22" s="225">
        <f t="shared" si="0"/>
        <v>17</v>
      </c>
      <c r="B22" s="388" t="str">
        <f>Suite &amp; " Battery Room " &amp; SWOne</f>
        <v>G104 Battery Room XXX</v>
      </c>
      <c r="C22" s="180" t="str">
        <f>"Cabinet
" &amp; SWOne &amp; "2-6"</f>
        <v>Cabinet
XXX2-6</v>
      </c>
      <c r="D22" s="245" t="s">
        <v>1980</v>
      </c>
      <c r="E22" s="174" t="s">
        <v>1529</v>
      </c>
      <c r="F22" s="189"/>
      <c r="G22" s="189"/>
    </row>
    <row r="23" spans="1:7" ht="56.25" x14ac:dyDescent="0.35">
      <c r="A23" s="174">
        <f>IF(NumberOfICDs=3, A19+1, IF(NumberOfICDs=4, A20+1, A22+ 1))</f>
        <v>18</v>
      </c>
      <c r="B23" s="388" t="str">
        <f>Suite &amp; " Battery Room " &amp; SWOne</f>
        <v>G104 Battery Room XXX</v>
      </c>
      <c r="C23" s="180" t="str">
        <f>SWOne &amp; "2 Battery Cabinets"</f>
        <v>XXX2 Battery Cabinets</v>
      </c>
      <c r="D23" s="245" t="s">
        <v>1981</v>
      </c>
      <c r="E23" s="174" t="s">
        <v>1529</v>
      </c>
      <c r="F23" s="189"/>
      <c r="G23" s="189"/>
    </row>
    <row r="24" spans="1:7" ht="56.25" x14ac:dyDescent="0.35">
      <c r="A24" s="225">
        <f>A23+1</f>
        <v>19</v>
      </c>
      <c r="B24" s="388" t="str">
        <f>Suite &amp; " Battery Room " &amp; SWTwo</f>
        <v>G104 Battery Room XXX</v>
      </c>
      <c r="C24" s="180" t="str">
        <f>SWTwo &amp; "1 Battery Cabinets"</f>
        <v>XXX1 Battery Cabinets</v>
      </c>
      <c r="D24" s="244" t="s">
        <v>1979</v>
      </c>
      <c r="E24" s="174" t="s">
        <v>1529</v>
      </c>
      <c r="F24" s="189"/>
      <c r="G24" s="189"/>
    </row>
    <row r="25" spans="1:7" ht="37.5" x14ac:dyDescent="0.35">
      <c r="A25" s="225">
        <f t="shared" ref="A25:A30" si="1">A24+1</f>
        <v>20</v>
      </c>
      <c r="B25" s="388" t="str">
        <f>Suite &amp; " Battery Room " &amp; SWTwo</f>
        <v>G104 Battery Room XXX</v>
      </c>
      <c r="C25" s="180" t="str">
        <f>"Cabinet
" &amp; SWTwo &amp; "1-1"</f>
        <v>Cabinet
XXX1-1</v>
      </c>
      <c r="D25" s="245" t="s">
        <v>1980</v>
      </c>
      <c r="E25" s="174" t="s">
        <v>1529</v>
      </c>
      <c r="F25" s="189"/>
      <c r="G25" s="189"/>
    </row>
    <row r="26" spans="1:7" ht="37.5" x14ac:dyDescent="0.35">
      <c r="A26" s="225">
        <f t="shared" si="1"/>
        <v>21</v>
      </c>
      <c r="B26" s="388" t="str">
        <f>Suite &amp; " Battery Room " &amp; SWTwo</f>
        <v>G104 Battery Room XXX</v>
      </c>
      <c r="C26" s="180" t="str">
        <f>"Cabinet
" &amp; SWTwo &amp; "1-2"</f>
        <v>Cabinet
XXX1-2</v>
      </c>
      <c r="D26" s="245" t="s">
        <v>1980</v>
      </c>
      <c r="E26" s="174" t="s">
        <v>1529</v>
      </c>
      <c r="F26" s="189"/>
      <c r="G26" s="189"/>
    </row>
    <row r="27" spans="1:7" ht="37.5" x14ac:dyDescent="0.35">
      <c r="A27" s="225">
        <f t="shared" si="1"/>
        <v>22</v>
      </c>
      <c r="B27" s="388" t="str">
        <f>Suite &amp; " Battery Room " &amp; SWTwo</f>
        <v>G104 Battery Room XXX</v>
      </c>
      <c r="C27" s="180" t="str">
        <f>"Cabinet
" &amp; SWTwo &amp; "1-3"</f>
        <v>Cabinet
XXX1-3</v>
      </c>
      <c r="D27" s="245" t="s">
        <v>1980</v>
      </c>
      <c r="E27" s="174" t="s">
        <v>1529</v>
      </c>
      <c r="F27" s="189"/>
      <c r="G27" s="189"/>
    </row>
    <row r="28" spans="1:7" ht="37.5" hidden="1" x14ac:dyDescent="0.35">
      <c r="A28" s="225">
        <f t="shared" si="1"/>
        <v>23</v>
      </c>
      <c r="B28" s="388" t="str">
        <f>Suite &amp; " Battery Room " &amp; SWTwo</f>
        <v>G104 Battery Room XXX</v>
      </c>
      <c r="C28" s="180" t="str">
        <f>"Cabinet
" &amp; SWTwo &amp; "1-4"</f>
        <v>Cabinet
XXX1-4</v>
      </c>
      <c r="D28" s="245" t="s">
        <v>1980</v>
      </c>
      <c r="E28" s="174" t="s">
        <v>1529</v>
      </c>
      <c r="F28" s="189"/>
      <c r="G28" s="189"/>
    </row>
    <row r="29" spans="1:7" ht="37.5" hidden="1" x14ac:dyDescent="0.35">
      <c r="A29" s="225">
        <f t="shared" si="1"/>
        <v>24</v>
      </c>
      <c r="B29" s="388" t="str">
        <f>Suite &amp; " Battery Room " &amp; SWTwo</f>
        <v>G104 Battery Room XXX</v>
      </c>
      <c r="C29" s="180" t="str">
        <f>"Cabinet
" &amp; SWTwo &amp; "1-5"</f>
        <v>Cabinet
XXX1-5</v>
      </c>
      <c r="D29" s="245" t="s">
        <v>1980</v>
      </c>
      <c r="E29" s="174" t="s">
        <v>1529</v>
      </c>
      <c r="F29" s="189"/>
      <c r="G29" s="189"/>
    </row>
    <row r="30" spans="1:7" ht="37.5" hidden="1" x14ac:dyDescent="0.35">
      <c r="A30" s="225">
        <f t="shared" si="1"/>
        <v>25</v>
      </c>
      <c r="B30" s="388" t="str">
        <f>Suite &amp; " Battery Room " &amp; SWTwo</f>
        <v>G104 Battery Room XXX</v>
      </c>
      <c r="C30" s="180" t="str">
        <f>"Cabinet
" &amp; SWTwo &amp; "1-6"</f>
        <v>Cabinet
XXX1-6</v>
      </c>
      <c r="D30" s="245" t="s">
        <v>1980</v>
      </c>
      <c r="E30" s="174" t="s">
        <v>1529</v>
      </c>
      <c r="F30" s="189"/>
      <c r="G30" s="189"/>
    </row>
    <row r="31" spans="1:7" ht="56.25" x14ac:dyDescent="0.35">
      <c r="A31" s="174">
        <f>IF(NumberOfICDs=3, A27+1, IF(NumberOfICDs=4, A28+1, A30+ 1))</f>
        <v>26</v>
      </c>
      <c r="B31" s="388" t="str">
        <f>Suite &amp; " Battery Room " &amp; SWTwo</f>
        <v>G104 Battery Room XXX</v>
      </c>
      <c r="C31" s="180" t="str">
        <f>SWTwo &amp; "1 Battery Cabinets"</f>
        <v>XXX1 Battery Cabinets</v>
      </c>
      <c r="D31" s="245" t="s">
        <v>1981</v>
      </c>
      <c r="E31" s="174" t="s">
        <v>1529</v>
      </c>
      <c r="F31" s="189"/>
      <c r="G31" s="189"/>
    </row>
    <row r="32" spans="1:7" ht="56.25" x14ac:dyDescent="0.35">
      <c r="A32" s="225">
        <f>A31+1</f>
        <v>27</v>
      </c>
      <c r="B32" s="388" t="str">
        <f>Suite &amp; " Battery Room " &amp; SWTwo</f>
        <v>G104 Battery Room XXX</v>
      </c>
      <c r="C32" s="180" t="str">
        <f>SWTwo &amp; "2 Battery Cabinets"</f>
        <v>XXX2 Battery Cabinets</v>
      </c>
      <c r="D32" s="244" t="s">
        <v>1979</v>
      </c>
      <c r="E32" s="174" t="s">
        <v>1529</v>
      </c>
      <c r="F32" s="189"/>
      <c r="G32" s="189"/>
    </row>
    <row r="33" spans="1:7" ht="37.5" x14ac:dyDescent="0.35">
      <c r="A33" s="225">
        <f t="shared" ref="A33:A38" si="2">A32+1</f>
        <v>28</v>
      </c>
      <c r="B33" s="388" t="str">
        <f>Suite &amp; " Battery Room " &amp; SWTwo</f>
        <v>G104 Battery Room XXX</v>
      </c>
      <c r="C33" s="180" t="str">
        <f>"Cabinet
" &amp; SWTwo &amp; "2-1"</f>
        <v>Cabinet
XXX2-1</v>
      </c>
      <c r="D33" s="245" t="s">
        <v>1980</v>
      </c>
      <c r="E33" s="174" t="s">
        <v>1529</v>
      </c>
      <c r="F33" s="189"/>
      <c r="G33" s="189"/>
    </row>
    <row r="34" spans="1:7" ht="37.5" x14ac:dyDescent="0.35">
      <c r="A34" s="225">
        <f t="shared" si="2"/>
        <v>29</v>
      </c>
      <c r="B34" s="388" t="str">
        <f>Suite &amp; " Battery Room " &amp; SWTwo</f>
        <v>G104 Battery Room XXX</v>
      </c>
      <c r="C34" s="180" t="str">
        <f>"Cabinet
" &amp; SWTwo &amp; "2-2"</f>
        <v>Cabinet
XXX2-2</v>
      </c>
      <c r="D34" s="245" t="s">
        <v>1980</v>
      </c>
      <c r="E34" s="174" t="s">
        <v>1529</v>
      </c>
      <c r="F34" s="189"/>
      <c r="G34" s="189"/>
    </row>
    <row r="35" spans="1:7" ht="37.5" x14ac:dyDescent="0.35">
      <c r="A35" s="225">
        <f t="shared" si="2"/>
        <v>30</v>
      </c>
      <c r="B35" s="388" t="str">
        <f>Suite &amp; " Battery Room " &amp; SWTwo</f>
        <v>G104 Battery Room XXX</v>
      </c>
      <c r="C35" s="180" t="str">
        <f>"Cabinet
" &amp; SWTwo &amp; "2-3"</f>
        <v>Cabinet
XXX2-3</v>
      </c>
      <c r="D35" s="245" t="s">
        <v>1980</v>
      </c>
      <c r="E35" s="174" t="s">
        <v>1529</v>
      </c>
      <c r="F35" s="189"/>
      <c r="G35" s="189"/>
    </row>
    <row r="36" spans="1:7" ht="37.5" hidden="1" x14ac:dyDescent="0.35">
      <c r="A36" s="225">
        <f t="shared" si="2"/>
        <v>31</v>
      </c>
      <c r="B36" s="388" t="str">
        <f>Suite &amp; " Battery Room " &amp; SWTwo</f>
        <v>G104 Battery Room XXX</v>
      </c>
      <c r="C36" s="180" t="str">
        <f>"Cabinet
" &amp; SWTwo &amp; "2-4"</f>
        <v>Cabinet
XXX2-4</v>
      </c>
      <c r="D36" s="245" t="s">
        <v>1980</v>
      </c>
      <c r="E36" s="174" t="s">
        <v>1529</v>
      </c>
      <c r="F36" s="189"/>
      <c r="G36" s="189"/>
    </row>
    <row r="37" spans="1:7" ht="37.5" hidden="1" x14ac:dyDescent="0.35">
      <c r="A37" s="225">
        <f t="shared" si="2"/>
        <v>32</v>
      </c>
      <c r="B37" s="388" t="str">
        <f>Suite &amp; " Battery Room " &amp; SWTwo</f>
        <v>G104 Battery Room XXX</v>
      </c>
      <c r="C37" s="180" t="str">
        <f>"Cabinet
" &amp; SWTwo &amp; "2-5"</f>
        <v>Cabinet
XXX2-5</v>
      </c>
      <c r="D37" s="245" t="s">
        <v>1980</v>
      </c>
      <c r="E37" s="174" t="s">
        <v>1529</v>
      </c>
      <c r="F37" s="189"/>
      <c r="G37" s="189"/>
    </row>
    <row r="38" spans="1:7" ht="37.5" hidden="1" x14ac:dyDescent="0.35">
      <c r="A38" s="225">
        <f t="shared" si="2"/>
        <v>33</v>
      </c>
      <c r="B38" s="388" t="str">
        <f>Suite &amp; " Battery Room " &amp; SWTwo</f>
        <v>G104 Battery Room XXX</v>
      </c>
      <c r="C38" s="180" t="str">
        <f>"Cabinet
" &amp; SWTwo &amp; "2-6"</f>
        <v>Cabinet
XXX2-6</v>
      </c>
      <c r="D38" s="245" t="s">
        <v>1980</v>
      </c>
      <c r="E38" s="174" t="s">
        <v>1529</v>
      </c>
      <c r="F38" s="189"/>
      <c r="G38" s="189"/>
    </row>
    <row r="39" spans="1:7" ht="56.25" x14ac:dyDescent="0.35">
      <c r="A39" s="174">
        <f>IF(NumberOfICDs=3, A35+1, IF(NumberOfICDs=4, A36+1, A38+ 1))</f>
        <v>34</v>
      </c>
      <c r="B39" s="388" t="str">
        <f>Suite &amp; " Battery Room " &amp; SWTwo</f>
        <v>G104 Battery Room XXX</v>
      </c>
      <c r="C39" s="180" t="str">
        <f>SWTwo &amp; "2 Battery Cabinets"</f>
        <v>XXX2 Battery Cabinets</v>
      </c>
      <c r="D39" s="245" t="s">
        <v>1981</v>
      </c>
      <c r="E39" s="174" t="s">
        <v>1529</v>
      </c>
      <c r="F39" s="189"/>
      <c r="G39" s="189"/>
    </row>
    <row r="40" spans="1:7" ht="56.25" hidden="1" x14ac:dyDescent="0.35">
      <c r="A40" s="225">
        <f>A39+1</f>
        <v>35</v>
      </c>
      <c r="B40" s="388" t="str">
        <f>Suite &amp; " Battery Room " &amp; SWThree</f>
        <v>G104 Battery Room XXX</v>
      </c>
      <c r="C40" s="180" t="str">
        <f>SWThree &amp; "1 Battery Cabinets"</f>
        <v>XXX1 Battery Cabinets</v>
      </c>
      <c r="D40" s="244" t="s">
        <v>1979</v>
      </c>
      <c r="E40" s="174" t="s">
        <v>1529</v>
      </c>
      <c r="F40" s="189"/>
      <c r="G40" s="189"/>
    </row>
    <row r="41" spans="1:7" ht="37.5" hidden="1" x14ac:dyDescent="0.35">
      <c r="A41" s="225">
        <f t="shared" ref="A41:A46" si="3">A40+1</f>
        <v>36</v>
      </c>
      <c r="B41" s="388" t="str">
        <f>Suite &amp; " Battery Room " &amp; SWThree</f>
        <v>G104 Battery Room XXX</v>
      </c>
      <c r="C41" s="180" t="str">
        <f>"Cabinet
" &amp; SWThree &amp; "1-1"</f>
        <v>Cabinet
XXX1-1</v>
      </c>
      <c r="D41" s="245" t="s">
        <v>1980</v>
      </c>
      <c r="E41" s="174" t="s">
        <v>1529</v>
      </c>
      <c r="F41" s="189"/>
      <c r="G41" s="189"/>
    </row>
    <row r="42" spans="1:7" ht="37.5" hidden="1" x14ac:dyDescent="0.35">
      <c r="A42" s="225">
        <f t="shared" si="3"/>
        <v>37</v>
      </c>
      <c r="B42" s="388" t="str">
        <f>Suite &amp; " Battery Room " &amp; SWThree</f>
        <v>G104 Battery Room XXX</v>
      </c>
      <c r="C42" s="180" t="str">
        <f>"Cabinet
" &amp; SWThree &amp; "1-2"</f>
        <v>Cabinet
XXX1-2</v>
      </c>
      <c r="D42" s="245" t="s">
        <v>1980</v>
      </c>
      <c r="E42" s="174" t="s">
        <v>1529</v>
      </c>
      <c r="F42" s="189"/>
      <c r="G42" s="189"/>
    </row>
    <row r="43" spans="1:7" ht="37.5" hidden="1" x14ac:dyDescent="0.35">
      <c r="A43" s="225">
        <f t="shared" si="3"/>
        <v>38</v>
      </c>
      <c r="B43" s="388" t="str">
        <f>Suite &amp; " Battery Room " &amp; SWThree</f>
        <v>G104 Battery Room XXX</v>
      </c>
      <c r="C43" s="180" t="str">
        <f>"Cabinet
" &amp; SWThree &amp; "1-3"</f>
        <v>Cabinet
XXX1-3</v>
      </c>
      <c r="D43" s="245" t="s">
        <v>1980</v>
      </c>
      <c r="E43" s="174" t="s">
        <v>1529</v>
      </c>
      <c r="F43" s="189"/>
      <c r="G43" s="189"/>
    </row>
    <row r="44" spans="1:7" ht="37.5" hidden="1" x14ac:dyDescent="0.35">
      <c r="A44" s="225">
        <f t="shared" si="3"/>
        <v>39</v>
      </c>
      <c r="B44" s="388" t="str">
        <f>Suite &amp; " Battery Room " &amp; SWThree</f>
        <v>G104 Battery Room XXX</v>
      </c>
      <c r="C44" s="180" t="str">
        <f>"Cabinet
" &amp; SWThree &amp; "1-4"</f>
        <v>Cabinet
XXX1-4</v>
      </c>
      <c r="D44" s="245" t="s">
        <v>1980</v>
      </c>
      <c r="E44" s="174" t="s">
        <v>1529</v>
      </c>
      <c r="F44" s="189"/>
      <c r="G44" s="189"/>
    </row>
    <row r="45" spans="1:7" ht="37.5" hidden="1" x14ac:dyDescent="0.35">
      <c r="A45" s="225">
        <f t="shared" si="3"/>
        <v>40</v>
      </c>
      <c r="B45" s="388" t="str">
        <f>Suite &amp; " Battery Room " &amp; SWThree</f>
        <v>G104 Battery Room XXX</v>
      </c>
      <c r="C45" s="180" t="str">
        <f>"Cabinet
" &amp; SWThree &amp; "1-5"</f>
        <v>Cabinet
XXX1-5</v>
      </c>
      <c r="D45" s="245" t="s">
        <v>1980</v>
      </c>
      <c r="E45" s="174" t="s">
        <v>1529</v>
      </c>
      <c r="F45" s="189"/>
      <c r="G45" s="189"/>
    </row>
    <row r="46" spans="1:7" ht="37.5" hidden="1" x14ac:dyDescent="0.35">
      <c r="A46" s="225">
        <f t="shared" si="3"/>
        <v>41</v>
      </c>
      <c r="B46" s="388" t="str">
        <f>Suite &amp; " Battery Room " &amp; SWThree</f>
        <v>G104 Battery Room XXX</v>
      </c>
      <c r="C46" s="180" t="str">
        <f>"Cabinet
" &amp; SWThree &amp; "1-6"</f>
        <v>Cabinet
XXX1-6</v>
      </c>
      <c r="D46" s="245" t="s">
        <v>1980</v>
      </c>
      <c r="E46" s="174" t="s">
        <v>1529</v>
      </c>
      <c r="F46" s="189"/>
      <c r="G46" s="189"/>
    </row>
    <row r="47" spans="1:7" ht="56.25" hidden="1" x14ac:dyDescent="0.35">
      <c r="A47" s="174">
        <f>IF(NumberOfICDs=3, A43+1, IF(NumberOfICDs=4, A44+1, A46+ 1))</f>
        <v>42</v>
      </c>
      <c r="B47" s="388" t="str">
        <f>Suite &amp; " Battery Room " &amp; SWThree</f>
        <v>G104 Battery Room XXX</v>
      </c>
      <c r="C47" s="180" t="str">
        <f>SWThree &amp; "1 Battery Cabinets"</f>
        <v>XXX1 Battery Cabinets</v>
      </c>
      <c r="D47" s="245" t="s">
        <v>1981</v>
      </c>
      <c r="E47" s="174" t="s">
        <v>1529</v>
      </c>
      <c r="F47" s="189"/>
      <c r="G47" s="189"/>
    </row>
    <row r="48" spans="1:7" ht="56.25" hidden="1" x14ac:dyDescent="0.35">
      <c r="A48" s="225">
        <f>A47+1</f>
        <v>43</v>
      </c>
      <c r="B48" s="388" t="str">
        <f>Suite &amp; " Battery Room " &amp; SWThree</f>
        <v>G104 Battery Room XXX</v>
      </c>
      <c r="C48" s="180" t="str">
        <f>SWThree &amp; "2 Battery Cabinets"</f>
        <v>XXX2 Battery Cabinets</v>
      </c>
      <c r="D48" s="244" t="s">
        <v>1979</v>
      </c>
      <c r="E48" s="174" t="s">
        <v>1529</v>
      </c>
      <c r="F48" s="189"/>
      <c r="G48" s="189"/>
    </row>
    <row r="49" spans="1:7" ht="37.5" hidden="1" x14ac:dyDescent="0.35">
      <c r="A49" s="225">
        <f t="shared" ref="A49:A54" si="4">A48+1</f>
        <v>44</v>
      </c>
      <c r="B49" s="388" t="str">
        <f>Suite &amp; " Battery Room " &amp; SWThree</f>
        <v>G104 Battery Room XXX</v>
      </c>
      <c r="C49" s="180" t="str">
        <f>"Cabinet
" &amp; SWThree &amp; "2-1"</f>
        <v>Cabinet
XXX2-1</v>
      </c>
      <c r="D49" s="245" t="s">
        <v>1980</v>
      </c>
      <c r="E49" s="174" t="s">
        <v>1529</v>
      </c>
      <c r="F49" s="189"/>
      <c r="G49" s="189"/>
    </row>
    <row r="50" spans="1:7" ht="37.5" hidden="1" x14ac:dyDescent="0.35">
      <c r="A50" s="225">
        <f t="shared" si="4"/>
        <v>45</v>
      </c>
      <c r="B50" s="388" t="str">
        <f>Suite &amp; " Battery Room " &amp; SWThree</f>
        <v>G104 Battery Room XXX</v>
      </c>
      <c r="C50" s="180" t="str">
        <f>"Cabinet
" &amp; SWThree &amp; "2-2"</f>
        <v>Cabinet
XXX2-2</v>
      </c>
      <c r="D50" s="245" t="s">
        <v>1980</v>
      </c>
      <c r="E50" s="174" t="s">
        <v>1529</v>
      </c>
      <c r="F50" s="189"/>
      <c r="G50" s="189"/>
    </row>
    <row r="51" spans="1:7" ht="37.5" hidden="1" x14ac:dyDescent="0.35">
      <c r="A51" s="225">
        <f t="shared" si="4"/>
        <v>46</v>
      </c>
      <c r="B51" s="388" t="str">
        <f>Suite &amp; " Battery Room " &amp; SWThree</f>
        <v>G104 Battery Room XXX</v>
      </c>
      <c r="C51" s="180" t="str">
        <f>"Cabinet
" &amp; SWThree &amp; "2-3"</f>
        <v>Cabinet
XXX2-3</v>
      </c>
      <c r="D51" s="245" t="s">
        <v>1980</v>
      </c>
      <c r="E51" s="174" t="s">
        <v>1529</v>
      </c>
      <c r="F51" s="189"/>
      <c r="G51" s="189"/>
    </row>
    <row r="52" spans="1:7" ht="37.5" hidden="1" x14ac:dyDescent="0.35">
      <c r="A52" s="225">
        <f t="shared" si="4"/>
        <v>47</v>
      </c>
      <c r="B52" s="388" t="str">
        <f>Suite &amp; " Battery Room " &amp; SWThree</f>
        <v>G104 Battery Room XXX</v>
      </c>
      <c r="C52" s="180" t="str">
        <f>"Cabinet
" &amp; SWThree &amp; "2-4"</f>
        <v>Cabinet
XXX2-4</v>
      </c>
      <c r="D52" s="245" t="s">
        <v>1980</v>
      </c>
      <c r="E52" s="174" t="s">
        <v>1529</v>
      </c>
      <c r="F52" s="189"/>
      <c r="G52" s="189"/>
    </row>
    <row r="53" spans="1:7" ht="37.5" hidden="1" x14ac:dyDescent="0.35">
      <c r="A53" s="225">
        <f t="shared" si="4"/>
        <v>48</v>
      </c>
      <c r="B53" s="388" t="str">
        <f>Suite &amp; " Battery Room " &amp; SWThree</f>
        <v>G104 Battery Room XXX</v>
      </c>
      <c r="C53" s="180" t="str">
        <f>"Cabinet
" &amp; SWThree &amp; "2-5"</f>
        <v>Cabinet
XXX2-5</v>
      </c>
      <c r="D53" s="245" t="s">
        <v>1980</v>
      </c>
      <c r="E53" s="174" t="s">
        <v>1529</v>
      </c>
      <c r="F53" s="189"/>
      <c r="G53" s="189"/>
    </row>
    <row r="54" spans="1:7" ht="37.5" hidden="1" x14ac:dyDescent="0.35">
      <c r="A54" s="225">
        <f t="shared" si="4"/>
        <v>49</v>
      </c>
      <c r="B54" s="388" t="str">
        <f>Suite &amp; " Battery Room " &amp; SWThree</f>
        <v>G104 Battery Room XXX</v>
      </c>
      <c r="C54" s="180" t="str">
        <f>"Cabinet
" &amp; SWThree &amp; "2-6"</f>
        <v>Cabinet
XXX2-6</v>
      </c>
      <c r="D54" s="245" t="s">
        <v>1980</v>
      </c>
      <c r="E54" s="174" t="s">
        <v>1529</v>
      </c>
      <c r="F54" s="189"/>
      <c r="G54" s="189"/>
    </row>
    <row r="55" spans="1:7" ht="56.25" hidden="1" x14ac:dyDescent="0.35">
      <c r="A55" s="174">
        <f>IF(NumberOfICDs=3, A51+1, IF(NumberOfICDs=4, A52+1, A54+ 1))</f>
        <v>50</v>
      </c>
      <c r="B55" s="388" t="str">
        <f>Suite &amp; " Battery Room " &amp; SWThree</f>
        <v>G104 Battery Room XXX</v>
      </c>
      <c r="C55" s="180" t="str">
        <f>SWThree &amp; "2 Battery Cabinets"</f>
        <v>XXX2 Battery Cabinets</v>
      </c>
      <c r="D55" s="245" t="s">
        <v>1981</v>
      </c>
      <c r="E55" s="174" t="s">
        <v>1529</v>
      </c>
      <c r="F55" s="189"/>
      <c r="G55" s="189"/>
    </row>
    <row r="56" spans="1:7" ht="56.25" hidden="1" x14ac:dyDescent="0.35">
      <c r="A56" s="225">
        <f>A55+1</f>
        <v>51</v>
      </c>
      <c r="B56" s="388" t="str">
        <f>Suite &amp; " Battery Room " &amp; SWFour</f>
        <v>G104 Battery Room XXX</v>
      </c>
      <c r="C56" s="180" t="str">
        <f>SWFour &amp; "1 Battery Cabinets"</f>
        <v>XXX1 Battery Cabinets</v>
      </c>
      <c r="D56" s="244" t="s">
        <v>1979</v>
      </c>
      <c r="E56" s="174" t="s">
        <v>1529</v>
      </c>
      <c r="F56" s="189"/>
      <c r="G56" s="189"/>
    </row>
    <row r="57" spans="1:7" ht="37.5" hidden="1" x14ac:dyDescent="0.35">
      <c r="A57" s="225">
        <f t="shared" ref="A57:A62" si="5">A56+1</f>
        <v>52</v>
      </c>
      <c r="B57" s="388" t="str">
        <f>Suite &amp; " Battery Room " &amp; SWFour</f>
        <v>G104 Battery Room XXX</v>
      </c>
      <c r="C57" s="180" t="str">
        <f>"Cabinet
" &amp; SWFour &amp; "1-1"</f>
        <v>Cabinet
XXX1-1</v>
      </c>
      <c r="D57" s="245" t="s">
        <v>1980</v>
      </c>
      <c r="E57" s="174" t="s">
        <v>1529</v>
      </c>
      <c r="F57" s="189"/>
      <c r="G57" s="189"/>
    </row>
    <row r="58" spans="1:7" ht="37.5" hidden="1" x14ac:dyDescent="0.35">
      <c r="A58" s="225">
        <f t="shared" si="5"/>
        <v>53</v>
      </c>
      <c r="B58" s="388" t="str">
        <f>Suite &amp; " Battery Room " &amp; SWFour</f>
        <v>G104 Battery Room XXX</v>
      </c>
      <c r="C58" s="180" t="str">
        <f>"Cabinet
" &amp; SWFour &amp; "1-2"</f>
        <v>Cabinet
XXX1-2</v>
      </c>
      <c r="D58" s="245" t="s">
        <v>1980</v>
      </c>
      <c r="E58" s="174" t="s">
        <v>1529</v>
      </c>
      <c r="F58" s="189"/>
      <c r="G58" s="189"/>
    </row>
    <row r="59" spans="1:7" ht="37.5" hidden="1" x14ac:dyDescent="0.35">
      <c r="A59" s="225">
        <f t="shared" si="5"/>
        <v>54</v>
      </c>
      <c r="B59" s="388" t="str">
        <f>Suite &amp; " Battery Room " &amp; SWFour</f>
        <v>G104 Battery Room XXX</v>
      </c>
      <c r="C59" s="180" t="str">
        <f>"Cabinet
" &amp; SWFour &amp; "1-3"</f>
        <v>Cabinet
XXX1-3</v>
      </c>
      <c r="D59" s="245" t="s">
        <v>1980</v>
      </c>
      <c r="E59" s="174" t="s">
        <v>1529</v>
      </c>
      <c r="F59" s="189"/>
      <c r="G59" s="189"/>
    </row>
    <row r="60" spans="1:7" ht="37.5" hidden="1" x14ac:dyDescent="0.35">
      <c r="A60" s="225">
        <f t="shared" si="5"/>
        <v>55</v>
      </c>
      <c r="B60" s="388" t="str">
        <f>Suite &amp; " Battery Room " &amp; SWFour</f>
        <v>G104 Battery Room XXX</v>
      </c>
      <c r="C60" s="180" t="str">
        <f>"Cabinet
" &amp; SWFour &amp; "1-4"</f>
        <v>Cabinet
XXX1-4</v>
      </c>
      <c r="D60" s="245" t="s">
        <v>1980</v>
      </c>
      <c r="E60" s="174" t="s">
        <v>1529</v>
      </c>
      <c r="F60" s="189"/>
      <c r="G60" s="189"/>
    </row>
    <row r="61" spans="1:7" ht="37.5" hidden="1" x14ac:dyDescent="0.35">
      <c r="A61" s="225">
        <f t="shared" si="5"/>
        <v>56</v>
      </c>
      <c r="B61" s="388" t="str">
        <f>Suite &amp; " Battery Room " &amp; SWFour</f>
        <v>G104 Battery Room XXX</v>
      </c>
      <c r="C61" s="180" t="str">
        <f>"Cabinet
" &amp; SWFour &amp; "1-5"</f>
        <v>Cabinet
XXX1-5</v>
      </c>
      <c r="D61" s="245" t="s">
        <v>1980</v>
      </c>
      <c r="E61" s="174" t="s">
        <v>1529</v>
      </c>
      <c r="F61" s="189"/>
      <c r="G61" s="189"/>
    </row>
    <row r="62" spans="1:7" ht="37.5" hidden="1" x14ac:dyDescent="0.35">
      <c r="A62" s="225">
        <f t="shared" si="5"/>
        <v>57</v>
      </c>
      <c r="B62" s="388" t="str">
        <f>Suite &amp; " Battery Room " &amp; SWFour</f>
        <v>G104 Battery Room XXX</v>
      </c>
      <c r="C62" s="180" t="str">
        <f>"Cabinet
" &amp; SWFour &amp; "1-6"</f>
        <v>Cabinet
XXX1-6</v>
      </c>
      <c r="D62" s="245" t="s">
        <v>1980</v>
      </c>
      <c r="E62" s="174" t="s">
        <v>1529</v>
      </c>
      <c r="F62" s="189"/>
      <c r="G62" s="189"/>
    </row>
    <row r="63" spans="1:7" ht="56.25" hidden="1" x14ac:dyDescent="0.35">
      <c r="A63" s="174">
        <f>IF(NumberOfICDs=3, A59+1, IF(NumberOfICDs=4, A60+1, A62+ 1))</f>
        <v>58</v>
      </c>
      <c r="B63" s="388" t="str">
        <f>Suite &amp; " Battery Room " &amp; SWFour</f>
        <v>G104 Battery Room XXX</v>
      </c>
      <c r="C63" s="180" t="str">
        <f>SWFour &amp; "1 Battery Cabinets"</f>
        <v>XXX1 Battery Cabinets</v>
      </c>
      <c r="D63" s="245" t="s">
        <v>1981</v>
      </c>
      <c r="E63" s="174" t="s">
        <v>1529</v>
      </c>
      <c r="F63" s="189"/>
      <c r="G63" s="189"/>
    </row>
    <row r="64" spans="1:7" ht="56.25" hidden="1" x14ac:dyDescent="0.35">
      <c r="A64" s="225">
        <f>A63+1</f>
        <v>59</v>
      </c>
      <c r="B64" s="388" t="str">
        <f>Suite &amp; " Battery Room " &amp; SWFour</f>
        <v>G104 Battery Room XXX</v>
      </c>
      <c r="C64" s="180" t="str">
        <f>SWFour &amp; "2 Battery Cabinets"</f>
        <v>XXX2 Battery Cabinets</v>
      </c>
      <c r="D64" s="244" t="s">
        <v>1979</v>
      </c>
      <c r="E64" s="174" t="s">
        <v>1529</v>
      </c>
      <c r="F64" s="189"/>
      <c r="G64" s="189"/>
    </row>
    <row r="65" spans="1:7" ht="37.5" hidden="1" x14ac:dyDescent="0.35">
      <c r="A65" s="225">
        <f t="shared" ref="A65:A70" si="6">A64+1</f>
        <v>60</v>
      </c>
      <c r="B65" s="388" t="str">
        <f>Suite &amp; " Battery Room " &amp; SWFour</f>
        <v>G104 Battery Room XXX</v>
      </c>
      <c r="C65" s="180" t="str">
        <f>"Cabinet
" &amp; SWFour &amp; "2-1"</f>
        <v>Cabinet
XXX2-1</v>
      </c>
      <c r="D65" s="245" t="s">
        <v>1980</v>
      </c>
      <c r="E65" s="174" t="s">
        <v>1529</v>
      </c>
      <c r="F65" s="189"/>
      <c r="G65" s="189"/>
    </row>
    <row r="66" spans="1:7" ht="37.5" hidden="1" x14ac:dyDescent="0.35">
      <c r="A66" s="225">
        <f t="shared" si="6"/>
        <v>61</v>
      </c>
      <c r="B66" s="388" t="str">
        <f>Suite &amp; " Battery Room " &amp; SWFour</f>
        <v>G104 Battery Room XXX</v>
      </c>
      <c r="C66" s="180" t="str">
        <f>"Cabinet
" &amp; SWFour &amp; "2-2"</f>
        <v>Cabinet
XXX2-2</v>
      </c>
      <c r="D66" s="245" t="s">
        <v>1980</v>
      </c>
      <c r="E66" s="174" t="s">
        <v>1529</v>
      </c>
      <c r="F66" s="189"/>
      <c r="G66" s="189"/>
    </row>
    <row r="67" spans="1:7" ht="37.5" hidden="1" x14ac:dyDescent="0.35">
      <c r="A67" s="225">
        <f t="shared" si="6"/>
        <v>62</v>
      </c>
      <c r="B67" s="388" t="str">
        <f>Suite &amp; " Battery Room " &amp; SWFour</f>
        <v>G104 Battery Room XXX</v>
      </c>
      <c r="C67" s="180" t="str">
        <f>"Cabinet
" &amp; SWFour &amp; "2-3"</f>
        <v>Cabinet
XXX2-3</v>
      </c>
      <c r="D67" s="245" t="s">
        <v>1980</v>
      </c>
      <c r="E67" s="174" t="s">
        <v>1529</v>
      </c>
      <c r="F67" s="189"/>
      <c r="G67" s="189"/>
    </row>
    <row r="68" spans="1:7" ht="37.5" hidden="1" x14ac:dyDescent="0.35">
      <c r="A68" s="225">
        <f t="shared" si="6"/>
        <v>63</v>
      </c>
      <c r="B68" s="388" t="str">
        <f>Suite &amp; " Battery Room " &amp; SWFour</f>
        <v>G104 Battery Room XXX</v>
      </c>
      <c r="C68" s="180" t="str">
        <f>"Cabinet
" &amp; SWFour &amp; "2-4"</f>
        <v>Cabinet
XXX2-4</v>
      </c>
      <c r="D68" s="245" t="s">
        <v>1980</v>
      </c>
      <c r="E68" s="174" t="s">
        <v>1529</v>
      </c>
      <c r="F68" s="189"/>
      <c r="G68" s="189"/>
    </row>
    <row r="69" spans="1:7" ht="37.5" hidden="1" x14ac:dyDescent="0.35">
      <c r="A69" s="225">
        <f t="shared" si="6"/>
        <v>64</v>
      </c>
      <c r="B69" s="388" t="str">
        <f>Suite &amp; " Battery Room " &amp; SWFour</f>
        <v>G104 Battery Room XXX</v>
      </c>
      <c r="C69" s="180" t="str">
        <f>"Cabinet
" &amp; SWFour &amp; "2-5"</f>
        <v>Cabinet
XXX2-5</v>
      </c>
      <c r="D69" s="245" t="s">
        <v>1980</v>
      </c>
      <c r="E69" s="174" t="s">
        <v>1529</v>
      </c>
      <c r="F69" s="189"/>
      <c r="G69" s="189"/>
    </row>
    <row r="70" spans="1:7" ht="37.5" hidden="1" x14ac:dyDescent="0.35">
      <c r="A70" s="225">
        <f t="shared" si="6"/>
        <v>65</v>
      </c>
      <c r="B70" s="388" t="str">
        <f>Suite &amp; " Battery Room " &amp; SWFour</f>
        <v>G104 Battery Room XXX</v>
      </c>
      <c r="C70" s="180" t="str">
        <f>"Cabinet
" &amp; SWFour &amp; "2-6"</f>
        <v>Cabinet
XXX2-6</v>
      </c>
      <c r="D70" s="245" t="s">
        <v>1980</v>
      </c>
      <c r="E70" s="174" t="s">
        <v>1529</v>
      </c>
      <c r="F70" s="189"/>
      <c r="G70" s="189"/>
    </row>
    <row r="71" spans="1:7" ht="56.25" hidden="1" x14ac:dyDescent="0.35">
      <c r="A71" s="174">
        <f>IF(NumberOfICDs=3, A67+1, IF(NumberOfICDs=4, A68+1, A70+ 1))</f>
        <v>66</v>
      </c>
      <c r="B71" s="388" t="str">
        <f>Suite &amp; " Battery Room " &amp; SWFour</f>
        <v>G104 Battery Room XXX</v>
      </c>
      <c r="C71" s="180" t="str">
        <f>SWFour &amp; "2 Battery Cabinets"</f>
        <v>XXX2 Battery Cabinets</v>
      </c>
      <c r="D71" s="245" t="s">
        <v>1981</v>
      </c>
      <c r="E71" s="174" t="s">
        <v>1529</v>
      </c>
      <c r="F71" s="189"/>
      <c r="G71" s="189"/>
    </row>
    <row r="72" spans="1:7" ht="56.25" hidden="1" x14ac:dyDescent="0.35">
      <c r="A72" s="225">
        <f>A71+1</f>
        <v>67</v>
      </c>
      <c r="B72" s="388" t="str">
        <f>Suite &amp; " Battery Room " &amp; SWFive</f>
        <v>G104 Battery Room XXX</v>
      </c>
      <c r="C72" s="180" t="str">
        <f>SWFive &amp; "1 Battery Cabinets"</f>
        <v>XXX1 Battery Cabinets</v>
      </c>
      <c r="D72" s="244" t="s">
        <v>1979</v>
      </c>
      <c r="E72" s="174" t="s">
        <v>1529</v>
      </c>
      <c r="F72" s="189"/>
      <c r="G72" s="189"/>
    </row>
    <row r="73" spans="1:7" ht="37.5" hidden="1" x14ac:dyDescent="0.35">
      <c r="A73" s="225">
        <f t="shared" ref="A73:A78" si="7">A72+1</f>
        <v>68</v>
      </c>
      <c r="B73" s="388" t="str">
        <f>Suite &amp; " Battery Room " &amp; SWFive</f>
        <v>G104 Battery Room XXX</v>
      </c>
      <c r="C73" s="180" t="str">
        <f>"Cabinet
" &amp; SWFive &amp; "1-1"</f>
        <v>Cabinet
XXX1-1</v>
      </c>
      <c r="D73" s="245" t="s">
        <v>1980</v>
      </c>
      <c r="E73" s="174" t="s">
        <v>1529</v>
      </c>
      <c r="F73" s="189"/>
      <c r="G73" s="189"/>
    </row>
    <row r="74" spans="1:7" ht="37.5" hidden="1" x14ac:dyDescent="0.35">
      <c r="A74" s="225">
        <f t="shared" si="7"/>
        <v>69</v>
      </c>
      <c r="B74" s="388" t="str">
        <f>Suite &amp; " Battery Room " &amp; SWFive</f>
        <v>G104 Battery Room XXX</v>
      </c>
      <c r="C74" s="180" t="str">
        <f>"Cabinet
" &amp; SWFive &amp; "1-2"</f>
        <v>Cabinet
XXX1-2</v>
      </c>
      <c r="D74" s="245" t="s">
        <v>1980</v>
      </c>
      <c r="E74" s="174" t="s">
        <v>1529</v>
      </c>
      <c r="F74" s="189"/>
      <c r="G74" s="189"/>
    </row>
    <row r="75" spans="1:7" ht="37.5" hidden="1" x14ac:dyDescent="0.35">
      <c r="A75" s="225">
        <f t="shared" si="7"/>
        <v>70</v>
      </c>
      <c r="B75" s="388" t="str">
        <f>Suite &amp; " Battery Room " &amp; SWFive</f>
        <v>G104 Battery Room XXX</v>
      </c>
      <c r="C75" s="180" t="str">
        <f>"Cabinet
" &amp; SWFive &amp; "1-3"</f>
        <v>Cabinet
XXX1-3</v>
      </c>
      <c r="D75" s="245" t="s">
        <v>1980</v>
      </c>
      <c r="E75" s="174" t="s">
        <v>1529</v>
      </c>
      <c r="F75" s="189"/>
      <c r="G75" s="189"/>
    </row>
    <row r="76" spans="1:7" ht="37.5" hidden="1" x14ac:dyDescent="0.35">
      <c r="A76" s="225">
        <f t="shared" si="7"/>
        <v>71</v>
      </c>
      <c r="B76" s="388" t="str">
        <f>Suite &amp; " Battery Room " &amp; SWFive</f>
        <v>G104 Battery Room XXX</v>
      </c>
      <c r="C76" s="180" t="str">
        <f>"Cabinet
" &amp; SWFive &amp; "1-4"</f>
        <v>Cabinet
XXX1-4</v>
      </c>
      <c r="D76" s="245" t="s">
        <v>1980</v>
      </c>
      <c r="E76" s="174" t="s">
        <v>1529</v>
      </c>
      <c r="F76" s="189"/>
      <c r="G76" s="189"/>
    </row>
    <row r="77" spans="1:7" ht="37.5" hidden="1" x14ac:dyDescent="0.35">
      <c r="A77" s="225">
        <f t="shared" si="7"/>
        <v>72</v>
      </c>
      <c r="B77" s="388" t="str">
        <f>Suite &amp; " Battery Room " &amp; SWFive</f>
        <v>G104 Battery Room XXX</v>
      </c>
      <c r="C77" s="180" t="str">
        <f>"Cabinet
" &amp; SWFive &amp; "1-5"</f>
        <v>Cabinet
XXX1-5</v>
      </c>
      <c r="D77" s="245" t="s">
        <v>1980</v>
      </c>
      <c r="E77" s="174" t="s">
        <v>1529</v>
      </c>
      <c r="F77" s="189"/>
      <c r="G77" s="189"/>
    </row>
    <row r="78" spans="1:7" ht="37.5" hidden="1" x14ac:dyDescent="0.35">
      <c r="A78" s="225">
        <f t="shared" si="7"/>
        <v>73</v>
      </c>
      <c r="B78" s="388" t="str">
        <f>Suite &amp; " Battery Room " &amp; SWFive</f>
        <v>G104 Battery Room XXX</v>
      </c>
      <c r="C78" s="180" t="str">
        <f>"Cabinet
" &amp; SWFive &amp; "1-6"</f>
        <v>Cabinet
XXX1-6</v>
      </c>
      <c r="D78" s="245" t="s">
        <v>1980</v>
      </c>
      <c r="E78" s="174" t="s">
        <v>1529</v>
      </c>
      <c r="F78" s="189"/>
      <c r="G78" s="189"/>
    </row>
    <row r="79" spans="1:7" ht="56.25" hidden="1" x14ac:dyDescent="0.35">
      <c r="A79" s="174">
        <f>IF(NumberOfICDs=3, A75+1, IF(NumberOfICDs=4, A76+1, A78+ 1))</f>
        <v>74</v>
      </c>
      <c r="B79" s="388" t="str">
        <f>Suite &amp; " Battery Room " &amp; SWFive</f>
        <v>G104 Battery Room XXX</v>
      </c>
      <c r="C79" s="180" t="str">
        <f>SWFive &amp; "1 Battery Cabinets"</f>
        <v>XXX1 Battery Cabinets</v>
      </c>
      <c r="D79" s="245" t="s">
        <v>1981</v>
      </c>
      <c r="E79" s="174" t="s">
        <v>1529</v>
      </c>
      <c r="F79" s="189"/>
      <c r="G79" s="189"/>
    </row>
    <row r="80" spans="1:7" ht="56.25" hidden="1" x14ac:dyDescent="0.35">
      <c r="A80" s="225">
        <f>A79+1</f>
        <v>75</v>
      </c>
      <c r="B80" s="388" t="str">
        <f>Suite &amp; " Battery Room " &amp; SWFive</f>
        <v>G104 Battery Room XXX</v>
      </c>
      <c r="C80" s="180" t="str">
        <f>SWFive &amp; "2 Battery Cabinets"</f>
        <v>XXX2 Battery Cabinets</v>
      </c>
      <c r="D80" s="244" t="s">
        <v>1979</v>
      </c>
      <c r="E80" s="174" t="s">
        <v>1529</v>
      </c>
      <c r="F80" s="189"/>
      <c r="G80" s="189"/>
    </row>
    <row r="81" spans="1:7" ht="37.5" hidden="1" x14ac:dyDescent="0.35">
      <c r="A81" s="225">
        <f t="shared" ref="A81:A86" si="8">A80+1</f>
        <v>76</v>
      </c>
      <c r="B81" s="388" t="str">
        <f>Suite &amp; " Battery Room " &amp; SWFive</f>
        <v>G104 Battery Room XXX</v>
      </c>
      <c r="C81" s="180" t="str">
        <f>"Cabinet
" &amp; SWFive &amp; "2-1"</f>
        <v>Cabinet
XXX2-1</v>
      </c>
      <c r="D81" s="245" t="s">
        <v>1980</v>
      </c>
      <c r="E81" s="174" t="s">
        <v>1529</v>
      </c>
      <c r="F81" s="189"/>
      <c r="G81" s="189"/>
    </row>
    <row r="82" spans="1:7" ht="37.5" hidden="1" x14ac:dyDescent="0.35">
      <c r="A82" s="225">
        <f t="shared" si="8"/>
        <v>77</v>
      </c>
      <c r="B82" s="388" t="str">
        <f>Suite &amp; " Battery Room " &amp; SWFive</f>
        <v>G104 Battery Room XXX</v>
      </c>
      <c r="C82" s="180" t="str">
        <f>"Cabinet
" &amp; SWFive &amp; "2-2"</f>
        <v>Cabinet
XXX2-2</v>
      </c>
      <c r="D82" s="245" t="s">
        <v>1980</v>
      </c>
      <c r="E82" s="174" t="s">
        <v>1529</v>
      </c>
      <c r="F82" s="189"/>
      <c r="G82" s="189"/>
    </row>
    <row r="83" spans="1:7" ht="37.5" hidden="1" x14ac:dyDescent="0.35">
      <c r="A83" s="225">
        <f t="shared" si="8"/>
        <v>78</v>
      </c>
      <c r="B83" s="388" t="str">
        <f>Suite &amp; " Battery Room " &amp; SWFive</f>
        <v>G104 Battery Room XXX</v>
      </c>
      <c r="C83" s="180" t="str">
        <f>"Cabinet
" &amp; SWFive &amp; "2-3"</f>
        <v>Cabinet
XXX2-3</v>
      </c>
      <c r="D83" s="245" t="s">
        <v>1980</v>
      </c>
      <c r="E83" s="174" t="s">
        <v>1529</v>
      </c>
      <c r="F83" s="189"/>
      <c r="G83" s="189"/>
    </row>
    <row r="84" spans="1:7" ht="37.5" hidden="1" x14ac:dyDescent="0.35">
      <c r="A84" s="225">
        <f t="shared" si="8"/>
        <v>79</v>
      </c>
      <c r="B84" s="388" t="str">
        <f>Suite &amp; " Battery Room " &amp; SWFive</f>
        <v>G104 Battery Room XXX</v>
      </c>
      <c r="C84" s="180" t="str">
        <f>"Cabinet
" &amp; SWFive &amp; "2-4"</f>
        <v>Cabinet
XXX2-4</v>
      </c>
      <c r="D84" s="245" t="s">
        <v>1980</v>
      </c>
      <c r="E84" s="174" t="s">
        <v>1529</v>
      </c>
      <c r="F84" s="189"/>
      <c r="G84" s="189"/>
    </row>
    <row r="85" spans="1:7" ht="37.5" hidden="1" x14ac:dyDescent="0.35">
      <c r="A85" s="225">
        <f t="shared" si="8"/>
        <v>80</v>
      </c>
      <c r="B85" s="388" t="str">
        <f>Suite &amp; " Battery Room " &amp; SWFive</f>
        <v>G104 Battery Room XXX</v>
      </c>
      <c r="C85" s="180" t="str">
        <f>"Cabinet
" &amp; SWFive &amp; "2-5"</f>
        <v>Cabinet
XXX2-5</v>
      </c>
      <c r="D85" s="245" t="s">
        <v>1980</v>
      </c>
      <c r="E85" s="174" t="s">
        <v>1529</v>
      </c>
      <c r="F85" s="189"/>
      <c r="G85" s="189"/>
    </row>
    <row r="86" spans="1:7" ht="37.5" hidden="1" x14ac:dyDescent="0.35">
      <c r="A86" s="225">
        <f t="shared" si="8"/>
        <v>81</v>
      </c>
      <c r="B86" s="388" t="str">
        <f>Suite &amp; " Battery Room " &amp; SWFive</f>
        <v>G104 Battery Room XXX</v>
      </c>
      <c r="C86" s="180" t="str">
        <f>"Cabinet
" &amp; SWFive &amp; "2-6"</f>
        <v>Cabinet
XXX2-6</v>
      </c>
      <c r="D86" s="245" t="s">
        <v>1980</v>
      </c>
      <c r="E86" s="174" t="s">
        <v>1529</v>
      </c>
      <c r="F86" s="189"/>
      <c r="G86" s="189"/>
    </row>
    <row r="87" spans="1:7" ht="56.25" hidden="1" x14ac:dyDescent="0.35">
      <c r="A87" s="174">
        <f>IF(NumberOfICDs=3, A83+1, IF(NumberOfICDs=4, A84+1, A86+ 1))</f>
        <v>82</v>
      </c>
      <c r="B87" s="388" t="str">
        <f>Suite &amp; " Battery Room " &amp; SWFive</f>
        <v>G104 Battery Room XXX</v>
      </c>
      <c r="C87" s="180" t="str">
        <f>SWFive &amp; "2 Battery Cabinets"</f>
        <v>XXX2 Battery Cabinets</v>
      </c>
      <c r="D87" s="245" t="s">
        <v>1981</v>
      </c>
      <c r="E87" s="174" t="s">
        <v>1529</v>
      </c>
      <c r="F87" s="189"/>
      <c r="G87" s="189"/>
    </row>
    <row r="88" spans="1:7" x14ac:dyDescent="0.35">
      <c r="A88" s="225">
        <f>IF(NumberOfSW=2, A39+1, IF(NumberOfSW=3, A55+1, IF(NumberOfSW=4, A71+1, A87+1)))</f>
        <v>83</v>
      </c>
      <c r="B88" s="716" t="s">
        <v>1982</v>
      </c>
      <c r="C88" s="716"/>
      <c r="D88" s="716"/>
      <c r="E88" s="716"/>
      <c r="F88" s="716"/>
      <c r="G88" s="716"/>
    </row>
    <row r="89" spans="1:7" ht="37.5" x14ac:dyDescent="0.35">
      <c r="A89" s="225">
        <f>A88+1</f>
        <v>84</v>
      </c>
      <c r="B89" s="388" t="str">
        <f>Suite &amp; " Battery Rooms"</f>
        <v>G104 Battery Rooms</v>
      </c>
      <c r="C89" s="180" t="s">
        <v>1983</v>
      </c>
      <c r="D89" s="245" t="s">
        <v>1984</v>
      </c>
      <c r="E89" s="174" t="s">
        <v>1529</v>
      </c>
      <c r="F89" s="198"/>
      <c r="G89" s="198"/>
    </row>
    <row r="90" spans="1:7" ht="37.5" x14ac:dyDescent="0.35">
      <c r="A90" s="225">
        <f t="shared" ref="A90:A109" si="9">A89+1</f>
        <v>85</v>
      </c>
      <c r="B90" s="388" t="str">
        <f>Suite &amp; " Battery Rooms"</f>
        <v>G104 Battery Rooms</v>
      </c>
      <c r="C90" s="180" t="s">
        <v>1983</v>
      </c>
      <c r="D90" s="245" t="s">
        <v>1985</v>
      </c>
      <c r="E90" s="174" t="s">
        <v>1529</v>
      </c>
      <c r="F90" s="198"/>
      <c r="G90" s="198"/>
    </row>
    <row r="91" spans="1:7" ht="37.5" x14ac:dyDescent="0.35">
      <c r="A91" s="225">
        <f t="shared" si="9"/>
        <v>86</v>
      </c>
      <c r="B91" s="388" t="str">
        <f>Suite &amp; " Battery Rooms"</f>
        <v>G104 Battery Rooms</v>
      </c>
      <c r="C91" s="180" t="s">
        <v>1983</v>
      </c>
      <c r="D91" s="245" t="s">
        <v>1986</v>
      </c>
      <c r="E91" s="174" t="s">
        <v>1529</v>
      </c>
      <c r="F91" s="198"/>
      <c r="G91" s="198"/>
    </row>
    <row r="92" spans="1:7" ht="37.5" x14ac:dyDescent="0.35">
      <c r="A92" s="225">
        <f t="shared" si="9"/>
        <v>87</v>
      </c>
      <c r="B92" s="388" t="str">
        <f>Suite &amp; " Battery Rooms"</f>
        <v>G104 Battery Rooms</v>
      </c>
      <c r="C92" s="180" t="s">
        <v>1983</v>
      </c>
      <c r="D92" s="245" t="s">
        <v>1987</v>
      </c>
      <c r="E92" s="174" t="s">
        <v>1529</v>
      </c>
      <c r="F92" s="198"/>
      <c r="G92" s="198"/>
    </row>
    <row r="93" spans="1:7" ht="37.5" x14ac:dyDescent="0.35">
      <c r="A93" s="225">
        <f t="shared" si="9"/>
        <v>88</v>
      </c>
      <c r="B93" s="388" t="str">
        <f>Suite &amp; " Battery Rooms"</f>
        <v>G104 Battery Rooms</v>
      </c>
      <c r="C93" s="180" t="s">
        <v>1983</v>
      </c>
      <c r="D93" s="245" t="s">
        <v>1988</v>
      </c>
      <c r="E93" s="174" t="s">
        <v>1529</v>
      </c>
      <c r="F93" s="198"/>
      <c r="G93" s="198"/>
    </row>
    <row r="94" spans="1:7" ht="37.5" x14ac:dyDescent="0.35">
      <c r="A94" s="225">
        <f t="shared" si="9"/>
        <v>89</v>
      </c>
      <c r="B94" s="388" t="str">
        <f>Suite &amp; " Battery Rooms"</f>
        <v>G104 Battery Rooms</v>
      </c>
      <c r="C94" s="180" t="s">
        <v>1983</v>
      </c>
      <c r="D94" s="245" t="s">
        <v>1989</v>
      </c>
      <c r="E94" s="174" t="s">
        <v>1529</v>
      </c>
      <c r="F94" s="198"/>
      <c r="G94" s="198"/>
    </row>
    <row r="95" spans="1:7" ht="37.5" x14ac:dyDescent="0.35">
      <c r="A95" s="225">
        <f t="shared" si="9"/>
        <v>90</v>
      </c>
      <c r="B95" s="388" t="str">
        <f>Suite &amp; " Battery Rooms"</f>
        <v>G104 Battery Rooms</v>
      </c>
      <c r="C95" s="180" t="s">
        <v>1983</v>
      </c>
      <c r="D95" s="245" t="s">
        <v>1990</v>
      </c>
      <c r="E95" s="174" t="s">
        <v>1529</v>
      </c>
      <c r="F95" s="198"/>
      <c r="G95" s="198"/>
    </row>
    <row r="96" spans="1:7" ht="37.5" x14ac:dyDescent="0.35">
      <c r="A96" s="225">
        <f t="shared" si="9"/>
        <v>91</v>
      </c>
      <c r="B96" s="388" t="str">
        <f>Suite &amp; " Battery Rooms"</f>
        <v>G104 Battery Rooms</v>
      </c>
      <c r="C96" s="180" t="s">
        <v>1983</v>
      </c>
      <c r="D96" s="245" t="s">
        <v>1991</v>
      </c>
      <c r="E96" s="174" t="s">
        <v>1529</v>
      </c>
      <c r="F96" s="198"/>
      <c r="G96" s="198"/>
    </row>
    <row r="97" spans="1:7" ht="37.5" x14ac:dyDescent="0.35">
      <c r="A97" s="225">
        <f t="shared" si="9"/>
        <v>92</v>
      </c>
      <c r="B97" s="388" t="str">
        <f>Suite &amp; " Battery Rooms"</f>
        <v>G104 Battery Rooms</v>
      </c>
      <c r="C97" s="180" t="s">
        <v>1983</v>
      </c>
      <c r="D97" s="245" t="s">
        <v>1992</v>
      </c>
      <c r="E97" s="174" t="s">
        <v>1529</v>
      </c>
      <c r="F97" s="198"/>
      <c r="G97" s="198"/>
    </row>
    <row r="98" spans="1:7" ht="37.5" x14ac:dyDescent="0.35">
      <c r="A98" s="225">
        <f t="shared" si="9"/>
        <v>93</v>
      </c>
      <c r="B98" s="388" t="str">
        <f>Suite &amp; " Battery Rooms"</f>
        <v>G104 Battery Rooms</v>
      </c>
      <c r="C98" s="180" t="s">
        <v>1983</v>
      </c>
      <c r="D98" s="245" t="s">
        <v>1993</v>
      </c>
      <c r="E98" s="174" t="s">
        <v>1529</v>
      </c>
      <c r="F98" s="198"/>
      <c r="G98" s="198"/>
    </row>
    <row r="99" spans="1:7" ht="37.5" x14ac:dyDescent="0.35">
      <c r="A99" s="225">
        <f t="shared" si="9"/>
        <v>94</v>
      </c>
      <c r="B99" s="388" t="str">
        <f>Suite &amp; " Battery Rooms"</f>
        <v>G104 Battery Rooms</v>
      </c>
      <c r="C99" s="180" t="s">
        <v>1983</v>
      </c>
      <c r="D99" s="245" t="s">
        <v>1994</v>
      </c>
      <c r="E99" s="174" t="s">
        <v>1529</v>
      </c>
      <c r="F99" s="198"/>
      <c r="G99" s="198"/>
    </row>
    <row r="100" spans="1:7" ht="37.5" x14ac:dyDescent="0.35">
      <c r="A100" s="225">
        <f t="shared" si="9"/>
        <v>95</v>
      </c>
      <c r="B100" s="388" t="str">
        <f>Suite &amp; " Battery Rooms"</f>
        <v>G104 Battery Rooms</v>
      </c>
      <c r="C100" s="180" t="s">
        <v>1983</v>
      </c>
      <c r="D100" s="245" t="s">
        <v>1995</v>
      </c>
      <c r="E100" s="174" t="s">
        <v>1529</v>
      </c>
      <c r="F100" s="198"/>
      <c r="G100" s="198"/>
    </row>
    <row r="101" spans="1:7" ht="37.5" x14ac:dyDescent="0.35">
      <c r="A101" s="225">
        <f t="shared" si="9"/>
        <v>96</v>
      </c>
      <c r="B101" s="388" t="str">
        <f>Suite &amp; " Battery Rooms"</f>
        <v>G104 Battery Rooms</v>
      </c>
      <c r="C101" s="180" t="s">
        <v>1983</v>
      </c>
      <c r="D101" s="245" t="s">
        <v>1996</v>
      </c>
      <c r="E101" s="174" t="s">
        <v>1529</v>
      </c>
      <c r="F101" s="198"/>
      <c r="G101" s="198"/>
    </row>
    <row r="102" spans="1:7" ht="37.5" x14ac:dyDescent="0.35">
      <c r="A102" s="225">
        <f t="shared" si="9"/>
        <v>97</v>
      </c>
      <c r="B102" s="388" t="str">
        <f>Suite &amp; " Battery Rooms"</f>
        <v>G104 Battery Rooms</v>
      </c>
      <c r="C102" s="180" t="s">
        <v>1983</v>
      </c>
      <c r="D102" s="245" t="s">
        <v>1997</v>
      </c>
      <c r="E102" s="174" t="s">
        <v>1529</v>
      </c>
      <c r="F102" s="198"/>
      <c r="G102" s="198"/>
    </row>
    <row r="103" spans="1:7" ht="37.5" x14ac:dyDescent="0.35">
      <c r="A103" s="225">
        <f t="shared" si="9"/>
        <v>98</v>
      </c>
      <c r="B103" s="388" t="str">
        <f>Suite &amp; " Battery Rooms"</f>
        <v>G104 Battery Rooms</v>
      </c>
      <c r="C103" s="180" t="s">
        <v>1983</v>
      </c>
      <c r="D103" s="245" t="s">
        <v>1998</v>
      </c>
      <c r="E103" s="174" t="s">
        <v>1529</v>
      </c>
      <c r="F103" s="198"/>
      <c r="G103" s="198"/>
    </row>
    <row r="104" spans="1:7" ht="37.5" x14ac:dyDescent="0.35">
      <c r="A104" s="225">
        <f t="shared" si="9"/>
        <v>99</v>
      </c>
      <c r="B104" s="388" t="str">
        <f>Suite &amp; " Battery Rooms"</f>
        <v>G104 Battery Rooms</v>
      </c>
      <c r="C104" s="180" t="s">
        <v>1983</v>
      </c>
      <c r="D104" s="245" t="s">
        <v>1999</v>
      </c>
      <c r="E104" s="174" t="s">
        <v>1529</v>
      </c>
      <c r="F104" s="198"/>
      <c r="G104" s="198"/>
    </row>
    <row r="105" spans="1:7" ht="37.5" x14ac:dyDescent="0.35">
      <c r="A105" s="225">
        <f t="shared" si="9"/>
        <v>100</v>
      </c>
      <c r="B105" s="388" t="str">
        <f>Suite &amp; " Battery Rooms"</f>
        <v>G104 Battery Rooms</v>
      </c>
      <c r="C105" s="180" t="s">
        <v>1983</v>
      </c>
      <c r="D105" s="245" t="s">
        <v>2000</v>
      </c>
      <c r="E105" s="174" t="s">
        <v>1529</v>
      </c>
      <c r="F105" s="198"/>
      <c r="G105" s="198"/>
    </row>
    <row r="106" spans="1:7" ht="37.5" x14ac:dyDescent="0.35">
      <c r="A106" s="225">
        <f t="shared" si="9"/>
        <v>101</v>
      </c>
      <c r="B106" s="388" t="str">
        <f>Suite &amp; " Battery Rooms"</f>
        <v>G104 Battery Rooms</v>
      </c>
      <c r="C106" s="180" t="s">
        <v>1983</v>
      </c>
      <c r="D106" s="245" t="s">
        <v>2001</v>
      </c>
      <c r="E106" s="174" t="s">
        <v>1529</v>
      </c>
      <c r="F106" s="198"/>
      <c r="G106" s="198"/>
    </row>
    <row r="107" spans="1:7" ht="37.5" x14ac:dyDescent="0.35">
      <c r="A107" s="225">
        <f t="shared" si="9"/>
        <v>102</v>
      </c>
      <c r="B107" s="388" t="str">
        <f>Suite &amp; " Battery Rooms"</f>
        <v>G104 Battery Rooms</v>
      </c>
      <c r="C107" s="180" t="s">
        <v>1983</v>
      </c>
      <c r="D107" s="245" t="s">
        <v>2002</v>
      </c>
      <c r="E107" s="174" t="s">
        <v>1529</v>
      </c>
      <c r="F107" s="198"/>
      <c r="G107" s="198"/>
    </row>
    <row r="108" spans="1:7" ht="37.5" x14ac:dyDescent="0.35">
      <c r="A108" s="225">
        <f t="shared" si="9"/>
        <v>103</v>
      </c>
      <c r="B108" s="388" t="str">
        <f>Suite &amp; " Battery Rooms"</f>
        <v>G104 Battery Rooms</v>
      </c>
      <c r="C108" s="180" t="s">
        <v>1983</v>
      </c>
      <c r="D108" s="245" t="s">
        <v>2003</v>
      </c>
      <c r="E108" s="174" t="s">
        <v>1529</v>
      </c>
      <c r="F108" s="198"/>
      <c r="G108" s="198"/>
    </row>
    <row r="109" spans="1:7" ht="37.5" x14ac:dyDescent="0.35">
      <c r="A109" s="225">
        <f t="shared" si="9"/>
        <v>104</v>
      </c>
      <c r="B109" s="283" t="s">
        <v>1462</v>
      </c>
      <c r="C109" s="242" t="s">
        <v>84</v>
      </c>
      <c r="D109" s="282" t="s">
        <v>1978</v>
      </c>
      <c r="E109" s="283" t="s">
        <v>1464</v>
      </c>
      <c r="F109" s="243"/>
      <c r="G109" s="243"/>
    </row>
    <row r="116" spans="1:1" x14ac:dyDescent="0.35">
      <c r="A116" s="247"/>
    </row>
  </sheetData>
  <sheetProtection formatCells="0" formatColumns="0" formatRows="0" insertRows="0" deleteRows="0" sort="0" autoFilter="0"/>
  <mergeCells count="5">
    <mergeCell ref="A4:C4"/>
    <mergeCell ref="B6:G6"/>
    <mergeCell ref="B88:G88"/>
    <mergeCell ref="A2:B2"/>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00C5-A4DD-406C-8191-2E93FEB55810}">
  <sheetPr codeName="Gen_Run_PBB_AD">
    <pageSetUpPr fitToPage="1"/>
  </sheetPr>
  <dimension ref="A1:I41"/>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3" customWidth="1"/>
    <col min="9" max="9" width="7.85546875" style="3" customWidth="1"/>
    <col min="10" max="10" width="11.140625" style="3" customWidth="1"/>
    <col min="11" max="16384" width="8.85546875" style="3"/>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row>
    <row r="5" spans="1:9" ht="37.5" x14ac:dyDescent="0.25">
      <c r="A5" s="378" t="s">
        <v>1455</v>
      </c>
      <c r="B5" s="379" t="s">
        <v>8</v>
      </c>
      <c r="C5" s="379" t="s">
        <v>1456</v>
      </c>
      <c r="D5" s="378" t="s">
        <v>1457</v>
      </c>
      <c r="E5" s="379" t="s">
        <v>1458</v>
      </c>
      <c r="F5" s="379" t="s">
        <v>1459</v>
      </c>
      <c r="G5" s="378" t="s">
        <v>1460</v>
      </c>
      <c r="I5" s="265"/>
    </row>
    <row r="6" spans="1:9" x14ac:dyDescent="0.25">
      <c r="A6" s="174">
        <v>1</v>
      </c>
      <c r="B6" s="716" t="str">
        <f>"Call out Building "&amp;Building</f>
        <v>Call out Building G</v>
      </c>
      <c r="C6" s="716"/>
      <c r="D6" s="716"/>
      <c r="E6" s="716"/>
      <c r="F6" s="716"/>
      <c r="G6" s="716"/>
    </row>
    <row r="7" spans="1:9" ht="37.5" x14ac:dyDescent="0.25">
      <c r="A7" s="174">
        <v>2</v>
      </c>
      <c r="B7" s="388" t="s">
        <v>1462</v>
      </c>
      <c r="C7" s="388" t="s">
        <v>84</v>
      </c>
      <c r="D7" s="175" t="s">
        <v>2026</v>
      </c>
      <c r="E7" s="174" t="s">
        <v>1464</v>
      </c>
      <c r="F7" s="388"/>
      <c r="G7" s="388" t="s">
        <v>1519</v>
      </c>
    </row>
    <row r="8" spans="1:9" ht="37.5" x14ac:dyDescent="0.25">
      <c r="A8" s="174">
        <v>3</v>
      </c>
      <c r="B8" s="388" t="s">
        <v>1462</v>
      </c>
      <c r="C8" s="388" t="s">
        <v>84</v>
      </c>
      <c r="D8" s="175" t="s">
        <v>2027</v>
      </c>
      <c r="E8" s="174" t="s">
        <v>1464</v>
      </c>
      <c r="F8" s="388"/>
      <c r="G8" s="388" t="s">
        <v>1519</v>
      </c>
    </row>
    <row r="9" spans="1:9" ht="37.5" x14ac:dyDescent="0.25">
      <c r="A9" s="174">
        <v>4</v>
      </c>
      <c r="B9" s="388" t="s">
        <v>1462</v>
      </c>
      <c r="C9" s="388" t="s">
        <v>84</v>
      </c>
      <c r="D9" s="175" t="s">
        <v>2006</v>
      </c>
      <c r="E9" s="174" t="s">
        <v>1464</v>
      </c>
      <c r="F9" s="388"/>
      <c r="G9" s="388" t="s">
        <v>1519</v>
      </c>
    </row>
    <row r="10" spans="1:9" hidden="1" x14ac:dyDescent="0.25">
      <c r="A10" s="174">
        <v>5</v>
      </c>
      <c r="B10" s="716" t="str">
        <f>" Loaded testing of the " &amp; zSelectedEquipment</f>
        <v xml:space="preserve"> Loaded testing of the G104-Gen-B</v>
      </c>
      <c r="C10" s="716"/>
      <c r="D10" s="716"/>
      <c r="E10" s="716"/>
      <c r="F10" s="716"/>
      <c r="G10" s="716"/>
    </row>
    <row r="11" spans="1:9" ht="37.5" hidden="1" x14ac:dyDescent="0.25">
      <c r="A11" s="174">
        <v>6</v>
      </c>
      <c r="B11" s="388" t="str" cm="1">
        <f t="array" ref="B11">IADNumber &amp; " House Electrical Room"</f>
        <v>IAD35 House Electrical Room</v>
      </c>
      <c r="C11" s="388" t="str" cm="1">
        <f t="array" ref="C11">IADNumber &amp; " PBB ATS"</f>
        <v>IAD35 PBB ATS</v>
      </c>
      <c r="D11" s="233" t="s">
        <v>2007</v>
      </c>
      <c r="E11" s="174" t="s">
        <v>1464</v>
      </c>
      <c r="F11" s="243"/>
      <c r="G11" s="388" t="s">
        <v>1519</v>
      </c>
    </row>
    <row r="12" spans="1:9" ht="37.5" hidden="1" x14ac:dyDescent="0.25">
      <c r="A12" s="174">
        <v>7</v>
      </c>
      <c r="B12" s="388" t="str" cm="1">
        <f t="array" ref="B12">IADNumber &amp; " House Electrical Room"</f>
        <v>IAD35 House Electrical Room</v>
      </c>
      <c r="C12" s="388" t="str" cm="1">
        <f t="array" ref="C12">IADNumber &amp; " PBB ATS"</f>
        <v>IAD35 PBB ATS</v>
      </c>
      <c r="D12" s="175" t="s">
        <v>2008</v>
      </c>
      <c r="E12" s="174" t="s">
        <v>1464</v>
      </c>
      <c r="F12" s="388"/>
      <c r="G12" s="388" t="s">
        <v>1519</v>
      </c>
    </row>
    <row r="13" spans="1:9" ht="37.5" hidden="1" x14ac:dyDescent="0.3">
      <c r="A13" s="174">
        <v>8</v>
      </c>
      <c r="B13" s="388" t="str" cm="1">
        <f t="array" ref="B13">IADNumber &amp; " House Electrical Room"</f>
        <v>IAD35 House Electrical Room</v>
      </c>
      <c r="C13" s="388" t="str" cm="1">
        <f t="array" ref="C13">IADNumber &amp; " PBB ATS"</f>
        <v>IAD35 PBB ATS</v>
      </c>
      <c r="D13" s="175" t="s">
        <v>2009</v>
      </c>
      <c r="E13" s="174" t="s">
        <v>1464</v>
      </c>
      <c r="F13" s="198"/>
      <c r="G13" s="199"/>
    </row>
    <row r="14" spans="1:9" ht="37.5" hidden="1" x14ac:dyDescent="0.25">
      <c r="A14" s="174">
        <v>9</v>
      </c>
      <c r="B14" s="388" t="str" cm="1">
        <f t="array" ref="B14">IADNumber &amp; " House Electrical Room"</f>
        <v>IAD35 House Electrical Room</v>
      </c>
      <c r="C14" s="388" t="str" cm="1">
        <f t="array" ref="C14">IADNumber &amp; " PBB ATS"</f>
        <v>IAD35 PBB ATS</v>
      </c>
      <c r="D14" s="233" t="s">
        <v>1562</v>
      </c>
      <c r="E14" s="174" t="s">
        <v>1464</v>
      </c>
      <c r="F14" s="388"/>
      <c r="G14" s="174"/>
    </row>
    <row r="15" spans="1:9" ht="37.5" hidden="1" x14ac:dyDescent="0.25">
      <c r="A15" s="174">
        <v>10</v>
      </c>
      <c r="B15" s="388" t="str" cm="1">
        <f t="array" ref="B15">IADNumber &amp; " House Electrical Room"</f>
        <v>IAD35 House Electrical Room</v>
      </c>
      <c r="C15" s="388" t="str" cm="1">
        <f t="array" ref="C15">IADNumber &amp; " PBB ATS"</f>
        <v>IAD35 PBB ATS</v>
      </c>
      <c r="D15" s="175" t="s">
        <v>2010</v>
      </c>
      <c r="E15" s="174" t="s">
        <v>1464</v>
      </c>
      <c r="F15" s="178"/>
      <c r="G15" s="178"/>
    </row>
    <row r="16" spans="1:9" ht="56.25" hidden="1" x14ac:dyDescent="0.25">
      <c r="A16" s="174">
        <v>11</v>
      </c>
      <c r="B16" s="388" t="str" cm="1">
        <f t="array" ref="B16">IADNumber &amp; " House Electrical Room"</f>
        <v>IAD35 House Electrical Room</v>
      </c>
      <c r="C16" s="388" t="str" cm="1">
        <f t="array" ref="C16">IADNumber &amp; " PBB ATS"</f>
        <v>IAD35 PBB ATS</v>
      </c>
      <c r="D16" s="175" t="s">
        <v>2011</v>
      </c>
      <c r="E16" s="174" t="s">
        <v>1464</v>
      </c>
      <c r="F16" s="178"/>
      <c r="G16" s="178"/>
    </row>
    <row r="17" spans="1:7" ht="37.5" hidden="1" x14ac:dyDescent="0.25">
      <c r="A17" s="174">
        <v>12</v>
      </c>
      <c r="B17" s="388" t="str" cm="1">
        <f t="array" ref="B17">IADNumber &amp; " House Electrical Room"</f>
        <v>IAD35 House Electrical Room</v>
      </c>
      <c r="C17" s="388" t="str" cm="1">
        <f t="array" ref="C17">IADNumber &amp; " PBB ATS"</f>
        <v>IAD35 PBB ATS</v>
      </c>
      <c r="D17" s="233" t="s">
        <v>2007</v>
      </c>
      <c r="E17" s="174" t="s">
        <v>1464</v>
      </c>
      <c r="F17" s="178"/>
      <c r="G17" s="178"/>
    </row>
    <row r="18" spans="1:7" ht="75" hidden="1" x14ac:dyDescent="0.25">
      <c r="A18" s="174">
        <v>13</v>
      </c>
      <c r="B18" s="388" t="str" cm="1">
        <f t="array" ref="B18">IADNumber &amp; " House Electrical Room"</f>
        <v>IAD35 House Electrical Room</v>
      </c>
      <c r="C18" s="388" t="str" cm="1">
        <f t="array" ref="C18">IADNumber &amp; " PBB ATS"</f>
        <v>IAD35 PBB ATS</v>
      </c>
      <c r="D18" s="175" t="str">
        <f>"VERIFY the readings in step " &amp; A11 &amp; " and " &amp; A17 &amp; " are within 3% of each other. (new kW divided by original kW must be ≤1.03 and ≥0.97)
Note: it may take up to 2 minutes for the load to rise to its original value due to mechanical equipment restarting."</f>
        <v>VERIFY the readings in step 6 and 12 are within 3% of each other. (new kW divided by original kW must be ≤1.03 and ≥0.97)
Note: it may take up to 2 minutes for the load to rise to its original value due to mechanical equipment restarting.</v>
      </c>
      <c r="E18" s="174" t="s">
        <v>1464</v>
      </c>
      <c r="F18" s="178"/>
      <c r="G18" s="178"/>
    </row>
    <row r="19" spans="1:7" ht="37.5" hidden="1" x14ac:dyDescent="0.25">
      <c r="A19" s="174">
        <v>14</v>
      </c>
      <c r="B19" s="388" t="str" cm="1">
        <f t="array" ref="B19">IADNumber &amp; " Generator Yard"</f>
        <v>IAD35 Generator Yard</v>
      </c>
      <c r="C19" s="225" t="str">
        <f>zSelectedEquipment</f>
        <v>G104-Gen-B</v>
      </c>
      <c r="D19" s="175" t="s">
        <v>4648</v>
      </c>
      <c r="E19" s="174" t="s">
        <v>1464</v>
      </c>
      <c r="F19" s="388"/>
      <c r="G19" s="174"/>
    </row>
    <row r="20" spans="1:7" hidden="1" x14ac:dyDescent="0.25">
      <c r="A20" s="174">
        <v>15</v>
      </c>
      <c r="B20" s="716" t="str">
        <f>"Shutting down the " &amp; zSelectedEquipment</f>
        <v>Shutting down the G104-Gen-B</v>
      </c>
      <c r="C20" s="716"/>
      <c r="D20" s="716"/>
      <c r="E20" s="716"/>
      <c r="F20" s="716"/>
      <c r="G20" s="716"/>
    </row>
    <row r="21" spans="1:7" ht="37.5" hidden="1" x14ac:dyDescent="0.25">
      <c r="A21" s="174">
        <v>16</v>
      </c>
      <c r="B21" s="388" t="str" cm="1">
        <f t="array" ref="B21">IADNumber &amp; " House Electrical Room"</f>
        <v>IAD35 House Electrical Room</v>
      </c>
      <c r="C21" s="388" t="str" cm="1">
        <f t="array" ref="C21">IADNumber &amp; " PBB ATS"</f>
        <v>IAD35 PBB ATS</v>
      </c>
      <c r="D21" s="233" t="s">
        <v>2007</v>
      </c>
      <c r="E21" s="174" t="s">
        <v>1464</v>
      </c>
      <c r="F21" s="388"/>
      <c r="G21" s="388" t="s">
        <v>1519</v>
      </c>
    </row>
    <row r="22" spans="1:7" ht="37.5" hidden="1" x14ac:dyDescent="0.25">
      <c r="A22" s="174">
        <v>17</v>
      </c>
      <c r="B22" s="388" t="str" cm="1">
        <f t="array" ref="B22">IADNumber &amp; " House Electrical Room"</f>
        <v>IAD35 House Electrical Room</v>
      </c>
      <c r="C22" s="388" t="str" cm="1">
        <f t="array" ref="C22">IADNumber &amp; " PBB ATS"</f>
        <v>IAD35 PBB ATS</v>
      </c>
      <c r="D22" s="175" t="s">
        <v>2012</v>
      </c>
      <c r="E22" s="174" t="s">
        <v>1464</v>
      </c>
      <c r="F22" s="388"/>
      <c r="G22" s="388" t="s">
        <v>1519</v>
      </c>
    </row>
    <row r="23" spans="1:7" ht="37.5" hidden="1" x14ac:dyDescent="0.3">
      <c r="A23" s="174">
        <v>18</v>
      </c>
      <c r="B23" s="388" t="str" cm="1">
        <f t="array" ref="B23">IADNumber &amp; " House Electrical Room"</f>
        <v>IAD35 House Electrical Room</v>
      </c>
      <c r="C23" s="388" t="str" cm="1">
        <f t="array" ref="C23">IADNumber &amp; " PBB ATS"</f>
        <v>IAD35 PBB ATS</v>
      </c>
      <c r="D23" s="175" t="s">
        <v>2013</v>
      </c>
      <c r="E23" s="174" t="s">
        <v>1464</v>
      </c>
      <c r="F23" s="198"/>
      <c r="G23" s="388" t="s">
        <v>1519</v>
      </c>
    </row>
    <row r="24" spans="1:7" ht="56.25" hidden="1" x14ac:dyDescent="0.3">
      <c r="A24" s="174">
        <v>19</v>
      </c>
      <c r="B24" s="388" t="str" cm="1">
        <f t="array" ref="B24">IADNumber &amp; " House Electrical Room"</f>
        <v>IAD35 House Electrical Room</v>
      </c>
      <c r="C24" s="388" t="str" cm="1">
        <f t="array" ref="C24">IADNumber &amp; " PBB ATS"</f>
        <v>IAD35 PBB ATS</v>
      </c>
      <c r="D24" s="175" t="s">
        <v>2014</v>
      </c>
      <c r="E24" s="174" t="s">
        <v>1464</v>
      </c>
      <c r="F24" s="198"/>
      <c r="G24" s="199"/>
    </row>
    <row r="25" spans="1:7" ht="37.5" hidden="1" x14ac:dyDescent="0.3">
      <c r="A25" s="174">
        <v>20</v>
      </c>
      <c r="B25" s="388" t="str" cm="1">
        <f t="array" ref="B25">IADNumber &amp; " House Electrical Room"</f>
        <v>IAD35 House Electrical Room</v>
      </c>
      <c r="C25" s="388" t="str" cm="1">
        <f t="array" ref="C25">IADNumber &amp; " PBB ATS"</f>
        <v>IAD35 PBB ATS</v>
      </c>
      <c r="D25" s="233" t="s">
        <v>2007</v>
      </c>
      <c r="E25" s="174" t="s">
        <v>1464</v>
      </c>
      <c r="F25" s="198"/>
      <c r="G25" s="199"/>
    </row>
    <row r="26" spans="1:7" ht="75" hidden="1" x14ac:dyDescent="0.3">
      <c r="A26" s="174">
        <v>21</v>
      </c>
      <c r="B26" s="388" t="str" cm="1">
        <f t="array" ref="B26">IADNumber &amp; " House Electrical Room"</f>
        <v>IAD35 House Electrical Room</v>
      </c>
      <c r="C26" s="388" t="str" cm="1">
        <f t="array" ref="C26">IADNumber &amp; " PBB ATS"</f>
        <v>IAD35 PBB ATS</v>
      </c>
      <c r="D26" s="175" t="str">
        <f>"VERIFY the readings in step " &amp; A21 &amp; " and " &amp; A25 &amp; " are within 3% of each other. (new kW divided by original kW must be ≤1.03 and ≥0.97)
Note: it may take up to 2 minutes for the load to rise to its original value due to mechanical equipment restarting."</f>
        <v>VERIFY the readings in step 16 and 20 are within 3% of each other. (new kW divided by original kW must be ≤1.03 and ≥0.97)
Note: it may take up to 2 minutes for the load to rise to its original value due to mechanical equipment restarting.</v>
      </c>
      <c r="E26" s="174" t="s">
        <v>1464</v>
      </c>
      <c r="F26" s="198"/>
      <c r="G26" s="199"/>
    </row>
    <row r="27" spans="1:7" ht="37.5" hidden="1" x14ac:dyDescent="0.25">
      <c r="A27" s="174">
        <v>22</v>
      </c>
      <c r="B27" s="388" t="s">
        <v>724</v>
      </c>
      <c r="C27" s="388" t="str">
        <f>zSelectedEquipment</f>
        <v>G104-Gen-B</v>
      </c>
      <c r="D27" s="175" t="s">
        <v>4623</v>
      </c>
      <c r="E27" s="174" t="s">
        <v>1464</v>
      </c>
      <c r="F27" s="388"/>
      <c r="G27" s="388" t="s">
        <v>1519</v>
      </c>
    </row>
    <row r="28" spans="1:7" x14ac:dyDescent="0.25">
      <c r="A28" s="174">
        <v>5</v>
      </c>
      <c r="B28" s="716" t="str">
        <f>"Proof of start testing of the " &amp; zSelectedEquipment &amp; " (no load run)"</f>
        <v>Proof of start testing of the G104-Gen-B (no load run)</v>
      </c>
      <c r="C28" s="716"/>
      <c r="D28" s="716"/>
      <c r="E28" s="716"/>
      <c r="F28" s="716"/>
      <c r="G28" s="716"/>
    </row>
    <row r="29" spans="1:7" ht="37.5" x14ac:dyDescent="0.3">
      <c r="A29" s="174">
        <f>A28+1</f>
        <v>6</v>
      </c>
      <c r="B29" s="388" t="str" cm="1">
        <f t="array" ref="B29">IADNumber &amp; " Generator Yard"</f>
        <v>IAD35 Generator Yard</v>
      </c>
      <c r="C29" s="225" t="str">
        <f>zSelectedEquipment</f>
        <v>G104-Gen-B</v>
      </c>
      <c r="D29" s="175" t="s">
        <v>4650</v>
      </c>
      <c r="E29" s="174" t="s">
        <v>1464</v>
      </c>
      <c r="F29" s="388"/>
      <c r="G29" s="199" t="s">
        <v>1519</v>
      </c>
    </row>
    <row r="30" spans="1:7" ht="37.5" x14ac:dyDescent="0.25">
      <c r="A30" s="174">
        <f t="shared" ref="A30:A41" si="0">A29+1</f>
        <v>7</v>
      </c>
      <c r="B30" s="388" t="str" cm="1">
        <f t="array" ref="B30">IADNumber &amp; " Generator Yard"</f>
        <v>IAD35 Generator Yard</v>
      </c>
      <c r="C30" s="225" t="str">
        <f>zSelectedEquipment</f>
        <v>G104-Gen-B</v>
      </c>
      <c r="D30" s="175" t="s">
        <v>4651</v>
      </c>
      <c r="E30" s="174" t="s">
        <v>1464</v>
      </c>
      <c r="F30" s="388"/>
      <c r="G30" s="174"/>
    </row>
    <row r="31" spans="1:7" ht="37.5" x14ac:dyDescent="0.25">
      <c r="A31" s="174">
        <f t="shared" si="0"/>
        <v>8</v>
      </c>
      <c r="B31" s="388" t="str" cm="1">
        <f t="array" ref="B31">IADNumber &amp; " Generator Yard"</f>
        <v>IAD35 Generator Yard</v>
      </c>
      <c r="C31" s="225" t="str">
        <f>zSelectedEquipment</f>
        <v>G104-Gen-B</v>
      </c>
      <c r="D31" s="177" t="s">
        <v>4652</v>
      </c>
      <c r="E31" s="174" t="s">
        <v>1464</v>
      </c>
      <c r="F31" s="388"/>
      <c r="G31" s="174"/>
    </row>
    <row r="32" spans="1:7" ht="56.25" x14ac:dyDescent="0.3">
      <c r="A32" s="174">
        <f t="shared" si="0"/>
        <v>9</v>
      </c>
      <c r="B32" s="388" t="str" cm="1">
        <f t="array" ref="B32">IADNumber &amp; " Generator Yard"</f>
        <v>IAD35 Generator Yard</v>
      </c>
      <c r="C32" s="225" t="str">
        <f>zSelectedEquipment</f>
        <v>G104-Gen-B</v>
      </c>
      <c r="D32" s="175" t="s">
        <v>2019</v>
      </c>
      <c r="E32" s="174" t="s">
        <v>1464</v>
      </c>
      <c r="F32" s="198"/>
      <c r="G32" s="199" t="s">
        <v>1519</v>
      </c>
    </row>
    <row r="33" spans="1:7" ht="37.5" x14ac:dyDescent="0.3">
      <c r="A33" s="174">
        <f t="shared" si="0"/>
        <v>10</v>
      </c>
      <c r="B33" s="388" t="str" cm="1">
        <f t="array" ref="B33">IADNumber &amp; " Generator Yard"</f>
        <v>IAD35 Generator Yard</v>
      </c>
      <c r="C33" s="225" t="str">
        <f>zSelectedEquipment</f>
        <v>G104-Gen-B</v>
      </c>
      <c r="D33" s="175" t="s">
        <v>4648</v>
      </c>
      <c r="E33" s="174" t="s">
        <v>1464</v>
      </c>
      <c r="F33" s="198"/>
      <c r="G33" s="199"/>
    </row>
    <row r="34" spans="1:7" ht="37.5" x14ac:dyDescent="0.3">
      <c r="A34" s="174">
        <f t="shared" si="0"/>
        <v>11</v>
      </c>
      <c r="B34" s="388" t="str" cm="1">
        <f t="array" ref="B34">IADNumber &amp; " Generator Yard"</f>
        <v>IAD35 Generator Yard</v>
      </c>
      <c r="C34" s="225" t="str">
        <f>zSelectedEquipment</f>
        <v>G104-Gen-B</v>
      </c>
      <c r="D34" s="175" t="s">
        <v>2157</v>
      </c>
      <c r="E34" s="174" t="s">
        <v>1464</v>
      </c>
      <c r="F34" s="198"/>
      <c r="G34" s="199"/>
    </row>
    <row r="35" spans="1:7" ht="37.5" x14ac:dyDescent="0.3">
      <c r="A35" s="174">
        <f t="shared" si="0"/>
        <v>12</v>
      </c>
      <c r="B35" s="388" t="str" cm="1">
        <f t="array" ref="B35">IADNumber &amp; " Generator Yard"</f>
        <v>IAD35 Generator Yard</v>
      </c>
      <c r="C35" s="225" t="str">
        <f>zSelectedEquipment</f>
        <v>G104-Gen-B</v>
      </c>
      <c r="D35" s="177" t="s">
        <v>4653</v>
      </c>
      <c r="E35" s="174" t="s">
        <v>1464</v>
      </c>
      <c r="F35" s="198"/>
      <c r="G35" s="199"/>
    </row>
    <row r="36" spans="1:7" ht="37.5" x14ac:dyDescent="0.25">
      <c r="A36" s="174">
        <f t="shared" si="0"/>
        <v>13</v>
      </c>
      <c r="B36" s="388" t="s">
        <v>724</v>
      </c>
      <c r="C36" s="388" t="str">
        <f>zSelectedEquipment</f>
        <v>G104-Gen-B</v>
      </c>
      <c r="D36" s="175" t="s">
        <v>4623</v>
      </c>
      <c r="E36" s="174" t="s">
        <v>1464</v>
      </c>
      <c r="F36" s="388"/>
      <c r="G36" s="388" t="s">
        <v>1519</v>
      </c>
    </row>
    <row r="37" spans="1:7" x14ac:dyDescent="0.25">
      <c r="A37" s="174">
        <f>IF(zTaskNameIdentifier="zzGenRunNL", A36+1,A27+1)</f>
        <v>14</v>
      </c>
      <c r="B37" s="716" t="str">
        <f>"Call Building "&amp;Building&amp;" back in"</f>
        <v>Call Building G back in</v>
      </c>
      <c r="C37" s="716"/>
      <c r="D37" s="716"/>
      <c r="E37" s="716"/>
      <c r="F37" s="716"/>
      <c r="G37" s="716"/>
    </row>
    <row r="38" spans="1:7" ht="37.5" x14ac:dyDescent="0.25">
      <c r="A38" s="174">
        <f t="shared" si="0"/>
        <v>15</v>
      </c>
      <c r="B38" s="388" t="s">
        <v>1462</v>
      </c>
      <c r="C38" s="388" t="s">
        <v>84</v>
      </c>
      <c r="D38" s="194" t="s">
        <v>2022</v>
      </c>
      <c r="E38" s="174" t="s">
        <v>1464</v>
      </c>
      <c r="F38" s="388"/>
      <c r="G38" s="388" t="s">
        <v>1519</v>
      </c>
    </row>
    <row r="39" spans="1:7" ht="37.5" x14ac:dyDescent="0.25">
      <c r="A39" s="174">
        <f t="shared" si="0"/>
        <v>16</v>
      </c>
      <c r="B39" s="388" t="s">
        <v>1462</v>
      </c>
      <c r="C39" s="388" t="s">
        <v>84</v>
      </c>
      <c r="D39" s="194" t="s">
        <v>2023</v>
      </c>
      <c r="E39" s="174" t="s">
        <v>1464</v>
      </c>
      <c r="F39" s="388"/>
      <c r="G39" s="388" t="s">
        <v>1519</v>
      </c>
    </row>
    <row r="40" spans="1:7" ht="56.25" x14ac:dyDescent="0.25">
      <c r="A40" s="174">
        <f t="shared" si="0"/>
        <v>17</v>
      </c>
      <c r="B40" s="388" t="s">
        <v>1462</v>
      </c>
      <c r="C40" s="388" t="s">
        <v>84</v>
      </c>
      <c r="D40" s="175" t="s">
        <v>2024</v>
      </c>
      <c r="E40" s="174" t="s">
        <v>1464</v>
      </c>
      <c r="F40" s="388"/>
      <c r="G40" s="388" t="s">
        <v>1519</v>
      </c>
    </row>
    <row r="41" spans="1:7" ht="37.5" x14ac:dyDescent="0.25">
      <c r="A41" s="174">
        <f t="shared" si="0"/>
        <v>18</v>
      </c>
      <c r="B41" s="388" t="s">
        <v>1462</v>
      </c>
      <c r="C41" s="388" t="s">
        <v>84</v>
      </c>
      <c r="D41" s="175" t="s">
        <v>2025</v>
      </c>
      <c r="E41" s="174" t="s">
        <v>1464</v>
      </c>
      <c r="F41" s="388"/>
      <c r="G41" s="388" t="s">
        <v>1519</v>
      </c>
    </row>
  </sheetData>
  <sheetProtection formatCells="0" formatColumns="0" formatRows="0" insertRows="0" deleteRows="0" sort="0" autoFilter="0"/>
  <mergeCells count="8">
    <mergeCell ref="A4:C4"/>
    <mergeCell ref="A2:B2"/>
    <mergeCell ref="C2:G2"/>
    <mergeCell ref="B37:G37"/>
    <mergeCell ref="B20:G20"/>
    <mergeCell ref="B6:G6"/>
    <mergeCell ref="B10:G10"/>
    <mergeCell ref="B28:G28"/>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7073F-4CD3-4137-9467-2D363049BAC8}">
  <sheetPr codeName="Gen_Run_PBB_DL2">
    <pageSetUpPr fitToPage="1"/>
  </sheetPr>
  <dimension ref="A1:I33"/>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3" customWidth="1"/>
    <col min="9" max="9" width="8" style="3" customWidth="1"/>
    <col min="10" max="10" width="7.85546875" style="3" customWidth="1"/>
    <col min="11" max="11" width="11.140625" style="3" customWidth="1"/>
    <col min="12" max="16384" width="8.85546875" style="3"/>
  </cols>
  <sheetData>
    <row r="1" spans="1:9" customFormat="1" x14ac:dyDescent="0.25">
      <c r="A1" s="172" t="s">
        <v>1454</v>
      </c>
      <c r="B1" s="172"/>
      <c r="C1" s="173"/>
      <c r="D1" s="173"/>
      <c r="E1" s="173"/>
      <c r="F1" s="173"/>
      <c r="G1" s="173"/>
    </row>
    <row r="2" spans="1:9" customFormat="1" ht="18.75" customHeight="1" x14ac:dyDescent="0.25">
      <c r="A2" s="705" t="s">
        <v>42</v>
      </c>
      <c r="B2" s="705"/>
      <c r="C2" s="708" t="str">
        <f>zTaskName</f>
        <v>Routine Generator run with no load transfer</v>
      </c>
      <c r="D2" s="709"/>
      <c r="E2" s="709"/>
      <c r="F2" s="709"/>
      <c r="G2" s="710"/>
    </row>
    <row r="3" spans="1:9" customFormat="1" ht="9.9499999999999993" customHeight="1" x14ac:dyDescent="0.25">
      <c r="A3" s="459"/>
      <c r="B3" s="460"/>
      <c r="C3" s="461"/>
      <c r="D3" s="461"/>
      <c r="E3" s="461"/>
      <c r="F3" s="461"/>
      <c r="G3" s="462"/>
    </row>
    <row r="4" spans="1:9" customFormat="1"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174">
        <v>1</v>
      </c>
      <c r="B6" s="716" t="str">
        <f>"Call out Building "&amp;Building</f>
        <v>Call out Building G</v>
      </c>
      <c r="C6" s="716"/>
      <c r="D6" s="716"/>
      <c r="E6" s="716"/>
      <c r="F6" s="716"/>
      <c r="G6" s="716"/>
    </row>
    <row r="7" spans="1:9" ht="37.5" x14ac:dyDescent="0.25">
      <c r="A7" s="174">
        <v>2</v>
      </c>
      <c r="B7" s="388" t="s">
        <v>1462</v>
      </c>
      <c r="C7" s="388" t="s">
        <v>84</v>
      </c>
      <c r="D7" s="175" t="s">
        <v>2077</v>
      </c>
      <c r="E7" s="174" t="s">
        <v>1464</v>
      </c>
      <c r="F7" s="388"/>
      <c r="G7" s="388" t="s">
        <v>1519</v>
      </c>
    </row>
    <row r="8" spans="1:9" ht="37.5" x14ac:dyDescent="0.25">
      <c r="A8" s="174">
        <v>3</v>
      </c>
      <c r="B8" s="388" t="s">
        <v>1462</v>
      </c>
      <c r="C8" s="388" t="s">
        <v>84</v>
      </c>
      <c r="D8" s="175" t="s">
        <v>4649</v>
      </c>
      <c r="E8" s="174" t="s">
        <v>1464</v>
      </c>
      <c r="F8" s="388"/>
      <c r="G8" s="388" t="s">
        <v>1519</v>
      </c>
    </row>
    <row r="9" spans="1:9" ht="37.5" x14ac:dyDescent="0.25">
      <c r="A9" s="174">
        <f>A8+1</f>
        <v>4</v>
      </c>
      <c r="B9" s="388" t="s">
        <v>1462</v>
      </c>
      <c r="C9" s="388" t="s">
        <v>84</v>
      </c>
      <c r="D9" s="175" t="s">
        <v>2006</v>
      </c>
      <c r="E9" s="174" t="s">
        <v>1464</v>
      </c>
      <c r="F9" s="388"/>
      <c r="G9" s="388" t="s">
        <v>1519</v>
      </c>
    </row>
    <row r="10" spans="1:9" hidden="1" x14ac:dyDescent="0.25">
      <c r="A10" s="174">
        <v>5</v>
      </c>
      <c r="B10" s="716" t="str">
        <f>"Transfer load from Utility to "&amp;zSelectedEquipment&amp;" "</f>
        <v xml:space="preserve">Transfer load from Utility to G104-Gen-B </v>
      </c>
      <c r="C10" s="716"/>
      <c r="D10" s="716"/>
      <c r="E10" s="716"/>
      <c r="F10" s="716"/>
      <c r="G10" s="716"/>
    </row>
    <row r="11" spans="1:9" ht="37.5" hidden="1" x14ac:dyDescent="0.25">
      <c r="A11" s="174">
        <f t="shared" ref="A11:A33" si="0">A10+1</f>
        <v>6</v>
      </c>
      <c r="B11" s="388" t="s">
        <v>724</v>
      </c>
      <c r="C11" s="388" t="str">
        <f>zSelectedEquipment</f>
        <v>G104-Gen-B</v>
      </c>
      <c r="D11" s="175" t="s">
        <v>4654</v>
      </c>
      <c r="E11" s="174" t="s">
        <v>1464</v>
      </c>
      <c r="F11" s="388"/>
      <c r="G11" s="388" t="s">
        <v>1519</v>
      </c>
    </row>
    <row r="12" spans="1:9" ht="37.5" hidden="1" x14ac:dyDescent="0.25">
      <c r="A12" s="174">
        <f t="shared" si="0"/>
        <v>7</v>
      </c>
      <c r="B12" s="388" t="str" cm="1">
        <f t="array" ref="B12">IADNumber &amp; " House Electrical Room"</f>
        <v>IAD35 House Electrical Room</v>
      </c>
      <c r="C12" s="225" t="str">
        <f>"House-ATS"</f>
        <v>House-ATS</v>
      </c>
      <c r="D12" s="190" t="s">
        <v>2028</v>
      </c>
      <c r="E12" s="174" t="s">
        <v>1464</v>
      </c>
      <c r="F12" s="388"/>
      <c r="G12" s="388" t="s">
        <v>1519</v>
      </c>
    </row>
    <row r="13" spans="1:9" ht="56.25" hidden="1" x14ac:dyDescent="0.25">
      <c r="A13" s="174">
        <f t="shared" si="0"/>
        <v>8</v>
      </c>
      <c r="B13" s="388" t="str" cm="1">
        <f t="array" ref="B13">IADNumber &amp; " House Electrical Room"</f>
        <v>IAD35 House Electrical Room</v>
      </c>
      <c r="C13" s="225" t="str">
        <f>"House-ATS"</f>
        <v>House-ATS</v>
      </c>
      <c r="D13" s="190" t="s">
        <v>2029</v>
      </c>
      <c r="E13" s="174" t="s">
        <v>1464</v>
      </c>
      <c r="F13" s="388"/>
      <c r="G13" s="174"/>
    </row>
    <row r="14" spans="1:9" ht="37.5" hidden="1" x14ac:dyDescent="0.25">
      <c r="A14" s="174">
        <f t="shared" si="0"/>
        <v>9</v>
      </c>
      <c r="B14" s="388" t="str" cm="1">
        <f t="array" ref="B14">IADNumber &amp; " House Electrical Room"</f>
        <v>IAD35 House Electrical Room</v>
      </c>
      <c r="C14" s="225" t="str">
        <f>"House-ATS"</f>
        <v>House-ATS</v>
      </c>
      <c r="D14" s="190" t="s">
        <v>2028</v>
      </c>
      <c r="E14" s="174" t="s">
        <v>1464</v>
      </c>
      <c r="F14" s="388"/>
      <c r="G14" s="174"/>
    </row>
    <row r="15" spans="1:9" ht="37.5" hidden="1" x14ac:dyDescent="0.25">
      <c r="A15" s="174">
        <f t="shared" si="0"/>
        <v>10</v>
      </c>
      <c r="B15" s="388" t="str" cm="1">
        <f t="array" ref="B15">IADNumber &amp; " House Electrical Room"</f>
        <v>IAD35 House Electrical Room</v>
      </c>
      <c r="C15" s="225" t="str">
        <f>"House-ATS"</f>
        <v>House-ATS</v>
      </c>
      <c r="D15" s="190" t="str">
        <f>"Verify the readings in step " &amp; A12 &amp; " and " &amp; A14 &amp; " are within 3% of each other. (new kW divided by original kW must be ≤1.03 and ≥0.97)."</f>
        <v>Verify the readings in step 7 and 9 are within 3% of each other. (new kW divided by original kW must be ≤1.03 and ≥0.97).</v>
      </c>
      <c r="E15" s="174" t="s">
        <v>1464</v>
      </c>
      <c r="F15" s="388"/>
      <c r="G15" s="174"/>
    </row>
    <row r="16" spans="1:9" ht="37.5" hidden="1" x14ac:dyDescent="0.25">
      <c r="A16" s="174">
        <f t="shared" si="0"/>
        <v>11</v>
      </c>
      <c r="B16" s="388" t="s">
        <v>724</v>
      </c>
      <c r="C16" s="388" t="str">
        <f>zSelectedEquipment</f>
        <v>G104-Gen-B</v>
      </c>
      <c r="D16" s="190" t="s">
        <v>2030</v>
      </c>
      <c r="E16" s="174" t="s">
        <v>1464</v>
      </c>
      <c r="F16" s="388"/>
      <c r="G16" s="388" t="s">
        <v>1519</v>
      </c>
    </row>
    <row r="17" spans="1:7" ht="18.600000000000001" hidden="1" customHeight="1" x14ac:dyDescent="0.25">
      <c r="A17" s="174">
        <f t="shared" si="0"/>
        <v>12</v>
      </c>
      <c r="B17" s="717" t="str">
        <f>"Re-transfer load from "&amp;zSelectedEquipment&amp;" to Utility "</f>
        <v xml:space="preserve">Re-transfer load from G104-Gen-B to Utility </v>
      </c>
      <c r="C17" s="718"/>
      <c r="D17" s="718"/>
      <c r="E17" s="718"/>
      <c r="F17" s="718"/>
      <c r="G17" s="719"/>
    </row>
    <row r="18" spans="1:7" ht="37.5" hidden="1" x14ac:dyDescent="0.25">
      <c r="A18" s="174">
        <f t="shared" si="0"/>
        <v>13</v>
      </c>
      <c r="B18" s="388" t="str" cm="1">
        <f t="array" ref="B18">IADNumber &amp; " House Electrical Room"</f>
        <v>IAD35 House Electrical Room</v>
      </c>
      <c r="C18" s="225" t="str">
        <f>"House-ATS"</f>
        <v>House-ATS</v>
      </c>
      <c r="D18" s="190" t="s">
        <v>2028</v>
      </c>
      <c r="E18" s="174" t="s">
        <v>1464</v>
      </c>
      <c r="F18" s="388"/>
      <c r="G18" s="174"/>
    </row>
    <row r="19" spans="1:7" ht="56.25" hidden="1" x14ac:dyDescent="0.25">
      <c r="A19" s="174">
        <f t="shared" si="0"/>
        <v>14</v>
      </c>
      <c r="B19" s="388" t="str" cm="1">
        <f t="array" ref="B19">IADNumber &amp; " House Electrical Room"</f>
        <v>IAD35 House Electrical Room</v>
      </c>
      <c r="C19" s="225" t="str">
        <f t="shared" ref="C19:C23" si="1">"House-ATS"</f>
        <v>House-ATS</v>
      </c>
      <c r="D19" s="190" t="s">
        <v>2031</v>
      </c>
      <c r="E19" s="174" t="s">
        <v>1464</v>
      </c>
      <c r="F19" s="388"/>
      <c r="G19" s="388" t="s">
        <v>1519</v>
      </c>
    </row>
    <row r="20" spans="1:7" ht="37.5" hidden="1" x14ac:dyDescent="0.25">
      <c r="A20" s="174">
        <f t="shared" si="0"/>
        <v>15</v>
      </c>
      <c r="B20" s="388" t="str" cm="1">
        <f t="array" ref="B20">IADNumber &amp; " House Electrical Room"</f>
        <v>IAD35 House Electrical Room</v>
      </c>
      <c r="C20" s="225" t="str">
        <f t="shared" si="1"/>
        <v>House-ATS</v>
      </c>
      <c r="D20" s="190" t="s">
        <v>2032</v>
      </c>
      <c r="E20" s="174" t="s">
        <v>1464</v>
      </c>
      <c r="F20" s="388"/>
      <c r="G20" s="388"/>
    </row>
    <row r="21" spans="1:7" ht="56.25" hidden="1" x14ac:dyDescent="0.25">
      <c r="A21" s="174">
        <f t="shared" si="0"/>
        <v>16</v>
      </c>
      <c r="B21" s="388" t="str" cm="1">
        <f t="array" ref="B21">IADNumber &amp; " House Electrical Room"</f>
        <v>IAD35 House Electrical Room</v>
      </c>
      <c r="C21" s="225" t="str">
        <f t="shared" si="1"/>
        <v>House-ATS</v>
      </c>
      <c r="D21" s="190" t="s">
        <v>2033</v>
      </c>
      <c r="E21" s="174" t="s">
        <v>1464</v>
      </c>
      <c r="F21" s="388"/>
      <c r="G21" s="388" t="s">
        <v>1519</v>
      </c>
    </row>
    <row r="22" spans="1:7" ht="37.5" hidden="1" x14ac:dyDescent="0.25">
      <c r="A22" s="174">
        <f t="shared" si="0"/>
        <v>17</v>
      </c>
      <c r="B22" s="388" t="str" cm="1">
        <f t="array" ref="B22">IADNumber &amp; " House Electrical Room"</f>
        <v>IAD35 House Electrical Room</v>
      </c>
      <c r="C22" s="225" t="str">
        <f t="shared" si="1"/>
        <v>House-ATS</v>
      </c>
      <c r="D22" s="190" t="s">
        <v>2028</v>
      </c>
      <c r="E22" s="174" t="s">
        <v>1464</v>
      </c>
      <c r="F22" s="388"/>
      <c r="G22" s="388"/>
    </row>
    <row r="23" spans="1:7" ht="37.5" hidden="1" x14ac:dyDescent="0.25">
      <c r="A23" s="174">
        <f t="shared" si="0"/>
        <v>18</v>
      </c>
      <c r="B23" s="388" t="str" cm="1">
        <f t="array" ref="B23">IADNumber &amp; " House Electrical Room"</f>
        <v>IAD35 House Electrical Room</v>
      </c>
      <c r="C23" s="225" t="str">
        <f t="shared" si="1"/>
        <v>House-ATS</v>
      </c>
      <c r="D23" s="190" t="str">
        <f>"Verify the readings in step " &amp; A18 &amp; " and " &amp; A22 &amp; " are within 3% of each other. (new kW divided by original kW must be ≤1.03 and ≥0.97)."</f>
        <v>Verify the readings in step 13 and 17 are within 3% of each other. (new kW divided by original kW must be ≤1.03 and ≥0.97).</v>
      </c>
      <c r="E23" s="174" t="s">
        <v>1464</v>
      </c>
      <c r="F23" s="388"/>
      <c r="G23" s="388" t="s">
        <v>1519</v>
      </c>
    </row>
    <row r="24" spans="1:7" ht="37.5" hidden="1" x14ac:dyDescent="0.25">
      <c r="A24" s="174">
        <f t="shared" si="0"/>
        <v>19</v>
      </c>
      <c r="B24" s="388" t="s">
        <v>724</v>
      </c>
      <c r="C24" s="388" t="str">
        <f>zSelectedEquipment</f>
        <v>G104-Gen-B</v>
      </c>
      <c r="D24" s="190" t="s">
        <v>2034</v>
      </c>
      <c r="E24" s="174" t="s">
        <v>1464</v>
      </c>
      <c r="F24" s="388"/>
      <c r="G24" s="388" t="s">
        <v>1519</v>
      </c>
    </row>
    <row r="25" spans="1:7" ht="18.600000000000001" customHeight="1" x14ac:dyDescent="0.25">
      <c r="A25" s="174">
        <v>5</v>
      </c>
      <c r="B25" s="717" t="s">
        <v>2035</v>
      </c>
      <c r="C25" s="718"/>
      <c r="D25" s="718"/>
      <c r="E25" s="718"/>
      <c r="F25" s="718"/>
      <c r="G25" s="719"/>
    </row>
    <row r="26" spans="1:7" ht="37.5" x14ac:dyDescent="0.25">
      <c r="A26" s="174">
        <f t="shared" si="0"/>
        <v>6</v>
      </c>
      <c r="B26" s="388" t="s">
        <v>724</v>
      </c>
      <c r="C26" s="388" t="str">
        <f>zSelectedEquipment</f>
        <v>G104-Gen-B</v>
      </c>
      <c r="D26" s="190" t="s">
        <v>4622</v>
      </c>
      <c r="E26" s="174" t="s">
        <v>1464</v>
      </c>
      <c r="F26" s="388"/>
      <c r="G26" s="388" t="s">
        <v>1519</v>
      </c>
    </row>
    <row r="27" spans="1:7" ht="37.5" x14ac:dyDescent="0.25">
      <c r="A27" s="174">
        <f t="shared" si="0"/>
        <v>7</v>
      </c>
      <c r="B27" s="388" t="s">
        <v>724</v>
      </c>
      <c r="C27" s="388" t="str">
        <f>zSelectedEquipment</f>
        <v>G104-Gen-B</v>
      </c>
      <c r="D27" s="175" t="s">
        <v>2157</v>
      </c>
      <c r="E27" s="174" t="s">
        <v>1464</v>
      </c>
      <c r="F27" s="388"/>
      <c r="G27" s="388" t="s">
        <v>1519</v>
      </c>
    </row>
    <row r="28" spans="1:7" ht="37.5" x14ac:dyDescent="0.25">
      <c r="A28" s="174">
        <f t="shared" si="0"/>
        <v>8</v>
      </c>
      <c r="B28" s="388" t="s">
        <v>724</v>
      </c>
      <c r="C28" s="388" t="str">
        <f>zSelectedEquipment</f>
        <v>G104-Gen-B</v>
      </c>
      <c r="D28" s="175" t="s">
        <v>2030</v>
      </c>
      <c r="E28" s="174" t="s">
        <v>1464</v>
      </c>
      <c r="F28" s="388"/>
      <c r="G28" s="388"/>
    </row>
    <row r="29" spans="1:7" ht="37.5" x14ac:dyDescent="0.25">
      <c r="A29" s="174">
        <f t="shared" si="0"/>
        <v>9</v>
      </c>
      <c r="B29" s="388" t="s">
        <v>724</v>
      </c>
      <c r="C29" s="388" t="str">
        <f>zSelectedEquipment</f>
        <v>G104-Gen-B</v>
      </c>
      <c r="D29" s="190" t="s">
        <v>2036</v>
      </c>
      <c r="E29" s="174" t="s">
        <v>1464</v>
      </c>
      <c r="F29" s="388"/>
      <c r="G29" s="388" t="s">
        <v>1519</v>
      </c>
    </row>
    <row r="30" spans="1:7" ht="37.5" x14ac:dyDescent="0.25">
      <c r="A30" s="174">
        <f t="shared" si="0"/>
        <v>10</v>
      </c>
      <c r="B30" s="388" t="s">
        <v>724</v>
      </c>
      <c r="C30" s="388" t="str">
        <f>zSelectedEquipment</f>
        <v>G104-Gen-B</v>
      </c>
      <c r="D30" s="190" t="s">
        <v>4655</v>
      </c>
      <c r="E30" s="174" t="s">
        <v>1464</v>
      </c>
      <c r="F30" s="388"/>
      <c r="G30" s="388" t="s">
        <v>1519</v>
      </c>
    </row>
    <row r="31" spans="1:7" x14ac:dyDescent="0.25">
      <c r="A31" s="174">
        <f>IF(zTaskNameIdentifier="zzGenRunNL", A30+1,A24+1)</f>
        <v>11</v>
      </c>
      <c r="B31" s="716" t="str">
        <f>"Call Building "&amp;Building&amp;" back in"</f>
        <v>Call Building G back in</v>
      </c>
      <c r="C31" s="716"/>
      <c r="D31" s="716"/>
      <c r="E31" s="716"/>
      <c r="F31" s="716"/>
      <c r="G31" s="716"/>
    </row>
    <row r="32" spans="1:7" ht="37.5" x14ac:dyDescent="0.25">
      <c r="A32" s="174">
        <f t="shared" si="0"/>
        <v>12</v>
      </c>
      <c r="B32" s="388" t="s">
        <v>1462</v>
      </c>
      <c r="C32" s="388" t="s">
        <v>84</v>
      </c>
      <c r="D32" s="175" t="s">
        <v>2037</v>
      </c>
      <c r="E32" s="174" t="s">
        <v>1464</v>
      </c>
      <c r="F32" s="388"/>
      <c r="G32" s="388" t="s">
        <v>1519</v>
      </c>
    </row>
    <row r="33" spans="1:7" ht="37.5" x14ac:dyDescent="0.25">
      <c r="A33" s="174">
        <f t="shared" si="0"/>
        <v>13</v>
      </c>
      <c r="B33" s="388" t="s">
        <v>1462</v>
      </c>
      <c r="C33" s="388" t="s">
        <v>84</v>
      </c>
      <c r="D33" s="175" t="s">
        <v>2025</v>
      </c>
      <c r="E33" s="174" t="s">
        <v>1464</v>
      </c>
      <c r="F33" s="388"/>
      <c r="G33" s="388" t="s">
        <v>1519</v>
      </c>
    </row>
  </sheetData>
  <sheetProtection formatCells="0" formatColumns="0" formatRows="0" insertRows="0" deleteRows="0" sort="0" autoFilter="0"/>
  <mergeCells count="8">
    <mergeCell ref="B17:G17"/>
    <mergeCell ref="B25:G25"/>
    <mergeCell ref="B31:G31"/>
    <mergeCell ref="A4:C4"/>
    <mergeCell ref="A2:B2"/>
    <mergeCell ref="C2:G2"/>
    <mergeCell ref="B6:G6"/>
    <mergeCell ref="B10:G10"/>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E54D6-F1F2-41A2-A216-4C3E5A4AA4AD}">
  <sheetPr codeName="Gen_Run_POD_1">
    <pageSetUpPr fitToPage="1"/>
  </sheetPr>
  <dimension ref="A1:G117"/>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3" customWidth="1"/>
    <col min="9" max="9" width="8" style="3" customWidth="1"/>
    <col min="10" max="10" width="7.85546875" style="3" customWidth="1"/>
    <col min="11" max="11" width="11.140625" style="3" customWidth="1"/>
    <col min="12" max="16384" width="8.85546875" style="3"/>
  </cols>
  <sheetData>
    <row r="1" spans="1:7" x14ac:dyDescent="0.25">
      <c r="A1" s="172" t="s">
        <v>1454</v>
      </c>
      <c r="B1" s="172"/>
      <c r="C1" s="173"/>
      <c r="D1" s="173"/>
      <c r="E1" s="173"/>
      <c r="F1" s="173"/>
      <c r="G1" s="173"/>
    </row>
    <row r="2" spans="1:7" ht="18.75" customHeight="1" x14ac:dyDescent="0.25">
      <c r="A2" s="705" t="s">
        <v>42</v>
      </c>
      <c r="B2" s="705"/>
      <c r="C2" s="708" t="str">
        <f>zTaskName</f>
        <v>Routine Generator run with no load transfer</v>
      </c>
      <c r="D2" s="709"/>
      <c r="E2" s="709"/>
      <c r="F2" s="709"/>
      <c r="G2" s="710"/>
    </row>
    <row r="3" spans="1:7" ht="9.9499999999999993" customHeight="1" x14ac:dyDescent="0.25">
      <c r="A3" s="459"/>
      <c r="B3" s="460"/>
      <c r="C3" s="461"/>
      <c r="D3" s="461"/>
      <c r="E3" s="461"/>
      <c r="F3" s="461"/>
      <c r="G3" s="462"/>
    </row>
    <row r="4" spans="1:7" ht="9.9499999999999993" customHeight="1" x14ac:dyDescent="0.25">
      <c r="A4" s="706"/>
      <c r="B4" s="707"/>
      <c r="C4" s="707"/>
      <c r="D4" s="382"/>
      <c r="E4" s="382"/>
      <c r="F4" s="382"/>
      <c r="G4" s="383"/>
    </row>
    <row r="5" spans="1:7" ht="37.5" x14ac:dyDescent="0.25">
      <c r="A5" s="378" t="s">
        <v>1455</v>
      </c>
      <c r="B5" s="379" t="s">
        <v>8</v>
      </c>
      <c r="C5" s="379" t="s">
        <v>1456</v>
      </c>
      <c r="D5" s="378" t="s">
        <v>1457</v>
      </c>
      <c r="E5" s="379" t="s">
        <v>1458</v>
      </c>
      <c r="F5" s="379" t="s">
        <v>1459</v>
      </c>
      <c r="G5" s="378" t="s">
        <v>1460</v>
      </c>
    </row>
    <row r="6" spans="1:7" x14ac:dyDescent="0.25">
      <c r="A6" s="174">
        <v>1</v>
      </c>
      <c r="B6" s="716" t="str">
        <f>"Call out Building "&amp;Building</f>
        <v>Call out Building G</v>
      </c>
      <c r="C6" s="716"/>
      <c r="D6" s="716"/>
      <c r="E6" s="716"/>
      <c r="F6" s="716"/>
      <c r="G6" s="716"/>
    </row>
    <row r="7" spans="1:7" ht="37.5" x14ac:dyDescent="0.25">
      <c r="A7" s="174">
        <v>2</v>
      </c>
      <c r="B7" s="388" t="s">
        <v>1462</v>
      </c>
      <c r="C7" s="388" t="s">
        <v>84</v>
      </c>
      <c r="D7" s="176" t="s">
        <v>2004</v>
      </c>
      <c r="E7" s="174" t="s">
        <v>1464</v>
      </c>
      <c r="F7" s="388"/>
      <c r="G7" s="388" t="s">
        <v>1519</v>
      </c>
    </row>
    <row r="8" spans="1:7" ht="37.5" x14ac:dyDescent="0.25">
      <c r="A8" s="174">
        <v>3</v>
      </c>
      <c r="B8" s="388" t="s">
        <v>1462</v>
      </c>
      <c r="C8" s="388" t="s">
        <v>84</v>
      </c>
      <c r="D8" s="176" t="s">
        <v>2005</v>
      </c>
      <c r="E8" s="174" t="s">
        <v>1464</v>
      </c>
      <c r="F8" s="388"/>
      <c r="G8" s="388" t="s">
        <v>1519</v>
      </c>
    </row>
    <row r="9" spans="1:7" ht="37.5" x14ac:dyDescent="0.25">
      <c r="A9" s="174">
        <v>4</v>
      </c>
      <c r="B9" s="388" t="s">
        <v>1462</v>
      </c>
      <c r="C9" s="388" t="s">
        <v>84</v>
      </c>
      <c r="D9" s="176" t="str">
        <f>"Building "&amp;Building&amp;" account number: "&amp;AccountNumber&amp;"   Passcode: "&amp;Passcode</f>
        <v>Building G account number: 0P3654   Passcode: 439</v>
      </c>
      <c r="E9" s="174" t="s">
        <v>1464</v>
      </c>
      <c r="F9" s="388"/>
      <c r="G9" s="388" t="s">
        <v>1519</v>
      </c>
    </row>
    <row r="10" spans="1:7" ht="37.5" x14ac:dyDescent="0.25">
      <c r="A10" s="174">
        <v>5</v>
      </c>
      <c r="B10" s="388" t="s">
        <v>1462</v>
      </c>
      <c r="C10" s="388" t="s">
        <v>84</v>
      </c>
      <c r="D10" s="176" t="s">
        <v>2006</v>
      </c>
      <c r="E10" s="174" t="s">
        <v>1464</v>
      </c>
      <c r="F10" s="388"/>
      <c r="G10" s="388" t="s">
        <v>1519</v>
      </c>
    </row>
    <row r="11" spans="1:7" x14ac:dyDescent="0.25">
      <c r="A11" s="174">
        <v>7</v>
      </c>
      <c r="B11" s="716" t="str">
        <f>"Place SW" &amp; ElectricalRoom &amp; " onto "&amp;zSelectedEquipment&amp;" for loaded generator run"</f>
        <v>Place SW0 onto G104-Gen-B for loaded generator run</v>
      </c>
      <c r="C11" s="716"/>
      <c r="D11" s="716"/>
      <c r="E11" s="716"/>
      <c r="F11" s="716"/>
      <c r="G11" s="716"/>
    </row>
    <row r="12" spans="1:7" ht="37.5" x14ac:dyDescent="0.25">
      <c r="A12" s="174">
        <v>8</v>
      </c>
      <c r="B12" s="388" t="s">
        <v>724</v>
      </c>
      <c r="C12" s="388" t="str">
        <f>zSelectedEquipment</f>
        <v>G104-Gen-B</v>
      </c>
      <c r="D12" s="176" t="s">
        <v>2038</v>
      </c>
      <c r="E12" s="174" t="s">
        <v>1464</v>
      </c>
      <c r="F12" s="388"/>
      <c r="G12" s="388" t="s">
        <v>1519</v>
      </c>
    </row>
    <row r="13" spans="1:7" ht="37.5" x14ac:dyDescent="0.25">
      <c r="A13" s="174">
        <v>9</v>
      </c>
      <c r="B13" s="388" t="str">
        <f>Suite&amp;" Electrical Rooms"</f>
        <v>G104 Electrical Rooms</v>
      </c>
      <c r="C13" s="225" t="str">
        <f>Suite&amp;" UPS "&amp;ElectricalRoom</f>
        <v>G104 UPS 0</v>
      </c>
      <c r="D13" s="176" t="s">
        <v>2039</v>
      </c>
      <c r="E13" s="174" t="s">
        <v>1464</v>
      </c>
      <c r="F13" s="388"/>
      <c r="G13" s="174"/>
    </row>
    <row r="14" spans="1:7" ht="37.5" x14ac:dyDescent="0.25">
      <c r="A14" s="174">
        <v>10</v>
      </c>
      <c r="B14" s="388" t="str">
        <f>Suite&amp;" Electrical Room "&amp;ElectricalRoom</f>
        <v>G104 Electrical Room 0</v>
      </c>
      <c r="C14" s="225" t="str">
        <f>Suite&amp;" UPS "&amp;ElectricalRoom</f>
        <v>G104 UPS 0</v>
      </c>
      <c r="D14" s="176" t="str">
        <f>"NOTATE the kW reading at UPS-" &amp; ElectricalRoom &amp; "1:  ___________"</f>
        <v>NOTATE the kW reading at UPS-01:  ___________</v>
      </c>
      <c r="E14" s="174" t="s">
        <v>1464</v>
      </c>
      <c r="F14" s="178"/>
      <c r="G14" s="178"/>
    </row>
    <row r="15" spans="1:7" ht="37.5" x14ac:dyDescent="0.25">
      <c r="A15" s="174">
        <v>11</v>
      </c>
      <c r="B15" s="388" t="str">
        <f>Suite&amp;" Electrical Room "&amp;ElectricalRoom</f>
        <v>G104 Electrical Room 0</v>
      </c>
      <c r="C15" s="225" t="str">
        <f>Suite&amp;" UPS "&amp;ElectricalRoom</f>
        <v>G104 UPS 0</v>
      </c>
      <c r="D15" s="176" t="str">
        <f>"NOTATE the kW reading at UPS-" &amp; ElectricalRoom &amp; "2:  ___________"</f>
        <v>NOTATE the kW reading at UPS-02:  ___________</v>
      </c>
      <c r="E15" s="174" t="s">
        <v>1464</v>
      </c>
      <c r="F15" s="178"/>
      <c r="G15" s="178"/>
    </row>
    <row r="16" spans="1:7" ht="37.5" x14ac:dyDescent="0.25">
      <c r="A16" s="174">
        <v>12</v>
      </c>
      <c r="B16" s="388" t="str">
        <f>Suite&amp;" Electrical Room "&amp;ROP</f>
        <v>G104 Electrical Room 0</v>
      </c>
      <c r="C16" s="225" t="str">
        <f>Suite&amp;" ROP "&amp;ROP</f>
        <v>G104 ROP 0</v>
      </c>
      <c r="D16" s="176" t="s">
        <v>2040</v>
      </c>
      <c r="E16" s="174" t="s">
        <v>1464</v>
      </c>
      <c r="F16" s="388"/>
      <c r="G16" s="174"/>
    </row>
    <row r="17" spans="1:7" ht="56.25" x14ac:dyDescent="0.25">
      <c r="A17" s="174">
        <v>13</v>
      </c>
      <c r="B17" s="388" t="str">
        <f>Suite&amp;" Electrical Room "&amp;ROP</f>
        <v>G104 Electrical Room 0</v>
      </c>
      <c r="C17" s="225" t="str">
        <f>Suite&amp;" ROP "&amp;ROP</f>
        <v>G104 ROP 0</v>
      </c>
      <c r="D17" s="176" t="s">
        <v>2041</v>
      </c>
      <c r="E17" s="174" t="s">
        <v>1464</v>
      </c>
      <c r="F17" s="388"/>
      <c r="G17" s="174"/>
    </row>
    <row r="18" spans="1:7" ht="75" x14ac:dyDescent="0.25">
      <c r="A18" s="174">
        <v>14</v>
      </c>
      <c r="B18" s="388" t="str">
        <f>Suite&amp;" Electrical Room "&amp;ROP</f>
        <v>G104 Electrical Room 0</v>
      </c>
      <c r="C18" s="225" t="str">
        <f>Suite&amp;" ROP "&amp;ROP</f>
        <v>G104 ROP 0</v>
      </c>
      <c r="D18" s="176" t="str">
        <f>"VERIFY the readings in step " &amp; A11 &amp; " and " &amp; A17 &amp; " are within 3% of each other. (new kW divided by original kW must be ≤1.03 and ≥0.97)
Note: it may take up to 2 minutes for the load to rise to its original value due to mechanical equipment restarting."</f>
        <v>VERIFY the readings in step 7 and 13 are within 3% of each other. (new kW divided by original kW must be ≤1.03 and ≥0.97)
Note: it may take up to 2 minutes for the load to rise to its original value due to mechanical equipment restarting.</v>
      </c>
      <c r="E18" s="174" t="s">
        <v>1464</v>
      </c>
      <c r="F18" s="388"/>
      <c r="G18" s="174"/>
    </row>
    <row r="19" spans="1:7" ht="37.5" x14ac:dyDescent="0.25">
      <c r="A19" s="174">
        <v>15</v>
      </c>
      <c r="B19" s="388" t="str">
        <f>Suite&amp;" Electrical Room "&amp;ROP</f>
        <v>G104 Electrical Room 0</v>
      </c>
      <c r="C19" s="225" t="str">
        <f>Suite&amp;" ROP "&amp;ROP</f>
        <v>G104 ROP 0</v>
      </c>
      <c r="D19" s="176" t="s">
        <v>2042</v>
      </c>
      <c r="E19" s="174" t="s">
        <v>1464</v>
      </c>
      <c r="F19" s="388"/>
      <c r="G19" s="174"/>
    </row>
    <row r="20" spans="1:7" ht="56.25" x14ac:dyDescent="0.25">
      <c r="A20" s="174">
        <v>16</v>
      </c>
      <c r="B20" s="388" t="str">
        <f>Suite&amp;" Electrical Room "&amp;ROP</f>
        <v>G104 Electrical Room 0</v>
      </c>
      <c r="C20" s="225" t="str">
        <f>Suite&amp;" ROP "&amp;ROP</f>
        <v>G104 ROP 0</v>
      </c>
      <c r="D20" s="176" t="s">
        <v>2043</v>
      </c>
      <c r="E20" s="174" t="s">
        <v>1464</v>
      </c>
      <c r="F20" s="388"/>
      <c r="G20" s="174"/>
    </row>
    <row r="21" spans="1:7" ht="37.5" x14ac:dyDescent="0.25">
      <c r="A21" s="174">
        <v>17</v>
      </c>
      <c r="B21" s="388" t="str">
        <f>Suite&amp;" Electrical Room "&amp;ROP</f>
        <v>G104 Electrical Room 0</v>
      </c>
      <c r="C21" s="225" t="str">
        <f>Suite&amp;" ROP "&amp;ROP</f>
        <v>G104 ROP 0</v>
      </c>
      <c r="D21" s="176" t="s">
        <v>2044</v>
      </c>
      <c r="E21" s="174" t="s">
        <v>1464</v>
      </c>
      <c r="F21" s="388"/>
      <c r="G21" s="174"/>
    </row>
    <row r="22" spans="1:7" ht="37.5" x14ac:dyDescent="0.25">
      <c r="A22" s="174">
        <v>18</v>
      </c>
      <c r="B22" s="388" t="str">
        <f>Suite&amp;" Electrical Room "&amp;ROP</f>
        <v>G104 Electrical Room 0</v>
      </c>
      <c r="C22" s="225" t="str">
        <f>Suite&amp;" ROP "&amp;ROP</f>
        <v>G104 ROP 0</v>
      </c>
      <c r="D22" s="176" t="s">
        <v>2045</v>
      </c>
      <c r="E22" s="174" t="s">
        <v>1464</v>
      </c>
      <c r="F22" s="388"/>
      <c r="G22" s="174"/>
    </row>
    <row r="23" spans="1:7" ht="37.5" x14ac:dyDescent="0.25">
      <c r="A23" s="174">
        <v>19</v>
      </c>
      <c r="B23" s="388" t="str">
        <f>Suite&amp;" Electrical Room "&amp;ROP</f>
        <v>G104 Electrical Room 0</v>
      </c>
      <c r="C23" s="225" t="str">
        <f>Suite&amp;" ROP "&amp;ROP</f>
        <v>G104 ROP 0</v>
      </c>
      <c r="D23" s="176" t="s">
        <v>2046</v>
      </c>
      <c r="E23" s="174" t="s">
        <v>1464</v>
      </c>
      <c r="F23" s="388"/>
      <c r="G23" s="174"/>
    </row>
    <row r="24" spans="1:7" ht="37.5" x14ac:dyDescent="0.25">
      <c r="A24" s="174">
        <v>20</v>
      </c>
      <c r="B24" s="388" t="str">
        <f>Suite&amp;" Electrical Room "&amp;ROP</f>
        <v>G104 Electrical Room 0</v>
      </c>
      <c r="C24" s="225" t="str">
        <f>Suite&amp;" ROP "&amp;ROP</f>
        <v>G104 ROP 0</v>
      </c>
      <c r="D24" s="176" t="s">
        <v>2047</v>
      </c>
      <c r="E24" s="174" t="s">
        <v>1464</v>
      </c>
      <c r="F24" s="388"/>
      <c r="G24" s="174"/>
    </row>
    <row r="25" spans="1:7" ht="37.5" x14ac:dyDescent="0.25">
      <c r="A25" s="174">
        <v>21</v>
      </c>
      <c r="B25" s="388" t="str">
        <f>Suite&amp;" Electrical Room "&amp;ROP</f>
        <v>G104 Electrical Room 0</v>
      </c>
      <c r="C25" s="225" t="str">
        <f>Suite&amp;" ROP "&amp;ROP</f>
        <v>G104 ROP 0</v>
      </c>
      <c r="D25" s="176" t="s">
        <v>2048</v>
      </c>
      <c r="E25" s="174" t="s">
        <v>1464</v>
      </c>
      <c r="F25" s="388"/>
      <c r="G25" s="174"/>
    </row>
    <row r="26" spans="1:7" ht="75" x14ac:dyDescent="0.25">
      <c r="A26" s="174">
        <v>22</v>
      </c>
      <c r="B26" s="388" t="str">
        <f>Suite&amp;" Electrical Room "&amp;ROP</f>
        <v>G104 Electrical Room 0</v>
      </c>
      <c r="C26" s="225" t="str">
        <f>Suite&amp;" ROP "&amp;ROP</f>
        <v>G104 ROP 0</v>
      </c>
      <c r="D26" s="176" t="str">
        <f>"VERIFY the readings in step " &amp; A19 &amp; " and " &amp; A25 &amp; " are within 3% of each other. (new kW divided by original kW must be ≤1.03 and ≥0.97)
Note: it may take up to 2 minutes for the load to rise to its original value due to mechanical equipment restarting."</f>
        <v>VERIFY the readings in step 15 and 21 are within 3% of each other. (new kW divided by original kW must be ≤1.03 and ≥0.97)
Note: it may take up to 2 minutes for the load to rise to its original value due to mechanical equipment restarting.</v>
      </c>
      <c r="E26" s="174" t="s">
        <v>1464</v>
      </c>
      <c r="F26" s="388"/>
      <c r="G26" s="174"/>
    </row>
    <row r="27" spans="1:7" ht="37.5" x14ac:dyDescent="0.25">
      <c r="A27" s="174">
        <v>23</v>
      </c>
      <c r="B27" s="388" t="str">
        <f>Suite&amp;" Electrical Room "&amp;ROP</f>
        <v>G104 Electrical Room 0</v>
      </c>
      <c r="C27" s="225" t="str">
        <f>Suite&amp;" ROP "&amp;ROP</f>
        <v>G104 ROP 0</v>
      </c>
      <c r="D27" s="176" t="s">
        <v>2049</v>
      </c>
      <c r="E27" s="174" t="s">
        <v>1464</v>
      </c>
      <c r="F27" s="388"/>
      <c r="G27" s="174"/>
    </row>
    <row r="28" spans="1:7" ht="37.5" x14ac:dyDescent="0.25">
      <c r="A28" s="174">
        <v>24</v>
      </c>
      <c r="B28" s="388" t="str">
        <f>Suite&amp;" Electrical Room "&amp;ROP</f>
        <v>G104 Electrical Room 0</v>
      </c>
      <c r="C28" s="225" t="str">
        <f>Suite&amp;" ROP "&amp;ROP</f>
        <v>G104 ROP 0</v>
      </c>
      <c r="D28" s="176" t="s">
        <v>2042</v>
      </c>
      <c r="E28" s="174" t="s">
        <v>1464</v>
      </c>
      <c r="F28" s="388"/>
      <c r="G28" s="174"/>
    </row>
    <row r="29" spans="1:7" ht="37.5" x14ac:dyDescent="0.25">
      <c r="A29" s="174">
        <v>25</v>
      </c>
      <c r="B29" s="388" t="str">
        <f>Suite&amp;" Electrical Room "&amp;ROP</f>
        <v>G104 Electrical Room 0</v>
      </c>
      <c r="C29" s="225" t="str">
        <f>Suite&amp;" ROP "&amp;ROP</f>
        <v>G104 ROP 0</v>
      </c>
      <c r="D29" s="176" t="s">
        <v>2050</v>
      </c>
      <c r="E29" s="174" t="s">
        <v>1464</v>
      </c>
      <c r="F29" s="388"/>
      <c r="G29" s="174"/>
    </row>
    <row r="30" spans="1:7" ht="37.5" x14ac:dyDescent="0.3">
      <c r="A30" s="174">
        <v>26</v>
      </c>
      <c r="B30" s="388" t="str">
        <f>Suite&amp;" Electrical Room "&amp;ROP</f>
        <v>G104 Electrical Room 0</v>
      </c>
      <c r="C30" s="225" t="str">
        <f>Suite&amp;" ROP "&amp;ROP</f>
        <v>G104 ROP 0</v>
      </c>
      <c r="D30" s="176" t="str">
        <f>"Using the graphic, SELECT " &amp; ElectricalRoom &amp; "G for SW" &amp; ElectricalRoom &amp; "."</f>
        <v>Using the graphic, SELECT 0G for SW0.</v>
      </c>
      <c r="E30" s="174" t="s">
        <v>1464</v>
      </c>
      <c r="F30" s="198"/>
      <c r="G30" s="198"/>
    </row>
    <row r="31" spans="1:7" ht="56.25" x14ac:dyDescent="0.3">
      <c r="A31" s="174">
        <v>27</v>
      </c>
      <c r="B31" s="388" t="str">
        <f>Suite&amp;" Electrical Room "&amp;ROP</f>
        <v>G104 Electrical Room 0</v>
      </c>
      <c r="C31" s="225" t="str">
        <f>Suite&amp;" ROP "&amp;ROP</f>
        <v>G104 ROP 0</v>
      </c>
      <c r="D31" s="176" t="s">
        <v>2051</v>
      </c>
      <c r="E31" s="174" t="s">
        <v>1464</v>
      </c>
      <c r="F31" s="198"/>
      <c r="G31" s="198"/>
    </row>
    <row r="32" spans="1:7" ht="37.5" x14ac:dyDescent="0.3">
      <c r="A32" s="174">
        <v>28</v>
      </c>
      <c r="B32" s="388" t="str">
        <f>Suite&amp;" Electrical Room "&amp;ROP</f>
        <v>G104 Electrical Room 0</v>
      </c>
      <c r="C32" s="225" t="str">
        <f>Suite&amp;" ROP "&amp;ROP</f>
        <v>G104 ROP 0</v>
      </c>
      <c r="D32" s="176" t="s">
        <v>2052</v>
      </c>
      <c r="E32" s="174" t="s">
        <v>1464</v>
      </c>
      <c r="F32" s="198"/>
      <c r="G32" s="198"/>
    </row>
    <row r="33" spans="1:7" ht="56.25" x14ac:dyDescent="0.3">
      <c r="A33" s="174">
        <v>29</v>
      </c>
      <c r="B33" s="388" t="str">
        <f>Suite&amp;" Electrical Room "&amp;ROP</f>
        <v>G104 Electrical Room 0</v>
      </c>
      <c r="C33" s="225" t="str">
        <f>Suite&amp;" ROP "&amp;ROP</f>
        <v>G104 ROP 0</v>
      </c>
      <c r="D33" s="175" t="s">
        <v>2053</v>
      </c>
      <c r="E33" s="174" t="s">
        <v>1464</v>
      </c>
      <c r="F33" s="198"/>
      <c r="G33" s="198"/>
    </row>
    <row r="34" spans="1:7" ht="56.25" x14ac:dyDescent="0.3">
      <c r="A34" s="174">
        <v>30</v>
      </c>
      <c r="B34" s="388" t="str">
        <f>Suite&amp;" Electrical Room "&amp;ROP</f>
        <v>G104 Electrical Room 0</v>
      </c>
      <c r="C34" s="225" t="str">
        <f>Suite&amp;" ROP "&amp;ROP</f>
        <v>G104 ROP 0</v>
      </c>
      <c r="D34" s="241" t="s">
        <v>2054</v>
      </c>
      <c r="E34" s="174" t="s">
        <v>1464</v>
      </c>
      <c r="F34" s="198"/>
      <c r="G34" s="198"/>
    </row>
    <row r="35" spans="1:7" ht="37.5" x14ac:dyDescent="0.3">
      <c r="A35" s="174">
        <v>31</v>
      </c>
      <c r="B35" s="388" t="str">
        <f>Suite&amp;" Electrical Room "&amp;ROP</f>
        <v>G104 Electrical Room 0</v>
      </c>
      <c r="C35" s="225" t="str">
        <f>Suite&amp;" ROP "&amp;ROP</f>
        <v>G104 ROP 0</v>
      </c>
      <c r="D35" s="176" t="str">
        <f>"VERIFY breaker " &amp; ElectricalRoom &amp; "G on switchboard SW" &amp; ElectricalRoom &amp; " CLOSES as indicated by color change from GREEN to RED."</f>
        <v>VERIFY breaker 0G on switchboard SW0 CLOSES as indicated by color change from GREEN to RED.</v>
      </c>
      <c r="E35" s="174" t="s">
        <v>1464</v>
      </c>
      <c r="F35" s="198"/>
      <c r="G35" s="198"/>
    </row>
    <row r="36" spans="1:7" ht="37.5" x14ac:dyDescent="0.3">
      <c r="A36" s="174">
        <v>32</v>
      </c>
      <c r="B36" s="388" t="str">
        <f>Suite&amp;" Electrical Room "&amp;ROP</f>
        <v>G104 Electrical Room 0</v>
      </c>
      <c r="C36" s="225" t="str">
        <f>Suite&amp;" ROP "&amp;ROP</f>
        <v>G104 ROP 0</v>
      </c>
      <c r="D36" s="427" t="str">
        <f>"NOTATE the kW reading at UP" &amp; GenRunUPS1 &amp; " Critical Bus Panel Meter: _________"</f>
        <v>NOTATE the kW reading at UPA Critical Bus Panel Meter: _________</v>
      </c>
      <c r="E36" s="174" t="s">
        <v>1464</v>
      </c>
      <c r="F36" s="198"/>
      <c r="G36" s="198"/>
    </row>
    <row r="37" spans="1:7" ht="37.5" x14ac:dyDescent="0.3">
      <c r="A37" s="174"/>
      <c r="B37" s="388" t="str">
        <f>Suite&amp;" Electrical Room "&amp;ROP</f>
        <v>G104 Electrical Room 0</v>
      </c>
      <c r="C37" s="225" t="str">
        <f>Suite&amp;" ROP "&amp;ROP</f>
        <v>G104 ROP 0</v>
      </c>
      <c r="D37" s="176"/>
      <c r="E37" s="174" t="s">
        <v>1464</v>
      </c>
      <c r="F37" s="198"/>
      <c r="G37" s="198"/>
    </row>
    <row r="38" spans="1:7" ht="37.5" x14ac:dyDescent="0.3">
      <c r="A38" s="174">
        <v>33</v>
      </c>
      <c r="B38" s="388" t="str">
        <f>Suite&amp;" Electrical Room "&amp;ElectricalRoom</f>
        <v>G104 Electrical Room 0</v>
      </c>
      <c r="C38" s="225" t="str">
        <f>Suite&amp;" UPS "&amp;ElectricalRoom</f>
        <v>G104 UPS 0</v>
      </c>
      <c r="D38" s="176" t="s">
        <v>2039</v>
      </c>
      <c r="E38" s="174" t="s">
        <v>1464</v>
      </c>
      <c r="F38" s="198"/>
      <c r="G38" s="198"/>
    </row>
    <row r="39" spans="1:7" ht="37.5" x14ac:dyDescent="0.3">
      <c r="A39" s="174">
        <v>34</v>
      </c>
      <c r="B39" s="388" t="str">
        <f>Suite&amp;" Electrical Room "&amp;ElectricalRoom</f>
        <v>G104 Electrical Room 0</v>
      </c>
      <c r="C39" s="225" t="str">
        <f>Suite&amp;" UPS "&amp;ElectricalRoom</f>
        <v>G104 UPS 0</v>
      </c>
      <c r="D39" s="176"/>
      <c r="E39" s="174" t="s">
        <v>1464</v>
      </c>
      <c r="F39" s="198"/>
      <c r="G39" s="198"/>
    </row>
    <row r="40" spans="1:7" ht="37.5" x14ac:dyDescent="0.3">
      <c r="A40" s="174">
        <v>35</v>
      </c>
      <c r="B40" s="388" t="str">
        <f>Suite&amp;" Electrical Room "&amp;ElectricalRoom</f>
        <v>G104 Electrical Room 0</v>
      </c>
      <c r="C40" s="225" t="str">
        <f>Suite&amp;" UPS "&amp;ElectricalRoom</f>
        <v>G104 UPS 0</v>
      </c>
      <c r="D40" s="176" t="str">
        <f>"NOTATE the kW reading at UPS-" &amp; ElectricalRoom &amp; "2:  ___________and compare to step " &amp;A15&amp; "______"</f>
        <v>NOTATE the kW reading at UPS-02:  ___________and compare to step 11______</v>
      </c>
      <c r="E40" s="174" t="s">
        <v>1464</v>
      </c>
      <c r="F40" s="198"/>
      <c r="G40" s="198"/>
    </row>
    <row r="41" spans="1:7" ht="37.5" x14ac:dyDescent="0.3">
      <c r="A41" s="174">
        <v>36</v>
      </c>
      <c r="B41" s="388" t="str">
        <f>Suite&amp;" Electrical Room "&amp;ElectricalRoom</f>
        <v>G104 Electrical Room 0</v>
      </c>
      <c r="C41" s="225" t="str">
        <f>Suite&amp;" UPS "&amp;ElectricalRoom</f>
        <v>G104 UPS 0</v>
      </c>
      <c r="D41" s="176" t="s">
        <v>2055</v>
      </c>
      <c r="E41" s="174" t="s">
        <v>1464</v>
      </c>
      <c r="F41" s="198"/>
      <c r="G41" s="198"/>
    </row>
    <row r="42" spans="1:7" ht="37.5" x14ac:dyDescent="0.3">
      <c r="A42" s="174">
        <v>37</v>
      </c>
      <c r="B42" s="388" t="str">
        <f>Suite&amp;" Electrical Room "&amp;ElectricalRoom</f>
        <v>G104 Electrical Room 0</v>
      </c>
      <c r="C42" s="225" t="str">
        <f>Suite&amp;" SW"&amp;ElectricalRoom</f>
        <v>G104 SW0</v>
      </c>
      <c r="D42" s="176" t="str">
        <f>"VERIFY the following at switchboard SW" &amp; ElectricalRoom &amp; ":"</f>
        <v>VERIFY the following at switchboard SW0:</v>
      </c>
      <c r="E42" s="174" t="s">
        <v>1464</v>
      </c>
      <c r="F42" s="198"/>
      <c r="G42" s="198"/>
    </row>
    <row r="43" spans="1:7" ht="37.5" x14ac:dyDescent="0.3">
      <c r="A43" s="174">
        <v>38</v>
      </c>
      <c r="B43" s="388" t="str">
        <f>Suite&amp;" Electrical Room "&amp;ElectricalRoom</f>
        <v>G104 Electrical Room 0</v>
      </c>
      <c r="C43" s="225" t="str">
        <f>Suite&amp;" SW"&amp;ElectricalRoom</f>
        <v>G104 SW0</v>
      </c>
      <c r="D43" s="175" t="str">
        <f>"Breaker " &amp; ElectricalRoom &amp; "G is CLOSED."</f>
        <v>Breaker 0G is CLOSED.</v>
      </c>
      <c r="E43" s="174" t="s">
        <v>1464</v>
      </c>
      <c r="F43" s="198"/>
      <c r="G43" s="198"/>
    </row>
    <row r="44" spans="1:7" ht="37.5" x14ac:dyDescent="0.3">
      <c r="A44" s="174">
        <v>39</v>
      </c>
      <c r="B44" s="388" t="str">
        <f>Suite&amp;" Electrical Room "&amp;ElectricalRoom</f>
        <v>G104 Electrical Room 0</v>
      </c>
      <c r="C44" s="225" t="str">
        <f>Suite&amp;" SW"&amp;ElectricalRoom</f>
        <v>G104 SW0</v>
      </c>
      <c r="D44" s="175" t="str">
        <f>"Breaker " &amp; ElectricalRoom &amp; "U is OPEN."</f>
        <v>Breaker 0U is OPEN.</v>
      </c>
      <c r="E44" s="174" t="s">
        <v>1464</v>
      </c>
      <c r="F44" s="198"/>
      <c r="G44" s="198"/>
    </row>
    <row r="45" spans="1:7" ht="37.5" x14ac:dyDescent="0.3">
      <c r="A45" s="174">
        <v>40</v>
      </c>
      <c r="B45" s="388" t="str">
        <f>Suite&amp;" Electrical Room "&amp;ElectricalRoom</f>
        <v>G104 Electrical Room 0</v>
      </c>
      <c r="C45" s="225" t="str">
        <f>Suite&amp;" UP"&amp;ElectricalRoom</f>
        <v>G104 UP0</v>
      </c>
      <c r="D45" s="175" t="str">
        <f>"Breaker UPS-" &amp; ElectricalRoom &amp; "1 is CLOSED."</f>
        <v>Breaker UPS-01 is CLOSED.</v>
      </c>
      <c r="E45" s="174" t="s">
        <v>1464</v>
      </c>
      <c r="F45" s="198"/>
      <c r="G45" s="198"/>
    </row>
    <row r="46" spans="1:7" ht="37.5" x14ac:dyDescent="0.3">
      <c r="A46" s="174">
        <v>41</v>
      </c>
      <c r="B46" s="388" t="str">
        <f>Suite&amp;" Electrical Room "&amp;ElectricalRoom</f>
        <v>G104 Electrical Room 0</v>
      </c>
      <c r="C46" s="225" t="str">
        <f>Suite&amp;" UP"&amp;ElectricalRoom</f>
        <v>G104 UP0</v>
      </c>
      <c r="D46" s="175" t="str">
        <f>"Breaker UPS-" &amp; ElectricalRoom &amp; "2 is CLOSED."</f>
        <v>Breaker UPS-02 is CLOSED.</v>
      </c>
      <c r="E46" s="174" t="s">
        <v>1464</v>
      </c>
      <c r="F46" s="198"/>
      <c r="G46" s="198"/>
    </row>
    <row r="47" spans="1:7" ht="37.5" x14ac:dyDescent="0.3">
      <c r="A47" s="174">
        <v>42</v>
      </c>
      <c r="B47" s="388" t="str">
        <f>Suite&amp;" Electrical Room "&amp;ElectricalRoom</f>
        <v>G104 Electrical Room 0</v>
      </c>
      <c r="C47" s="225" t="str">
        <f>Suite&amp;" UP"&amp;ElectricalRoom</f>
        <v>G104 UP0</v>
      </c>
      <c r="D47" s="175" t="str">
        <f>"Breaker MCBUP" &amp; ElectricalRoom &amp; " is CLOSED."</f>
        <v>Breaker MCBUP0 is CLOSED.</v>
      </c>
      <c r="E47" s="174" t="s">
        <v>1464</v>
      </c>
      <c r="F47" s="198"/>
      <c r="G47" s="198"/>
    </row>
    <row r="48" spans="1:7" ht="37.5" x14ac:dyDescent="0.3">
      <c r="A48" s="174">
        <v>43</v>
      </c>
      <c r="B48" s="388" t="s">
        <v>1342</v>
      </c>
      <c r="C48" s="388" t="s">
        <v>2056</v>
      </c>
      <c r="D48" s="176" t="s">
        <v>2057</v>
      </c>
      <c r="E48" s="174" t="s">
        <v>1464</v>
      </c>
      <c r="F48" s="198"/>
      <c r="G48" s="198"/>
    </row>
    <row r="49" spans="1:7" ht="37.5" x14ac:dyDescent="0.3">
      <c r="A49" s="174">
        <v>44</v>
      </c>
      <c r="B49" s="388" t="str">
        <f>Suite&amp;" Data Center"</f>
        <v>G104 Data Center</v>
      </c>
      <c r="C49" s="388" t="s">
        <v>2058</v>
      </c>
      <c r="D49" s="176" t="s">
        <v>2059</v>
      </c>
      <c r="E49" s="174" t="s">
        <v>1464</v>
      </c>
      <c r="F49" s="198"/>
      <c r="G49" s="198"/>
    </row>
    <row r="50" spans="1:7" x14ac:dyDescent="0.3">
      <c r="A50" s="174">
        <v>45</v>
      </c>
      <c r="B50" s="388" t="s">
        <v>724</v>
      </c>
      <c r="C50" s="388" t="str">
        <f>zSelectedEquipment</f>
        <v>G104-Gen-B</v>
      </c>
      <c r="D50" s="175" t="s">
        <v>2060</v>
      </c>
      <c r="E50" s="174" t="s">
        <v>1464</v>
      </c>
      <c r="F50" s="198"/>
      <c r="G50" s="198"/>
    </row>
    <row r="51" spans="1:7" ht="37.5" x14ac:dyDescent="0.3">
      <c r="A51" s="174">
        <v>46</v>
      </c>
      <c r="B51" s="388" t="str">
        <f>Suite&amp;" Electrical Room "&amp;ROP</f>
        <v>G104 Electrical Room 0</v>
      </c>
      <c r="C51" s="225" t="str">
        <f>Suite&amp;" ROP "&amp;ROP</f>
        <v>G104 ROP 0</v>
      </c>
      <c r="D51" s="175" t="s">
        <v>2061</v>
      </c>
      <c r="E51" s="174" t="s">
        <v>1464</v>
      </c>
      <c r="F51" s="198"/>
      <c r="G51" s="198"/>
    </row>
    <row r="52" spans="1:7" x14ac:dyDescent="0.25">
      <c r="A52" s="174">
        <v>47</v>
      </c>
      <c r="B52" s="716" t="str">
        <f>"Re-transfer Switchboard SW" &amp; ElectricalRoom &amp; " to Utility Power"</f>
        <v>Re-transfer Switchboard SW0 to Utility Power</v>
      </c>
      <c r="C52" s="716"/>
      <c r="D52" s="716"/>
      <c r="E52" s="716"/>
      <c r="F52" s="716"/>
      <c r="G52" s="716"/>
    </row>
    <row r="53" spans="1:7" ht="37.5" x14ac:dyDescent="0.3">
      <c r="A53" s="174">
        <v>48</v>
      </c>
      <c r="B53" s="388" t="str">
        <f>Suite&amp;" Electrical Room "&amp;ElectricalRoom</f>
        <v>G104 Electrical Room 0</v>
      </c>
      <c r="C53" s="225" t="str">
        <f>Suite&amp;" UPS "&amp;ElectricalRoom</f>
        <v>G104 UPS 0</v>
      </c>
      <c r="D53" s="176" t="s">
        <v>2039</v>
      </c>
      <c r="E53" s="174" t="s">
        <v>1464</v>
      </c>
      <c r="F53" s="198"/>
      <c r="G53" s="198"/>
    </row>
    <row r="54" spans="1:7" ht="37.5" x14ac:dyDescent="0.3">
      <c r="A54" s="174">
        <v>49</v>
      </c>
      <c r="B54" s="388" t="str">
        <f>Suite&amp;" Electrical Room "&amp;ElectricalRoom</f>
        <v>G104 Electrical Room 0</v>
      </c>
      <c r="C54" s="225" t="str">
        <f>Suite&amp;" UPS "&amp;ElectricalRoom</f>
        <v>G104 UPS 0</v>
      </c>
      <c r="D54" s="176" t="str">
        <f>"NOTATE the kW reading at UPS-" &amp; ElectricalRoom &amp; "1:  ___________"</f>
        <v>NOTATE the kW reading at UPS-01:  ___________</v>
      </c>
      <c r="E54" s="174" t="s">
        <v>1464</v>
      </c>
      <c r="F54" s="198"/>
      <c r="G54" s="198"/>
    </row>
    <row r="55" spans="1:7" ht="37.5" x14ac:dyDescent="0.3">
      <c r="A55" s="174">
        <v>50</v>
      </c>
      <c r="B55" s="388" t="str">
        <f>Suite&amp;" Electrical Room "&amp;ElectricalRoom</f>
        <v>G104 Electrical Room 0</v>
      </c>
      <c r="C55" s="225" t="str">
        <f>Suite&amp;" UPS "&amp;ElectricalRoom</f>
        <v>G104 UPS 0</v>
      </c>
      <c r="D55" s="176" t="str">
        <f>"NOTATE the kW reading at UPS-" &amp; ElectricalRoom &amp; "2:  ___________"</f>
        <v>NOTATE the kW reading at UPS-02:  ___________</v>
      </c>
      <c r="E55" s="174" t="s">
        <v>1464</v>
      </c>
      <c r="F55" s="198"/>
      <c r="G55" s="198"/>
    </row>
    <row r="56" spans="1:7" ht="37.5" x14ac:dyDescent="0.25">
      <c r="A56" s="174">
        <v>51</v>
      </c>
      <c r="B56" s="388" t="str">
        <f>Suite&amp;" Electrical Room "&amp;ROP</f>
        <v>G104 Electrical Room 0</v>
      </c>
      <c r="C56" s="225" t="str">
        <f>Suite&amp;" ROP "&amp;ROP</f>
        <v>G104 ROP 0</v>
      </c>
      <c r="D56" s="176" t="s">
        <v>2040</v>
      </c>
      <c r="E56" s="174" t="s">
        <v>1464</v>
      </c>
      <c r="F56" s="388"/>
      <c r="G56" s="174"/>
    </row>
    <row r="57" spans="1:7" ht="56.25" x14ac:dyDescent="0.25">
      <c r="A57" s="174">
        <v>52</v>
      </c>
      <c r="B57" s="388" t="str">
        <f>Suite&amp;" Electrical Room "&amp;ROP</f>
        <v>G104 Electrical Room 0</v>
      </c>
      <c r="C57" s="225" t="str">
        <f>Suite&amp;" ROP "&amp;ROP</f>
        <v>G104 ROP 0</v>
      </c>
      <c r="D57" s="176" t="s">
        <v>2041</v>
      </c>
      <c r="E57" s="174" t="s">
        <v>1464</v>
      </c>
      <c r="F57" s="388"/>
      <c r="G57" s="174"/>
    </row>
    <row r="58" spans="1:7" ht="37.5" x14ac:dyDescent="0.25">
      <c r="A58" s="174">
        <v>53</v>
      </c>
      <c r="B58" s="388" t="str">
        <f>Suite&amp;" Electrical Room "&amp;ROP</f>
        <v>G104 Electrical Room 0</v>
      </c>
      <c r="C58" s="225" t="str">
        <f>Suite&amp;" ROP "&amp;ROP</f>
        <v>G104 ROP 0</v>
      </c>
      <c r="D58" s="176" t="s">
        <v>2048</v>
      </c>
      <c r="E58" s="174" t="s">
        <v>1464</v>
      </c>
      <c r="F58" s="388"/>
      <c r="G58" s="174"/>
    </row>
    <row r="59" spans="1:7" ht="37.5" x14ac:dyDescent="0.3">
      <c r="A59" s="174">
        <v>54</v>
      </c>
      <c r="B59" s="388" t="str">
        <f>Suite&amp;" Electrical Room "&amp;ROP</f>
        <v>G104 Electrical Room 0</v>
      </c>
      <c r="C59" s="225" t="str">
        <f>Suite&amp;" ROP "&amp;ROP</f>
        <v>G104 ROP 0</v>
      </c>
      <c r="D59" s="176" t="s">
        <v>2062</v>
      </c>
      <c r="E59" s="174" t="s">
        <v>1464</v>
      </c>
      <c r="F59" s="198"/>
      <c r="G59" s="198"/>
    </row>
    <row r="60" spans="1:7" ht="37.5" x14ac:dyDescent="0.25">
      <c r="A60" s="174">
        <v>55</v>
      </c>
      <c r="B60" s="388" t="str">
        <f>Suite&amp;" Electrical Room "&amp;ROP</f>
        <v>G104 Electrical Room 0</v>
      </c>
      <c r="C60" s="225" t="str">
        <f>Suite&amp;" ROP "&amp;ROP</f>
        <v>G104 ROP 0</v>
      </c>
      <c r="D60" s="176" t="s">
        <v>2049</v>
      </c>
      <c r="E60" s="174" t="s">
        <v>1464</v>
      </c>
      <c r="F60" s="388"/>
      <c r="G60" s="174"/>
    </row>
    <row r="61" spans="1:7" ht="37.5" x14ac:dyDescent="0.25">
      <c r="A61" s="174">
        <v>56</v>
      </c>
      <c r="B61" s="388" t="str">
        <f>Suite&amp;" Electrical Room "&amp;ROP</f>
        <v>G104 Electrical Room 0</v>
      </c>
      <c r="C61" s="225" t="str">
        <f>Suite&amp;" ROP "&amp;ROP</f>
        <v>G104 ROP 0</v>
      </c>
      <c r="D61" s="176" t="s">
        <v>2063</v>
      </c>
      <c r="E61" s="174" t="s">
        <v>1464</v>
      </c>
      <c r="F61" s="388"/>
      <c r="G61" s="174"/>
    </row>
    <row r="62" spans="1:7" ht="56.25" x14ac:dyDescent="0.3">
      <c r="A62" s="174">
        <v>57</v>
      </c>
      <c r="B62" s="388" t="str">
        <f>Suite&amp;" Electrical Room "&amp;ROP</f>
        <v>G104 Electrical Room 0</v>
      </c>
      <c r="C62" s="225" t="str">
        <f>Suite&amp;" ROP "&amp;ROP</f>
        <v>G104 ROP 0</v>
      </c>
      <c r="D62" s="176" t="s">
        <v>2064</v>
      </c>
      <c r="E62" s="174" t="s">
        <v>1464</v>
      </c>
      <c r="F62" s="198"/>
      <c r="G62" s="198"/>
    </row>
    <row r="63" spans="1:7" ht="37.5" x14ac:dyDescent="0.25">
      <c r="A63" s="174">
        <v>58</v>
      </c>
      <c r="B63" s="388" t="str">
        <f>Suite&amp;" Electrical Room "&amp;ROP</f>
        <v>G104 Electrical Room 0</v>
      </c>
      <c r="C63" s="225" t="str">
        <f>Suite&amp;" ROP "&amp;ROP</f>
        <v>G104 ROP 0</v>
      </c>
      <c r="D63" s="176" t="s">
        <v>2050</v>
      </c>
      <c r="E63" s="174" t="s">
        <v>1464</v>
      </c>
      <c r="F63" s="388"/>
      <c r="G63" s="174"/>
    </row>
    <row r="64" spans="1:7" ht="37.5" x14ac:dyDescent="0.3">
      <c r="A64" s="174">
        <v>59</v>
      </c>
      <c r="B64" s="388" t="str">
        <f>Suite&amp;" Electrical Room "&amp;ROP</f>
        <v>G104 Electrical Room 0</v>
      </c>
      <c r="C64" s="225" t="str">
        <f>Suite&amp;" ROP "&amp;ROP</f>
        <v>G104 ROP 0</v>
      </c>
      <c r="D64" s="176" t="str">
        <f>"Using the graphic, SELECT " &amp; ElectricalRoom &amp; "U for SW" &amp; ElectricalRoom &amp; "."</f>
        <v>Using the graphic, SELECT 0U for SW0.</v>
      </c>
      <c r="E64" s="174" t="s">
        <v>1464</v>
      </c>
      <c r="F64" s="198"/>
      <c r="G64" s="198"/>
    </row>
    <row r="65" spans="1:7" ht="37.5" x14ac:dyDescent="0.3">
      <c r="A65" s="174">
        <v>60</v>
      </c>
      <c r="B65" s="388" t="str">
        <f>Suite&amp;" Electrical Room "&amp;ROP</f>
        <v>G104 Electrical Room 0</v>
      </c>
      <c r="C65" s="225" t="str">
        <f>Suite&amp;" ROP "&amp;ROP</f>
        <v>G104 ROP 0</v>
      </c>
      <c r="D65" s="176" t="s">
        <v>2065</v>
      </c>
      <c r="E65" s="174" t="s">
        <v>1464</v>
      </c>
      <c r="F65" s="198"/>
      <c r="G65" s="198"/>
    </row>
    <row r="66" spans="1:7" ht="37.5" x14ac:dyDescent="0.3">
      <c r="A66" s="174">
        <v>61</v>
      </c>
      <c r="B66" s="388" t="str">
        <f>Suite&amp;" Electrical Room "&amp;ROP</f>
        <v>G104 Electrical Room 0</v>
      </c>
      <c r="C66" s="225" t="str">
        <f>Suite&amp;" ROP "&amp;ROP</f>
        <v>G104 ROP 0</v>
      </c>
      <c r="D66" s="176" t="s">
        <v>2052</v>
      </c>
      <c r="E66" s="174" t="s">
        <v>1464</v>
      </c>
      <c r="F66" s="198"/>
      <c r="G66" s="198"/>
    </row>
    <row r="67" spans="1:7" ht="37.5" x14ac:dyDescent="0.3">
      <c r="A67" s="174">
        <v>62</v>
      </c>
      <c r="B67" s="388" t="str">
        <f>Suite&amp;" Electrical Room "&amp;ROP</f>
        <v>G104 Electrical Room 0</v>
      </c>
      <c r="C67" s="225" t="str">
        <f>Suite&amp;" ROP "&amp;ROP</f>
        <v>G104 ROP 0</v>
      </c>
      <c r="D67" s="176" t="s">
        <v>2066</v>
      </c>
      <c r="E67" s="174" t="s">
        <v>1464</v>
      </c>
      <c r="F67" s="198"/>
      <c r="G67" s="198"/>
    </row>
    <row r="68" spans="1:7" ht="56.25" x14ac:dyDescent="0.3">
      <c r="A68" s="174">
        <v>63</v>
      </c>
      <c r="B68" s="388" t="str">
        <f>Suite&amp;" Electrical Room "&amp;ROP</f>
        <v>G104 Electrical Room 0</v>
      </c>
      <c r="C68" s="225" t="str">
        <f>Suite&amp;" ROP "&amp;ROP</f>
        <v>G104 ROP 0</v>
      </c>
      <c r="D68" s="241" t="s">
        <v>2067</v>
      </c>
      <c r="E68" s="174" t="s">
        <v>1464</v>
      </c>
      <c r="F68" s="198"/>
      <c r="G68" s="198"/>
    </row>
    <row r="69" spans="1:7" ht="37.5" x14ac:dyDescent="0.3">
      <c r="A69" s="174">
        <v>64</v>
      </c>
      <c r="B69" s="388" t="str">
        <f>Suite&amp;" Electrical Room "&amp;ROP</f>
        <v>G104 Electrical Room 0</v>
      </c>
      <c r="C69" s="225" t="str">
        <f>Suite&amp;" ROP "&amp;ROP</f>
        <v>G104 ROP 0</v>
      </c>
      <c r="D69" s="175" t="s">
        <v>2068</v>
      </c>
      <c r="E69" s="174" t="s">
        <v>1464</v>
      </c>
      <c r="F69" s="198"/>
      <c r="G69" s="198"/>
    </row>
    <row r="70" spans="1:7" ht="37.5" x14ac:dyDescent="0.3">
      <c r="A70" s="174">
        <v>65</v>
      </c>
      <c r="B70" s="388" t="str">
        <f>Suite&amp;" Electrical Room "&amp;ROP</f>
        <v>G104 Electrical Room 0</v>
      </c>
      <c r="C70" s="225" t="str">
        <f>Suite&amp;" ROP "&amp;ROP</f>
        <v>G104 ROP 0</v>
      </c>
      <c r="D70" s="176" t="str">
        <f>"VERIFY breaker " &amp; ElectricalRoom &amp; "U on switchboard SW" &amp; ElectricalRoom &amp; " CLOSES as indicated by color change from GREEN to RED."</f>
        <v>VERIFY breaker 0U on switchboard SW0 CLOSES as indicated by color change from GREEN to RED.</v>
      </c>
      <c r="E70" s="174" t="s">
        <v>1464</v>
      </c>
      <c r="F70" s="198"/>
      <c r="G70" s="198"/>
    </row>
    <row r="71" spans="1:7" ht="37.5" x14ac:dyDescent="0.3">
      <c r="A71" s="174">
        <v>66</v>
      </c>
      <c r="B71" s="388" t="str">
        <f>Suite&amp;" Electrical Room "&amp;ROP</f>
        <v>G104 Electrical Room 0</v>
      </c>
      <c r="C71" s="225" t="str">
        <f>Suite&amp;" ROP "&amp;ROP</f>
        <v>G104 ROP 0</v>
      </c>
      <c r="D71" s="176" t="str">
        <f>"VERIFY breaker " &amp; ElectricalRoom &amp; "G on switchboard SW" &amp; ElectricalRoom &amp; " OPENS as indicated by color change from RED to GREEN."</f>
        <v>VERIFY breaker 0G on switchboard SW0 OPENS as indicated by color change from RED to GREEN.</v>
      </c>
      <c r="E71" s="174" t="s">
        <v>1464</v>
      </c>
      <c r="F71" s="198"/>
      <c r="G71" s="198"/>
    </row>
    <row r="72" spans="1:7" ht="37.5" x14ac:dyDescent="0.3">
      <c r="A72" s="174">
        <v>67</v>
      </c>
      <c r="B72" s="388" t="str">
        <f>Suite&amp;" Electrical Room "&amp;ROP</f>
        <v>G104 Electrical Room 0</v>
      </c>
      <c r="C72" s="225" t="str">
        <f>Suite&amp;" ROP "&amp;ROP</f>
        <v>G104 ROP 0</v>
      </c>
      <c r="D72" s="176" t="s">
        <v>2069</v>
      </c>
      <c r="E72" s="174" t="s">
        <v>1464</v>
      </c>
      <c r="F72" s="198"/>
      <c r="G72" s="198"/>
    </row>
    <row r="73" spans="1:7" ht="37.5" x14ac:dyDescent="0.3">
      <c r="A73" s="174">
        <v>68</v>
      </c>
      <c r="B73" s="388" t="str">
        <f>Suite&amp;" Electrical Room "&amp;ElectricalRoom</f>
        <v>G104 Electrical Room 0</v>
      </c>
      <c r="C73" s="225" t="str">
        <f>Suite&amp;" UPS "&amp;ElectricalRoom</f>
        <v>G104 UPS 0</v>
      </c>
      <c r="D73" s="176" t="s">
        <v>2039</v>
      </c>
      <c r="E73" s="174" t="s">
        <v>1464</v>
      </c>
      <c r="F73" s="198"/>
      <c r="G73" s="198"/>
    </row>
    <row r="74" spans="1:7" ht="37.5" x14ac:dyDescent="0.3">
      <c r="A74" s="174">
        <v>69</v>
      </c>
      <c r="B74" s="388" t="str">
        <f>Suite&amp;" Electrical Room "&amp;ElectricalRoom</f>
        <v>G104 Electrical Room 0</v>
      </c>
      <c r="C74" s="225" t="str">
        <f>Suite&amp;" UPS "&amp;ElectricalRoom</f>
        <v>G104 UPS 0</v>
      </c>
      <c r="D74" s="176" t="str">
        <f>"NOTATE the kW reading at UPS-" &amp; ElectricalRoom &amp; "1:  ___________ and compare to step " &amp; A54 &amp; "______"</f>
        <v>NOTATE the kW reading at UPS-01:  ___________ and compare to step 49______</v>
      </c>
      <c r="E74" s="174" t="s">
        <v>1464</v>
      </c>
      <c r="F74" s="198"/>
      <c r="G74" s="198"/>
    </row>
    <row r="75" spans="1:7" ht="37.5" x14ac:dyDescent="0.3">
      <c r="A75" s="174">
        <v>70</v>
      </c>
      <c r="B75" s="388" t="str">
        <f>Suite&amp;" Electrical Room "&amp;ElectricalRoom</f>
        <v>G104 Electrical Room 0</v>
      </c>
      <c r="C75" s="225" t="str">
        <f>Suite&amp;" UPS "&amp;ElectricalRoom</f>
        <v>G104 UPS 0</v>
      </c>
      <c r="D75" s="176" t="str">
        <f>"NOTATE the kW reading at UPS-" &amp; ElectricalRoom &amp; "2:  ___________ and compare to step " &amp; A55 &amp; "______"</f>
        <v>NOTATE the kW reading at UPS-02:  ___________ and compare to step 50______</v>
      </c>
      <c r="E75" s="174" t="s">
        <v>1464</v>
      </c>
      <c r="F75" s="198"/>
      <c r="G75" s="198"/>
    </row>
    <row r="76" spans="1:7" ht="37.5" x14ac:dyDescent="0.3">
      <c r="A76" s="174">
        <v>71</v>
      </c>
      <c r="B76" s="388" t="str">
        <f>Suite&amp;" Electrical Room "&amp;ElectricalRoom</f>
        <v>G104 Electrical Room 0</v>
      </c>
      <c r="C76" s="225" t="str">
        <f>Suite&amp;" UPS "&amp;ElectricalRoom</f>
        <v>G104 UPS 0</v>
      </c>
      <c r="D76" s="176" t="s">
        <v>2070</v>
      </c>
      <c r="E76" s="174" t="s">
        <v>1464</v>
      </c>
      <c r="F76" s="198"/>
      <c r="G76" s="198"/>
    </row>
    <row r="77" spans="1:7" ht="37.5" x14ac:dyDescent="0.3">
      <c r="A77" s="174">
        <v>72</v>
      </c>
      <c r="B77" s="388" t="str">
        <f>Suite&amp;" Electrical Room "&amp;ElectricalRoom</f>
        <v>G104 Electrical Room 0</v>
      </c>
      <c r="C77" s="225" t="str">
        <f>Suite&amp;" SW"&amp;ElectricalRoom</f>
        <v>G104 SW0</v>
      </c>
      <c r="D77" s="176" t="str">
        <f>"VERIFY the following at switchboard SW" &amp; ElectricalRoom &amp; ":"</f>
        <v>VERIFY the following at switchboard SW0:</v>
      </c>
      <c r="E77" s="174" t="s">
        <v>1464</v>
      </c>
      <c r="F77" s="198"/>
      <c r="G77" s="198"/>
    </row>
    <row r="78" spans="1:7" ht="37.5" x14ac:dyDescent="0.3">
      <c r="A78" s="174">
        <v>73</v>
      </c>
      <c r="B78" s="388" t="str">
        <f>Suite&amp;" Electrical Room "&amp;ElectricalRoom</f>
        <v>G104 Electrical Room 0</v>
      </c>
      <c r="C78" s="225" t="str">
        <f>Suite&amp;" SW"&amp;ElectricalRoom</f>
        <v>G104 SW0</v>
      </c>
      <c r="D78" s="175" t="str">
        <f>"Breaker " &amp; ElectricalRoom &amp; "U is CLOSED."</f>
        <v>Breaker 0U is CLOSED.</v>
      </c>
      <c r="E78" s="174" t="s">
        <v>1464</v>
      </c>
      <c r="F78" s="198"/>
      <c r="G78" s="198"/>
    </row>
    <row r="79" spans="1:7" ht="37.5" x14ac:dyDescent="0.3">
      <c r="A79" s="174">
        <v>74</v>
      </c>
      <c r="B79" s="388" t="str">
        <f>Suite&amp;" Electrical Room "&amp;ElectricalRoom</f>
        <v>G104 Electrical Room 0</v>
      </c>
      <c r="C79" s="225" t="str">
        <f>Suite&amp;" SW"&amp;ElectricalRoom</f>
        <v>G104 SW0</v>
      </c>
      <c r="D79" s="175" t="str">
        <f>"Breaker " &amp; ElectricalRoom &amp; "G is OPEN."</f>
        <v>Breaker 0G is OPEN.</v>
      </c>
      <c r="E79" s="174" t="s">
        <v>1464</v>
      </c>
      <c r="F79" s="198"/>
      <c r="G79" s="198"/>
    </row>
    <row r="80" spans="1:7" ht="37.5" x14ac:dyDescent="0.3">
      <c r="A80" s="174">
        <v>75</v>
      </c>
      <c r="B80" s="388" t="str">
        <f>Suite&amp;" Electrical Room "&amp;ElectricalRoom</f>
        <v>G104 Electrical Room 0</v>
      </c>
      <c r="C80" s="225" t="str">
        <f>Suite&amp;" UP"&amp;ElectricalRoom</f>
        <v>G104 UP0</v>
      </c>
      <c r="D80" s="175" t="str">
        <f>"Breaker UPS-" &amp; ElectricalRoom &amp; "1 is CLOSED."</f>
        <v>Breaker UPS-01 is CLOSED.</v>
      </c>
      <c r="E80" s="174" t="s">
        <v>1464</v>
      </c>
      <c r="F80" s="198"/>
      <c r="G80" s="198"/>
    </row>
    <row r="81" spans="1:7" ht="37.5" x14ac:dyDescent="0.3">
      <c r="A81" s="174">
        <v>76</v>
      </c>
      <c r="B81" s="388" t="str">
        <f>Suite&amp;" Electrical Room "&amp;ElectricalRoom</f>
        <v>G104 Electrical Room 0</v>
      </c>
      <c r="C81" s="225" t="str">
        <f>Suite&amp;" UP"&amp;ElectricalRoom</f>
        <v>G104 UP0</v>
      </c>
      <c r="D81" s="175" t="str">
        <f>"Breaker UPS-" &amp; ElectricalRoom &amp; "2 is CLOSED."</f>
        <v>Breaker UPS-02 is CLOSED.</v>
      </c>
      <c r="E81" s="174" t="s">
        <v>1464</v>
      </c>
      <c r="F81" s="198"/>
      <c r="G81" s="198"/>
    </row>
    <row r="82" spans="1:7" ht="37.5" x14ac:dyDescent="0.3">
      <c r="A82" s="174">
        <v>77</v>
      </c>
      <c r="B82" s="388" t="str">
        <f>Suite&amp;" Electrical Room "&amp;ElectricalRoom</f>
        <v>G104 Electrical Room 0</v>
      </c>
      <c r="C82" s="225" t="str">
        <f>Suite&amp;" UP"&amp;ElectricalRoom</f>
        <v>G104 UP0</v>
      </c>
      <c r="D82" s="175" t="str">
        <f>"Breaker MCBUP" &amp; ElectricalRoom &amp; " is CLOSED."</f>
        <v>Breaker MCBUP0 is CLOSED.</v>
      </c>
      <c r="E82" s="174" t="s">
        <v>1464</v>
      </c>
      <c r="F82" s="198"/>
      <c r="G82" s="198"/>
    </row>
    <row r="83" spans="1:7" ht="37.5" x14ac:dyDescent="0.3">
      <c r="A83" s="174">
        <v>78</v>
      </c>
      <c r="B83" s="388" t="s">
        <v>1342</v>
      </c>
      <c r="C83" s="388" t="s">
        <v>2056</v>
      </c>
      <c r="D83" s="176" t="s">
        <v>2057</v>
      </c>
      <c r="E83" s="174" t="s">
        <v>1464</v>
      </c>
      <c r="F83" s="198"/>
      <c r="G83" s="199" t="s">
        <v>1519</v>
      </c>
    </row>
    <row r="84" spans="1:7" ht="37.5" x14ac:dyDescent="0.3">
      <c r="A84" s="174">
        <v>79</v>
      </c>
      <c r="B84" s="388" t="str">
        <f>Suite&amp;" Data Center"</f>
        <v>G104 Data Center</v>
      </c>
      <c r="C84" s="388" t="s">
        <v>2058</v>
      </c>
      <c r="D84" s="176" t="s">
        <v>2071</v>
      </c>
      <c r="E84" s="174" t="s">
        <v>1464</v>
      </c>
      <c r="F84" s="198"/>
      <c r="G84" s="199" t="s">
        <v>1519</v>
      </c>
    </row>
    <row r="85" spans="1:7" ht="37.5" x14ac:dyDescent="0.3">
      <c r="A85" s="174">
        <v>80</v>
      </c>
      <c r="B85" s="388" t="s">
        <v>724</v>
      </c>
      <c r="C85" s="388" t="str">
        <f>zSelectedEquipment</f>
        <v>G104-Gen-B</v>
      </c>
      <c r="D85" s="176" t="str">
        <f>"VERIFY " &amp; zSelectedEquipment &amp; " has completed the cool down cycle and is no longer operating before proceeding."</f>
        <v>VERIFY G104-Gen-B has completed the cool down cycle and is no longer operating before proceeding.</v>
      </c>
      <c r="E85" s="174" t="s">
        <v>1464</v>
      </c>
      <c r="F85" s="198"/>
      <c r="G85" s="199" t="s">
        <v>1519</v>
      </c>
    </row>
    <row r="86" spans="1:7" x14ac:dyDescent="0.25">
      <c r="A86" s="174">
        <f>IF(zTaskNameIdentifier="zzGenRunNL", A10+1, A85+1)</f>
        <v>6</v>
      </c>
      <c r="B86" s="716" t="str">
        <f>"PROOF OF START TESTING " &amp; zSelectedEquipment</f>
        <v>PROOF OF START TESTING G104-Gen-B</v>
      </c>
      <c r="C86" s="716"/>
      <c r="D86" s="716"/>
      <c r="E86" s="716"/>
      <c r="F86" s="716"/>
      <c r="G86" s="716"/>
    </row>
    <row r="87" spans="1:7" ht="37.5" x14ac:dyDescent="0.3">
      <c r="A87" s="174">
        <f t="shared" ref="A87:A117" si="0">A86+1</f>
        <v>7</v>
      </c>
      <c r="B87" s="388" t="s">
        <v>724</v>
      </c>
      <c r="C87" s="388" t="str">
        <f>zSelectedEquipment</f>
        <v>G104-Gen-B</v>
      </c>
      <c r="D87" s="176" t="s">
        <v>2016</v>
      </c>
      <c r="E87" s="174" t="s">
        <v>1464</v>
      </c>
      <c r="F87" s="388"/>
      <c r="G87" s="199" t="s">
        <v>1519</v>
      </c>
    </row>
    <row r="88" spans="1:7" ht="37.5" x14ac:dyDescent="0.25">
      <c r="A88" s="174">
        <f t="shared" si="0"/>
        <v>8</v>
      </c>
      <c r="B88" s="388" t="str">
        <f>Suite&amp;" Electrical Room "&amp;ROP</f>
        <v>G104 Electrical Room 0</v>
      </c>
      <c r="C88" s="225" t="str">
        <f>Suite&amp;" ROP "&amp;ROP</f>
        <v>G104 ROP 0</v>
      </c>
      <c r="D88" s="176" t="s">
        <v>2040</v>
      </c>
      <c r="E88" s="174" t="s">
        <v>1464</v>
      </c>
      <c r="F88" s="388"/>
      <c r="G88" s="174"/>
    </row>
    <row r="89" spans="1:7" ht="56.25" x14ac:dyDescent="0.25">
      <c r="A89" s="174">
        <f t="shared" si="0"/>
        <v>9</v>
      </c>
      <c r="B89" s="388" t="str">
        <f>Suite&amp;" Electrical Room "&amp;ROP</f>
        <v>G104 Electrical Room 0</v>
      </c>
      <c r="C89" s="225" t="str">
        <f>Suite&amp;" ROP "&amp;ROP</f>
        <v>G104 ROP 0</v>
      </c>
      <c r="D89" s="176" t="s">
        <v>2041</v>
      </c>
      <c r="E89" s="174" t="s">
        <v>1464</v>
      </c>
      <c r="F89" s="388"/>
      <c r="G89" s="174"/>
    </row>
    <row r="90" spans="1:7" ht="37.5" x14ac:dyDescent="0.25">
      <c r="A90" s="174">
        <f t="shared" si="0"/>
        <v>10</v>
      </c>
      <c r="B90" s="388" t="str">
        <f>Suite&amp;" Electrical Room "&amp;ROP</f>
        <v>G104 Electrical Room 0</v>
      </c>
      <c r="C90" s="225" t="str">
        <f>Suite&amp;" ROP "&amp;ROP</f>
        <v>G104 ROP 0</v>
      </c>
      <c r="D90" s="176" t="s">
        <v>2049</v>
      </c>
      <c r="E90" s="174" t="s">
        <v>1464</v>
      </c>
      <c r="F90" s="388"/>
      <c r="G90" s="174"/>
    </row>
    <row r="91" spans="1:7" ht="37.5" x14ac:dyDescent="0.25">
      <c r="A91" s="174">
        <f t="shared" si="0"/>
        <v>11</v>
      </c>
      <c r="B91" s="388" t="str">
        <f>Suite&amp;" Electrical Room "&amp;ROP</f>
        <v>G104 Electrical Room 0</v>
      </c>
      <c r="C91" s="225" t="str">
        <f>Suite&amp;" ROP "&amp;ROP</f>
        <v>G104 ROP 0</v>
      </c>
      <c r="D91" s="176" t="s">
        <v>2042</v>
      </c>
      <c r="E91" s="174" t="s">
        <v>1464</v>
      </c>
      <c r="F91" s="388"/>
      <c r="G91" s="174"/>
    </row>
    <row r="92" spans="1:7" ht="56.25" x14ac:dyDescent="0.25">
      <c r="A92" s="174">
        <f t="shared" si="0"/>
        <v>12</v>
      </c>
      <c r="B92" s="388" t="str">
        <f>Suite&amp;" Electrical Room "&amp;ROP</f>
        <v>G104 Electrical Room 0</v>
      </c>
      <c r="C92" s="225" t="str">
        <f>Suite&amp;" ROP "&amp;ROP</f>
        <v>G104 ROP 0</v>
      </c>
      <c r="D92" s="176" t="s">
        <v>2072</v>
      </c>
      <c r="E92" s="174" t="s">
        <v>1464</v>
      </c>
      <c r="F92" s="388"/>
      <c r="G92" s="174"/>
    </row>
    <row r="93" spans="1:7" ht="37.5" x14ac:dyDescent="0.25">
      <c r="A93" s="174">
        <f t="shared" si="0"/>
        <v>13</v>
      </c>
      <c r="B93" s="388" t="str">
        <f>Suite&amp;" Electrical Room "&amp;ROP</f>
        <v>G104 Electrical Room 0</v>
      </c>
      <c r="C93" s="225" t="str">
        <f>Suite&amp;" ROP "&amp;ROP</f>
        <v>G104 ROP 0</v>
      </c>
      <c r="D93" s="176" t="s">
        <v>2044</v>
      </c>
      <c r="E93" s="174" t="s">
        <v>1464</v>
      </c>
      <c r="F93" s="388"/>
      <c r="G93" s="174"/>
    </row>
    <row r="94" spans="1:7" ht="37.5" x14ac:dyDescent="0.25">
      <c r="A94" s="174">
        <f t="shared" si="0"/>
        <v>14</v>
      </c>
      <c r="B94" s="388" t="str">
        <f>Suite&amp;" Electrical Room "&amp;ROP</f>
        <v>G104 Electrical Room 0</v>
      </c>
      <c r="C94" s="225" t="str">
        <f>Suite&amp;" ROP "&amp;ROP</f>
        <v>G104 ROP 0</v>
      </c>
      <c r="D94" s="176" t="s">
        <v>2045</v>
      </c>
      <c r="E94" s="174" t="s">
        <v>1464</v>
      </c>
      <c r="F94" s="388"/>
      <c r="G94" s="174"/>
    </row>
    <row r="95" spans="1:7" ht="37.5" x14ac:dyDescent="0.25">
      <c r="A95" s="174">
        <f t="shared" si="0"/>
        <v>15</v>
      </c>
      <c r="B95" s="388" t="str">
        <f>Suite&amp;" Electrical Room "&amp;ROP</f>
        <v>G104 Electrical Room 0</v>
      </c>
      <c r="C95" s="225" t="str">
        <f>Suite&amp;" ROP "&amp;ROP</f>
        <v>G104 ROP 0</v>
      </c>
      <c r="D95" s="176" t="s">
        <v>2046</v>
      </c>
      <c r="E95" s="174" t="s">
        <v>1464</v>
      </c>
      <c r="F95" s="388"/>
      <c r="G95" s="174"/>
    </row>
    <row r="96" spans="1:7" ht="37.5" x14ac:dyDescent="0.25">
      <c r="A96" s="174">
        <f t="shared" si="0"/>
        <v>16</v>
      </c>
      <c r="B96" s="388" t="str">
        <f>Suite&amp;" Electrical Room "&amp;ROP</f>
        <v>G104 Electrical Room 0</v>
      </c>
      <c r="C96" s="225" t="str">
        <f>Suite&amp;" ROP "&amp;ROP</f>
        <v>G104 ROP 0</v>
      </c>
      <c r="D96" s="176" t="s">
        <v>2047</v>
      </c>
      <c r="E96" s="174" t="s">
        <v>1464</v>
      </c>
      <c r="F96" s="388"/>
      <c r="G96" s="174"/>
    </row>
    <row r="97" spans="1:7" ht="37.5" x14ac:dyDescent="0.25">
      <c r="A97" s="174">
        <f t="shared" si="0"/>
        <v>17</v>
      </c>
      <c r="B97" s="388" t="str">
        <f>Suite&amp;" Electrical Room "&amp;ROP</f>
        <v>G104 Electrical Room 0</v>
      </c>
      <c r="C97" s="225" t="str">
        <f>Suite&amp;" ROP "&amp;ROP</f>
        <v>G104 ROP 0</v>
      </c>
      <c r="D97" s="176" t="s">
        <v>2048</v>
      </c>
      <c r="E97" s="174" t="s">
        <v>1464</v>
      </c>
      <c r="F97" s="388"/>
      <c r="G97" s="174"/>
    </row>
    <row r="98" spans="1:7" ht="37.5" x14ac:dyDescent="0.25">
      <c r="A98" s="174">
        <f t="shared" si="0"/>
        <v>18</v>
      </c>
      <c r="B98" s="388" t="str">
        <f>Suite&amp;" Electrical Room "&amp;ROP</f>
        <v>G104 Electrical Room 0</v>
      </c>
      <c r="C98" s="225" t="str">
        <f>Suite&amp;" ROP "&amp;ROP</f>
        <v>G104 ROP 0</v>
      </c>
      <c r="D98" s="176" t="str">
        <f>"VERIFY there are no alarms present other than the ‘27/81’ alarms on breaker " &amp; ElectricalRoom &amp; "G."</f>
        <v>VERIFY there are no alarms present other than the ‘27/81’ alarms on breaker 0G.</v>
      </c>
      <c r="E98" s="174" t="s">
        <v>1464</v>
      </c>
      <c r="F98" s="388"/>
      <c r="G98" s="174"/>
    </row>
    <row r="99" spans="1:7" ht="37.5" x14ac:dyDescent="0.25">
      <c r="A99" s="174">
        <f t="shared" si="0"/>
        <v>19</v>
      </c>
      <c r="B99" s="388" t="str">
        <f>Suite&amp;" Electrical Room "&amp;ROP</f>
        <v>G104 Electrical Room 0</v>
      </c>
      <c r="C99" s="225" t="str">
        <f>Suite&amp;" ROP "&amp;ROP</f>
        <v>G104 ROP 0</v>
      </c>
      <c r="D99" s="176" t="s">
        <v>2049</v>
      </c>
      <c r="E99" s="174" t="s">
        <v>1464</v>
      </c>
      <c r="F99" s="388"/>
      <c r="G99" s="174"/>
    </row>
    <row r="100" spans="1:7" ht="37.5" x14ac:dyDescent="0.25">
      <c r="A100" s="174">
        <f t="shared" si="0"/>
        <v>20</v>
      </c>
      <c r="B100" s="388" t="str">
        <f>Suite&amp;" Electrical Room "&amp;ROP</f>
        <v>G104 Electrical Room 0</v>
      </c>
      <c r="C100" s="225" t="str">
        <f>Suite&amp;" ROP "&amp;ROP</f>
        <v>G104 ROP 0</v>
      </c>
      <c r="D100" s="176" t="s">
        <v>2042</v>
      </c>
      <c r="E100" s="174" t="s">
        <v>1464</v>
      </c>
      <c r="F100" s="388"/>
      <c r="G100" s="174"/>
    </row>
    <row r="101" spans="1:7" ht="37.5" x14ac:dyDescent="0.25">
      <c r="A101" s="174">
        <f t="shared" si="0"/>
        <v>21</v>
      </c>
      <c r="B101" s="388" t="str">
        <f>Suite&amp;" Electrical Room "&amp;ROP</f>
        <v>G104 Electrical Room 0</v>
      </c>
      <c r="C101" s="225" t="str">
        <f>Suite&amp;" ROP "&amp;ROP</f>
        <v>G104 ROP 0</v>
      </c>
      <c r="D101" s="176" t="s">
        <v>2073</v>
      </c>
      <c r="E101" s="174" t="s">
        <v>1464</v>
      </c>
      <c r="F101" s="388"/>
      <c r="G101" s="174"/>
    </row>
    <row r="102" spans="1:7" ht="37.5" x14ac:dyDescent="0.3">
      <c r="A102" s="174">
        <f t="shared" si="0"/>
        <v>22</v>
      </c>
      <c r="B102" s="388" t="str">
        <f>Suite&amp;" Electrical Room "&amp;ROP</f>
        <v>G104 Electrical Room 0</v>
      </c>
      <c r="C102" s="225" t="str">
        <f>Suite&amp;" ROP "&amp;ROP</f>
        <v>G104 ROP 0</v>
      </c>
      <c r="D102" s="176" t="s">
        <v>2074</v>
      </c>
      <c r="E102" s="174" t="s">
        <v>1464</v>
      </c>
      <c r="F102" s="388"/>
      <c r="G102" s="199"/>
    </row>
    <row r="103" spans="1:7" ht="56.25" x14ac:dyDescent="0.3">
      <c r="A103" s="174">
        <f t="shared" si="0"/>
        <v>23</v>
      </c>
      <c r="B103" s="388" t="s">
        <v>724</v>
      </c>
      <c r="C103" s="388" t="str">
        <f>zSelectedEquipment</f>
        <v>G104-Gen-B</v>
      </c>
      <c r="D103" s="175" t="s">
        <v>2019</v>
      </c>
      <c r="E103" s="174" t="s">
        <v>1464</v>
      </c>
      <c r="F103" s="198"/>
      <c r="G103" s="199" t="s">
        <v>1519</v>
      </c>
    </row>
    <row r="104" spans="1:7" x14ac:dyDescent="0.3">
      <c r="A104" s="174">
        <f t="shared" si="0"/>
        <v>24</v>
      </c>
      <c r="B104" s="388" t="s">
        <v>724</v>
      </c>
      <c r="C104" s="388" t="str">
        <f>zSelectedEquipment</f>
        <v>G104-Gen-B</v>
      </c>
      <c r="D104" s="175" t="s">
        <v>2060</v>
      </c>
      <c r="E104" s="174" t="s">
        <v>1464</v>
      </c>
      <c r="F104" s="198"/>
      <c r="G104" s="199"/>
    </row>
    <row r="105" spans="1:7" ht="37.5" x14ac:dyDescent="0.3">
      <c r="A105" s="174">
        <f t="shared" si="0"/>
        <v>25</v>
      </c>
      <c r="B105" s="388" t="str">
        <f>Suite&amp;" Electrical Room "&amp;ROP</f>
        <v>G104 Electrical Room 0</v>
      </c>
      <c r="C105" s="225" t="str">
        <f>Suite&amp;" ROP "&amp;ROP</f>
        <v>G104 ROP 0</v>
      </c>
      <c r="D105" s="175" t="s">
        <v>2075</v>
      </c>
      <c r="E105" s="174" t="s">
        <v>1464</v>
      </c>
      <c r="F105" s="198"/>
      <c r="G105" s="199"/>
    </row>
    <row r="106" spans="1:7" ht="37.5" x14ac:dyDescent="0.25">
      <c r="A106" s="174">
        <f t="shared" si="0"/>
        <v>26</v>
      </c>
      <c r="B106" s="388" t="str">
        <f>Suite&amp;" Electrical Room "&amp;ROP</f>
        <v>G104 Electrical Room 0</v>
      </c>
      <c r="C106" s="225" t="str">
        <f>Suite&amp;" ROP "&amp;ROP</f>
        <v>G104 ROP 0</v>
      </c>
      <c r="D106" s="176" t="s">
        <v>2040</v>
      </c>
      <c r="E106" s="174" t="s">
        <v>1464</v>
      </c>
      <c r="F106" s="388"/>
      <c r="G106" s="174"/>
    </row>
    <row r="107" spans="1:7" ht="56.25" x14ac:dyDescent="0.25">
      <c r="A107" s="174">
        <f t="shared" si="0"/>
        <v>27</v>
      </c>
      <c r="B107" s="388" t="str">
        <f>Suite&amp;" Electrical Room "&amp;ROP</f>
        <v>G104 Electrical Room 0</v>
      </c>
      <c r="C107" s="225" t="str">
        <f>Suite&amp;" ROP "&amp;ROP</f>
        <v>G104 ROP 0</v>
      </c>
      <c r="D107" s="176" t="s">
        <v>2041</v>
      </c>
      <c r="E107" s="174" t="s">
        <v>1464</v>
      </c>
      <c r="F107" s="388"/>
      <c r="G107" s="174"/>
    </row>
    <row r="108" spans="1:7" ht="37.5" x14ac:dyDescent="0.25">
      <c r="A108" s="174">
        <f t="shared" si="0"/>
        <v>28</v>
      </c>
      <c r="B108" s="388" t="str">
        <f>Suite&amp;" Electrical Room "&amp;ROP</f>
        <v>G104 Electrical Room 0</v>
      </c>
      <c r="C108" s="225" t="str">
        <f>Suite&amp;" ROP "&amp;ROP</f>
        <v>G104 ROP 0</v>
      </c>
      <c r="D108" s="176" t="s">
        <v>2049</v>
      </c>
      <c r="E108" s="174" t="s">
        <v>1464</v>
      </c>
      <c r="F108" s="388"/>
      <c r="G108" s="174"/>
    </row>
    <row r="109" spans="1:7" ht="37.5" x14ac:dyDescent="0.25">
      <c r="A109" s="174">
        <f t="shared" si="0"/>
        <v>29</v>
      </c>
      <c r="B109" s="388" t="str">
        <f>Suite&amp;" Electrical Room "&amp;ROP</f>
        <v>G104 Electrical Room 0</v>
      </c>
      <c r="C109" s="225" t="str">
        <f>Suite&amp;" ROP "&amp;ROP</f>
        <v>G104 ROP 0</v>
      </c>
      <c r="D109" s="176" t="s">
        <v>2063</v>
      </c>
      <c r="E109" s="174" t="s">
        <v>1464</v>
      </c>
      <c r="F109" s="388"/>
      <c r="G109" s="174"/>
    </row>
    <row r="110" spans="1:7" ht="37.5" x14ac:dyDescent="0.25">
      <c r="A110" s="174">
        <f t="shared" si="0"/>
        <v>30</v>
      </c>
      <c r="B110" s="388" t="str">
        <f>Suite&amp;" Electrical Room "&amp;ROP</f>
        <v>G104 Electrical Room 0</v>
      </c>
      <c r="C110" s="225" t="str">
        <f>Suite&amp;" ROP "&amp;ROP</f>
        <v>G104 ROP 0</v>
      </c>
      <c r="D110" s="176" t="s">
        <v>2073</v>
      </c>
      <c r="E110" s="174" t="s">
        <v>1464</v>
      </c>
      <c r="F110" s="388"/>
      <c r="G110" s="174"/>
    </row>
    <row r="111" spans="1:7" ht="37.5" x14ac:dyDescent="0.3">
      <c r="A111" s="174">
        <f t="shared" si="0"/>
        <v>31</v>
      </c>
      <c r="B111" s="388" t="str">
        <f>Suite&amp;" Electrical Room "&amp;ROP</f>
        <v>G104 Electrical Room 0</v>
      </c>
      <c r="C111" s="225" t="str">
        <f>Suite&amp;" ROP "&amp;ROP</f>
        <v>G104 ROP 0</v>
      </c>
      <c r="D111" s="176" t="s">
        <v>2076</v>
      </c>
      <c r="E111" s="174" t="s">
        <v>1464</v>
      </c>
      <c r="F111" s="388"/>
      <c r="G111" s="199"/>
    </row>
    <row r="112" spans="1:7" ht="37.5" x14ac:dyDescent="0.3">
      <c r="A112" s="174">
        <f t="shared" si="0"/>
        <v>32</v>
      </c>
      <c r="B112" s="388" t="s">
        <v>724</v>
      </c>
      <c r="C112" s="388" t="str">
        <f>zSelectedEquipment</f>
        <v>G104-Gen-B</v>
      </c>
      <c r="D112" s="176" t="str">
        <f>"VERIFY GENERATOR " &amp;zSelectedEquipment&amp; " has completed the cool down cycle and is no longer operating before proceeding."</f>
        <v>VERIFY GENERATOR G104-Gen-B has completed the cool down cycle and is no longer operating before proceeding.</v>
      </c>
      <c r="E112" s="174" t="s">
        <v>1464</v>
      </c>
      <c r="F112" s="198"/>
      <c r="G112" s="199" t="s">
        <v>1519</v>
      </c>
    </row>
    <row r="113" spans="1:7" ht="37.5" x14ac:dyDescent="0.25">
      <c r="A113" s="174">
        <f t="shared" si="0"/>
        <v>33</v>
      </c>
      <c r="B113" s="388" t="s">
        <v>724</v>
      </c>
      <c r="C113" s="388" t="str">
        <f>zSelectedEquipment</f>
        <v>G104-Gen-B</v>
      </c>
      <c r="D113" s="176" t="s">
        <v>2015</v>
      </c>
      <c r="E113" s="174" t="s">
        <v>1464</v>
      </c>
      <c r="F113" s="388"/>
      <c r="G113" s="388" t="s">
        <v>1519</v>
      </c>
    </row>
    <row r="114" spans="1:7" x14ac:dyDescent="0.25">
      <c r="A114" s="174">
        <f t="shared" si="0"/>
        <v>34</v>
      </c>
      <c r="B114" s="716" t="str">
        <f>"Call Building "&amp;Building&amp;" back in"</f>
        <v>Call Building G back in</v>
      </c>
      <c r="C114" s="716"/>
      <c r="D114" s="716"/>
      <c r="E114" s="716"/>
      <c r="F114" s="716"/>
      <c r="G114" s="716"/>
    </row>
    <row r="115" spans="1:7" ht="37.5" x14ac:dyDescent="0.25">
      <c r="A115" s="174">
        <f t="shared" si="0"/>
        <v>35</v>
      </c>
      <c r="B115" s="388" t="s">
        <v>1462</v>
      </c>
      <c r="C115" s="388" t="s">
        <v>84</v>
      </c>
      <c r="D115" s="175" t="s">
        <v>2037</v>
      </c>
      <c r="E115" s="174" t="s">
        <v>1464</v>
      </c>
      <c r="F115" s="388"/>
      <c r="G115" s="388" t="s">
        <v>1519</v>
      </c>
    </row>
    <row r="116" spans="1:7" ht="37.5" x14ac:dyDescent="0.25">
      <c r="A116" s="174">
        <f t="shared" si="0"/>
        <v>36</v>
      </c>
      <c r="B116" s="388" t="s">
        <v>1462</v>
      </c>
      <c r="C116" s="388" t="s">
        <v>84</v>
      </c>
      <c r="D116" s="176" t="str">
        <f>"Building "&amp;Building&amp;" account number: "&amp;AccountNumber&amp;"   Passcode: "&amp;Passcode</f>
        <v>Building G account number: 0P3654   Passcode: 439</v>
      </c>
      <c r="E116" s="174" t="s">
        <v>1464</v>
      </c>
      <c r="F116" s="388"/>
      <c r="G116" s="388" t="s">
        <v>1519</v>
      </c>
    </row>
    <row r="117" spans="1:7" ht="37.5" x14ac:dyDescent="0.25">
      <c r="A117" s="174">
        <f t="shared" si="0"/>
        <v>37</v>
      </c>
      <c r="B117" s="388" t="s">
        <v>1462</v>
      </c>
      <c r="C117" s="388" t="s">
        <v>84</v>
      </c>
      <c r="D117" s="176" t="s">
        <v>2025</v>
      </c>
      <c r="E117" s="174" t="s">
        <v>1464</v>
      </c>
      <c r="F117" s="388"/>
      <c r="G117" s="388" t="s">
        <v>1519</v>
      </c>
    </row>
  </sheetData>
  <sheetProtection formatCells="0" formatColumns="0" formatRows="0" insertRows="0" deleteRows="0" sort="0" autoFilter="0"/>
  <mergeCells count="8">
    <mergeCell ref="B114:G114"/>
    <mergeCell ref="A2:B2"/>
    <mergeCell ref="A4:C4"/>
    <mergeCell ref="B6:G6"/>
    <mergeCell ref="B11:G11"/>
    <mergeCell ref="B52:G52"/>
    <mergeCell ref="B86:G86"/>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15F4E-1EA8-47AF-B93B-7C0D4866E4B2}">
  <sheetPr codeName="Gen_Run_POD_2">
    <pageSetUpPr fitToPage="1"/>
  </sheetPr>
  <dimension ref="A1:O94"/>
  <sheetViews>
    <sheetView view="pageBreakPreview" topLeftCell="A74" zoomScale="90" zoomScaleNormal="100" zoomScaleSheetLayoutView="90" workbookViewId="0">
      <selection activeCell="I9" sqref="I9"/>
    </sheetView>
  </sheetViews>
  <sheetFormatPr defaultColWidth="8.85546875" defaultRowHeight="15.75" x14ac:dyDescent="0.25"/>
  <cols>
    <col min="1" max="1" width="6.85546875" style="3" customWidth="1"/>
    <col min="2" max="2" width="19.5703125" style="3" customWidth="1"/>
    <col min="3" max="3" width="15.42578125" style="3" customWidth="1"/>
    <col min="4" max="4" width="87.42578125" style="3" customWidth="1"/>
    <col min="5" max="5" width="22.140625" style="3" bestFit="1" customWidth="1"/>
    <col min="6" max="6" width="13.85546875" style="3" bestFit="1" customWidth="1"/>
    <col min="7" max="7" width="10.42578125" style="3" customWidth="1"/>
    <col min="8" max="16384" width="8.85546875" style="3"/>
  </cols>
  <sheetData>
    <row r="1" spans="1:9" customFormat="1" ht="18.75" x14ac:dyDescent="0.25">
      <c r="A1" s="172" t="s">
        <v>1454</v>
      </c>
      <c r="B1" s="172"/>
      <c r="C1" s="173"/>
      <c r="D1" s="173"/>
      <c r="E1" s="173"/>
      <c r="F1" s="173"/>
      <c r="G1" s="173"/>
    </row>
    <row r="2" spans="1:9" customFormat="1" ht="18.75" customHeight="1" x14ac:dyDescent="0.25">
      <c r="A2" s="705" t="s">
        <v>42</v>
      </c>
      <c r="B2" s="705"/>
      <c r="C2" s="708" t="str">
        <f>zTaskName</f>
        <v>Routine Generator run with no load transfer</v>
      </c>
      <c r="D2" s="709"/>
      <c r="E2" s="709"/>
      <c r="F2" s="709"/>
      <c r="G2" s="710"/>
    </row>
    <row r="3" spans="1:9" customFormat="1" ht="9.9499999999999993" customHeight="1" x14ac:dyDescent="0.25">
      <c r="A3" s="459"/>
      <c r="B3" s="460"/>
      <c r="C3" s="461"/>
      <c r="D3" s="461"/>
      <c r="E3" s="461"/>
      <c r="F3" s="461"/>
      <c r="G3" s="462"/>
    </row>
    <row r="4" spans="1:9" customFormat="1"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ht="18.75" x14ac:dyDescent="0.25">
      <c r="A6" s="174">
        <v>1</v>
      </c>
      <c r="B6" s="716" t="str">
        <f>"Call out Building "&amp;Building</f>
        <v>Call out Building G</v>
      </c>
      <c r="C6" s="716"/>
      <c r="D6" s="716"/>
      <c r="E6" s="716"/>
      <c r="F6" s="716"/>
      <c r="G6" s="716"/>
    </row>
    <row r="7" spans="1:9" ht="37.5" x14ac:dyDescent="0.25">
      <c r="A7" s="174">
        <v>2</v>
      </c>
      <c r="B7" s="388" t="s">
        <v>1462</v>
      </c>
      <c r="C7" s="388" t="s">
        <v>84</v>
      </c>
      <c r="D7" s="175" t="s">
        <v>2077</v>
      </c>
      <c r="E7" s="174" t="s">
        <v>1464</v>
      </c>
      <c r="F7" s="388"/>
      <c r="G7" s="388" t="s">
        <v>1519</v>
      </c>
    </row>
    <row r="8" spans="1:9" ht="37.5" x14ac:dyDescent="0.25">
      <c r="A8" s="174">
        <v>3</v>
      </c>
      <c r="B8" s="388" t="s">
        <v>1462</v>
      </c>
      <c r="C8" s="388" t="s">
        <v>84</v>
      </c>
      <c r="D8" s="175" t="s">
        <v>2078</v>
      </c>
      <c r="E8" s="174" t="s">
        <v>1464</v>
      </c>
      <c r="F8" s="388"/>
      <c r="G8" s="388" t="s">
        <v>1519</v>
      </c>
    </row>
    <row r="9" spans="1:9" ht="37.5" x14ac:dyDescent="0.25">
      <c r="A9" s="174">
        <f>A8+1</f>
        <v>4</v>
      </c>
      <c r="B9" s="388" t="s">
        <v>1462</v>
      </c>
      <c r="C9" s="388" t="s">
        <v>84</v>
      </c>
      <c r="D9" s="175" t="s">
        <v>2006</v>
      </c>
      <c r="E9" s="174" t="s">
        <v>1464</v>
      </c>
      <c r="F9" s="388"/>
      <c r="G9" s="388" t="s">
        <v>1519</v>
      </c>
    </row>
    <row r="10" spans="1:9" ht="18.75" hidden="1" x14ac:dyDescent="0.25">
      <c r="A10" s="174">
        <v>5</v>
      </c>
      <c r="B10" s="716" t="str" cm="1">
        <f t="array" ref="B10">"Place SW" &amp; GenRunUPS1 &amp; " &amp; SW" &amp; GenRunUPS2 &amp; " onto "&amp;zSelectedEquipment&amp;" for a loaded generator run"</f>
        <v>Place SWA &amp; SWB onto G104-Gen-B for a loaded generator run</v>
      </c>
      <c r="C10" s="716"/>
      <c r="D10" s="716"/>
      <c r="E10" s="716"/>
      <c r="F10" s="716"/>
      <c r="G10" s="716"/>
      <c r="H10" s="78"/>
    </row>
    <row r="11" spans="1:9" ht="37.5" hidden="1" x14ac:dyDescent="0.3">
      <c r="A11" s="174">
        <f>A10+1</f>
        <v>6</v>
      </c>
      <c r="B11" s="388" t="str" cm="1">
        <f t="array" ref="B11">Suite &amp; " Utility Input Room"</f>
        <v>G104 Utility Input Room</v>
      </c>
      <c r="C11" s="285" t="s">
        <v>598</v>
      </c>
      <c r="D11" s="287" t="s">
        <v>2079</v>
      </c>
      <c r="E11" s="179" t="s">
        <v>1464</v>
      </c>
      <c r="F11" s="198"/>
      <c r="G11" s="388" t="s">
        <v>1519</v>
      </c>
      <c r="H11" s="78"/>
    </row>
    <row r="12" spans="1:9" ht="37.5" hidden="1" x14ac:dyDescent="0.3">
      <c r="A12" s="174">
        <f t="shared" ref="A12:A73" si="0">A11+1</f>
        <v>7</v>
      </c>
      <c r="B12" s="388" t="str" cm="1">
        <f t="array" ref="B12">Suite &amp; " Utility Input Room"</f>
        <v>G104 Utility Input Room</v>
      </c>
      <c r="C12" s="285" t="s">
        <v>598</v>
      </c>
      <c r="D12" s="287" t="s">
        <v>2080</v>
      </c>
      <c r="E12" s="179" t="s">
        <v>1464</v>
      </c>
      <c r="F12" s="198"/>
      <c r="G12" s="388" t="s">
        <v>1519</v>
      </c>
      <c r="H12" s="78"/>
    </row>
    <row r="13" spans="1:9" ht="37.5" hidden="1" x14ac:dyDescent="0.3">
      <c r="A13" s="174">
        <f t="shared" si="0"/>
        <v>8</v>
      </c>
      <c r="B13" s="388" t="str" cm="1">
        <f t="array" ref="B13">Suite &amp; " Utility Input Room"</f>
        <v>G104 Utility Input Room</v>
      </c>
      <c r="C13" s="285" t="s">
        <v>598</v>
      </c>
      <c r="D13" s="287" t="s">
        <v>2081</v>
      </c>
      <c r="E13" s="179" t="s">
        <v>1464</v>
      </c>
      <c r="F13" s="198"/>
      <c r="G13" s="388" t="s">
        <v>1519</v>
      </c>
      <c r="H13" s="78"/>
    </row>
    <row r="14" spans="1:9" ht="37.5" hidden="1" x14ac:dyDescent="0.3">
      <c r="A14" s="174">
        <f t="shared" si="0"/>
        <v>9</v>
      </c>
      <c r="B14" s="388" t="str" cm="1">
        <f t="array" ref="B14">Suite &amp; " Utility Input Room"</f>
        <v>G104 Utility Input Room</v>
      </c>
      <c r="C14" s="285" t="s">
        <v>598</v>
      </c>
      <c r="D14" s="287" t="s">
        <v>2082</v>
      </c>
      <c r="E14" s="179" t="s">
        <v>1464</v>
      </c>
      <c r="F14" s="198"/>
      <c r="G14" s="388" t="s">
        <v>1519</v>
      </c>
      <c r="H14" s="78"/>
    </row>
    <row r="15" spans="1:9" ht="37.5" hidden="1" x14ac:dyDescent="0.3">
      <c r="A15" s="174">
        <f t="shared" si="0"/>
        <v>10</v>
      </c>
      <c r="B15" s="388" t="str" cm="1">
        <f t="array" ref="B15">Suite &amp; " Utility Input Room"</f>
        <v>G104 Utility Input Room</v>
      </c>
      <c r="C15" s="285" t="s">
        <v>598</v>
      </c>
      <c r="D15" s="287" t="s">
        <v>2083</v>
      </c>
      <c r="E15" s="179" t="s">
        <v>1464</v>
      </c>
      <c r="F15" s="198"/>
      <c r="G15" s="388" t="s">
        <v>1519</v>
      </c>
      <c r="H15" s="78"/>
    </row>
    <row r="16" spans="1:9" ht="37.5" hidden="1" x14ac:dyDescent="0.3">
      <c r="A16" s="174">
        <f t="shared" si="0"/>
        <v>11</v>
      </c>
      <c r="B16" s="388" t="s">
        <v>1462</v>
      </c>
      <c r="C16" s="180" t="s">
        <v>84</v>
      </c>
      <c r="D16" s="175" t="str">
        <f>"Contact the engineer stationed on base to verify no abnormal conditions exist on the suite " &amp; Suite &amp; " electrical systems."</f>
        <v>Contact the engineer stationed on base to verify no abnormal conditions exist on the suite G104 electrical systems.</v>
      </c>
      <c r="E16" s="179" t="s">
        <v>1464</v>
      </c>
      <c r="F16" s="198"/>
      <c r="G16" s="199" t="s">
        <v>1519</v>
      </c>
      <c r="H16" s="78"/>
    </row>
    <row r="17" spans="1:8" ht="37.5" hidden="1" x14ac:dyDescent="0.3">
      <c r="A17" s="174">
        <f t="shared" si="0"/>
        <v>12</v>
      </c>
      <c r="B17" s="388" t="str">
        <f>Suite&amp;" Electrical Rooms"</f>
        <v>G104 Electrical Rooms</v>
      </c>
      <c r="C17" s="284" t="s">
        <v>2084</v>
      </c>
      <c r="D17" s="175" t="s">
        <v>2085</v>
      </c>
      <c r="E17" s="179" t="s">
        <v>1464</v>
      </c>
      <c r="F17" s="388" t="s">
        <v>1519</v>
      </c>
      <c r="G17" s="199" t="s">
        <v>1519</v>
      </c>
      <c r="H17" s="78"/>
    </row>
    <row r="18" spans="1:8" ht="37.5" hidden="1" x14ac:dyDescent="0.3">
      <c r="A18" s="174">
        <f t="shared" si="0"/>
        <v>13</v>
      </c>
      <c r="B18" s="388" t="str">
        <f>Suite&amp;" Electrical Room "&amp; GenRunUPS2</f>
        <v>G104 Electrical Room B</v>
      </c>
      <c r="C18" s="285" t="str">
        <f>" UP"&amp; GenRunUPS2</f>
        <v xml:space="preserve"> UPB</v>
      </c>
      <c r="D18" s="175" t="s">
        <v>2101</v>
      </c>
      <c r="E18" s="179" t="s">
        <v>1464</v>
      </c>
      <c r="F18" s="388" t="s">
        <v>1519</v>
      </c>
      <c r="G18" s="199" t="s">
        <v>1519</v>
      </c>
      <c r="H18" s="78"/>
    </row>
    <row r="19" spans="1:8" ht="37.5" hidden="1" x14ac:dyDescent="0.3">
      <c r="A19" s="174">
        <f t="shared" si="0"/>
        <v>14</v>
      </c>
      <c r="B19" s="388" t="str">
        <f>Suite&amp;" Electrical Room "&amp; GenRunUPS2</f>
        <v>G104 Electrical Room B</v>
      </c>
      <c r="C19" s="285" t="str">
        <f>" UP"&amp; GenRunUPS2</f>
        <v xml:space="preserve"> UPB</v>
      </c>
      <c r="D19" s="175" t="s">
        <v>2086</v>
      </c>
      <c r="E19" s="179" t="s">
        <v>1464</v>
      </c>
      <c r="F19" s="388" t="s">
        <v>1519</v>
      </c>
      <c r="G19" s="199" t="s">
        <v>1519</v>
      </c>
      <c r="H19" s="78"/>
    </row>
    <row r="20" spans="1:8" ht="37.5" hidden="1" x14ac:dyDescent="0.25">
      <c r="A20" s="174">
        <f t="shared" si="0"/>
        <v>15</v>
      </c>
      <c r="B20" s="388" t="str" cm="1">
        <f t="array" ref="B20">Suite &amp; " Utility Input Room"</f>
        <v>G104 Utility Input Room</v>
      </c>
      <c r="C20" s="285" t="str">
        <f>" SW1"</f>
        <v xml:space="preserve"> SW1</v>
      </c>
      <c r="D20" s="175" t="s">
        <v>2087</v>
      </c>
      <c r="E20" s="179" t="s">
        <v>1464</v>
      </c>
      <c r="F20" s="388"/>
      <c r="G20" s="388" t="s">
        <v>1519</v>
      </c>
      <c r="H20" s="78"/>
    </row>
    <row r="21" spans="1:8" ht="37.5" hidden="1" x14ac:dyDescent="0.25">
      <c r="A21" s="174">
        <f t="shared" si="0"/>
        <v>16</v>
      </c>
      <c r="B21" s="388" t="str" cm="1">
        <f t="array" ref="B21">Suite &amp; " Utility Input Room"</f>
        <v>G104 Utility Input Room</v>
      </c>
      <c r="C21" s="285" t="s">
        <v>2088</v>
      </c>
      <c r="D21" s="175" t="s">
        <v>2089</v>
      </c>
      <c r="E21" s="179" t="s">
        <v>1464</v>
      </c>
      <c r="F21" s="388"/>
      <c r="G21" s="174"/>
      <c r="H21" s="78"/>
    </row>
    <row r="22" spans="1:8" ht="37.5" hidden="1" x14ac:dyDescent="0.25">
      <c r="A22" s="174">
        <f t="shared" si="0"/>
        <v>17</v>
      </c>
      <c r="B22" s="388" t="str" cm="1">
        <f t="array" ref="B22">Suite &amp; " Utility Input Room"</f>
        <v>G104 Utility Input Room</v>
      </c>
      <c r="C22" s="285" t="s">
        <v>2088</v>
      </c>
      <c r="D22" s="175" t="s">
        <v>2090</v>
      </c>
      <c r="E22" s="179" t="s">
        <v>1464</v>
      </c>
      <c r="F22" s="388"/>
      <c r="G22" s="388" t="s">
        <v>1519</v>
      </c>
      <c r="H22" s="78"/>
    </row>
    <row r="23" spans="1:8" ht="37.5" hidden="1" x14ac:dyDescent="0.25">
      <c r="A23" s="174">
        <f t="shared" si="0"/>
        <v>18</v>
      </c>
      <c r="B23" s="388" t="str" cm="1">
        <f t="array" ref="B23">Suite &amp; " Utility Input Room"</f>
        <v>G104 Utility Input Room</v>
      </c>
      <c r="C23" s="285" t="s">
        <v>2088</v>
      </c>
      <c r="D23" s="175" t="s">
        <v>2091</v>
      </c>
      <c r="E23" s="179" t="s">
        <v>1464</v>
      </c>
      <c r="F23" s="388"/>
      <c r="G23" s="388" t="s">
        <v>1519</v>
      </c>
      <c r="H23" s="78"/>
    </row>
    <row r="24" spans="1:8" ht="37.5" hidden="1" x14ac:dyDescent="0.25">
      <c r="A24" s="174">
        <f t="shared" si="0"/>
        <v>19</v>
      </c>
      <c r="B24" s="388" t="str" cm="1">
        <f t="array" ref="B24">Suite &amp; " Utility Input Room"</f>
        <v>G104 Utility Input Room</v>
      </c>
      <c r="C24" s="285" t="s">
        <v>2088</v>
      </c>
      <c r="D24" s="175" t="s">
        <v>2092</v>
      </c>
      <c r="E24" s="179" t="s">
        <v>1464</v>
      </c>
      <c r="F24" s="388"/>
      <c r="G24" s="388" t="s">
        <v>1519</v>
      </c>
      <c r="H24" s="78"/>
    </row>
    <row r="25" spans="1:8" ht="37.5" hidden="1" x14ac:dyDescent="0.25">
      <c r="A25" s="174">
        <f t="shared" si="0"/>
        <v>20</v>
      </c>
      <c r="B25" s="388" t="str" cm="1">
        <f t="array" ref="B25">Suite &amp; " Utility Input Room"</f>
        <v>G104 Utility Input Room</v>
      </c>
      <c r="C25" s="285" t="s">
        <v>2088</v>
      </c>
      <c r="D25" s="175" t="s">
        <v>1562</v>
      </c>
      <c r="E25" s="179" t="s">
        <v>1464</v>
      </c>
      <c r="F25" s="388"/>
      <c r="G25" s="388"/>
      <c r="H25" s="78"/>
    </row>
    <row r="26" spans="1:8" ht="37.5" hidden="1" x14ac:dyDescent="0.25">
      <c r="A26" s="174">
        <f t="shared" si="0"/>
        <v>21</v>
      </c>
      <c r="B26" s="388" t="str" cm="1">
        <f t="array" ref="B26">Suite &amp; " Utility Input Room"</f>
        <v>G104 Utility Input Room</v>
      </c>
      <c r="C26" s="285" t="s">
        <v>2088</v>
      </c>
      <c r="D26" s="175" t="s">
        <v>2093</v>
      </c>
      <c r="E26" s="179" t="s">
        <v>1464</v>
      </c>
      <c r="F26" s="388"/>
      <c r="G26" s="388" t="s">
        <v>1519</v>
      </c>
      <c r="H26" s="78"/>
    </row>
    <row r="27" spans="1:8" ht="37.5" hidden="1" x14ac:dyDescent="0.25">
      <c r="A27" s="174">
        <f t="shared" si="0"/>
        <v>22</v>
      </c>
      <c r="B27" s="388" t="str" cm="1">
        <f t="array" ref="B27">Suite &amp; " Utility Input Room"</f>
        <v>G104 Utility Input Room</v>
      </c>
      <c r="C27" s="285" t="s">
        <v>2094</v>
      </c>
      <c r="D27" s="175" t="s">
        <v>2095</v>
      </c>
      <c r="E27" s="179" t="s">
        <v>1464</v>
      </c>
      <c r="F27" s="388"/>
      <c r="G27" s="388" t="s">
        <v>1519</v>
      </c>
      <c r="H27" s="78"/>
    </row>
    <row r="28" spans="1:8" ht="37.5" hidden="1" x14ac:dyDescent="0.25">
      <c r="A28" s="174">
        <f t="shared" si="0"/>
        <v>23</v>
      </c>
      <c r="B28" s="388" t="str" cm="1">
        <f t="array" ref="B28">Suite &amp; " Utility Input Room"</f>
        <v>G104 Utility Input Room</v>
      </c>
      <c r="C28" s="285" t="s">
        <v>598</v>
      </c>
      <c r="D28" s="175" t="s">
        <v>2096</v>
      </c>
      <c r="E28" s="179" t="s">
        <v>1464</v>
      </c>
      <c r="F28" s="388"/>
      <c r="G28" s="174"/>
      <c r="H28" s="78"/>
    </row>
    <row r="29" spans="1:8" ht="56.25" hidden="1" x14ac:dyDescent="0.25">
      <c r="A29" s="174">
        <f t="shared" si="0"/>
        <v>24</v>
      </c>
      <c r="B29" s="388" t="str" cm="1">
        <f t="array" ref="B29">Suite &amp; " Utility Input Room"</f>
        <v>G104 Utility Input Room</v>
      </c>
      <c r="C29" s="285" t="s">
        <v>598</v>
      </c>
      <c r="D29" s="175" t="s">
        <v>2097</v>
      </c>
      <c r="E29" s="179" t="s">
        <v>1464</v>
      </c>
      <c r="F29" s="388"/>
      <c r="G29" s="388" t="s">
        <v>2098</v>
      </c>
      <c r="H29" s="78"/>
    </row>
    <row r="30" spans="1:8" ht="37.5" hidden="1" x14ac:dyDescent="0.25">
      <c r="A30" s="174">
        <f t="shared" si="0"/>
        <v>25</v>
      </c>
      <c r="B30" s="388" t="str" cm="1">
        <f t="array" ref="B30">Suite &amp; " Utility Input Room"</f>
        <v>G104 Utility Input Room</v>
      </c>
      <c r="C30" s="285" t="s">
        <v>598</v>
      </c>
      <c r="D30" s="175" t="s">
        <v>2099</v>
      </c>
      <c r="E30" s="179" t="s">
        <v>1464</v>
      </c>
      <c r="F30" s="388"/>
      <c r="G30" s="388" t="s">
        <v>1519</v>
      </c>
      <c r="H30" s="78"/>
    </row>
    <row r="31" spans="1:8" ht="37.5" hidden="1" x14ac:dyDescent="0.25">
      <c r="A31" s="174">
        <f t="shared" si="0"/>
        <v>26</v>
      </c>
      <c r="B31" s="388" t="str" cm="1">
        <f t="array" ref="B31">Suite &amp; " Utility Input Room"</f>
        <v>G104 Utility Input Room</v>
      </c>
      <c r="C31" s="285" t="s">
        <v>598</v>
      </c>
      <c r="D31" s="175" t="s">
        <v>2100</v>
      </c>
      <c r="E31" s="179" t="s">
        <v>1464</v>
      </c>
      <c r="F31" s="388"/>
      <c r="G31" s="388" t="s">
        <v>1519</v>
      </c>
      <c r="H31" s="78"/>
    </row>
    <row r="32" spans="1:8" ht="37.5" hidden="1" x14ac:dyDescent="0.25">
      <c r="A32" s="174">
        <f t="shared" si="0"/>
        <v>27</v>
      </c>
      <c r="B32" s="388" t="str">
        <f>Suite&amp;" Electrical Rooms"</f>
        <v>G104 Electrical Rooms</v>
      </c>
      <c r="C32" s="284" t="s">
        <v>2084</v>
      </c>
      <c r="D32" s="175" t="s">
        <v>2085</v>
      </c>
      <c r="E32" s="179" t="s">
        <v>1464</v>
      </c>
      <c r="F32" s="388"/>
      <c r="G32" s="388" t="s">
        <v>1519</v>
      </c>
      <c r="H32" s="78"/>
    </row>
    <row r="33" spans="1:15" ht="37.5" hidden="1" x14ac:dyDescent="0.3">
      <c r="A33" s="174">
        <f t="shared" si="0"/>
        <v>28</v>
      </c>
      <c r="B33" s="388" t="str">
        <f>Suite&amp;" Electrical Room "&amp; GenRunUPS1</f>
        <v>G104 Electrical Room A</v>
      </c>
      <c r="C33" s="285" t="str">
        <f>" UP"&amp; GenRunUPS1</f>
        <v xml:space="preserve"> UPA</v>
      </c>
      <c r="D33" s="175" t="s">
        <v>2101</v>
      </c>
      <c r="E33" s="179" t="s">
        <v>1464</v>
      </c>
      <c r="F33" s="198"/>
      <c r="G33" s="388" t="s">
        <v>1519</v>
      </c>
      <c r="H33" s="78"/>
    </row>
    <row r="34" spans="1:15" ht="37.5" hidden="1" x14ac:dyDescent="0.3">
      <c r="A34" s="174">
        <f t="shared" si="0"/>
        <v>29</v>
      </c>
      <c r="B34" s="388" t="str">
        <f>Suite&amp;" Electrical Room "&amp; GenRunUPS1</f>
        <v>G104 Electrical Room A</v>
      </c>
      <c r="C34" s="285" t="str">
        <f>" UP"&amp; GenRunUPS1</f>
        <v xml:space="preserve"> UPA</v>
      </c>
      <c r="D34" s="175" t="str">
        <f>"Verify the readings in step " &amp; A18 &amp; " and " &amp; A33 &amp; " are within 3% of each other. (new kW divided by original kW must be ≤1.03 and ≥0.97)."</f>
        <v>Verify the readings in step 13 and 28 are within 3% of each other. (new kW divided by original kW must be ≤1.03 and ≥0.97).</v>
      </c>
      <c r="E34" s="179" t="s">
        <v>1464</v>
      </c>
      <c r="F34" s="198"/>
      <c r="G34" s="388" t="s">
        <v>1519</v>
      </c>
      <c r="H34" s="78"/>
    </row>
    <row r="35" spans="1:15" ht="37.5" hidden="1" x14ac:dyDescent="0.3">
      <c r="A35" s="174">
        <f t="shared" si="0"/>
        <v>30</v>
      </c>
      <c r="B35" s="388" t="str">
        <f>Suite&amp;" Electrical Room "&amp; GenRunUPS2</f>
        <v>G104 Electrical Room B</v>
      </c>
      <c r="C35" s="285" t="str">
        <f>" UP"&amp; GenRunUPS2</f>
        <v xml:space="preserve"> UPB</v>
      </c>
      <c r="D35" s="175" t="s">
        <v>2086</v>
      </c>
      <c r="E35" s="179" t="s">
        <v>1464</v>
      </c>
      <c r="F35" s="198"/>
      <c r="G35" s="388" t="s">
        <v>1519</v>
      </c>
      <c r="H35" s="78"/>
      <c r="O35" s="286"/>
    </row>
    <row r="36" spans="1:15" ht="37.5" hidden="1" x14ac:dyDescent="0.3">
      <c r="A36" s="174">
        <f t="shared" si="0"/>
        <v>31</v>
      </c>
      <c r="B36" s="388" t="str">
        <f>Suite&amp;" Electrical Room "&amp; GenRunUPS2</f>
        <v>G104 Electrical Room B</v>
      </c>
      <c r="C36" s="285" t="str">
        <f>" UP"&amp; GenRunUPS2</f>
        <v xml:space="preserve"> UPB</v>
      </c>
      <c r="D36" s="175" t="str">
        <f>"Verify the readings in step " &amp; A19 &amp; " and " &amp; A35 &amp; " are within 3% of each other. (new kW divided by original kW must be ≤1.03 and ≥0.97)."</f>
        <v>Verify the readings in step 14 and 30 are within 3% of each other. (new kW divided by original kW must be ≤1.03 and ≥0.97).</v>
      </c>
      <c r="E36" s="179" t="s">
        <v>1464</v>
      </c>
      <c r="F36" s="198"/>
      <c r="G36" s="388" t="s">
        <v>1519</v>
      </c>
      <c r="H36" s="78"/>
      <c r="O36" s="286"/>
    </row>
    <row r="37" spans="1:15" ht="37.5" hidden="1" x14ac:dyDescent="0.3">
      <c r="A37" s="174">
        <f t="shared" si="0"/>
        <v>32</v>
      </c>
      <c r="B37" s="388" t="str" cm="1">
        <f t="array" ref="B37">Suite &amp; " Utility Input Room"</f>
        <v>G104 Utility Input Room</v>
      </c>
      <c r="C37" s="285" t="s">
        <v>598</v>
      </c>
      <c r="D37" s="175" t="s">
        <v>2087</v>
      </c>
      <c r="E37" s="179" t="s">
        <v>1464</v>
      </c>
      <c r="F37" s="198"/>
      <c r="G37" s="388" t="s">
        <v>1519</v>
      </c>
      <c r="H37" s="78"/>
      <c r="O37" s="286"/>
    </row>
    <row r="38" spans="1:15" ht="37.5" hidden="1" x14ac:dyDescent="0.3">
      <c r="A38" s="174">
        <f t="shared" si="0"/>
        <v>33</v>
      </c>
      <c r="B38" s="388" t="str" cm="1">
        <f t="array" ref="B38">Suite &amp; " Utility Input Room"</f>
        <v>G104 Utility Input Room</v>
      </c>
      <c r="C38" s="285" t="s">
        <v>598</v>
      </c>
      <c r="D38" s="175" t="str">
        <f>"Verify the readings in step " &amp; A20 &amp; " and " &amp; A37 &amp; " are within 3% of each other. (new kW divided by original kW must be ≤1.03 and ≥0.97)."</f>
        <v>Verify the readings in step 15 and 32 are within 3% of each other. (new kW divided by original kW must be ≤1.03 and ≥0.97).</v>
      </c>
      <c r="E38" s="179" t="s">
        <v>1464</v>
      </c>
      <c r="F38" s="198"/>
      <c r="G38" s="388" t="s">
        <v>1519</v>
      </c>
      <c r="H38" s="78"/>
      <c r="O38" s="286"/>
    </row>
    <row r="39" spans="1:15" ht="37.5" hidden="1" x14ac:dyDescent="0.3">
      <c r="A39" s="174">
        <f t="shared" si="0"/>
        <v>34</v>
      </c>
      <c r="B39" s="388" t="str" cm="1">
        <f t="array" ref="B39">Suite &amp; " Utility Input Room"</f>
        <v>G104 Utility Input Room</v>
      </c>
      <c r="C39" s="285" t="s">
        <v>598</v>
      </c>
      <c r="D39" s="287" t="s">
        <v>2102</v>
      </c>
      <c r="E39" s="179" t="s">
        <v>1464</v>
      </c>
      <c r="F39" s="198"/>
      <c r="G39" s="388" t="s">
        <v>1519</v>
      </c>
      <c r="H39" s="78"/>
    </row>
    <row r="40" spans="1:15" ht="37.5" hidden="1" x14ac:dyDescent="0.3">
      <c r="A40" s="174">
        <f t="shared" si="0"/>
        <v>35</v>
      </c>
      <c r="B40" s="388" t="str" cm="1">
        <f t="array" ref="B40">Suite &amp; " Utility Input Room"</f>
        <v>G104 Utility Input Room</v>
      </c>
      <c r="C40" s="285" t="s">
        <v>598</v>
      </c>
      <c r="D40" s="287" t="s">
        <v>2103</v>
      </c>
      <c r="E40" s="179" t="s">
        <v>1464</v>
      </c>
      <c r="F40" s="198"/>
      <c r="G40" s="388" t="s">
        <v>1519</v>
      </c>
      <c r="H40" s="78"/>
    </row>
    <row r="41" spans="1:15" ht="37.5" hidden="1" x14ac:dyDescent="0.3">
      <c r="A41" s="174">
        <f t="shared" si="0"/>
        <v>36</v>
      </c>
      <c r="B41" s="388" t="str" cm="1">
        <f t="array" ref="B41">Suite &amp; " Utility Input Room"</f>
        <v>G104 Utility Input Room</v>
      </c>
      <c r="C41" s="285" t="s">
        <v>598</v>
      </c>
      <c r="D41" s="287" t="s">
        <v>2081</v>
      </c>
      <c r="E41" s="179" t="s">
        <v>1464</v>
      </c>
      <c r="F41" s="198"/>
      <c r="G41" s="388" t="s">
        <v>1519</v>
      </c>
      <c r="H41" s="78"/>
    </row>
    <row r="42" spans="1:15" ht="37.5" hidden="1" x14ac:dyDescent="0.3">
      <c r="A42" s="174">
        <f t="shared" si="0"/>
        <v>37</v>
      </c>
      <c r="B42" s="388" t="str" cm="1">
        <f t="array" ref="B42">Suite &amp; " Utility Input Room"</f>
        <v>G104 Utility Input Room</v>
      </c>
      <c r="C42" s="285" t="s">
        <v>598</v>
      </c>
      <c r="D42" s="287" t="s">
        <v>2082</v>
      </c>
      <c r="E42" s="179" t="s">
        <v>1464</v>
      </c>
      <c r="F42" s="198"/>
      <c r="G42" s="388" t="s">
        <v>1519</v>
      </c>
      <c r="H42" s="78"/>
    </row>
    <row r="43" spans="1:15" ht="37.5" hidden="1" x14ac:dyDescent="0.3">
      <c r="A43" s="174">
        <f t="shared" si="0"/>
        <v>38</v>
      </c>
      <c r="B43" s="388" t="str" cm="1">
        <f t="array" ref="B43">Suite &amp; " Utility Input Room"</f>
        <v>G104 Utility Input Room</v>
      </c>
      <c r="C43" s="285" t="s">
        <v>598</v>
      </c>
      <c r="D43" s="287" t="s">
        <v>2083</v>
      </c>
      <c r="E43" s="179" t="s">
        <v>1464</v>
      </c>
      <c r="F43" s="198"/>
      <c r="G43" s="388" t="s">
        <v>1519</v>
      </c>
      <c r="H43" s="78"/>
    </row>
    <row r="44" spans="1:15" ht="37.5" hidden="1" x14ac:dyDescent="0.3">
      <c r="A44" s="174">
        <f t="shared" si="0"/>
        <v>39</v>
      </c>
      <c r="B44" s="388" t="s">
        <v>724</v>
      </c>
      <c r="C44" s="180" t="str">
        <f>zSelectedEquipment</f>
        <v>G104-Gen-B</v>
      </c>
      <c r="D44" s="175" t="s">
        <v>2030</v>
      </c>
      <c r="E44" s="179" t="s">
        <v>1464</v>
      </c>
      <c r="F44" s="198"/>
      <c r="G44" s="388"/>
      <c r="H44" s="78"/>
    </row>
    <row r="45" spans="1:15" ht="37.5" hidden="1" x14ac:dyDescent="0.3">
      <c r="A45" s="174">
        <f t="shared" si="0"/>
        <v>40</v>
      </c>
      <c r="B45" s="388" t="s">
        <v>724</v>
      </c>
      <c r="C45" s="180" t="str">
        <f>zSelectedEquipment</f>
        <v>G104-Gen-B</v>
      </c>
      <c r="D45" s="175" t="s">
        <v>2061</v>
      </c>
      <c r="E45" s="179" t="s">
        <v>1464</v>
      </c>
      <c r="F45" s="198"/>
      <c r="G45" s="388"/>
      <c r="H45" s="78"/>
    </row>
    <row r="46" spans="1:15" ht="18.75" hidden="1" x14ac:dyDescent="0.25">
      <c r="A46" s="174">
        <f t="shared" si="0"/>
        <v>41</v>
      </c>
      <c r="B46" s="716" t="str">
        <f>"Re-transfer SW" &amp; GenRunUPS1 &amp; " &amp; SW" &amp; GenRunUPS2 &amp; " to Utility Power"</f>
        <v>Re-transfer SWA &amp; SWB to Utility Power</v>
      </c>
      <c r="C46" s="716"/>
      <c r="D46" s="716"/>
      <c r="E46" s="716"/>
      <c r="F46" s="716"/>
      <c r="G46" s="716"/>
      <c r="H46" s="78"/>
    </row>
    <row r="47" spans="1:15" ht="37.5" hidden="1" x14ac:dyDescent="0.3">
      <c r="A47" s="174">
        <f t="shared" si="0"/>
        <v>42</v>
      </c>
      <c r="B47" s="388" t="str">
        <f>Suite&amp;" Electrical Rooms"</f>
        <v>G104 Electrical Rooms</v>
      </c>
      <c r="C47" s="284" t="s">
        <v>2084</v>
      </c>
      <c r="D47" s="175" t="s">
        <v>2085</v>
      </c>
      <c r="E47" s="179" t="s">
        <v>1464</v>
      </c>
      <c r="F47" s="198"/>
      <c r="G47" s="388" t="s">
        <v>1519</v>
      </c>
      <c r="H47" s="78"/>
    </row>
    <row r="48" spans="1:15" ht="37.5" hidden="1" x14ac:dyDescent="0.3">
      <c r="A48" s="174">
        <f t="shared" si="0"/>
        <v>43</v>
      </c>
      <c r="B48" s="388" t="str">
        <f>Suite&amp;" Electrical Room "&amp; GenRunUPS1</f>
        <v>G104 Electrical Room A</v>
      </c>
      <c r="C48" s="285" t="str">
        <f>" UP"&amp; GenRunUPS1</f>
        <v xml:space="preserve"> UPA</v>
      </c>
      <c r="D48" s="175" t="s">
        <v>2101</v>
      </c>
      <c r="E48" s="179" t="s">
        <v>1464</v>
      </c>
      <c r="F48" s="198"/>
      <c r="G48" s="388" t="s">
        <v>1519</v>
      </c>
      <c r="H48" s="78"/>
    </row>
    <row r="49" spans="1:15" ht="37.5" hidden="1" x14ac:dyDescent="0.3">
      <c r="A49" s="174">
        <f t="shared" si="0"/>
        <v>44</v>
      </c>
      <c r="B49" s="388" t="str">
        <f>Suite&amp;" Electrical Room "&amp; GenRunUPS2</f>
        <v>G104 Electrical Room B</v>
      </c>
      <c r="C49" s="285" t="str">
        <f>" UP"&amp; GenRunUPS2</f>
        <v xml:space="preserve"> UPB</v>
      </c>
      <c r="D49" s="175" t="s">
        <v>2086</v>
      </c>
      <c r="E49" s="179" t="s">
        <v>1464</v>
      </c>
      <c r="F49" s="198"/>
      <c r="G49" s="388" t="s">
        <v>1519</v>
      </c>
      <c r="H49" s="78"/>
      <c r="O49" s="286"/>
    </row>
    <row r="50" spans="1:15" ht="37.5" hidden="1" x14ac:dyDescent="0.3">
      <c r="A50" s="174">
        <f t="shared" si="0"/>
        <v>45</v>
      </c>
      <c r="B50" s="388" t="str" cm="1">
        <f t="array" ref="B50">Suite &amp; " Utility Input Room"</f>
        <v>G104 Utility Input Room</v>
      </c>
      <c r="C50" s="285" t="s">
        <v>598</v>
      </c>
      <c r="D50" s="175" t="s">
        <v>2087</v>
      </c>
      <c r="E50" s="179" t="s">
        <v>1464</v>
      </c>
      <c r="F50" s="198"/>
      <c r="G50" s="388" t="s">
        <v>1519</v>
      </c>
      <c r="H50" s="78"/>
      <c r="O50" s="286"/>
    </row>
    <row r="51" spans="1:15" ht="37.5" hidden="1" x14ac:dyDescent="0.3">
      <c r="A51" s="174">
        <f t="shared" si="0"/>
        <v>46</v>
      </c>
      <c r="B51" s="388" t="str" cm="1">
        <f t="array" ref="B51">Suite &amp; " Utility Input Room"</f>
        <v>G104 Utility Input Room</v>
      </c>
      <c r="C51" s="285" t="s">
        <v>2088</v>
      </c>
      <c r="D51" s="175" t="s">
        <v>2089</v>
      </c>
      <c r="E51" s="179" t="s">
        <v>1464</v>
      </c>
      <c r="F51" s="198"/>
      <c r="G51" s="388" t="s">
        <v>1519</v>
      </c>
      <c r="H51" s="78"/>
    </row>
    <row r="52" spans="1:15" ht="37.5" hidden="1" x14ac:dyDescent="0.25">
      <c r="A52" s="174">
        <f t="shared" si="0"/>
        <v>47</v>
      </c>
      <c r="B52" s="388" t="str" cm="1">
        <f t="array" ref="B52">Suite &amp; " Utility Input Room"</f>
        <v>G104 Utility Input Room</v>
      </c>
      <c r="C52" s="285" t="s">
        <v>2088</v>
      </c>
      <c r="D52" s="175" t="s">
        <v>2104</v>
      </c>
      <c r="E52" s="179" t="s">
        <v>1464</v>
      </c>
      <c r="F52" s="388"/>
      <c r="G52" s="388" t="s">
        <v>1519</v>
      </c>
      <c r="H52" s="78"/>
    </row>
    <row r="53" spans="1:15" ht="37.5" hidden="1" x14ac:dyDescent="0.25">
      <c r="A53" s="174">
        <f t="shared" si="0"/>
        <v>48</v>
      </c>
      <c r="B53" s="388" t="str" cm="1">
        <f t="array" ref="B53">Suite &amp; " Utility Input Room"</f>
        <v>G104 Utility Input Room</v>
      </c>
      <c r="C53" s="285" t="s">
        <v>2088</v>
      </c>
      <c r="D53" s="175" t="s">
        <v>2091</v>
      </c>
      <c r="E53" s="179" t="s">
        <v>1464</v>
      </c>
      <c r="F53" s="388"/>
      <c r="G53" s="388" t="s">
        <v>1519</v>
      </c>
      <c r="H53" s="78"/>
    </row>
    <row r="54" spans="1:15" ht="37.5" hidden="1" x14ac:dyDescent="0.25">
      <c r="A54" s="174">
        <f t="shared" si="0"/>
        <v>49</v>
      </c>
      <c r="B54" s="388" t="str" cm="1">
        <f t="array" ref="B54">Suite &amp; " Utility Input Room"</f>
        <v>G104 Utility Input Room</v>
      </c>
      <c r="C54" s="285" t="s">
        <v>2088</v>
      </c>
      <c r="D54" s="175" t="s">
        <v>2105</v>
      </c>
      <c r="E54" s="179" t="s">
        <v>1464</v>
      </c>
      <c r="F54" s="388"/>
      <c r="G54" s="388" t="s">
        <v>1519</v>
      </c>
      <c r="H54" s="78"/>
    </row>
    <row r="55" spans="1:15" ht="37.5" hidden="1" x14ac:dyDescent="0.25">
      <c r="A55" s="174">
        <f t="shared" si="0"/>
        <v>50</v>
      </c>
      <c r="B55" s="388" t="str" cm="1">
        <f t="array" ref="B55">Suite &amp; " Utility Input Room"</f>
        <v>G104 Utility Input Room</v>
      </c>
      <c r="C55" s="285" t="s">
        <v>2088</v>
      </c>
      <c r="D55" s="175" t="s">
        <v>1562</v>
      </c>
      <c r="E55" s="179" t="s">
        <v>1464</v>
      </c>
      <c r="F55" s="388"/>
      <c r="G55" s="388"/>
      <c r="H55" s="78"/>
    </row>
    <row r="56" spans="1:15" ht="37.5" hidden="1" x14ac:dyDescent="0.25">
      <c r="A56" s="174">
        <f t="shared" si="0"/>
        <v>51</v>
      </c>
      <c r="B56" s="388" t="str" cm="1">
        <f t="array" ref="B56">Suite &amp; " Utility Input Room"</f>
        <v>G104 Utility Input Room</v>
      </c>
      <c r="C56" s="285" t="s">
        <v>2088</v>
      </c>
      <c r="D56" s="175" t="s">
        <v>2106</v>
      </c>
      <c r="E56" s="179" t="s">
        <v>1464</v>
      </c>
      <c r="F56" s="388"/>
      <c r="G56" s="388" t="s">
        <v>1519</v>
      </c>
      <c r="H56" s="78"/>
    </row>
    <row r="57" spans="1:15" ht="37.5" hidden="1" x14ac:dyDescent="0.25">
      <c r="A57" s="174">
        <f t="shared" si="0"/>
        <v>52</v>
      </c>
      <c r="B57" s="388" t="str" cm="1">
        <f t="array" ref="B57">Suite &amp; " Utility Input Room"</f>
        <v>G104 Utility Input Room</v>
      </c>
      <c r="C57" s="285" t="s">
        <v>2088</v>
      </c>
      <c r="D57" s="175" t="s">
        <v>2107</v>
      </c>
      <c r="E57" s="179" t="s">
        <v>1464</v>
      </c>
      <c r="F57" s="388"/>
      <c r="G57" s="388" t="s">
        <v>1519</v>
      </c>
      <c r="H57" s="78"/>
    </row>
    <row r="58" spans="1:15" ht="37.5" hidden="1" x14ac:dyDescent="0.25">
      <c r="A58" s="174">
        <f t="shared" si="0"/>
        <v>53</v>
      </c>
      <c r="B58" s="388" t="str" cm="1">
        <f t="array" ref="B58">Suite &amp; " Utility Input Room"</f>
        <v>G104 Utility Input Room</v>
      </c>
      <c r="C58" s="285" t="s">
        <v>598</v>
      </c>
      <c r="D58" s="175" t="s">
        <v>2108</v>
      </c>
      <c r="E58" s="179" t="s">
        <v>1464</v>
      </c>
      <c r="F58" s="388"/>
      <c r="G58" s="388" t="s">
        <v>1519</v>
      </c>
      <c r="H58" s="78"/>
    </row>
    <row r="59" spans="1:15" ht="56.25" hidden="1" x14ac:dyDescent="0.3">
      <c r="A59" s="174">
        <f t="shared" si="0"/>
        <v>54</v>
      </c>
      <c r="B59" s="388" t="str" cm="1">
        <f t="array" ref="B59">Suite &amp; " Utility Input Room"</f>
        <v>G104 Utility Input Room</v>
      </c>
      <c r="C59" s="285" t="s">
        <v>598</v>
      </c>
      <c r="D59" s="175" t="s">
        <v>2097</v>
      </c>
      <c r="E59" s="179" t="s">
        <v>1464</v>
      </c>
      <c r="F59" s="198"/>
      <c r="G59" s="388" t="s">
        <v>1519</v>
      </c>
      <c r="H59" s="78"/>
    </row>
    <row r="60" spans="1:15" ht="37.5" hidden="1" x14ac:dyDescent="0.25">
      <c r="A60" s="174">
        <f t="shared" si="0"/>
        <v>55</v>
      </c>
      <c r="B60" s="388" t="str" cm="1">
        <f t="array" ref="B60">Suite &amp; " Utility Input Room"</f>
        <v>G104 Utility Input Room</v>
      </c>
      <c r="C60" s="285" t="s">
        <v>598</v>
      </c>
      <c r="D60" s="287" t="s">
        <v>2079</v>
      </c>
      <c r="E60" s="179" t="s">
        <v>1464</v>
      </c>
      <c r="F60" s="388"/>
      <c r="G60" s="388" t="s">
        <v>1519</v>
      </c>
      <c r="H60" s="78"/>
    </row>
    <row r="61" spans="1:15" ht="37.5" hidden="1" x14ac:dyDescent="0.3">
      <c r="A61" s="174">
        <f t="shared" si="0"/>
        <v>56</v>
      </c>
      <c r="B61" s="388" t="str" cm="1">
        <f t="array" ref="B61">Suite &amp; " Utility Input Room"</f>
        <v>G104 Utility Input Room</v>
      </c>
      <c r="C61" s="285" t="s">
        <v>598</v>
      </c>
      <c r="D61" s="287" t="s">
        <v>2080</v>
      </c>
      <c r="E61" s="179" t="s">
        <v>1464</v>
      </c>
      <c r="F61" s="198"/>
      <c r="G61" s="388" t="s">
        <v>1519</v>
      </c>
      <c r="H61" s="78"/>
    </row>
    <row r="62" spans="1:15" ht="37.5" hidden="1" x14ac:dyDescent="0.25">
      <c r="A62" s="174">
        <f t="shared" si="0"/>
        <v>57</v>
      </c>
      <c r="B62" s="388" t="str" cm="1">
        <f t="array" ref="B62">Suite &amp; " Utility Input Room"</f>
        <v>G104 Utility Input Room</v>
      </c>
      <c r="C62" s="285" t="s">
        <v>598</v>
      </c>
      <c r="D62" s="175" t="s">
        <v>2109</v>
      </c>
      <c r="E62" s="179" t="s">
        <v>1464</v>
      </c>
      <c r="F62" s="388"/>
      <c r="G62" s="388" t="s">
        <v>1519</v>
      </c>
      <c r="H62" s="78"/>
    </row>
    <row r="63" spans="1:15" ht="37.5" hidden="1" x14ac:dyDescent="0.3">
      <c r="A63" s="174">
        <f t="shared" si="0"/>
        <v>58</v>
      </c>
      <c r="B63" s="388" t="str">
        <f>Suite&amp;" Electrical Rooms"</f>
        <v>G104 Electrical Rooms</v>
      </c>
      <c r="C63" s="284" t="s">
        <v>2084</v>
      </c>
      <c r="D63" s="175" t="s">
        <v>2085</v>
      </c>
      <c r="E63" s="179" t="s">
        <v>1464</v>
      </c>
      <c r="F63" s="198"/>
      <c r="G63" s="388" t="s">
        <v>1519</v>
      </c>
      <c r="H63" s="78"/>
    </row>
    <row r="64" spans="1:15" ht="37.5" hidden="1" x14ac:dyDescent="0.3">
      <c r="A64" s="174">
        <f t="shared" si="0"/>
        <v>59</v>
      </c>
      <c r="B64" s="388" t="str">
        <f>Suite&amp;" Electrical Room "&amp; GenRunUPS1</f>
        <v>G104 Electrical Room A</v>
      </c>
      <c r="C64" s="285" t="str">
        <f>" UP"&amp; GenRunUPS1</f>
        <v xml:space="preserve"> UPA</v>
      </c>
      <c r="D64" s="175" t="s">
        <v>2101</v>
      </c>
      <c r="E64" s="179" t="s">
        <v>1464</v>
      </c>
      <c r="F64" s="198"/>
      <c r="G64" s="388" t="s">
        <v>1519</v>
      </c>
      <c r="H64" s="78"/>
    </row>
    <row r="65" spans="1:15" ht="37.5" hidden="1" x14ac:dyDescent="0.3">
      <c r="A65" s="174">
        <f t="shared" si="0"/>
        <v>60</v>
      </c>
      <c r="B65" s="388" t="str">
        <f>Suite&amp;" Electrical Room "&amp; GenRunUPS1</f>
        <v>G104 Electrical Room A</v>
      </c>
      <c r="C65" s="285" t="str">
        <f>" UP"&amp; GenRunUPS1</f>
        <v xml:space="preserve"> UPA</v>
      </c>
      <c r="D65" s="175" t="str">
        <f>"Verify the readings in step " &amp; A48 &amp; " and " &amp; A64 &amp; " are within 3% of each other. (new kW divided by original kW must be ≤1.03 and ≥0.97)."</f>
        <v>Verify the readings in step 43 and 59 are within 3% of each other. (new kW divided by original kW must be ≤1.03 and ≥0.97).</v>
      </c>
      <c r="E65" s="179" t="s">
        <v>1464</v>
      </c>
      <c r="F65" s="198"/>
      <c r="G65" s="388"/>
      <c r="H65" s="78"/>
    </row>
    <row r="66" spans="1:15" ht="37.5" hidden="1" x14ac:dyDescent="0.3">
      <c r="A66" s="174">
        <f t="shared" si="0"/>
        <v>61</v>
      </c>
      <c r="B66" s="388" t="str">
        <f>Suite&amp;" Electrical Room "&amp; GenRunUPS2</f>
        <v>G104 Electrical Room B</v>
      </c>
      <c r="C66" s="285" t="str">
        <f>" UP"&amp; GenRunUPS2</f>
        <v xml:space="preserve"> UPB</v>
      </c>
      <c r="D66" s="175" t="s">
        <v>2086</v>
      </c>
      <c r="E66" s="179" t="s">
        <v>1464</v>
      </c>
      <c r="F66" s="198"/>
      <c r="G66" s="388" t="s">
        <v>1519</v>
      </c>
      <c r="H66" s="78"/>
      <c r="O66" s="286"/>
    </row>
    <row r="67" spans="1:15" ht="37.5" hidden="1" x14ac:dyDescent="0.3">
      <c r="A67" s="174">
        <f t="shared" si="0"/>
        <v>62</v>
      </c>
      <c r="B67" s="388" t="str">
        <f>Suite&amp;" Electrical Room "&amp; GenRunUPS2</f>
        <v>G104 Electrical Room B</v>
      </c>
      <c r="C67" s="285" t="str">
        <f>" UP"&amp; GenRunUPS2</f>
        <v xml:space="preserve"> UPB</v>
      </c>
      <c r="D67" s="175" t="str">
        <f>"Verify the readings in step " &amp; A49 &amp; " and " &amp; A66 &amp; " are within 3% of each other. (new kW divided by original kW must be ≤1.03 and ≥0.97)."</f>
        <v>Verify the readings in step 44 and 61 are within 3% of each other. (new kW divided by original kW must be ≤1.03 and ≥0.97).</v>
      </c>
      <c r="E67" s="179" t="s">
        <v>1464</v>
      </c>
      <c r="F67" s="198"/>
      <c r="G67" s="388"/>
      <c r="H67" s="78"/>
      <c r="O67" s="286"/>
    </row>
    <row r="68" spans="1:15" ht="37.5" hidden="1" x14ac:dyDescent="0.3">
      <c r="A68" s="174">
        <f t="shared" si="0"/>
        <v>63</v>
      </c>
      <c r="B68" s="388" t="str" cm="1">
        <f t="array" ref="B68">Suite &amp; " Utility Input Room"</f>
        <v>G104 Utility Input Room</v>
      </c>
      <c r="C68" s="285" t="s">
        <v>598</v>
      </c>
      <c r="D68" s="175" t="s">
        <v>2087</v>
      </c>
      <c r="E68" s="179" t="s">
        <v>1464</v>
      </c>
      <c r="F68" s="198"/>
      <c r="G68" s="388" t="s">
        <v>1519</v>
      </c>
      <c r="H68" s="78"/>
      <c r="O68" s="286"/>
    </row>
    <row r="69" spans="1:15" ht="37.5" hidden="1" x14ac:dyDescent="0.3">
      <c r="A69" s="174">
        <f t="shared" si="0"/>
        <v>64</v>
      </c>
      <c r="B69" s="388" t="str" cm="1">
        <f t="array" ref="B69">Suite &amp; " Utility Input Room"</f>
        <v>G104 Utility Input Room</v>
      </c>
      <c r="C69" s="285" t="s">
        <v>598</v>
      </c>
      <c r="D69" s="175" t="str">
        <f>"Verify the readings in step " &amp; A50 &amp; " and " &amp; A68 &amp; " are within 3% of each other. (new kW divided by original kW must be ≤1.03 and ≥0.97)."</f>
        <v>Verify the readings in step 45 and 63 are within 3% of each other. (new kW divided by original kW must be ≤1.03 and ≥0.97).</v>
      </c>
      <c r="E69" s="179" t="s">
        <v>1464</v>
      </c>
      <c r="F69" s="198"/>
      <c r="G69" s="388"/>
      <c r="H69" s="78"/>
      <c r="O69" s="286"/>
    </row>
    <row r="70" spans="1:15" ht="37.5" hidden="1" x14ac:dyDescent="0.3">
      <c r="A70" s="174">
        <f t="shared" si="0"/>
        <v>65</v>
      </c>
      <c r="B70" s="388" t="str" cm="1">
        <f t="array" ref="B70">IADNumber &amp; " Roof"</f>
        <v>IAD35 Roof</v>
      </c>
      <c r="C70" s="388" t="str" cm="1">
        <f t="array" ref="C70">Suite &amp; " RTUs"</f>
        <v>G104 RTUs</v>
      </c>
      <c r="D70" s="175" t="s">
        <v>4628</v>
      </c>
      <c r="E70" s="174" t="s">
        <v>1464</v>
      </c>
      <c r="F70" s="198"/>
      <c r="G70" s="199" t="s">
        <v>1519</v>
      </c>
      <c r="H70" s="78"/>
    </row>
    <row r="71" spans="1:15" ht="37.5" hidden="1" x14ac:dyDescent="0.3">
      <c r="A71" s="174">
        <f t="shared" si="0"/>
        <v>66</v>
      </c>
      <c r="B71" s="388" t="s">
        <v>724</v>
      </c>
      <c r="C71" s="388" t="str">
        <f>zSelectedEquipment</f>
        <v>G104-Gen-B</v>
      </c>
      <c r="D71" s="175" t="str">
        <f>"Verify " &amp; zSelectedEquipment &amp; " has completed the cool down cycle and is no longer operating before proceeding."</f>
        <v>Verify G104-Gen-B has completed the cool down cycle and is no longer operating before proceeding.</v>
      </c>
      <c r="E71" s="174" t="s">
        <v>1464</v>
      </c>
      <c r="F71" s="198"/>
      <c r="G71" s="199" t="s">
        <v>1519</v>
      </c>
      <c r="H71" s="78"/>
    </row>
    <row r="72" spans="1:15" ht="37.5" hidden="1" x14ac:dyDescent="0.3">
      <c r="A72" s="174">
        <f t="shared" si="0"/>
        <v>67</v>
      </c>
      <c r="B72" s="388" t="s">
        <v>1462</v>
      </c>
      <c r="C72" s="388" t="s">
        <v>84</v>
      </c>
      <c r="D72" s="175" t="s">
        <v>2119</v>
      </c>
      <c r="E72" s="174" t="s">
        <v>1464</v>
      </c>
      <c r="F72" s="198"/>
      <c r="G72" s="199" t="s">
        <v>1519</v>
      </c>
      <c r="H72" s="78"/>
    </row>
    <row r="73" spans="1:15" ht="37.5" hidden="1" x14ac:dyDescent="0.3">
      <c r="A73" s="174">
        <f t="shared" si="0"/>
        <v>68</v>
      </c>
      <c r="B73" s="388" t="s">
        <v>724</v>
      </c>
      <c r="C73" s="388" t="str">
        <f>zSelectedEquipment</f>
        <v>G104-Gen-B</v>
      </c>
      <c r="D73" s="175" t="s">
        <v>4656</v>
      </c>
      <c r="E73" s="174" t="s">
        <v>1464</v>
      </c>
      <c r="F73" s="198"/>
      <c r="G73" s="199" t="s">
        <v>1519</v>
      </c>
      <c r="H73" s="78"/>
    </row>
    <row r="74" spans="1:15" ht="18.75" x14ac:dyDescent="0.25">
      <c r="A74" s="174">
        <v>5</v>
      </c>
      <c r="B74" s="716" t="str">
        <f>"PROOF OF START TESTING " &amp; zSelectedEquipment &amp; " (NO LOAD)"</f>
        <v>PROOF OF START TESTING G104-Gen-B (NO LOAD)</v>
      </c>
      <c r="C74" s="716"/>
      <c r="D74" s="716"/>
      <c r="E74" s="716"/>
      <c r="F74" s="716"/>
      <c r="G74" s="716"/>
    </row>
    <row r="75" spans="1:15" ht="37.5" x14ac:dyDescent="0.3">
      <c r="A75" s="174">
        <f>A74+1</f>
        <v>6</v>
      </c>
      <c r="B75" s="388" t="str" cm="1">
        <f t="array" ref="B75">Suite &amp; " Utility Input Room"</f>
        <v>G104 Utility Input Room</v>
      </c>
      <c r="C75" s="180" t="s">
        <v>598</v>
      </c>
      <c r="D75" s="175" t="s">
        <v>2110</v>
      </c>
      <c r="E75" s="179" t="s">
        <v>1464</v>
      </c>
      <c r="F75" s="198"/>
      <c r="G75" s="388" t="s">
        <v>1519</v>
      </c>
      <c r="H75" s="78"/>
    </row>
    <row r="76" spans="1:15" ht="37.5" x14ac:dyDescent="0.3">
      <c r="A76" s="174">
        <f t="shared" ref="A76:A94" si="1">A75+1</f>
        <v>7</v>
      </c>
      <c r="B76" s="388" t="str" cm="1">
        <f t="array" ref="B76">Suite &amp; " Utility Input Room"</f>
        <v>G104 Utility Input Room</v>
      </c>
      <c r="C76" s="180" t="s">
        <v>598</v>
      </c>
      <c r="D76" s="175" t="s">
        <v>2111</v>
      </c>
      <c r="E76" s="179" t="s">
        <v>1464</v>
      </c>
      <c r="F76" s="198"/>
      <c r="G76" s="388" t="s">
        <v>1519</v>
      </c>
      <c r="H76" s="78"/>
    </row>
    <row r="77" spans="1:15" ht="37.5" x14ac:dyDescent="0.3">
      <c r="A77" s="174">
        <f t="shared" si="1"/>
        <v>8</v>
      </c>
      <c r="B77" s="388" t="str" cm="1">
        <f t="array" ref="B77">Suite &amp; " Utility Input Room"</f>
        <v>G104 Utility Input Room</v>
      </c>
      <c r="C77" s="180" t="s">
        <v>598</v>
      </c>
      <c r="D77" s="175" t="s">
        <v>2112</v>
      </c>
      <c r="E77" s="179" t="s">
        <v>1464</v>
      </c>
      <c r="F77" s="198"/>
      <c r="G77" s="388" t="s">
        <v>1519</v>
      </c>
      <c r="H77" s="78"/>
    </row>
    <row r="78" spans="1:15" ht="75" x14ac:dyDescent="0.3">
      <c r="A78" s="174">
        <f t="shared" si="1"/>
        <v>9</v>
      </c>
      <c r="B78" s="388" t="str" cm="1">
        <f t="array" ref="B78">Suite &amp; " Utility Input Room"</f>
        <v>G104 Utility Input Room</v>
      </c>
      <c r="C78" s="180" t="s">
        <v>598</v>
      </c>
      <c r="D78" s="175" t="s">
        <v>2113</v>
      </c>
      <c r="E78" s="179" t="s">
        <v>1464</v>
      </c>
      <c r="F78" s="198"/>
      <c r="G78" s="388" t="s">
        <v>1519</v>
      </c>
      <c r="H78" s="78"/>
    </row>
    <row r="79" spans="1:15" ht="37.5" x14ac:dyDescent="0.3">
      <c r="A79" s="174">
        <f t="shared" si="1"/>
        <v>10</v>
      </c>
      <c r="B79" s="388" t="str" cm="1">
        <f t="array" ref="B79">Suite &amp; " Utility Input Room"</f>
        <v>G104 Utility Input Room</v>
      </c>
      <c r="C79" s="180" t="s">
        <v>598</v>
      </c>
      <c r="D79" s="175" t="s">
        <v>2114</v>
      </c>
      <c r="E79" s="179" t="s">
        <v>1464</v>
      </c>
      <c r="F79" s="198"/>
      <c r="G79" s="388" t="s">
        <v>1519</v>
      </c>
      <c r="H79" s="78"/>
    </row>
    <row r="80" spans="1:15" ht="37.5" x14ac:dyDescent="0.3">
      <c r="A80" s="174">
        <f t="shared" si="1"/>
        <v>11</v>
      </c>
      <c r="B80" s="388" t="str" cm="1">
        <f t="array" ref="B80">Suite &amp; " Utility Input Room"</f>
        <v>G104 Utility Input Room</v>
      </c>
      <c r="C80" s="180" t="s">
        <v>598</v>
      </c>
      <c r="D80" s="175" t="s">
        <v>2115</v>
      </c>
      <c r="E80" s="179" t="s">
        <v>1464</v>
      </c>
      <c r="F80" s="198"/>
      <c r="G80" s="388" t="s">
        <v>1519</v>
      </c>
      <c r="H80" s="78"/>
    </row>
    <row r="81" spans="1:8" ht="37.5" x14ac:dyDescent="0.3">
      <c r="A81" s="174">
        <f t="shared" si="1"/>
        <v>12</v>
      </c>
      <c r="B81" s="388" t="str" cm="1">
        <f t="array" ref="B81">Suite &amp; " Utility Input Room"</f>
        <v>G104 Utility Input Room</v>
      </c>
      <c r="C81" s="180" t="s">
        <v>598</v>
      </c>
      <c r="D81" s="175" t="s">
        <v>2157</v>
      </c>
      <c r="E81" s="179" t="s">
        <v>1464</v>
      </c>
      <c r="F81" s="198"/>
      <c r="G81" s="388"/>
      <c r="H81" s="78"/>
    </row>
    <row r="82" spans="1:8" ht="37.5" x14ac:dyDescent="0.25">
      <c r="A82" s="174">
        <f t="shared" si="1"/>
        <v>13</v>
      </c>
      <c r="B82" s="388" t="str" cm="1">
        <f t="array" ref="B82">IADNumber &amp; " Generator Yard"</f>
        <v>IAD35 Generator Yard</v>
      </c>
      <c r="C82" s="180" t="str">
        <f>zSelectedEquipment</f>
        <v>G104-Gen-B</v>
      </c>
      <c r="D82" s="175" t="s">
        <v>2030</v>
      </c>
      <c r="E82" s="179" t="s">
        <v>1464</v>
      </c>
      <c r="F82" s="388"/>
      <c r="G82" s="388" t="s">
        <v>1519</v>
      </c>
    </row>
    <row r="83" spans="1:8" ht="37.5" x14ac:dyDescent="0.25">
      <c r="A83" s="174">
        <f t="shared" si="1"/>
        <v>14</v>
      </c>
      <c r="B83" s="388" t="str" cm="1">
        <f t="array" ref="B83">Suite &amp; " Utility Input Room"</f>
        <v>G104 Utility Input Room</v>
      </c>
      <c r="C83" s="180" t="s">
        <v>598</v>
      </c>
      <c r="D83" s="175" t="s">
        <v>2116</v>
      </c>
      <c r="E83" s="179" t="s">
        <v>1464</v>
      </c>
      <c r="F83" s="388"/>
      <c r="G83" s="388" t="s">
        <v>1519</v>
      </c>
    </row>
    <row r="84" spans="1:8" ht="37.5" x14ac:dyDescent="0.25">
      <c r="A84" s="174">
        <f t="shared" si="1"/>
        <v>15</v>
      </c>
      <c r="B84" s="388" t="str" cm="1">
        <f t="array" ref="B84">Suite &amp; " Utility Input Room"</f>
        <v>G104 Utility Input Room</v>
      </c>
      <c r="C84" s="180" t="s">
        <v>598</v>
      </c>
      <c r="D84" s="175" t="s">
        <v>2117</v>
      </c>
      <c r="E84" s="179" t="s">
        <v>1464</v>
      </c>
      <c r="F84" s="388"/>
      <c r="G84" s="388" t="s">
        <v>1519</v>
      </c>
    </row>
    <row r="85" spans="1:8" ht="75" x14ac:dyDescent="0.25">
      <c r="A85" s="174">
        <f t="shared" si="1"/>
        <v>16</v>
      </c>
      <c r="B85" s="388" t="str" cm="1">
        <f t="array" ref="B85">Suite &amp; " Utility Input Room"</f>
        <v>G104 Utility Input Room</v>
      </c>
      <c r="C85" s="180" t="s">
        <v>598</v>
      </c>
      <c r="D85" s="175" t="s">
        <v>2118</v>
      </c>
      <c r="E85" s="179" t="s">
        <v>1464</v>
      </c>
      <c r="F85" s="388"/>
      <c r="G85" s="388" t="s">
        <v>1519</v>
      </c>
    </row>
    <row r="86" spans="1:8" ht="37.5" x14ac:dyDescent="0.25">
      <c r="A86" s="174">
        <f t="shared" si="1"/>
        <v>17</v>
      </c>
      <c r="B86" s="388" t="str" cm="1">
        <f t="array" ref="B86">Suite &amp; " Utility Input Room"</f>
        <v>G104 Utility Input Room</v>
      </c>
      <c r="C86" s="180" t="s">
        <v>598</v>
      </c>
      <c r="D86" s="175" t="s">
        <v>2109</v>
      </c>
      <c r="E86" s="179" t="s">
        <v>1464</v>
      </c>
      <c r="F86" s="388"/>
      <c r="G86" s="388" t="s">
        <v>1519</v>
      </c>
    </row>
    <row r="87" spans="1:8" ht="37.5" x14ac:dyDescent="0.3">
      <c r="A87" s="174">
        <f t="shared" si="1"/>
        <v>18</v>
      </c>
      <c r="B87" s="388" t="s">
        <v>724</v>
      </c>
      <c r="C87" s="388" t="str">
        <f>zSelectedEquipment</f>
        <v>G104-Gen-B</v>
      </c>
      <c r="D87" s="175" t="str">
        <f>"Verify " &amp; zSelectedEquipment &amp; " has completed the cool down cycle and is no longer operating before proceeding."</f>
        <v>Verify G104-Gen-B has completed the cool down cycle and is no longer operating before proceeding.</v>
      </c>
      <c r="E87" s="174" t="s">
        <v>1464</v>
      </c>
      <c r="F87" s="198"/>
      <c r="G87" s="199" t="s">
        <v>1519</v>
      </c>
      <c r="H87" s="78"/>
    </row>
    <row r="88" spans="1:8" ht="37.5" x14ac:dyDescent="0.3">
      <c r="A88" s="174">
        <f t="shared" si="1"/>
        <v>19</v>
      </c>
      <c r="B88" s="388" t="s">
        <v>1462</v>
      </c>
      <c r="C88" s="388" t="s">
        <v>84</v>
      </c>
      <c r="D88" s="175" t="s">
        <v>2119</v>
      </c>
      <c r="E88" s="174" t="s">
        <v>1464</v>
      </c>
      <c r="F88" s="198"/>
      <c r="G88" s="199" t="s">
        <v>1519</v>
      </c>
      <c r="H88" s="78"/>
    </row>
    <row r="89" spans="1:8" ht="37.5" x14ac:dyDescent="0.3">
      <c r="A89" s="174">
        <f t="shared" si="1"/>
        <v>20</v>
      </c>
      <c r="B89" s="388" t="s">
        <v>724</v>
      </c>
      <c r="C89" s="388" t="str">
        <f>zSelectedEquipment</f>
        <v>G104-Gen-B</v>
      </c>
      <c r="D89" s="175" t="s">
        <v>4656</v>
      </c>
      <c r="E89" s="174" t="s">
        <v>1464</v>
      </c>
      <c r="F89" s="198"/>
      <c r="G89" s="199" t="s">
        <v>1519</v>
      </c>
      <c r="H89" s="78"/>
    </row>
    <row r="90" spans="1:8" ht="18.75" x14ac:dyDescent="0.25">
      <c r="A90" s="174">
        <f>IF(zTaskNameIdentifier="zzGenRunNL", A89+1, A73+1)</f>
        <v>21</v>
      </c>
      <c r="B90" s="716" t="str">
        <f>"Call Building "&amp;Building&amp;" back in"</f>
        <v>Call Building G back in</v>
      </c>
      <c r="C90" s="716"/>
      <c r="D90" s="716"/>
      <c r="E90" s="716"/>
      <c r="F90" s="716"/>
      <c r="G90" s="716"/>
    </row>
    <row r="91" spans="1:8" ht="37.5" x14ac:dyDescent="0.25">
      <c r="A91" s="174">
        <f t="shared" si="1"/>
        <v>22</v>
      </c>
      <c r="B91" s="388" t="s">
        <v>1462</v>
      </c>
      <c r="C91" s="225" t="s">
        <v>84</v>
      </c>
      <c r="D91" s="194" t="s">
        <v>2022</v>
      </c>
      <c r="E91" s="179" t="s">
        <v>1464</v>
      </c>
      <c r="F91" s="388"/>
      <c r="G91" s="174"/>
    </row>
    <row r="92" spans="1:8" ht="37.5" x14ac:dyDescent="0.25">
      <c r="A92" s="174">
        <f t="shared" si="1"/>
        <v>23</v>
      </c>
      <c r="B92" s="388" t="s">
        <v>1462</v>
      </c>
      <c r="C92" s="225" t="s">
        <v>84</v>
      </c>
      <c r="D92" s="194" t="s">
        <v>2023</v>
      </c>
      <c r="E92" s="179" t="s">
        <v>1464</v>
      </c>
      <c r="F92" s="388"/>
      <c r="G92" s="388" t="s">
        <v>1519</v>
      </c>
    </row>
    <row r="93" spans="1:8" ht="56.25" x14ac:dyDescent="0.25">
      <c r="A93" s="174">
        <f t="shared" si="1"/>
        <v>24</v>
      </c>
      <c r="B93" s="388" t="s">
        <v>1462</v>
      </c>
      <c r="C93" s="225" t="s">
        <v>84</v>
      </c>
      <c r="D93" s="175" t="s">
        <v>2024</v>
      </c>
      <c r="E93" s="179" t="s">
        <v>1464</v>
      </c>
      <c r="F93" s="388"/>
      <c r="G93" s="174"/>
    </row>
    <row r="94" spans="1:8" ht="37.5" x14ac:dyDescent="0.3">
      <c r="A94" s="174">
        <f t="shared" si="1"/>
        <v>25</v>
      </c>
      <c r="B94" s="388" t="s">
        <v>1462</v>
      </c>
      <c r="C94" s="225" t="s">
        <v>84</v>
      </c>
      <c r="D94" s="175" t="s">
        <v>2025</v>
      </c>
      <c r="E94" s="179" t="s">
        <v>1464</v>
      </c>
      <c r="F94" s="388"/>
      <c r="G94" s="199" t="s">
        <v>1519</v>
      </c>
    </row>
  </sheetData>
  <sheetProtection formatCells="0" formatColumns="0" formatRows="0" insertRows="0" deleteRows="0" sort="0" autoFilter="0"/>
  <mergeCells count="8">
    <mergeCell ref="A2:B2"/>
    <mergeCell ref="C2:G2"/>
    <mergeCell ref="B46:G46"/>
    <mergeCell ref="B74:G74"/>
    <mergeCell ref="B90:G90"/>
    <mergeCell ref="A4:C4"/>
    <mergeCell ref="B6:G6"/>
    <mergeCell ref="B10:G10"/>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FB8A7-EBBE-44C2-AA34-432B2153075E}">
  <sheetPr codeName="Gen_Run_POD_3">
    <pageSetUpPr fitToPage="1"/>
  </sheetPr>
  <dimension ref="A1:Q126"/>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3" customWidth="1"/>
    <col min="9" max="9" width="8" style="3" customWidth="1"/>
    <col min="10" max="10" width="7.85546875" style="3" customWidth="1"/>
    <col min="11" max="11" width="11.140625" style="3" customWidth="1"/>
    <col min="12" max="14" width="8.85546875" style="3"/>
    <col min="15" max="15" width="128.42578125" style="3" customWidth="1"/>
    <col min="16" max="16384" width="8.85546875" style="3"/>
  </cols>
  <sheetData>
    <row r="1" spans="1:8" x14ac:dyDescent="0.25">
      <c r="A1" s="172" t="s">
        <v>1454</v>
      </c>
      <c r="B1" s="172"/>
      <c r="C1" s="173"/>
      <c r="D1" s="173"/>
      <c r="E1" s="173"/>
      <c r="F1" s="173"/>
      <c r="G1" s="173"/>
    </row>
    <row r="2" spans="1:8" ht="18.75" customHeight="1" x14ac:dyDescent="0.25">
      <c r="A2" s="705" t="s">
        <v>42</v>
      </c>
      <c r="B2" s="705"/>
      <c r="C2" s="708" t="str">
        <f>zTaskName</f>
        <v>Routine Generator run with no load transfer</v>
      </c>
      <c r="D2" s="709"/>
      <c r="E2" s="709"/>
      <c r="F2" s="709"/>
      <c r="G2" s="710"/>
    </row>
    <row r="3" spans="1:8" ht="9.9499999999999993" customHeight="1" x14ac:dyDescent="0.25">
      <c r="A3" s="459"/>
      <c r="B3" s="460"/>
      <c r="C3" s="461"/>
      <c r="D3" s="461"/>
      <c r="E3" s="461"/>
      <c r="F3" s="461"/>
      <c r="G3" s="462"/>
    </row>
    <row r="4" spans="1:8" ht="9.9499999999999993" customHeight="1" x14ac:dyDescent="0.25">
      <c r="A4" s="706"/>
      <c r="B4" s="707"/>
      <c r="C4" s="707"/>
      <c r="D4" s="382"/>
      <c r="E4" s="382"/>
      <c r="F4" s="382"/>
      <c r="G4" s="383"/>
    </row>
    <row r="5" spans="1:8" ht="37.5" x14ac:dyDescent="0.25">
      <c r="A5" s="378" t="s">
        <v>1455</v>
      </c>
      <c r="B5" s="379" t="s">
        <v>8</v>
      </c>
      <c r="C5" s="379" t="s">
        <v>1456</v>
      </c>
      <c r="D5" s="378" t="s">
        <v>1457</v>
      </c>
      <c r="E5" s="379" t="s">
        <v>1458</v>
      </c>
      <c r="F5" s="379" t="s">
        <v>1459</v>
      </c>
      <c r="G5" s="378" t="s">
        <v>1460</v>
      </c>
    </row>
    <row r="6" spans="1:8" x14ac:dyDescent="0.25">
      <c r="A6" s="174">
        <v>1</v>
      </c>
      <c r="B6" s="716" t="str">
        <f>"Call out Building "&amp;Building</f>
        <v>Call out Building G</v>
      </c>
      <c r="C6" s="716"/>
      <c r="D6" s="716"/>
      <c r="E6" s="716"/>
      <c r="F6" s="716"/>
      <c r="G6" s="716"/>
    </row>
    <row r="7" spans="1:8" ht="37.5" x14ac:dyDescent="0.25">
      <c r="A7" s="174">
        <v>2</v>
      </c>
      <c r="B7" s="388" t="s">
        <v>1462</v>
      </c>
      <c r="C7" s="388" t="s">
        <v>84</v>
      </c>
      <c r="D7" s="175" t="s">
        <v>2077</v>
      </c>
      <c r="E7" s="174" t="s">
        <v>1464</v>
      </c>
      <c r="F7" s="388"/>
      <c r="G7" s="388" t="s">
        <v>1519</v>
      </c>
    </row>
    <row r="8" spans="1:8" ht="37.5" x14ac:dyDescent="0.25">
      <c r="A8" s="174">
        <v>3</v>
      </c>
      <c r="B8" s="388" t="s">
        <v>1462</v>
      </c>
      <c r="C8" s="388" t="s">
        <v>84</v>
      </c>
      <c r="D8" s="175" t="s">
        <v>4649</v>
      </c>
      <c r="E8" s="174" t="s">
        <v>1464</v>
      </c>
      <c r="F8" s="388"/>
      <c r="G8" s="388" t="s">
        <v>1519</v>
      </c>
    </row>
    <row r="9" spans="1:8" ht="37.5" x14ac:dyDescent="0.25">
      <c r="A9" s="174">
        <v>4</v>
      </c>
      <c r="B9" s="388" t="s">
        <v>1462</v>
      </c>
      <c r="C9" s="388" t="s">
        <v>84</v>
      </c>
      <c r="D9" s="175" t="s">
        <v>2006</v>
      </c>
      <c r="E9" s="174" t="s">
        <v>1464</v>
      </c>
      <c r="F9" s="388"/>
      <c r="G9" s="388" t="s">
        <v>1519</v>
      </c>
    </row>
    <row r="10" spans="1:8" hidden="1" x14ac:dyDescent="0.25">
      <c r="A10" s="174">
        <v>5</v>
      </c>
      <c r="B10" s="716" t="str" cm="1">
        <f t="array" ref="B10">"Place SW" &amp; GenRunUPS1 &amp; " &amp; SW" &amp; GenRunUPS2 &amp; " onto "&amp;zSelectedEquipment&amp;" for a loaded generator run"</f>
        <v>Place SWA &amp; SWB onto G104-Gen-B for a loaded generator run</v>
      </c>
      <c r="C10" s="716"/>
      <c r="D10" s="716"/>
      <c r="E10" s="716"/>
      <c r="F10" s="716"/>
      <c r="G10" s="716"/>
      <c r="H10" s="78"/>
    </row>
    <row r="11" spans="1:8" ht="37.5" hidden="1" x14ac:dyDescent="0.25">
      <c r="A11" s="174">
        <v>6</v>
      </c>
      <c r="B11" s="388" t="s">
        <v>724</v>
      </c>
      <c r="C11" s="388" t="str">
        <f>zSelectedEquipment</f>
        <v>G104-Gen-B</v>
      </c>
      <c r="D11" s="175" t="s">
        <v>4654</v>
      </c>
      <c r="E11" s="174" t="s">
        <v>1464</v>
      </c>
      <c r="F11" s="388"/>
      <c r="G11" s="388" t="s">
        <v>1519</v>
      </c>
      <c r="H11" s="78"/>
    </row>
    <row r="12" spans="1:8" ht="37.5" hidden="1" x14ac:dyDescent="0.3">
      <c r="A12" s="174">
        <v>7</v>
      </c>
      <c r="B12" s="388" t="s">
        <v>1462</v>
      </c>
      <c r="C12" s="388" t="s">
        <v>84</v>
      </c>
      <c r="D12" s="175" t="s">
        <v>2119</v>
      </c>
      <c r="E12" s="174" t="s">
        <v>1464</v>
      </c>
      <c r="F12" s="198"/>
      <c r="G12" s="199" t="s">
        <v>1519</v>
      </c>
      <c r="H12" s="78"/>
    </row>
    <row r="13" spans="1:8" ht="37.5" hidden="1" x14ac:dyDescent="0.25">
      <c r="A13" s="174">
        <v>8</v>
      </c>
      <c r="B13" s="388" t="str">
        <f>Suite&amp;" Electrical Rooms"</f>
        <v>G104 Electrical Rooms</v>
      </c>
      <c r="C13" s="475" t="str">
        <f>Suite&amp;" UPS Systems"</f>
        <v>G104 UPS Systems</v>
      </c>
      <c r="D13" s="175" t="s">
        <v>2085</v>
      </c>
      <c r="E13" s="174" t="s">
        <v>1464</v>
      </c>
      <c r="F13" s="388"/>
      <c r="G13" s="174"/>
      <c r="H13" s="78"/>
    </row>
    <row r="14" spans="1:8" ht="37.5" hidden="1" x14ac:dyDescent="0.25">
      <c r="A14" s="174">
        <v>9</v>
      </c>
      <c r="B14" s="388" t="str">
        <f>Suite&amp;" Electrical Room "&amp; GenRunUPS1</f>
        <v>G104 Electrical Room A</v>
      </c>
      <c r="C14" s="225" t="str">
        <f>Suite&amp;" UP"&amp; GenRunUPS1</f>
        <v>G104 UPA</v>
      </c>
      <c r="D14" s="175" t="str">
        <f>"Notate the kW reading at UP" &amp; GenRunUPS1 &amp; " Critical Bus Panel Meter: _________"</f>
        <v>Notate the kW reading at UPA Critical Bus Panel Meter: _________</v>
      </c>
      <c r="E14" s="174" t="s">
        <v>1464</v>
      </c>
      <c r="F14" s="178"/>
      <c r="G14" s="178"/>
      <c r="H14" s="78"/>
    </row>
    <row r="15" spans="1:8" ht="37.5" hidden="1" x14ac:dyDescent="0.25">
      <c r="A15" s="174">
        <v>10</v>
      </c>
      <c r="B15" s="388" t="str">
        <f>Suite&amp;" Electrical Room "&amp; GenRunUPS2</f>
        <v>G104 Electrical Room B</v>
      </c>
      <c r="C15" s="225" t="str">
        <f>Suite&amp;" UP"&amp; GenRunUPS2</f>
        <v>G104 UPB</v>
      </c>
      <c r="D15" s="175" t="str">
        <f>"Notate the kW reading at UP" &amp; GenRunUPS2 &amp; " Critical Bus Panel Meter: _________"</f>
        <v>Notate the kW reading at UPB Critical Bus Panel Meter: _________</v>
      </c>
      <c r="E15" s="174" t="s">
        <v>1464</v>
      </c>
      <c r="F15" s="178"/>
      <c r="G15" s="178"/>
      <c r="H15" s="78"/>
    </row>
    <row r="16" spans="1:8" ht="37.5" hidden="1" x14ac:dyDescent="0.25">
      <c r="A16" s="174">
        <v>11</v>
      </c>
      <c r="B16" s="388" t="str">
        <f>Suite&amp;" Electrical Room "&amp;ROP</f>
        <v>G104 Electrical Room 0</v>
      </c>
      <c r="C16" s="225" t="str">
        <f>Suite&amp;" ROP "&amp;ROP</f>
        <v>G104 ROP 0</v>
      </c>
      <c r="D16" s="175" t="s">
        <v>4631</v>
      </c>
      <c r="E16" s="174" t="s">
        <v>1464</v>
      </c>
      <c r="F16" s="388"/>
      <c r="G16" s="388" t="s">
        <v>1519</v>
      </c>
      <c r="H16" s="78"/>
    </row>
    <row r="17" spans="1:8" ht="37.5" hidden="1" x14ac:dyDescent="0.25">
      <c r="A17" s="174">
        <v>12</v>
      </c>
      <c r="B17" s="388" t="str">
        <f>Suite&amp;" Electrical Room "&amp;ROP</f>
        <v>G104 Electrical Room 0</v>
      </c>
      <c r="C17" s="225" t="str">
        <f>Suite&amp;" ROP "&amp;ROP</f>
        <v>G104 ROP 0</v>
      </c>
      <c r="D17" s="175" t="s">
        <v>2120</v>
      </c>
      <c r="E17" s="174" t="s">
        <v>1464</v>
      </c>
      <c r="F17" s="388"/>
      <c r="G17" s="388" t="s">
        <v>1519</v>
      </c>
      <c r="H17" s="78"/>
    </row>
    <row r="18" spans="1:8" ht="37.5" hidden="1" x14ac:dyDescent="0.25">
      <c r="A18" s="174">
        <v>14</v>
      </c>
      <c r="B18" s="388" t="str">
        <f>Suite&amp;" Electrical Room "&amp;ROP</f>
        <v>G104 Electrical Room 0</v>
      </c>
      <c r="C18" s="225" t="str">
        <f>Suite&amp;" ROP "&amp;ROP</f>
        <v>G104 ROP 0</v>
      </c>
      <c r="D18" s="175" t="s">
        <v>4632</v>
      </c>
      <c r="E18" s="174" t="s">
        <v>1464</v>
      </c>
      <c r="F18" s="388"/>
      <c r="G18" s="388" t="s">
        <v>1519</v>
      </c>
      <c r="H18" s="78"/>
    </row>
    <row r="19" spans="1:8" ht="56.25" hidden="1" x14ac:dyDescent="0.25">
      <c r="A19" s="174">
        <v>15</v>
      </c>
      <c r="B19" s="388" t="str">
        <f>Suite&amp;" Electrical Room "&amp;ROP</f>
        <v>G104 Electrical Room 0</v>
      </c>
      <c r="C19" s="225" t="str">
        <f>Suite&amp;" ROP "&amp;ROP</f>
        <v>G104 ROP 0</v>
      </c>
      <c r="D19" s="175" t="s">
        <v>4643</v>
      </c>
      <c r="E19" s="174" t="s">
        <v>1464</v>
      </c>
      <c r="F19" s="388"/>
      <c r="G19" s="388" t="s">
        <v>1519</v>
      </c>
      <c r="H19" s="78"/>
    </row>
    <row r="20" spans="1:8" ht="37.5" hidden="1" x14ac:dyDescent="0.25">
      <c r="A20" s="174">
        <v>16</v>
      </c>
      <c r="B20" s="388" t="str">
        <f>Suite&amp;" Electrical Room "&amp;ROP</f>
        <v>G104 Electrical Room 0</v>
      </c>
      <c r="C20" s="225" t="str">
        <f>Suite&amp;" ROP "&amp;ROP</f>
        <v>G104 ROP 0</v>
      </c>
      <c r="D20" s="175" t="s">
        <v>4633</v>
      </c>
      <c r="E20" s="174" t="s">
        <v>1464</v>
      </c>
      <c r="F20" s="388"/>
      <c r="G20" s="388" t="s">
        <v>1519</v>
      </c>
      <c r="H20" s="78"/>
    </row>
    <row r="21" spans="1:8" ht="37.5" hidden="1" x14ac:dyDescent="0.25">
      <c r="A21" s="174">
        <v>17</v>
      </c>
      <c r="B21" s="388" t="str">
        <f>Suite&amp;" Electrical Room "&amp;ROP</f>
        <v>G104 Electrical Room 0</v>
      </c>
      <c r="C21" s="225" t="str">
        <f>Suite&amp;" ROP "&amp;ROP</f>
        <v>G104 ROP 0</v>
      </c>
      <c r="D21" s="175" t="s">
        <v>4634</v>
      </c>
      <c r="E21" s="174" t="s">
        <v>1464</v>
      </c>
      <c r="F21" s="388"/>
      <c r="G21" s="388" t="s">
        <v>1519</v>
      </c>
      <c r="H21" s="78"/>
    </row>
    <row r="22" spans="1:8" ht="37.5" hidden="1" x14ac:dyDescent="0.25">
      <c r="A22" s="174">
        <v>18</v>
      </c>
      <c r="B22" s="388" t="str">
        <f>Suite&amp;" Electrical Room "&amp;ROP</f>
        <v>G104 Electrical Room 0</v>
      </c>
      <c r="C22" s="225" t="str">
        <f>Suite&amp;" ROP "&amp;ROP</f>
        <v>G104 ROP 0</v>
      </c>
      <c r="D22" s="175" t="s">
        <v>4626</v>
      </c>
      <c r="E22" s="174" t="s">
        <v>1464</v>
      </c>
      <c r="F22" s="388"/>
      <c r="G22" s="388" t="s">
        <v>1519</v>
      </c>
      <c r="H22" s="78"/>
    </row>
    <row r="23" spans="1:8" ht="37.5" hidden="1" x14ac:dyDescent="0.25">
      <c r="A23" s="174">
        <v>19</v>
      </c>
      <c r="B23" s="388" t="str">
        <f>Suite&amp;" Electrical Room "&amp;ROP</f>
        <v>G104 Electrical Room 0</v>
      </c>
      <c r="C23" s="225" t="str">
        <f>Suite&amp;" ROP "&amp;ROP</f>
        <v>G104 ROP 0</v>
      </c>
      <c r="D23" s="175" t="s">
        <v>4627</v>
      </c>
      <c r="E23" s="174" t="s">
        <v>1464</v>
      </c>
      <c r="F23" s="388"/>
      <c r="G23" s="388" t="s">
        <v>1519</v>
      </c>
      <c r="H23" s="78"/>
    </row>
    <row r="24" spans="1:8" ht="37.5" hidden="1" x14ac:dyDescent="0.25">
      <c r="A24" s="174">
        <v>20</v>
      </c>
      <c r="B24" s="388" t="str">
        <f>Suite&amp;" Electrical Room "&amp;ROP</f>
        <v>G104 Electrical Room 0</v>
      </c>
      <c r="C24" s="225" t="str">
        <f>Suite&amp;" ROP "&amp;ROP</f>
        <v>G104 ROP 0</v>
      </c>
      <c r="D24" s="175" t="s">
        <v>4635</v>
      </c>
      <c r="E24" s="174" t="s">
        <v>1464</v>
      </c>
      <c r="F24" s="388"/>
      <c r="G24" s="388" t="s">
        <v>1519</v>
      </c>
      <c r="H24" s="78"/>
    </row>
    <row r="25" spans="1:8" ht="37.5" hidden="1" x14ac:dyDescent="0.25">
      <c r="A25" s="174">
        <v>22</v>
      </c>
      <c r="B25" s="388" t="str">
        <f>Suite&amp;" Electrical Room "&amp;ROP</f>
        <v>G104 Electrical Room 0</v>
      </c>
      <c r="C25" s="225" t="str">
        <f>Suite&amp;" ROP "&amp;ROP</f>
        <v>G104 ROP 0</v>
      </c>
      <c r="D25" s="175" t="s">
        <v>4636</v>
      </c>
      <c r="E25" s="174" t="s">
        <v>1464</v>
      </c>
      <c r="F25" s="388"/>
      <c r="G25" s="388" t="s">
        <v>1519</v>
      </c>
      <c r="H25" s="78"/>
    </row>
    <row r="26" spans="1:8" ht="37.5" hidden="1" x14ac:dyDescent="0.3">
      <c r="A26" s="174">
        <v>23</v>
      </c>
      <c r="B26" s="388" t="str">
        <f>Suite&amp;" Electrical Room "&amp;ROP</f>
        <v>G104 Electrical Room 0</v>
      </c>
      <c r="C26" s="225" t="str">
        <f>Suite&amp;" ROP "&amp;ROP</f>
        <v>G104 ROP 0</v>
      </c>
      <c r="D26" s="175" t="str">
        <f>"Using the graphic, SELECT " &amp; GenRunUPS2 &amp; "G for SW" &amp; GenRunUPS1 &amp; "."</f>
        <v>Using the graphic, SELECT BG for SWA.</v>
      </c>
      <c r="E26" s="174" t="s">
        <v>1464</v>
      </c>
      <c r="F26" s="198"/>
      <c r="G26" s="388" t="s">
        <v>1519</v>
      </c>
      <c r="H26" s="78"/>
    </row>
    <row r="27" spans="1:8" ht="37.5" hidden="1" x14ac:dyDescent="0.3">
      <c r="A27" s="174">
        <v>24</v>
      </c>
      <c r="B27" s="388" t="str">
        <f>Suite&amp;" Electrical Room "&amp;ROP</f>
        <v>G104 Electrical Room 0</v>
      </c>
      <c r="C27" s="225" t="str">
        <f>Suite&amp;" ROP "&amp;ROP</f>
        <v>G104 ROP 0</v>
      </c>
      <c r="D27" s="175" t="str">
        <f>"Using the graphic, SELECT " &amp; GenRunUPS2 &amp; "G for SW" &amp; GenRunUPS2 &amp; "."</f>
        <v>Using the graphic, SELECT BG for SWB.</v>
      </c>
      <c r="E27" s="174" t="s">
        <v>1464</v>
      </c>
      <c r="F27" s="198"/>
      <c r="G27" s="388" t="s">
        <v>1519</v>
      </c>
      <c r="H27" s="78"/>
    </row>
    <row r="28" spans="1:8" ht="56.25" hidden="1" x14ac:dyDescent="0.3">
      <c r="A28" s="174">
        <v>25</v>
      </c>
      <c r="B28" s="388" t="str">
        <f>Suite&amp;" Electrical Room "&amp;ROP</f>
        <v>G104 Electrical Room 0</v>
      </c>
      <c r="C28" s="225" t="str">
        <f>Suite&amp;" ROP "&amp;ROP</f>
        <v>G104 ROP 0</v>
      </c>
      <c r="D28" s="175" t="s">
        <v>4641</v>
      </c>
      <c r="E28" s="174" t="s">
        <v>1464</v>
      </c>
      <c r="F28" s="198"/>
      <c r="G28" s="388" t="s">
        <v>1519</v>
      </c>
      <c r="H28" s="78"/>
    </row>
    <row r="29" spans="1:8" ht="56.25" hidden="1" x14ac:dyDescent="0.3">
      <c r="A29" s="174">
        <v>26</v>
      </c>
      <c r="B29" s="388" t="str">
        <f>Suite&amp;" Electrical Room "&amp;ROP</f>
        <v>G104 Electrical Room 0</v>
      </c>
      <c r="C29" s="225" t="str">
        <f>Suite&amp;" ROP "&amp;ROP</f>
        <v>G104 ROP 0</v>
      </c>
      <c r="D29" s="261" t="s">
        <v>4646</v>
      </c>
      <c r="E29" s="174" t="s">
        <v>1464</v>
      </c>
      <c r="F29" s="198"/>
      <c r="G29" s="388" t="s">
        <v>1519</v>
      </c>
      <c r="H29" s="78"/>
    </row>
    <row r="30" spans="1:8" ht="37.5" hidden="1" x14ac:dyDescent="0.3">
      <c r="A30" s="174">
        <v>27</v>
      </c>
      <c r="B30" s="388" t="str">
        <f>Suite&amp;" Electrical Room "&amp;ROP</f>
        <v>G104 Electrical Room 0</v>
      </c>
      <c r="C30" s="225" t="str">
        <f>Suite&amp;" ROP "&amp;ROP</f>
        <v>G104 ROP 0</v>
      </c>
      <c r="D30" s="175" t="s">
        <v>4625</v>
      </c>
      <c r="E30" s="174" t="s">
        <v>1464</v>
      </c>
      <c r="F30" s="198"/>
      <c r="G30" s="388" t="s">
        <v>1519</v>
      </c>
      <c r="H30" s="78"/>
    </row>
    <row r="31" spans="1:8" ht="56.25" hidden="1" x14ac:dyDescent="0.3">
      <c r="A31" s="174">
        <v>28</v>
      </c>
      <c r="B31" s="388" t="str">
        <f>Suite&amp;" Electrical Room "&amp;ROP</f>
        <v>G104 Electrical Room 0</v>
      </c>
      <c r="C31" s="225" t="str">
        <f>Suite&amp;" ROP "&amp;ROP</f>
        <v>G104 ROP 0</v>
      </c>
      <c r="D31" s="175" t="s">
        <v>4647</v>
      </c>
      <c r="E31" s="174" t="s">
        <v>1464</v>
      </c>
      <c r="F31" s="198"/>
      <c r="G31" s="388" t="s">
        <v>1519</v>
      </c>
      <c r="H31" s="78"/>
    </row>
    <row r="32" spans="1:8" ht="37.5" hidden="1" x14ac:dyDescent="0.3">
      <c r="A32" s="174">
        <v>29</v>
      </c>
      <c r="B32" s="388" t="str">
        <f>Suite&amp;" Electrical Room "&amp;ROP</f>
        <v>G104 Electrical Room 0</v>
      </c>
      <c r="C32" s="225" t="str">
        <f>Suite&amp;" ROP "&amp;ROP</f>
        <v>G104 ROP 0</v>
      </c>
      <c r="D32" s="175" t="str">
        <f>"Verify breaker " &amp; GenRunUPS2 &amp; "G on switchboard SW" &amp; GenRunUPS2 &amp; " CLOSES as indicated by color change from GREEN to RED."</f>
        <v>Verify breaker BG on switchboard SWB CLOSES as indicated by color change from GREEN to RED.</v>
      </c>
      <c r="E32" s="174" t="s">
        <v>1464</v>
      </c>
      <c r="F32" s="198"/>
      <c r="G32" s="388" t="s">
        <v>1519</v>
      </c>
      <c r="H32" s="78"/>
    </row>
    <row r="33" spans="1:17" ht="37.5" hidden="1" x14ac:dyDescent="0.3">
      <c r="A33" s="174">
        <v>30</v>
      </c>
      <c r="B33" s="388" t="str">
        <f>Suite&amp;" Electrical Room "&amp;ROP</f>
        <v>G104 Electrical Room 0</v>
      </c>
      <c r="C33" s="225" t="str">
        <f>Suite&amp;" ROP "&amp;ROP</f>
        <v>G104 ROP 0</v>
      </c>
      <c r="D33" s="175" t="str">
        <f>"Verify breaker " &amp; UtilityInputBreaker &amp; " on the Utility Input Cabinet OPENS as indicated by color change from RED to GREEN."</f>
        <v>Verify breaker  on the Utility Input Cabinet OPENS as indicated by color change from RED to GREEN.</v>
      </c>
      <c r="E33" s="174" t="s">
        <v>1464</v>
      </c>
      <c r="F33" s="198"/>
      <c r="G33" s="388" t="s">
        <v>1519</v>
      </c>
      <c r="H33" s="78"/>
      <c r="N33" s="428"/>
      <c r="O33" s="428"/>
      <c r="P33" s="428"/>
      <c r="Q33" s="428"/>
    </row>
    <row r="34" spans="1:17" ht="37.5" hidden="1" x14ac:dyDescent="0.3">
      <c r="A34" s="174">
        <v>31</v>
      </c>
      <c r="B34" s="388" t="str">
        <f>Suite&amp;" Electrical Room "&amp; GenRunUPS1</f>
        <v>G104 Electrical Room A</v>
      </c>
      <c r="C34" s="225" t="str">
        <f>Suite&amp;" UPS "&amp; GenRunUPS1</f>
        <v>G104 UPS A</v>
      </c>
      <c r="D34" s="175" t="str">
        <f>"Notate the kW reading at UP" &amp; GenRunUPS1 &amp; " Critical Bus Panel Meter: _________"</f>
        <v>Notate the kW reading at UPA Critical Bus Panel Meter: _________</v>
      </c>
      <c r="E34" s="174" t="s">
        <v>1464</v>
      </c>
      <c r="F34" s="198"/>
      <c r="G34" s="388" t="s">
        <v>1519</v>
      </c>
      <c r="H34" s="78"/>
      <c r="N34" s="428"/>
      <c r="O34" s="428"/>
      <c r="P34" s="428"/>
      <c r="Q34" s="428"/>
    </row>
    <row r="35" spans="1:17" ht="37.5" hidden="1" x14ac:dyDescent="0.3">
      <c r="A35" s="174">
        <v>32</v>
      </c>
      <c r="B35" s="388" t="str">
        <f>Suite&amp;" Electrical Room "&amp; GenRunUPS1</f>
        <v>G104 Electrical Room A</v>
      </c>
      <c r="C35" s="225" t="str">
        <f>Suite&amp;" UPS "&amp; GenRunUPS1</f>
        <v>G104 UPS A</v>
      </c>
      <c r="D35" s="175" t="str">
        <f>"Verify the readings in step " &amp; A14 &amp; " and " &amp; A34 &amp; " are within 3% of each other. (new kW divided by original kW must be ≤1.03 and ≥0.97)."</f>
        <v>Verify the readings in step 9 and 31 are within 3% of each other. (new kW divided by original kW must be ≤1.03 and ≥0.97).</v>
      </c>
      <c r="E35" s="174" t="s">
        <v>1464</v>
      </c>
      <c r="F35" s="198"/>
      <c r="G35" s="388" t="s">
        <v>1519</v>
      </c>
      <c r="H35" s="78"/>
      <c r="N35" s="428"/>
      <c r="O35" s="428"/>
      <c r="P35" s="428"/>
      <c r="Q35" s="428"/>
    </row>
    <row r="36" spans="1:17" ht="37.5" hidden="1" x14ac:dyDescent="0.3">
      <c r="A36" s="174">
        <v>33</v>
      </c>
      <c r="B36" s="388" t="str">
        <f>Suite&amp;" Electrical Room "&amp; GenRunUPS2</f>
        <v>G104 Electrical Room B</v>
      </c>
      <c r="C36" s="225" t="str">
        <f>Suite&amp;" UPS "&amp; GenRunUPS2</f>
        <v>G104 UPS B</v>
      </c>
      <c r="D36" s="175" t="str">
        <f>"Notate the kW reading at UP" &amp; GenRunUPS2 &amp; " Critical Bus Panel Meter: _________"</f>
        <v>Notate the kW reading at UPB Critical Bus Panel Meter: _________</v>
      </c>
      <c r="E36" s="174" t="s">
        <v>1464</v>
      </c>
      <c r="F36" s="198"/>
      <c r="G36" s="388" t="s">
        <v>1519</v>
      </c>
      <c r="H36" s="78"/>
      <c r="N36" s="428"/>
      <c r="O36" s="428"/>
      <c r="P36" s="428"/>
      <c r="Q36" s="428"/>
    </row>
    <row r="37" spans="1:17" ht="37.5" hidden="1" x14ac:dyDescent="0.3">
      <c r="A37" s="174">
        <v>34</v>
      </c>
      <c r="B37" s="388" t="str">
        <f>Suite&amp;" Electrical Room "&amp; GenRunUPS2</f>
        <v>G104 Electrical Room B</v>
      </c>
      <c r="C37" s="225" t="str">
        <f>Suite&amp;" UPS "&amp; GenRunUPS2</f>
        <v>G104 UPS B</v>
      </c>
      <c r="D37" s="175" t="str">
        <f>"Verify the readings in step " &amp; A15 &amp; " and " &amp; A36 &amp; " are within 3% of each other. (new kW divided by original kW must be ≤1.03 and ≥0.97)."</f>
        <v>Verify the readings in step 10 and 33 are within 3% of each other. (new kW divided by original kW must be ≤1.03 and ≥0.97).</v>
      </c>
      <c r="E37" s="174" t="s">
        <v>1464</v>
      </c>
      <c r="F37" s="198"/>
      <c r="G37" s="388" t="s">
        <v>1519</v>
      </c>
      <c r="H37" s="78"/>
    </row>
    <row r="38" spans="1:17" ht="37.5" hidden="1" x14ac:dyDescent="0.3">
      <c r="A38" s="174">
        <v>35</v>
      </c>
      <c r="B38" s="388" t="str">
        <f>Suite&amp;" Electrical Room "&amp; GenRunUPS2</f>
        <v>G104 Electrical Room B</v>
      </c>
      <c r="C38" s="225" t="str">
        <f>Suite&amp;" SW"&amp; GenRunUPS2</f>
        <v>G104 SWB</v>
      </c>
      <c r="D38" s="175" t="str">
        <f>"Verify breaker " &amp; GenRunUPS2 &amp; "G is CLOSED."</f>
        <v>Verify breaker BG is CLOSED.</v>
      </c>
      <c r="E38" s="174" t="s">
        <v>1464</v>
      </c>
      <c r="F38" s="198"/>
      <c r="G38" s="388" t="s">
        <v>1519</v>
      </c>
      <c r="H38" s="78"/>
    </row>
    <row r="39" spans="1:17" ht="37.5" hidden="1" x14ac:dyDescent="0.3">
      <c r="A39" s="174">
        <v>36</v>
      </c>
      <c r="B39" s="388" t="str">
        <f>Suite&amp;" Electrical Room "&amp; GenRunUPS2</f>
        <v>G104 Electrical Room B</v>
      </c>
      <c r="C39" s="225" t="str">
        <f>Suite&amp;" SW"&amp; GenRunUPS2</f>
        <v>G104 SWB</v>
      </c>
      <c r="D39" s="175" t="str">
        <f>"Verify breaker " &amp; GenRunUPS2 &amp; "T is CLOSED."</f>
        <v>Verify breaker BT is CLOSED.</v>
      </c>
      <c r="E39" s="174" t="s">
        <v>1464</v>
      </c>
      <c r="F39" s="198"/>
      <c r="G39" s="388" t="s">
        <v>1519</v>
      </c>
      <c r="H39" s="78"/>
    </row>
    <row r="40" spans="1:17" ht="37.5" hidden="1" x14ac:dyDescent="0.3">
      <c r="A40" s="174">
        <v>37</v>
      </c>
      <c r="B40" s="388" t="str">
        <f>Suite&amp;" Electrical Room "&amp; GenRunUPS2</f>
        <v>G104 Electrical Room B</v>
      </c>
      <c r="C40" s="225" t="str">
        <f>Suite&amp;" UP"&amp; GenRunUPS2</f>
        <v>G104 UPB</v>
      </c>
      <c r="D40" s="175" t="str">
        <f>"Verify breaker UPS-" &amp; GenRunUPS2 &amp; "1 is CLOSED."</f>
        <v>Verify breaker UPS-B1 is CLOSED.</v>
      </c>
      <c r="E40" s="174" t="s">
        <v>1464</v>
      </c>
      <c r="F40" s="198"/>
      <c r="G40" s="388" t="s">
        <v>1519</v>
      </c>
      <c r="H40" s="78"/>
    </row>
    <row r="41" spans="1:17" ht="37.5" hidden="1" x14ac:dyDescent="0.3">
      <c r="A41" s="174">
        <v>38</v>
      </c>
      <c r="B41" s="388" t="str">
        <f>Suite&amp;" Electrical Room "&amp; GenRunUPS2</f>
        <v>G104 Electrical Room B</v>
      </c>
      <c r="C41" s="225" t="str">
        <f>Suite&amp;" UP"&amp; GenRunUPS2</f>
        <v>G104 UPB</v>
      </c>
      <c r="D41" s="175" t="str">
        <f>"Verify breaker UPS-" &amp; GenRunUPS2 &amp; "2 is CLOSED."</f>
        <v>Verify breaker UPS-B2 is CLOSED.</v>
      </c>
      <c r="E41" s="174" t="s">
        <v>1464</v>
      </c>
      <c r="F41" s="198"/>
      <c r="G41" s="388" t="s">
        <v>1519</v>
      </c>
      <c r="H41" s="78"/>
    </row>
    <row r="42" spans="1:17" ht="37.5" hidden="1" x14ac:dyDescent="0.3">
      <c r="A42" s="174">
        <v>39</v>
      </c>
      <c r="B42" s="388" t="str">
        <f>Suite&amp;" Electrical Room "&amp; GenRunUPS2</f>
        <v>G104 Electrical Room B</v>
      </c>
      <c r="C42" s="225" t="str">
        <f>Suite&amp;" UP"&amp; GenRunUPS2</f>
        <v>G104 UPB</v>
      </c>
      <c r="D42" s="175" t="str">
        <f>"Verify breaker MCBUP" &amp; GenRunUPS2 &amp; " is CLOSED."</f>
        <v>Verify breaker MCBUPB is CLOSED.</v>
      </c>
      <c r="E42" s="174" t="s">
        <v>1464</v>
      </c>
      <c r="F42" s="198"/>
      <c r="G42" s="388" t="s">
        <v>1519</v>
      </c>
      <c r="H42" s="78"/>
    </row>
    <row r="43" spans="1:17" ht="37.5" hidden="1" x14ac:dyDescent="0.3">
      <c r="A43" s="174">
        <v>40</v>
      </c>
      <c r="B43" s="388" t="str">
        <f>Suite&amp;" Utility Input Room "</f>
        <v xml:space="preserve">G104 Utility Input Room </v>
      </c>
      <c r="C43" s="475" t="s">
        <v>2121</v>
      </c>
      <c r="D43" s="175" t="str">
        <f>"Verify breaker " &amp; UtilityInputBreaker &amp; " is OPEN."</f>
        <v>Verify breaker  is OPEN.</v>
      </c>
      <c r="E43" s="174" t="s">
        <v>1464</v>
      </c>
      <c r="F43" s="198"/>
      <c r="G43" s="388" t="s">
        <v>1519</v>
      </c>
      <c r="H43" s="78"/>
    </row>
    <row r="44" spans="1:17" ht="37.5" hidden="1" x14ac:dyDescent="0.3">
      <c r="A44" s="174">
        <v>41</v>
      </c>
      <c r="B44" s="388" t="str">
        <f>Suite&amp;" Electrical Room "&amp; GenRunUPS1</f>
        <v>G104 Electrical Room A</v>
      </c>
      <c r="C44" s="225" t="str">
        <f>Suite&amp;" SW"&amp; GenRunUPS1</f>
        <v>G104 SWA</v>
      </c>
      <c r="D44" s="175" t="str">
        <f>"Verify breaker " &amp; GenRunUPS1 &amp; "G is OPEN."</f>
        <v>Verify breaker AG is OPEN.</v>
      </c>
      <c r="E44" s="174" t="s">
        <v>1464</v>
      </c>
      <c r="F44" s="198"/>
      <c r="G44" s="388" t="s">
        <v>1519</v>
      </c>
      <c r="H44" s="78"/>
    </row>
    <row r="45" spans="1:17" ht="37.5" hidden="1" x14ac:dyDescent="0.3">
      <c r="A45" s="174">
        <v>42</v>
      </c>
      <c r="B45" s="388" t="str">
        <f>Suite&amp;" Electrical Room "&amp; GenRunUPS1</f>
        <v>G104 Electrical Room A</v>
      </c>
      <c r="C45" s="225" t="str">
        <f>Suite&amp;" SW"&amp; GenRunUPS1</f>
        <v>G104 SWA</v>
      </c>
      <c r="D45" s="175" t="str">
        <f>"Verify breaker " &amp; GenRunUPS1 &amp; "T is CLOSED."</f>
        <v>Verify breaker AT is CLOSED.</v>
      </c>
      <c r="E45" s="174" t="s">
        <v>1464</v>
      </c>
      <c r="F45" s="198"/>
      <c r="G45" s="388" t="s">
        <v>1519</v>
      </c>
      <c r="H45" s="78"/>
    </row>
    <row r="46" spans="1:17" ht="37.5" hidden="1" x14ac:dyDescent="0.3">
      <c r="A46" s="174">
        <v>43</v>
      </c>
      <c r="B46" s="388" t="str">
        <f>Suite&amp;" Electrical Room "&amp; GenRunUPS1</f>
        <v>G104 Electrical Room A</v>
      </c>
      <c r="C46" s="225" t="str">
        <f>Suite&amp;" UP"&amp; GenRunUPS1</f>
        <v>G104 UPA</v>
      </c>
      <c r="D46" s="175" t="str">
        <f>"Verify breaker UPS-" &amp; GenRunUPS1 &amp; "1 is CLOSED."</f>
        <v>Verify breaker UPS-A1 is CLOSED.</v>
      </c>
      <c r="E46" s="174" t="s">
        <v>1464</v>
      </c>
      <c r="F46" s="198"/>
      <c r="G46" s="388" t="s">
        <v>1519</v>
      </c>
      <c r="H46" s="78"/>
    </row>
    <row r="47" spans="1:17" ht="37.5" hidden="1" x14ac:dyDescent="0.3">
      <c r="A47" s="174">
        <v>44</v>
      </c>
      <c r="B47" s="388" t="str">
        <f>Suite&amp;" Electrical Room "&amp; GenRunUPS1</f>
        <v>G104 Electrical Room A</v>
      </c>
      <c r="C47" s="225" t="str">
        <f>Suite&amp;" UP"&amp; GenRunUPS1</f>
        <v>G104 UPA</v>
      </c>
      <c r="D47" s="175" t="str">
        <f>"Verify breaker UPS-" &amp; GenRunUPS1 &amp; "2 is CLOSED."</f>
        <v>Verify breaker UPS-A2 is CLOSED.</v>
      </c>
      <c r="E47" s="174" t="s">
        <v>1464</v>
      </c>
      <c r="F47" s="198"/>
      <c r="G47" s="388" t="s">
        <v>1519</v>
      </c>
      <c r="H47" s="78"/>
    </row>
    <row r="48" spans="1:17" ht="37.5" hidden="1" x14ac:dyDescent="0.3">
      <c r="A48" s="174">
        <v>45</v>
      </c>
      <c r="B48" s="388" t="str">
        <f>Suite&amp;" Electrical Room "&amp; GenRunUPS1</f>
        <v>G104 Electrical Room A</v>
      </c>
      <c r="C48" s="225" t="str">
        <f>Suite&amp;" UP"&amp; GenRunUPS1</f>
        <v>G104 UPA</v>
      </c>
      <c r="D48" s="175" t="str">
        <f>"Verify breaker MCBUP" &amp; GenRunUPS1 &amp; " is CLOSED."</f>
        <v>Verify breaker MCBUPA is CLOSED.</v>
      </c>
      <c r="E48" s="174" t="s">
        <v>1464</v>
      </c>
      <c r="F48" s="198"/>
      <c r="G48" s="388" t="s">
        <v>1519</v>
      </c>
      <c r="H48" s="78"/>
    </row>
    <row r="49" spans="1:8" ht="37.5" hidden="1" x14ac:dyDescent="0.25">
      <c r="A49" s="174">
        <v>46</v>
      </c>
      <c r="B49" s="388" t="str">
        <f>Suite&amp;" Electrical Rooms"</f>
        <v>G104 Electrical Rooms</v>
      </c>
      <c r="C49" s="475" t="str">
        <f>Suite&amp;" UPS Systems"</f>
        <v>G104 UPS Systems</v>
      </c>
      <c r="D49" s="175" t="s">
        <v>2085</v>
      </c>
      <c r="E49" s="174" t="s">
        <v>1464</v>
      </c>
      <c r="F49" s="388"/>
      <c r="G49" s="388" t="s">
        <v>1519</v>
      </c>
      <c r="H49" s="78"/>
    </row>
    <row r="50" spans="1:8" ht="37.5" hidden="1" x14ac:dyDescent="0.3">
      <c r="A50" s="174">
        <v>47</v>
      </c>
      <c r="B50" s="388" t="s">
        <v>1342</v>
      </c>
      <c r="C50" s="388" t="s">
        <v>2056</v>
      </c>
      <c r="D50" s="175" t="s">
        <v>4628</v>
      </c>
      <c r="E50" s="174" t="s">
        <v>1464</v>
      </c>
      <c r="F50" s="198"/>
      <c r="G50" s="388" t="s">
        <v>1519</v>
      </c>
      <c r="H50" s="78"/>
    </row>
    <row r="51" spans="1:8" ht="37.5" hidden="1" x14ac:dyDescent="0.3">
      <c r="A51" s="174">
        <v>48</v>
      </c>
      <c r="B51" s="388" t="str">
        <f>Suite&amp;" Data Center"</f>
        <v>G104 Data Center</v>
      </c>
      <c r="C51" s="388" t="s">
        <v>2058</v>
      </c>
      <c r="D51" s="175" t="s">
        <v>4629</v>
      </c>
      <c r="E51" s="174" t="s">
        <v>1464</v>
      </c>
      <c r="F51" s="198"/>
      <c r="G51" s="388" t="s">
        <v>1519</v>
      </c>
      <c r="H51" s="78"/>
    </row>
    <row r="52" spans="1:8" ht="37.5" hidden="1" x14ac:dyDescent="0.3">
      <c r="A52" s="174">
        <v>49</v>
      </c>
      <c r="B52" s="388" t="s">
        <v>1462</v>
      </c>
      <c r="C52" s="388" t="s">
        <v>84</v>
      </c>
      <c r="D52" s="175" t="s">
        <v>2119</v>
      </c>
      <c r="E52" s="174" t="s">
        <v>1464</v>
      </c>
      <c r="F52" s="198"/>
      <c r="G52" s="388" t="s">
        <v>1519</v>
      </c>
      <c r="H52" s="78"/>
    </row>
    <row r="53" spans="1:8" ht="37.5" hidden="1" x14ac:dyDescent="0.3">
      <c r="A53" s="174">
        <v>50</v>
      </c>
      <c r="B53" s="388" t="s">
        <v>724</v>
      </c>
      <c r="C53" s="388" t="str">
        <f>zSelectedEquipment</f>
        <v>G104-Gen-B</v>
      </c>
      <c r="D53" s="175" t="s">
        <v>2030</v>
      </c>
      <c r="E53" s="174" t="s">
        <v>1464</v>
      </c>
      <c r="F53" s="198"/>
      <c r="G53" s="388" t="s">
        <v>1519</v>
      </c>
      <c r="H53" s="78"/>
    </row>
    <row r="54" spans="1:8" ht="37.5" hidden="1" x14ac:dyDescent="0.3">
      <c r="A54" s="174">
        <v>51</v>
      </c>
      <c r="B54" s="388" t="str">
        <f>Suite&amp;" Electrical Room "&amp;ROP</f>
        <v>G104 Electrical Room 0</v>
      </c>
      <c r="C54" s="225" t="str">
        <f>Suite&amp;" ROP "&amp;ROP</f>
        <v>G104 ROP 0</v>
      </c>
      <c r="D54" s="175" t="s">
        <v>2061</v>
      </c>
      <c r="E54" s="174" t="s">
        <v>1464</v>
      </c>
      <c r="F54" s="198"/>
      <c r="G54" s="388" t="s">
        <v>1519</v>
      </c>
      <c r="H54" s="78"/>
    </row>
    <row r="55" spans="1:8" hidden="1" x14ac:dyDescent="0.25">
      <c r="A55" s="174">
        <v>52</v>
      </c>
      <c r="B55" s="716" t="str">
        <f>"Re-transfer SW" &amp; GenRunUPS1 &amp; " &amp; SW" &amp; GenRunUPS2 &amp; " to Utility Power"</f>
        <v>Re-transfer SWA &amp; SWB to Utility Power</v>
      </c>
      <c r="C55" s="716"/>
      <c r="D55" s="716"/>
      <c r="E55" s="716"/>
      <c r="F55" s="716"/>
      <c r="G55" s="716"/>
      <c r="H55" s="78"/>
    </row>
    <row r="56" spans="1:8" ht="37.5" hidden="1" x14ac:dyDescent="0.3">
      <c r="A56" s="174">
        <v>53</v>
      </c>
      <c r="B56" s="388" t="str">
        <f>Suite&amp;" Electrical Rooms"</f>
        <v>G104 Electrical Rooms</v>
      </c>
      <c r="C56" s="528" t="str">
        <f>Suite&amp;" UPS Systems"</f>
        <v>G104 UPS Systems</v>
      </c>
      <c r="D56" s="175" t="s">
        <v>2085</v>
      </c>
      <c r="E56" s="174" t="s">
        <v>1464</v>
      </c>
      <c r="F56" s="198"/>
      <c r="G56" s="198"/>
      <c r="H56" s="78"/>
    </row>
    <row r="57" spans="1:8" ht="37.5" hidden="1" x14ac:dyDescent="0.25">
      <c r="A57" s="174">
        <v>54</v>
      </c>
      <c r="B57" s="388" t="str">
        <f>Suite&amp;" Electrical Room "&amp; GenRunUPS1</f>
        <v>G104 Electrical Room A</v>
      </c>
      <c r="C57" s="225" t="str">
        <f>Suite&amp;" UP"&amp; GenRunUPS1</f>
        <v>G104 UPA</v>
      </c>
      <c r="D57" s="175" t="str">
        <f>"Notate the kW reading at UP" &amp; GenRunUPS1 &amp; " Critical Bus Panel Meter: _________"</f>
        <v>Notate the kW reading at UPA Critical Bus Panel Meter: _________</v>
      </c>
      <c r="E57" s="174" t="s">
        <v>1464</v>
      </c>
      <c r="F57" s="388"/>
      <c r="G57" s="388"/>
      <c r="H57" s="78"/>
    </row>
    <row r="58" spans="1:8" ht="37.5" hidden="1" x14ac:dyDescent="0.25">
      <c r="A58" s="174">
        <v>55</v>
      </c>
      <c r="B58" s="388" t="str">
        <f>Suite&amp;" Electrical Room "&amp; GenRunUPS2</f>
        <v>G104 Electrical Room B</v>
      </c>
      <c r="C58" s="225" t="str">
        <f>Suite&amp;" UP"&amp; GenRunUPS2</f>
        <v>G104 UPB</v>
      </c>
      <c r="D58" s="175" t="str">
        <f>"Notate the kW reading at UP" &amp; GenRunUPS2 &amp; " Critical Bus Panel Meter: _________"</f>
        <v>Notate the kW reading at UPB Critical Bus Panel Meter: _________</v>
      </c>
      <c r="E58" s="174" t="s">
        <v>1464</v>
      </c>
      <c r="F58" s="388"/>
      <c r="G58" s="388"/>
      <c r="H58" s="78"/>
    </row>
    <row r="59" spans="1:8" ht="37.5" hidden="1" x14ac:dyDescent="0.25">
      <c r="A59" s="174">
        <v>56</v>
      </c>
      <c r="B59" s="388" t="str">
        <f>Suite&amp;" Electrical Room "&amp;ROP</f>
        <v>G104 Electrical Room 0</v>
      </c>
      <c r="C59" s="225" t="str">
        <f>Suite&amp;" ROP "&amp;ROP</f>
        <v>G104 ROP 0</v>
      </c>
      <c r="D59" s="175" t="s">
        <v>4631</v>
      </c>
      <c r="E59" s="174" t="s">
        <v>1464</v>
      </c>
      <c r="F59" s="388"/>
      <c r="G59" s="174"/>
      <c r="H59" s="78"/>
    </row>
    <row r="60" spans="1:8" ht="37.5" hidden="1" x14ac:dyDescent="0.25">
      <c r="A60" s="174">
        <v>57</v>
      </c>
      <c r="B60" s="388" t="str">
        <f>Suite&amp;" Electrical Room "&amp;ROP</f>
        <v>G104 Electrical Room 0</v>
      </c>
      <c r="C60" s="225" t="str">
        <f>Suite&amp;" ROP "&amp;ROP</f>
        <v>G104 ROP 0</v>
      </c>
      <c r="D60" s="175" t="s">
        <v>2120</v>
      </c>
      <c r="E60" s="174" t="s">
        <v>1464</v>
      </c>
      <c r="F60" s="388"/>
      <c r="G60" s="174"/>
      <c r="H60" s="78"/>
    </row>
    <row r="61" spans="1:8" ht="37.5" hidden="1" x14ac:dyDescent="0.25">
      <c r="A61" s="174">
        <v>58</v>
      </c>
      <c r="B61" s="388" t="str">
        <f>Suite&amp;" Electrical Room "&amp;ROP</f>
        <v>G104 Electrical Room 0</v>
      </c>
      <c r="C61" s="225" t="str">
        <f>Suite&amp;" ROP "&amp;ROP</f>
        <v>G104 ROP 0</v>
      </c>
      <c r="D61" s="175" t="s">
        <v>4642</v>
      </c>
      <c r="E61" s="174" t="s">
        <v>1464</v>
      </c>
      <c r="F61" s="388"/>
      <c r="G61" s="174"/>
      <c r="H61" s="78"/>
    </row>
    <row r="62" spans="1:8" ht="37.5" hidden="1" x14ac:dyDescent="0.25">
      <c r="A62" s="174">
        <v>59</v>
      </c>
      <c r="B62" s="388" t="str">
        <f>Suite&amp;" Electrical Room "&amp;ROP</f>
        <v>G104 Electrical Room 0</v>
      </c>
      <c r="C62" s="225" t="str">
        <f>Suite&amp;" ROP "&amp;ROP</f>
        <v>G104 ROP 0</v>
      </c>
      <c r="D62" s="175" t="s">
        <v>4635</v>
      </c>
      <c r="E62" s="174" t="s">
        <v>1464</v>
      </c>
      <c r="F62" s="388"/>
      <c r="G62" s="174"/>
      <c r="H62" s="78"/>
    </row>
    <row r="63" spans="1:8" ht="37.5" hidden="1" x14ac:dyDescent="0.3">
      <c r="A63" s="174">
        <v>60</v>
      </c>
      <c r="B63" s="388" t="str">
        <f>Suite&amp;" Electrical Room "&amp;ROP</f>
        <v>G104 Electrical Room 0</v>
      </c>
      <c r="C63" s="225" t="str">
        <f>Suite&amp;" ROP "&amp;ROP</f>
        <v>G104 ROP 0</v>
      </c>
      <c r="D63" s="175" t="str">
        <f>"Verify there are no alarms present other than the ‘27/81’ alarms on breaker " &amp; GenRunUPS2 &amp; "G."</f>
        <v>Verify there are no alarms present other than the ‘27/81’ alarms on breaker BG.</v>
      </c>
      <c r="E63" s="174" t="s">
        <v>1464</v>
      </c>
      <c r="F63" s="198"/>
      <c r="G63" s="198"/>
      <c r="H63" s="78"/>
    </row>
    <row r="64" spans="1:8" ht="37.5" hidden="1" x14ac:dyDescent="0.25">
      <c r="A64" s="174">
        <v>61</v>
      </c>
      <c r="B64" s="388" t="str">
        <f>Suite&amp;" Electrical Room "&amp;ROP</f>
        <v>G104 Electrical Room 0</v>
      </c>
      <c r="C64" s="225" t="str">
        <f>Suite&amp;" ROP "&amp;ROP</f>
        <v>G104 ROP 0</v>
      </c>
      <c r="D64" s="175" t="s">
        <v>4632</v>
      </c>
      <c r="E64" s="174" t="s">
        <v>1464</v>
      </c>
      <c r="F64" s="388"/>
      <c r="G64" s="174"/>
      <c r="H64" s="78"/>
    </row>
    <row r="65" spans="1:15" ht="56.25" hidden="1" x14ac:dyDescent="0.3">
      <c r="A65" s="174">
        <v>62</v>
      </c>
      <c r="B65" s="388" t="str">
        <f>Suite&amp;" Electrical Room "&amp;ROP</f>
        <v>G104 Electrical Room 0</v>
      </c>
      <c r="C65" s="225" t="str">
        <f>Suite&amp;" ROP "&amp;ROP</f>
        <v>G104 ROP 0</v>
      </c>
      <c r="D65" s="175" t="s">
        <v>4644</v>
      </c>
      <c r="E65" s="174" t="s">
        <v>1464</v>
      </c>
      <c r="F65" s="198"/>
      <c r="G65" s="198"/>
      <c r="H65" s="78"/>
    </row>
    <row r="66" spans="1:15" ht="37.5" hidden="1" x14ac:dyDescent="0.25">
      <c r="A66" s="174">
        <v>63</v>
      </c>
      <c r="B66" s="388" t="str">
        <f>Suite&amp;" Electrical Room "&amp;ROP</f>
        <v>G104 Electrical Room 0</v>
      </c>
      <c r="C66" s="225" t="str">
        <f>Suite&amp;" ROP "&amp;ROP</f>
        <v>G104 ROP 0</v>
      </c>
      <c r="D66" s="175" t="s">
        <v>4636</v>
      </c>
      <c r="E66" s="174" t="s">
        <v>1464</v>
      </c>
      <c r="F66" s="388"/>
      <c r="G66" s="174"/>
      <c r="H66" s="78"/>
    </row>
    <row r="67" spans="1:15" ht="37.5" hidden="1" x14ac:dyDescent="0.3">
      <c r="A67" s="174">
        <v>64</v>
      </c>
      <c r="B67" s="388" t="str">
        <f>Suite&amp;" Electrical Room "&amp;ROP</f>
        <v>G104 Electrical Room 0</v>
      </c>
      <c r="C67" s="225" t="str">
        <f>Suite&amp;" ROP "&amp;ROP</f>
        <v>G104 ROP 0</v>
      </c>
      <c r="D67" s="175" t="str">
        <f>"Using the graphic, SELECT " &amp; UtilityInputBreaker &amp; " for SW" &amp; GenRunUPS1 &amp; "."</f>
        <v>Using the graphic, SELECT  for SWA.</v>
      </c>
      <c r="E67" s="174" t="s">
        <v>1464</v>
      </c>
      <c r="F67" s="198"/>
      <c r="G67" s="198"/>
      <c r="H67" s="78"/>
    </row>
    <row r="68" spans="1:15" ht="37.5" hidden="1" x14ac:dyDescent="0.3">
      <c r="A68" s="174">
        <v>65</v>
      </c>
      <c r="B68" s="388" t="str">
        <f>Suite&amp;" Electrical Room "&amp;ROP</f>
        <v>G104 Electrical Room 0</v>
      </c>
      <c r="C68" s="225" t="str">
        <f>Suite&amp;" ROP "&amp;ROP</f>
        <v>G104 ROP 0</v>
      </c>
      <c r="D68" s="175" t="str">
        <f>"Using the graphic, SELECT " &amp; UtilityInputBreaker &amp; " for SW" &amp; GenRunUPS2 &amp; "."</f>
        <v>Using the graphic, SELECT  for SWB.</v>
      </c>
      <c r="E68" s="174" t="s">
        <v>1464</v>
      </c>
      <c r="F68" s="198"/>
      <c r="G68" s="198"/>
      <c r="H68" s="78"/>
      <c r="N68" s="136"/>
      <c r="O68" s="136"/>
    </row>
    <row r="69" spans="1:15" ht="56.25" hidden="1" x14ac:dyDescent="0.3">
      <c r="A69" s="174">
        <v>66</v>
      </c>
      <c r="B69" s="388" t="str">
        <f>Suite&amp;" Electrical Room "&amp;ROP</f>
        <v>G104 Electrical Room 0</v>
      </c>
      <c r="C69" s="225" t="str">
        <f>Suite&amp;" ROP "&amp;ROP</f>
        <v>G104 ROP 0</v>
      </c>
      <c r="D69" s="175" t="s">
        <v>4641</v>
      </c>
      <c r="E69" s="174" t="s">
        <v>1464</v>
      </c>
      <c r="F69" s="198"/>
      <c r="G69" s="198"/>
      <c r="H69" s="78"/>
      <c r="N69" s="136"/>
      <c r="O69" s="137"/>
    </row>
    <row r="70" spans="1:15" ht="56.25" hidden="1" x14ac:dyDescent="0.3">
      <c r="A70" s="174">
        <v>67</v>
      </c>
      <c r="B70" s="388" t="str">
        <f>Suite&amp;" Electrical Room "&amp;ROP</f>
        <v>G104 Electrical Room 0</v>
      </c>
      <c r="C70" s="225" t="str">
        <f>Suite&amp;" ROP "&amp;ROP</f>
        <v>G104 ROP 0</v>
      </c>
      <c r="D70" s="261" t="s">
        <v>4624</v>
      </c>
      <c r="E70" s="174" t="s">
        <v>1464</v>
      </c>
      <c r="F70" s="198"/>
      <c r="G70" s="198"/>
      <c r="H70" s="78"/>
      <c r="N70" s="136"/>
      <c r="O70" s="138"/>
    </row>
    <row r="71" spans="1:15" ht="37.5" hidden="1" x14ac:dyDescent="0.3">
      <c r="A71" s="174">
        <v>68</v>
      </c>
      <c r="B71" s="388" t="str">
        <f>Suite&amp;" Electrical Room "&amp;ROP</f>
        <v>G104 Electrical Room 0</v>
      </c>
      <c r="C71" s="225" t="str">
        <f>Suite&amp;" ROP "&amp;ROP</f>
        <v>G104 ROP 0</v>
      </c>
      <c r="D71" s="175" t="s">
        <v>4625</v>
      </c>
      <c r="E71" s="174" t="s">
        <v>1464</v>
      </c>
      <c r="F71" s="198"/>
      <c r="G71" s="198"/>
      <c r="H71" s="78"/>
      <c r="N71" s="136"/>
      <c r="O71" s="137"/>
    </row>
    <row r="72" spans="1:15" ht="37.5" hidden="1" x14ac:dyDescent="0.3">
      <c r="A72" s="174">
        <v>69</v>
      </c>
      <c r="B72" s="388" t="str">
        <f>Suite&amp;" Electrical Room "&amp;ROP</f>
        <v>G104 Electrical Room 0</v>
      </c>
      <c r="C72" s="225" t="str">
        <f>Suite&amp;" ROP "&amp;ROP</f>
        <v>G104 ROP 0</v>
      </c>
      <c r="D72" s="175" t="s">
        <v>2068</v>
      </c>
      <c r="E72" s="174" t="s">
        <v>1464</v>
      </c>
      <c r="F72" s="198"/>
      <c r="G72" s="198"/>
      <c r="H72" s="78"/>
      <c r="N72" s="136"/>
      <c r="O72" s="137"/>
    </row>
    <row r="73" spans="1:15" ht="37.5" hidden="1" x14ac:dyDescent="0.3">
      <c r="A73" s="174">
        <v>70</v>
      </c>
      <c r="B73" s="388" t="str">
        <f>Suite&amp;" Electrical Room "&amp;ROP</f>
        <v>G104 Electrical Room 0</v>
      </c>
      <c r="C73" s="225" t="str">
        <f>Suite&amp;" ROP "&amp;ROP</f>
        <v>G104 ROP 0</v>
      </c>
      <c r="D73" s="175" t="str">
        <f>"Verify breaker " &amp; UtilityInputBreaker &amp; " on the Utility Input Cabinet CLOSES as indicated by color change from GREEN to RED."</f>
        <v>Verify breaker  on the Utility Input Cabinet CLOSES as indicated by color change from GREEN to RED.</v>
      </c>
      <c r="E73" s="174" t="s">
        <v>1464</v>
      </c>
      <c r="F73" s="198"/>
      <c r="G73" s="198"/>
      <c r="H73" s="78"/>
      <c r="N73" s="136"/>
      <c r="O73" s="137"/>
    </row>
    <row r="74" spans="1:15" ht="37.5" hidden="1" x14ac:dyDescent="0.3">
      <c r="A74" s="174">
        <v>71</v>
      </c>
      <c r="B74" s="388" t="str">
        <f>Suite&amp;" Electrical Room "&amp;ROP</f>
        <v>G104 Electrical Room 0</v>
      </c>
      <c r="C74" s="225" t="str">
        <f>Suite&amp;" ROP "&amp;ROP</f>
        <v>G104 ROP 0</v>
      </c>
      <c r="D74" s="175" t="str">
        <f>"Verify breaker " &amp; GenRunUPS2 &amp; "G on switchboard SW" &amp; GenRunUPS2 &amp; " OPENS as indicated by color change from RED to GREEN."</f>
        <v>Verify breaker BG on switchboard SWB OPENS as indicated by color change from RED to GREEN.</v>
      </c>
      <c r="E74" s="174" t="s">
        <v>1464</v>
      </c>
      <c r="F74" s="198"/>
      <c r="G74" s="198"/>
      <c r="H74" s="78"/>
      <c r="N74" s="136"/>
      <c r="O74" s="136"/>
    </row>
    <row r="75" spans="1:15" ht="37.5" hidden="1" x14ac:dyDescent="0.3">
      <c r="A75" s="174">
        <v>72</v>
      </c>
      <c r="B75" s="388" t="str">
        <f>Suite&amp;" Electrical Room "&amp; GenRunUPS1</f>
        <v>G104 Electrical Room A</v>
      </c>
      <c r="C75" s="225" t="str">
        <f>Suite&amp;" UPS "&amp; GenRunUPS1</f>
        <v>G104 UPS A</v>
      </c>
      <c r="D75" s="175" t="str">
        <f>"Notate the kW reading at UP" &amp; GenRunUPS1 &amp; " Critical Bus Panel Meter: _________"</f>
        <v>Notate the kW reading at UPA Critical Bus Panel Meter: _________</v>
      </c>
      <c r="E75" s="174" t="s">
        <v>1464</v>
      </c>
      <c r="F75" s="198"/>
      <c r="G75" s="198"/>
      <c r="H75" s="78"/>
    </row>
    <row r="76" spans="1:15" ht="37.5" hidden="1" x14ac:dyDescent="0.3">
      <c r="A76" s="174">
        <v>73</v>
      </c>
      <c r="B76" s="388" t="str">
        <f>Suite&amp;" Electrical Room "&amp; GenRunUPS1</f>
        <v>G104 Electrical Room A</v>
      </c>
      <c r="C76" s="225" t="str">
        <f>Suite&amp;" UPS "&amp; GenRunUPS1</f>
        <v>G104 UPS A</v>
      </c>
      <c r="D76" s="175" t="str">
        <f>"Verify the readings in step " &amp; A57 &amp; " and " &amp; A75 &amp; " are within 3% of each other. (new kW divided by original kW must be ≤1.03 and ≥0.97)."</f>
        <v>Verify the readings in step 54 and 72 are within 3% of each other. (new kW divided by original kW must be ≤1.03 and ≥0.97).</v>
      </c>
      <c r="E76" s="174" t="s">
        <v>1464</v>
      </c>
      <c r="F76" s="198"/>
      <c r="G76" s="198"/>
      <c r="H76" s="78"/>
    </row>
    <row r="77" spans="1:15" ht="37.5" hidden="1" x14ac:dyDescent="0.3">
      <c r="A77" s="174">
        <v>74</v>
      </c>
      <c r="B77" s="388" t="str">
        <f>Suite&amp;" Electrical Room "&amp; GenRunUPS2</f>
        <v>G104 Electrical Room B</v>
      </c>
      <c r="C77" s="225" t="str">
        <f>Suite&amp;" UPS "&amp; GenRunUPS2</f>
        <v>G104 UPS B</v>
      </c>
      <c r="D77" s="175" t="str">
        <f>"Notate the kW reading at UP" &amp; GenRunUPS2 &amp; " Critical Bus Panel Meter: _________"</f>
        <v>Notate the kW reading at UPB Critical Bus Panel Meter: _________</v>
      </c>
      <c r="E77" s="174" t="s">
        <v>1464</v>
      </c>
      <c r="F77" s="198"/>
      <c r="G77" s="198"/>
      <c r="H77" s="78"/>
    </row>
    <row r="78" spans="1:15" ht="37.5" hidden="1" x14ac:dyDescent="0.3">
      <c r="A78" s="174">
        <v>75</v>
      </c>
      <c r="B78" s="388" t="str">
        <f>Suite&amp;" Electrical Room "&amp; GenRunUPS2</f>
        <v>G104 Electrical Room B</v>
      </c>
      <c r="C78" s="225" t="str">
        <f>Suite&amp;" UPS "&amp; GenRunUPS2</f>
        <v>G104 UPS B</v>
      </c>
      <c r="D78" s="175" t="str">
        <f>"Verify the readings in step " &amp; A58 &amp; " and " &amp; A77 &amp; " are within 3% of each other. (new kW divided by original kW must be ≤1.03 and ≥0.97)."</f>
        <v>Verify the readings in step 55 and 74 are within 3% of each other. (new kW divided by original kW must be ≤1.03 and ≥0.97).</v>
      </c>
      <c r="E78" s="174" t="s">
        <v>1464</v>
      </c>
      <c r="F78" s="198"/>
      <c r="G78" s="198"/>
      <c r="H78" s="78"/>
    </row>
    <row r="79" spans="1:15" ht="37.5" hidden="1" x14ac:dyDescent="0.3">
      <c r="A79" s="174">
        <v>76</v>
      </c>
      <c r="B79" s="388" t="str">
        <f>Suite&amp;" Electrical Room "&amp; GenRunUPS2</f>
        <v>G104 Electrical Room B</v>
      </c>
      <c r="C79" s="225" t="str">
        <f>Suite&amp;" SW"&amp; GenRunUPS2</f>
        <v>G104 SWB</v>
      </c>
      <c r="D79" s="175" t="str">
        <f>"Verify breaker " &amp; GenRunUPS2 &amp; "G is OPEN."</f>
        <v>Verify breaker BG is OPEN.</v>
      </c>
      <c r="E79" s="174" t="s">
        <v>1464</v>
      </c>
      <c r="F79" s="198"/>
      <c r="G79" s="198"/>
      <c r="H79" s="78"/>
    </row>
    <row r="80" spans="1:15" ht="37.5" hidden="1" x14ac:dyDescent="0.3">
      <c r="A80" s="174">
        <v>77</v>
      </c>
      <c r="B80" s="388" t="str">
        <f>Suite&amp;" Electrical Room "&amp; GenRunUPS2</f>
        <v>G104 Electrical Room B</v>
      </c>
      <c r="C80" s="225" t="str">
        <f>Suite&amp;" SW"&amp; GenRunUPS2</f>
        <v>G104 SWB</v>
      </c>
      <c r="D80" s="175" t="str">
        <f>"Verify breaker " &amp; GenRunUPS2 &amp; "T is CLOSED."</f>
        <v>Verify breaker BT is CLOSED.</v>
      </c>
      <c r="E80" s="174" t="s">
        <v>1464</v>
      </c>
      <c r="F80" s="198"/>
      <c r="G80" s="198"/>
      <c r="H80" s="78"/>
    </row>
    <row r="81" spans="1:15" ht="37.5" hidden="1" x14ac:dyDescent="0.3">
      <c r="A81" s="174">
        <v>78</v>
      </c>
      <c r="B81" s="388" t="str">
        <f>Suite&amp;" Electrical Room "&amp; GenRunUPS2</f>
        <v>G104 Electrical Room B</v>
      </c>
      <c r="C81" s="225" t="str">
        <f>Suite&amp;" UP"&amp; GenRunUPS2</f>
        <v>G104 UPB</v>
      </c>
      <c r="D81" s="175" t="str">
        <f>"Verify breaker UPS-" &amp; GenRunUPS2 &amp; "1 is CLOSED."</f>
        <v>Verify breaker UPS-B1 is CLOSED.</v>
      </c>
      <c r="E81" s="174" t="s">
        <v>1464</v>
      </c>
      <c r="F81" s="198"/>
      <c r="G81" s="198"/>
      <c r="H81" s="78"/>
    </row>
    <row r="82" spans="1:15" ht="37.5" hidden="1" x14ac:dyDescent="0.3">
      <c r="A82" s="174">
        <v>79</v>
      </c>
      <c r="B82" s="388" t="str">
        <f>Suite&amp;" Electrical Room "&amp; GenRunUPS2</f>
        <v>G104 Electrical Room B</v>
      </c>
      <c r="C82" s="225" t="str">
        <f>Suite&amp;" UP"&amp; GenRunUPS2</f>
        <v>G104 UPB</v>
      </c>
      <c r="D82" s="175" t="str">
        <f>"Verify breaker UPS-" &amp; GenRunUPS2 &amp; "2 is CLOSED."</f>
        <v>Verify breaker UPS-B2 is CLOSED.</v>
      </c>
      <c r="E82" s="174" t="s">
        <v>1464</v>
      </c>
      <c r="F82" s="198"/>
      <c r="G82" s="198"/>
      <c r="H82" s="78"/>
    </row>
    <row r="83" spans="1:15" ht="37.5" hidden="1" x14ac:dyDescent="0.3">
      <c r="A83" s="174">
        <v>80</v>
      </c>
      <c r="B83" s="388" t="str">
        <f>Suite&amp;" Electrical Room "&amp; GenRunUPS2</f>
        <v>G104 Electrical Room B</v>
      </c>
      <c r="C83" s="225" t="str">
        <f>Suite&amp;" UP"&amp; GenRunUPS2</f>
        <v>G104 UPB</v>
      </c>
      <c r="D83" s="175" t="str">
        <f>"Verify breaker MCBUP" &amp; GenRunUPS2 &amp; " is CLOSED."</f>
        <v>Verify breaker MCBUPB is CLOSED.</v>
      </c>
      <c r="E83" s="174" t="s">
        <v>1464</v>
      </c>
      <c r="F83" s="198"/>
      <c r="G83" s="198"/>
      <c r="H83" s="78"/>
    </row>
    <row r="84" spans="1:15" ht="37.5" hidden="1" x14ac:dyDescent="0.3">
      <c r="A84" s="174">
        <v>81</v>
      </c>
      <c r="B84" s="388" t="str">
        <f>Suite&amp;" Utility Input Room "</f>
        <v xml:space="preserve">G104 Utility Input Room </v>
      </c>
      <c r="C84" s="528" t="s">
        <v>2121</v>
      </c>
      <c r="D84" s="175" t="str">
        <f>"Verify breaker " &amp; UtilityInputBreaker &amp; " is CLOSED."</f>
        <v>Verify breaker  is CLOSED.</v>
      </c>
      <c r="E84" s="174" t="s">
        <v>1464</v>
      </c>
      <c r="F84" s="198"/>
      <c r="G84" s="198"/>
      <c r="H84" s="78"/>
    </row>
    <row r="85" spans="1:15" ht="37.5" hidden="1" x14ac:dyDescent="0.3">
      <c r="A85" s="174">
        <v>82</v>
      </c>
      <c r="B85" s="388" t="str">
        <f>Suite&amp;" Electrical Room "&amp; GenRunUPS1</f>
        <v>G104 Electrical Room A</v>
      </c>
      <c r="C85" s="225" t="str">
        <f>Suite&amp;" SW"&amp; GenRunUPS1</f>
        <v>G104 SWA</v>
      </c>
      <c r="D85" s="175" t="str">
        <f>"Verify breaker " &amp; GenRunUPS1 &amp; "G is OPEN."</f>
        <v>Verify breaker AG is OPEN.</v>
      </c>
      <c r="E85" s="174" t="s">
        <v>1464</v>
      </c>
      <c r="F85" s="198"/>
      <c r="G85" s="198"/>
      <c r="H85" s="78"/>
    </row>
    <row r="86" spans="1:15" ht="37.5" hidden="1" x14ac:dyDescent="0.3">
      <c r="A86" s="174">
        <v>83</v>
      </c>
      <c r="B86" s="388" t="str">
        <f>Suite&amp;" Electrical Room "&amp; GenRunUPS1</f>
        <v>G104 Electrical Room A</v>
      </c>
      <c r="C86" s="225" t="str">
        <f>Suite&amp;" SW"&amp; GenRunUPS1</f>
        <v>G104 SWA</v>
      </c>
      <c r="D86" s="175" t="str">
        <f>"Verify breaker " &amp; GenRunUPS1 &amp; "T is CLOSED."</f>
        <v>Verify breaker AT is CLOSED.</v>
      </c>
      <c r="E86" s="174" t="s">
        <v>1464</v>
      </c>
      <c r="F86" s="198"/>
      <c r="G86" s="198"/>
      <c r="H86" s="78"/>
    </row>
    <row r="87" spans="1:15" ht="37.5" hidden="1" x14ac:dyDescent="0.3">
      <c r="A87" s="174">
        <v>84</v>
      </c>
      <c r="B87" s="388" t="str">
        <f>Suite&amp;" Electrical Room "&amp; GenRunUPS1</f>
        <v>G104 Electrical Room A</v>
      </c>
      <c r="C87" s="225" t="str">
        <f>Suite&amp;" UP"&amp; GenRunUPS1</f>
        <v>G104 UPA</v>
      </c>
      <c r="D87" s="175" t="str">
        <f>"Verify breaker UPS-" &amp; GenRunUPS1 &amp; "1 is CLOSED."</f>
        <v>Verify breaker UPS-A1 is CLOSED.</v>
      </c>
      <c r="E87" s="174" t="s">
        <v>1464</v>
      </c>
      <c r="F87" s="198"/>
      <c r="G87" s="198"/>
      <c r="H87" s="78"/>
    </row>
    <row r="88" spans="1:15" ht="37.5" hidden="1" x14ac:dyDescent="0.3">
      <c r="A88" s="174">
        <v>85</v>
      </c>
      <c r="B88" s="388" t="str">
        <f>Suite&amp;" Electrical Room "&amp; GenRunUPS1</f>
        <v>G104 Electrical Room A</v>
      </c>
      <c r="C88" s="225" t="str">
        <f>Suite&amp;" UP"&amp; GenRunUPS1</f>
        <v>G104 UPA</v>
      </c>
      <c r="D88" s="175" t="str">
        <f>"Verify breaker UPS-" &amp; GenRunUPS1 &amp; "2 is CLOSED."</f>
        <v>Verify breaker UPS-A2 is CLOSED.</v>
      </c>
      <c r="E88" s="174" t="s">
        <v>1464</v>
      </c>
      <c r="F88" s="198"/>
      <c r="G88" s="198"/>
      <c r="H88" s="78"/>
    </row>
    <row r="89" spans="1:15" ht="37.5" hidden="1" x14ac:dyDescent="0.3">
      <c r="A89" s="174">
        <v>86</v>
      </c>
      <c r="B89" s="388" t="str">
        <f>Suite&amp;" Electrical Room "&amp; GenRunUPS1</f>
        <v>G104 Electrical Room A</v>
      </c>
      <c r="C89" s="225" t="str">
        <f>Suite&amp;" UP"&amp; GenRunUPS1</f>
        <v>G104 UPA</v>
      </c>
      <c r="D89" s="175" t="str">
        <f>"Verify breaker MCBUP" &amp; GenRunUPS1 &amp; " is CLOSED."</f>
        <v>Verify breaker MCBUPA is CLOSED.</v>
      </c>
      <c r="E89" s="174" t="s">
        <v>1464</v>
      </c>
      <c r="F89" s="198"/>
      <c r="G89" s="198"/>
      <c r="H89" s="78"/>
    </row>
    <row r="90" spans="1:15" ht="37.5" hidden="1" x14ac:dyDescent="0.25">
      <c r="A90" s="174">
        <v>87</v>
      </c>
      <c r="B90" s="388" t="str">
        <f>Suite&amp;" Electrical Rooms"</f>
        <v>G104 Electrical Rooms</v>
      </c>
      <c r="C90" s="528" t="str">
        <f>Suite&amp;" UPS Systems"</f>
        <v>G104 UPS Systems</v>
      </c>
      <c r="D90" s="175" t="s">
        <v>2085</v>
      </c>
      <c r="E90" s="174" t="s">
        <v>1464</v>
      </c>
      <c r="F90" s="388"/>
      <c r="G90" s="174"/>
      <c r="H90" s="78"/>
    </row>
    <row r="91" spans="1:15" ht="37.5" hidden="1" x14ac:dyDescent="0.3">
      <c r="A91" s="174">
        <v>88</v>
      </c>
      <c r="B91" s="388" t="str">
        <f>Suite&amp;" Electrical Room "&amp;ROP</f>
        <v>G104 Electrical Room 0</v>
      </c>
      <c r="C91" s="225" t="str">
        <f>Suite&amp;" ROP "&amp;ROP</f>
        <v>G104 ROP 0</v>
      </c>
      <c r="D91" s="175" t="s">
        <v>4637</v>
      </c>
      <c r="E91" s="174" t="s">
        <v>1464</v>
      </c>
      <c r="F91" s="198"/>
      <c r="G91" s="198"/>
      <c r="H91" s="78"/>
      <c r="N91" s="136"/>
      <c r="O91" s="136"/>
    </row>
    <row r="92" spans="1:15" ht="37.5" hidden="1" x14ac:dyDescent="0.3">
      <c r="A92" s="174">
        <v>89</v>
      </c>
      <c r="B92" s="388" t="s">
        <v>1342</v>
      </c>
      <c r="C92" s="388" t="s">
        <v>2056</v>
      </c>
      <c r="D92" s="175" t="s">
        <v>4628</v>
      </c>
      <c r="E92" s="174" t="s">
        <v>1464</v>
      </c>
      <c r="F92" s="198"/>
      <c r="G92" s="199" t="s">
        <v>1519</v>
      </c>
      <c r="H92" s="78"/>
    </row>
    <row r="93" spans="1:15" ht="37.5" hidden="1" x14ac:dyDescent="0.3">
      <c r="A93" s="174">
        <v>90</v>
      </c>
      <c r="B93" s="388" t="str">
        <f>Suite&amp;" Data Center"</f>
        <v>G104 Data Center</v>
      </c>
      <c r="C93" s="388" t="s">
        <v>2058</v>
      </c>
      <c r="D93" s="175" t="s">
        <v>4630</v>
      </c>
      <c r="E93" s="174" t="s">
        <v>1464</v>
      </c>
      <c r="F93" s="198"/>
      <c r="G93" s="199" t="s">
        <v>1519</v>
      </c>
      <c r="H93" s="78"/>
    </row>
    <row r="94" spans="1:15" ht="37.5" hidden="1" x14ac:dyDescent="0.3">
      <c r="A94" s="174">
        <v>91</v>
      </c>
      <c r="B94" s="388" t="s">
        <v>724</v>
      </c>
      <c r="C94" s="388" t="str">
        <f>zSelectedEquipment</f>
        <v>G104-Gen-B</v>
      </c>
      <c r="D94" s="175" t="str">
        <f>"Verify " &amp; zSelectedEquipment &amp; " has completed the cool down cycle and is no longer operating before proceeding."</f>
        <v>Verify G104-Gen-B has completed the cool down cycle and is no longer operating before proceeding.</v>
      </c>
      <c r="E94" s="174" t="s">
        <v>1464</v>
      </c>
      <c r="F94" s="198"/>
      <c r="G94" s="199" t="s">
        <v>1519</v>
      </c>
      <c r="H94" s="78"/>
    </row>
    <row r="95" spans="1:15" ht="37.5" hidden="1" x14ac:dyDescent="0.3">
      <c r="A95" s="174">
        <v>92</v>
      </c>
      <c r="B95" s="388" t="s">
        <v>1462</v>
      </c>
      <c r="C95" s="388" t="s">
        <v>84</v>
      </c>
      <c r="D95" s="175" t="s">
        <v>2119</v>
      </c>
      <c r="E95" s="174" t="s">
        <v>1464</v>
      </c>
      <c r="F95" s="198"/>
      <c r="G95" s="199" t="s">
        <v>1519</v>
      </c>
      <c r="H95" s="78"/>
    </row>
    <row r="96" spans="1:15" ht="37.5" hidden="1" x14ac:dyDescent="0.3">
      <c r="A96" s="174">
        <v>93</v>
      </c>
      <c r="B96" s="388" t="s">
        <v>724</v>
      </c>
      <c r="C96" s="388" t="str">
        <f>zSelectedEquipment</f>
        <v>G104-Gen-B</v>
      </c>
      <c r="D96" s="175" t="s">
        <v>4656</v>
      </c>
      <c r="E96" s="174" t="s">
        <v>1464</v>
      </c>
      <c r="F96" s="198"/>
      <c r="G96" s="199" t="s">
        <v>1519</v>
      </c>
      <c r="H96" s="78"/>
    </row>
    <row r="97" spans="1:7" x14ac:dyDescent="0.25">
      <c r="A97" s="174">
        <f>A9+1</f>
        <v>5</v>
      </c>
      <c r="B97" s="716" t="str">
        <f>"PROOF OF START TESTING " &amp; zSelectedEquipment &amp; " (NO LOAD)"</f>
        <v>PROOF OF START TESTING G104-Gen-B (NO LOAD)</v>
      </c>
      <c r="C97" s="716"/>
      <c r="D97" s="716"/>
      <c r="E97" s="716"/>
      <c r="F97" s="716"/>
      <c r="G97" s="716"/>
    </row>
    <row r="98" spans="1:7" ht="37.5" x14ac:dyDescent="0.3">
      <c r="A98" s="174">
        <f>A97+1</f>
        <v>6</v>
      </c>
      <c r="B98" s="388" t="s">
        <v>724</v>
      </c>
      <c r="C98" s="388" t="str">
        <f>zSelectedEquipment</f>
        <v>G104-Gen-B</v>
      </c>
      <c r="D98" s="175" t="s">
        <v>4654</v>
      </c>
      <c r="E98" s="174" t="s">
        <v>1464</v>
      </c>
      <c r="F98" s="388"/>
      <c r="G98" s="199" t="s">
        <v>1519</v>
      </c>
    </row>
    <row r="99" spans="1:7" ht="37.5" x14ac:dyDescent="0.25">
      <c r="A99" s="174">
        <f t="shared" ref="A99:A126" si="0">A98+1</f>
        <v>7</v>
      </c>
      <c r="B99" s="388" t="str">
        <f>Suite&amp;" Electrical Room "&amp;ROP</f>
        <v>G104 Electrical Room 0</v>
      </c>
      <c r="C99" s="225" t="str">
        <f>Suite&amp;" ROP "&amp;ROP</f>
        <v>G104 ROP 0</v>
      </c>
      <c r="D99" s="175" t="s">
        <v>4631</v>
      </c>
      <c r="E99" s="174" t="s">
        <v>1464</v>
      </c>
      <c r="F99" s="388"/>
      <c r="G99" s="174"/>
    </row>
    <row r="100" spans="1:7" ht="37.5" x14ac:dyDescent="0.25">
      <c r="A100" s="174">
        <f t="shared" si="0"/>
        <v>8</v>
      </c>
      <c r="B100" s="388" t="str">
        <f>Suite&amp;" Electrical Room "&amp;ROP</f>
        <v>G104 Electrical Room 0</v>
      </c>
      <c r="C100" s="225" t="str">
        <f>Suite&amp;" ROP "&amp;ROP</f>
        <v>G104 ROP 0</v>
      </c>
      <c r="D100" s="175" t="s">
        <v>2120</v>
      </c>
      <c r="E100" s="174" t="s">
        <v>1464</v>
      </c>
      <c r="F100" s="388"/>
      <c r="G100" s="388" t="s">
        <v>1519</v>
      </c>
    </row>
    <row r="101" spans="1:7" ht="37.5" x14ac:dyDescent="0.25">
      <c r="A101" s="174">
        <f t="shared" si="0"/>
        <v>9</v>
      </c>
      <c r="B101" s="388" t="str">
        <f>Suite&amp;" Electrical Room "&amp;ROP</f>
        <v>G104 Electrical Room 0</v>
      </c>
      <c r="C101" s="225" t="str">
        <f>Suite&amp;" ROP "&amp;ROP</f>
        <v>G104 ROP 0</v>
      </c>
      <c r="D101" s="175" t="s">
        <v>4642</v>
      </c>
      <c r="E101" s="174" t="s">
        <v>1464</v>
      </c>
      <c r="F101" s="388"/>
      <c r="G101" s="388" t="s">
        <v>1519</v>
      </c>
    </row>
    <row r="102" spans="1:7" ht="37.5" x14ac:dyDescent="0.25">
      <c r="A102" s="174">
        <f t="shared" si="0"/>
        <v>10</v>
      </c>
      <c r="B102" s="388" t="str">
        <f>Suite&amp;" Electrical Room "&amp;ROP</f>
        <v>G104 Electrical Room 0</v>
      </c>
      <c r="C102" s="225" t="str">
        <f>Suite&amp;" ROP "&amp;ROP</f>
        <v>G104 ROP 0</v>
      </c>
      <c r="D102" s="175" t="s">
        <v>4632</v>
      </c>
      <c r="E102" s="174" t="s">
        <v>1464</v>
      </c>
      <c r="F102" s="388"/>
      <c r="G102" s="388" t="s">
        <v>1519</v>
      </c>
    </row>
    <row r="103" spans="1:7" ht="56.25" x14ac:dyDescent="0.25">
      <c r="A103" s="174">
        <f t="shared" si="0"/>
        <v>11</v>
      </c>
      <c r="B103" s="388" t="str">
        <f>Suite&amp;" Electrical Room "&amp;ROP</f>
        <v>G104 Electrical Room 0</v>
      </c>
      <c r="C103" s="225" t="str">
        <f>Suite&amp;" ROP "&amp;ROP</f>
        <v>G104 ROP 0</v>
      </c>
      <c r="D103" s="175" t="s">
        <v>4645</v>
      </c>
      <c r="E103" s="174" t="s">
        <v>1464</v>
      </c>
      <c r="F103" s="388"/>
      <c r="G103" s="388" t="s">
        <v>1519</v>
      </c>
    </row>
    <row r="104" spans="1:7" ht="37.5" x14ac:dyDescent="0.25">
      <c r="A104" s="174">
        <f t="shared" si="0"/>
        <v>12</v>
      </c>
      <c r="B104" s="388" t="str">
        <f>Suite&amp;" Electrical Room "&amp;ROP</f>
        <v>G104 Electrical Room 0</v>
      </c>
      <c r="C104" s="225" t="str">
        <f>Suite&amp;" ROP "&amp;ROP</f>
        <v>G104 ROP 0</v>
      </c>
      <c r="D104" s="175" t="s">
        <v>4633</v>
      </c>
      <c r="E104" s="174" t="s">
        <v>1464</v>
      </c>
      <c r="F104" s="388"/>
      <c r="G104" s="388" t="s">
        <v>1519</v>
      </c>
    </row>
    <row r="105" spans="1:7" ht="37.5" x14ac:dyDescent="0.25">
      <c r="A105" s="174">
        <f t="shared" si="0"/>
        <v>13</v>
      </c>
      <c r="B105" s="388" t="str">
        <f>Suite&amp;" Electrical Room "&amp;ROP</f>
        <v>G104 Electrical Room 0</v>
      </c>
      <c r="C105" s="225" t="str">
        <f>Suite&amp;" ROP "&amp;ROP</f>
        <v>G104 ROP 0</v>
      </c>
      <c r="D105" s="175" t="s">
        <v>4634</v>
      </c>
      <c r="E105" s="174" t="s">
        <v>1464</v>
      </c>
      <c r="F105" s="388"/>
      <c r="G105" s="388" t="s">
        <v>1519</v>
      </c>
    </row>
    <row r="106" spans="1:7" ht="37.5" x14ac:dyDescent="0.25">
      <c r="A106" s="174">
        <f t="shared" si="0"/>
        <v>14</v>
      </c>
      <c r="B106" s="388" t="str">
        <f>Suite&amp;" Electrical Room "&amp;ROP</f>
        <v>G104 Electrical Room 0</v>
      </c>
      <c r="C106" s="225" t="str">
        <f>Suite&amp;" ROP "&amp;ROP</f>
        <v>G104 ROP 0</v>
      </c>
      <c r="D106" s="175" t="s">
        <v>4626</v>
      </c>
      <c r="E106" s="174" t="s">
        <v>1464</v>
      </c>
      <c r="F106" s="388"/>
      <c r="G106" s="388" t="s">
        <v>1519</v>
      </c>
    </row>
    <row r="107" spans="1:7" ht="37.5" x14ac:dyDescent="0.25">
      <c r="A107" s="174">
        <f t="shared" si="0"/>
        <v>15</v>
      </c>
      <c r="B107" s="388" t="str">
        <f>Suite&amp;" Electrical Room "&amp;ROP</f>
        <v>G104 Electrical Room 0</v>
      </c>
      <c r="C107" s="225" t="str">
        <f>Suite&amp;" ROP "&amp;ROP</f>
        <v>G104 ROP 0</v>
      </c>
      <c r="D107" s="175" t="s">
        <v>4627</v>
      </c>
      <c r="E107" s="174" t="s">
        <v>1464</v>
      </c>
      <c r="F107" s="388"/>
      <c r="G107" s="388" t="s">
        <v>1519</v>
      </c>
    </row>
    <row r="108" spans="1:7" ht="37.5" x14ac:dyDescent="0.25">
      <c r="A108" s="174">
        <f t="shared" si="0"/>
        <v>16</v>
      </c>
      <c r="B108" s="388" t="str">
        <f>Suite&amp;" Electrical Room "&amp;ROP</f>
        <v>G104 Electrical Room 0</v>
      </c>
      <c r="C108" s="225" t="str">
        <f>Suite&amp;" ROP "&amp;ROP</f>
        <v>G104 ROP 0</v>
      </c>
      <c r="D108" s="175" t="s">
        <v>4635</v>
      </c>
      <c r="E108" s="174" t="s">
        <v>1464</v>
      </c>
      <c r="F108" s="388"/>
      <c r="G108" s="388" t="s">
        <v>1519</v>
      </c>
    </row>
    <row r="109" spans="1:7" ht="37.5" x14ac:dyDescent="0.25">
      <c r="A109" s="174">
        <f t="shared" si="0"/>
        <v>17</v>
      </c>
      <c r="B109" s="388" t="str">
        <f>Suite&amp;" Electrical Room "&amp;ROP</f>
        <v>G104 Electrical Room 0</v>
      </c>
      <c r="C109" s="225" t="str">
        <f>Suite&amp;" ROP "&amp;ROP</f>
        <v>G104 ROP 0</v>
      </c>
      <c r="D109" s="175" t="str">
        <f>"Verify there are no alarms present other than the ‘27/81’ alarms on breaker " &amp; GenRunUPS2 &amp; "G."</f>
        <v>Verify there are no alarms present other than the ‘27/81’ alarms on breaker BG.</v>
      </c>
      <c r="E109" s="174" t="s">
        <v>1464</v>
      </c>
      <c r="F109" s="388"/>
      <c r="G109" s="388" t="s">
        <v>1519</v>
      </c>
    </row>
    <row r="110" spans="1:7" ht="37.5" x14ac:dyDescent="0.25">
      <c r="A110" s="174">
        <f t="shared" si="0"/>
        <v>18</v>
      </c>
      <c r="B110" s="388" t="str">
        <f>Suite&amp;" Electrical Room "&amp;ROP</f>
        <v>G104 Electrical Room 0</v>
      </c>
      <c r="C110" s="225" t="str">
        <f>Suite&amp;" ROP "&amp;ROP</f>
        <v>G104 ROP 0</v>
      </c>
      <c r="D110" s="175" t="s">
        <v>4638</v>
      </c>
      <c r="E110" s="174" t="s">
        <v>1464</v>
      </c>
      <c r="F110" s="388"/>
      <c r="G110" s="388" t="s">
        <v>1519</v>
      </c>
    </row>
    <row r="111" spans="1:7" ht="37.5" x14ac:dyDescent="0.25">
      <c r="A111" s="174">
        <f t="shared" si="0"/>
        <v>19</v>
      </c>
      <c r="B111" s="388" t="str">
        <f>Suite&amp;" Electrical Room "&amp;ROP</f>
        <v>G104 Electrical Room 0</v>
      </c>
      <c r="C111" s="225" t="str">
        <f>Suite&amp;" ROP "&amp;ROP</f>
        <v>G104 ROP 0</v>
      </c>
      <c r="D111" s="175" t="s">
        <v>4639</v>
      </c>
      <c r="E111" s="174" t="s">
        <v>1464</v>
      </c>
      <c r="F111" s="388"/>
      <c r="G111" s="388" t="s">
        <v>1519</v>
      </c>
    </row>
    <row r="112" spans="1:7" ht="56.25" x14ac:dyDescent="0.3">
      <c r="A112" s="174">
        <f t="shared" si="0"/>
        <v>20</v>
      </c>
      <c r="B112" s="388" t="s">
        <v>724</v>
      </c>
      <c r="C112" s="388" t="str">
        <f>zSelectedEquipment</f>
        <v>G104-Gen-B</v>
      </c>
      <c r="D112" s="175" t="s">
        <v>2019</v>
      </c>
      <c r="E112" s="174" t="s">
        <v>1464</v>
      </c>
      <c r="F112" s="198"/>
      <c r="G112" s="388" t="s">
        <v>1519</v>
      </c>
    </row>
    <row r="113" spans="1:7" ht="37.5" x14ac:dyDescent="0.3">
      <c r="A113" s="174">
        <f t="shared" si="0"/>
        <v>21</v>
      </c>
      <c r="B113" s="388" t="s">
        <v>724</v>
      </c>
      <c r="C113" s="388" t="str">
        <f>zSelectedEquipment</f>
        <v>G104-Gen-B</v>
      </c>
      <c r="D113" s="175" t="s">
        <v>2030</v>
      </c>
      <c r="E113" s="174" t="s">
        <v>1464</v>
      </c>
      <c r="F113" s="198"/>
      <c r="G113" s="388" t="s">
        <v>1519</v>
      </c>
    </row>
    <row r="114" spans="1:7" ht="37.5" x14ac:dyDescent="0.3">
      <c r="A114" s="174">
        <f t="shared" si="0"/>
        <v>22</v>
      </c>
      <c r="B114" s="388" t="str">
        <f>Suite&amp;" Electrical Room "&amp;ROP</f>
        <v>G104 Electrical Room 0</v>
      </c>
      <c r="C114" s="225" t="str">
        <f>Suite&amp;" ROP "&amp;ROP</f>
        <v>G104 ROP 0</v>
      </c>
      <c r="D114" s="175" t="s">
        <v>4657</v>
      </c>
      <c r="E114" s="174" t="s">
        <v>1464</v>
      </c>
      <c r="F114" s="198"/>
      <c r="G114" s="388" t="s">
        <v>1519</v>
      </c>
    </row>
    <row r="115" spans="1:7" ht="37.5" x14ac:dyDescent="0.25">
      <c r="A115" s="174">
        <f t="shared" si="0"/>
        <v>23</v>
      </c>
      <c r="B115" s="388" t="str">
        <f>Suite&amp;" Electrical Room "&amp;ROP</f>
        <v>G104 Electrical Room 0</v>
      </c>
      <c r="C115" s="225" t="str">
        <f>Suite&amp;" ROP "&amp;ROP</f>
        <v>G104 ROP 0</v>
      </c>
      <c r="D115" s="175" t="s">
        <v>4631</v>
      </c>
      <c r="E115" s="174" t="s">
        <v>1464</v>
      </c>
      <c r="F115" s="388"/>
      <c r="G115" s="388" t="s">
        <v>1519</v>
      </c>
    </row>
    <row r="116" spans="1:7" ht="37.5" x14ac:dyDescent="0.25">
      <c r="A116" s="174">
        <f t="shared" si="0"/>
        <v>24</v>
      </c>
      <c r="B116" s="388" t="str">
        <f>Suite&amp;" Electrical Room "&amp;ROP</f>
        <v>G104 Electrical Room 0</v>
      </c>
      <c r="C116" s="225" t="str">
        <f>Suite&amp;" ROP "&amp;ROP</f>
        <v>G104 ROP 0</v>
      </c>
      <c r="D116" s="175" t="s">
        <v>2120</v>
      </c>
      <c r="E116" s="174" t="s">
        <v>1464</v>
      </c>
      <c r="F116" s="388"/>
      <c r="G116" s="388" t="s">
        <v>1519</v>
      </c>
    </row>
    <row r="117" spans="1:7" ht="37.5" x14ac:dyDescent="0.25">
      <c r="A117" s="174">
        <f t="shared" si="0"/>
        <v>25</v>
      </c>
      <c r="B117" s="388" t="str">
        <f>Suite&amp;" Electrical Room "&amp;ROP</f>
        <v>G104 Electrical Room 0</v>
      </c>
      <c r="C117" s="225" t="str">
        <f>Suite&amp;" ROP "&amp;ROP</f>
        <v>G104 ROP 0</v>
      </c>
      <c r="D117" s="175" t="s">
        <v>4642</v>
      </c>
      <c r="E117" s="174" t="s">
        <v>1464</v>
      </c>
      <c r="F117" s="388"/>
      <c r="G117" s="388" t="s">
        <v>1519</v>
      </c>
    </row>
    <row r="118" spans="1:7" ht="37.5" x14ac:dyDescent="0.25">
      <c r="A118" s="174">
        <f t="shared" si="0"/>
        <v>26</v>
      </c>
      <c r="B118" s="388" t="str">
        <f>Suite&amp;" Electrical Room "&amp;ROP</f>
        <v>G104 Electrical Room 0</v>
      </c>
      <c r="C118" s="225" t="str">
        <f>Suite&amp;" ROP "&amp;ROP</f>
        <v>G104 ROP 0</v>
      </c>
      <c r="D118" s="175" t="s">
        <v>4638</v>
      </c>
      <c r="E118" s="174" t="s">
        <v>1464</v>
      </c>
      <c r="F118" s="388"/>
      <c r="G118" s="388" t="s">
        <v>1519</v>
      </c>
    </row>
    <row r="119" spans="1:7" ht="37.5" x14ac:dyDescent="0.25">
      <c r="A119" s="174">
        <f t="shared" si="0"/>
        <v>27</v>
      </c>
      <c r="B119" s="388" t="str">
        <f>Suite&amp;" Electrical Room "&amp;ROP</f>
        <v>G104 Electrical Room 0</v>
      </c>
      <c r="C119" s="225" t="str">
        <f>Suite&amp;" ROP "&amp;ROP</f>
        <v>G104 ROP 0</v>
      </c>
      <c r="D119" s="175" t="s">
        <v>4640</v>
      </c>
      <c r="E119" s="174" t="s">
        <v>1464</v>
      </c>
      <c r="F119" s="388"/>
      <c r="G119" s="388" t="s">
        <v>1519</v>
      </c>
    </row>
    <row r="120" spans="1:7" ht="37.5" x14ac:dyDescent="0.3">
      <c r="A120" s="174">
        <f t="shared" si="0"/>
        <v>28</v>
      </c>
      <c r="B120" s="388" t="s">
        <v>724</v>
      </c>
      <c r="C120" s="388" t="str">
        <f>zSelectedEquipment</f>
        <v>G104-Gen-B</v>
      </c>
      <c r="D120" s="175" t="str">
        <f>"Verify GENERATOR " &amp;zSelectedEquipment&amp; " has completed the cool down sequence and is no longer operating before proceeding."</f>
        <v>Verify GENERATOR G104-Gen-B has completed the cool down sequence and is no longer operating before proceeding.</v>
      </c>
      <c r="E120" s="174" t="s">
        <v>1464</v>
      </c>
      <c r="F120" s="198"/>
      <c r="G120" s="388" t="s">
        <v>1519</v>
      </c>
    </row>
    <row r="121" spans="1:7" ht="37.5" x14ac:dyDescent="0.25">
      <c r="A121" s="174">
        <f t="shared" si="0"/>
        <v>29</v>
      </c>
      <c r="B121" s="388" t="s">
        <v>724</v>
      </c>
      <c r="C121" s="388" t="str">
        <f>zSelectedEquipment</f>
        <v>G104-Gen-B</v>
      </c>
      <c r="D121" s="175" t="s">
        <v>4656</v>
      </c>
      <c r="E121" s="174" t="s">
        <v>1464</v>
      </c>
      <c r="F121" s="388"/>
      <c r="G121" s="388" t="s">
        <v>1519</v>
      </c>
    </row>
    <row r="122" spans="1:7" x14ac:dyDescent="0.25">
      <c r="A122" s="174">
        <f>IF(zTaskNameIdentifier="zzGenRunNL", A121+1, A96+1)</f>
        <v>30</v>
      </c>
      <c r="B122" s="716" t="str">
        <f>"Call Building "&amp;Building&amp;" back in"</f>
        <v>Call Building G back in</v>
      </c>
      <c r="C122" s="716"/>
      <c r="D122" s="716"/>
      <c r="E122" s="716"/>
      <c r="F122" s="716"/>
      <c r="G122" s="716"/>
    </row>
    <row r="123" spans="1:7" ht="37.5" x14ac:dyDescent="0.25">
      <c r="A123" s="174">
        <f t="shared" si="0"/>
        <v>31</v>
      </c>
      <c r="B123" s="388" t="s">
        <v>1462</v>
      </c>
      <c r="C123" s="388" t="s">
        <v>84</v>
      </c>
      <c r="D123" s="194" t="s">
        <v>2022</v>
      </c>
      <c r="E123" s="174" t="s">
        <v>1464</v>
      </c>
      <c r="F123" s="388"/>
      <c r="G123" s="388" t="s">
        <v>1519</v>
      </c>
    </row>
    <row r="124" spans="1:7" ht="37.5" x14ac:dyDescent="0.25">
      <c r="A124" s="174">
        <f t="shared" si="0"/>
        <v>32</v>
      </c>
      <c r="B124" s="388" t="s">
        <v>1462</v>
      </c>
      <c r="C124" s="388" t="s">
        <v>84</v>
      </c>
      <c r="D124" s="194" t="s">
        <v>2023</v>
      </c>
      <c r="E124" s="174" t="s">
        <v>1464</v>
      </c>
      <c r="F124" s="388"/>
      <c r="G124" s="388" t="s">
        <v>1519</v>
      </c>
    </row>
    <row r="125" spans="1:7" ht="56.25" x14ac:dyDescent="0.25">
      <c r="A125" s="174">
        <f t="shared" si="0"/>
        <v>33</v>
      </c>
      <c r="B125" s="388" t="s">
        <v>1462</v>
      </c>
      <c r="C125" s="388" t="s">
        <v>84</v>
      </c>
      <c r="D125" s="175" t="s">
        <v>2024</v>
      </c>
      <c r="E125" s="174" t="s">
        <v>1464</v>
      </c>
      <c r="F125" s="388"/>
      <c r="G125" s="388" t="s">
        <v>1519</v>
      </c>
    </row>
    <row r="126" spans="1:7" ht="37.5" x14ac:dyDescent="0.25">
      <c r="A126" s="174">
        <f t="shared" si="0"/>
        <v>34</v>
      </c>
      <c r="B126" s="388" t="s">
        <v>1462</v>
      </c>
      <c r="C126" s="388" t="s">
        <v>84</v>
      </c>
      <c r="D126" s="175" t="s">
        <v>2025</v>
      </c>
      <c r="E126" s="174" t="s">
        <v>1464</v>
      </c>
      <c r="F126" s="388"/>
      <c r="G126" s="388" t="s">
        <v>1519</v>
      </c>
    </row>
  </sheetData>
  <sheetProtection formatCells="0" formatColumns="0" formatRows="0" insertRows="0" deleteRows="0" sort="0" autoFilter="0"/>
  <mergeCells count="8">
    <mergeCell ref="A2:B2"/>
    <mergeCell ref="C2:G2"/>
    <mergeCell ref="A4:C4"/>
    <mergeCell ref="B6:G6"/>
    <mergeCell ref="B122:G122"/>
    <mergeCell ref="B10:G10"/>
    <mergeCell ref="B55:G55"/>
    <mergeCell ref="B97:G97"/>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E20AB-187A-464E-A2F9-8AC1A2FBFBD3}">
  <sheetPr codeName="Gen_Run_DR">
    <pageSetUpPr fitToPage="1"/>
  </sheetPr>
  <dimension ref="A1:H119"/>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style="3" customWidth="1"/>
    <col min="9" max="9" width="8" style="3" customWidth="1"/>
    <col min="10" max="10" width="7.85546875" style="3" customWidth="1"/>
    <col min="11" max="11" width="11.140625" style="3" customWidth="1"/>
    <col min="12" max="16384" width="8.85546875" style="3"/>
  </cols>
  <sheetData>
    <row r="1" spans="1:8" x14ac:dyDescent="0.25">
      <c r="A1" s="172" t="s">
        <v>1454</v>
      </c>
      <c r="B1" s="172"/>
      <c r="C1" s="173"/>
      <c r="D1" s="173"/>
      <c r="E1" s="173"/>
      <c r="F1" s="173"/>
      <c r="G1" s="173"/>
    </row>
    <row r="2" spans="1:8" ht="18.75" customHeight="1" x14ac:dyDescent="0.25">
      <c r="A2" s="705" t="s">
        <v>42</v>
      </c>
      <c r="B2" s="705"/>
      <c r="C2" s="708" t="str">
        <f>zTaskName</f>
        <v>Routine Generator run with no load transfer</v>
      </c>
      <c r="D2" s="709"/>
      <c r="E2" s="709"/>
      <c r="F2" s="709"/>
      <c r="G2" s="710"/>
    </row>
    <row r="3" spans="1:8" ht="9.9499999999999993" customHeight="1" x14ac:dyDescent="0.25">
      <c r="A3" s="459"/>
      <c r="B3" s="460"/>
      <c r="C3" s="461"/>
      <c r="D3" s="461"/>
      <c r="E3" s="461"/>
      <c r="F3" s="461"/>
      <c r="G3" s="462"/>
    </row>
    <row r="4" spans="1:8" ht="9.9499999999999993" customHeight="1" x14ac:dyDescent="0.25">
      <c r="A4" s="706"/>
      <c r="B4" s="707"/>
      <c r="C4" s="707"/>
      <c r="D4" s="382"/>
      <c r="E4" s="382"/>
      <c r="F4" s="382"/>
      <c r="G4" s="383"/>
    </row>
    <row r="5" spans="1:8" ht="37.5" x14ac:dyDescent="0.25">
      <c r="A5" s="378" t="s">
        <v>1455</v>
      </c>
      <c r="B5" s="379" t="s">
        <v>8</v>
      </c>
      <c r="C5" s="379" t="s">
        <v>1456</v>
      </c>
      <c r="D5" s="378" t="s">
        <v>1457</v>
      </c>
      <c r="E5" s="379" t="s">
        <v>1458</v>
      </c>
      <c r="F5" s="379" t="s">
        <v>1459</v>
      </c>
      <c r="G5" s="378" t="s">
        <v>1460</v>
      </c>
    </row>
    <row r="6" spans="1:8" x14ac:dyDescent="0.25">
      <c r="A6" s="174">
        <v>1</v>
      </c>
      <c r="B6" s="716" t="str">
        <f>"Call out Building "&amp;Building</f>
        <v>Call out Building G</v>
      </c>
      <c r="C6" s="716"/>
      <c r="D6" s="716"/>
      <c r="E6" s="716"/>
      <c r="F6" s="716"/>
      <c r="G6" s="716"/>
    </row>
    <row r="7" spans="1:8" ht="37.5" x14ac:dyDescent="0.25">
      <c r="A7" s="174">
        <v>2</v>
      </c>
      <c r="B7" s="388" t="s">
        <v>1462</v>
      </c>
      <c r="C7" s="388" t="s">
        <v>84</v>
      </c>
      <c r="D7" s="175" t="s">
        <v>2077</v>
      </c>
      <c r="E7" s="174" t="s">
        <v>1464</v>
      </c>
      <c r="F7" s="388"/>
      <c r="G7" s="388" t="s">
        <v>1519</v>
      </c>
    </row>
    <row r="8" spans="1:8" ht="37.5" x14ac:dyDescent="0.25">
      <c r="A8" s="174">
        <v>3</v>
      </c>
      <c r="B8" s="388" t="s">
        <v>1462</v>
      </c>
      <c r="C8" s="388" t="s">
        <v>84</v>
      </c>
      <c r="D8" s="175" t="s">
        <v>4649</v>
      </c>
      <c r="E8" s="174" t="s">
        <v>1464</v>
      </c>
      <c r="F8" s="388"/>
      <c r="G8" s="388" t="s">
        <v>1519</v>
      </c>
    </row>
    <row r="9" spans="1:8" ht="37.5" x14ac:dyDescent="0.25">
      <c r="A9" s="174">
        <v>4</v>
      </c>
      <c r="B9" s="388" t="s">
        <v>1462</v>
      </c>
      <c r="C9" s="388" t="s">
        <v>84</v>
      </c>
      <c r="D9" s="175" t="s">
        <v>2006</v>
      </c>
      <c r="E9" s="174" t="s">
        <v>1464</v>
      </c>
      <c r="F9" s="388"/>
      <c r="G9" s="388" t="s">
        <v>1519</v>
      </c>
    </row>
    <row r="10" spans="1:8" hidden="1" x14ac:dyDescent="0.25">
      <c r="A10" s="174">
        <v>5</v>
      </c>
      <c r="B10" s="716" t="str">
        <f>"Place SW" &amp; ElectricalRoom &amp; " onto "&amp;zSelectedEquipment&amp;" for a loaded generator run"</f>
        <v>Place SW0 onto G104-Gen-B for a loaded generator run</v>
      </c>
      <c r="C10" s="716"/>
      <c r="D10" s="716"/>
      <c r="E10" s="716"/>
      <c r="F10" s="716"/>
      <c r="G10" s="716"/>
      <c r="H10" s="78"/>
    </row>
    <row r="11" spans="1:8" ht="37.5" hidden="1" x14ac:dyDescent="0.25">
      <c r="A11" s="174">
        <v>7</v>
      </c>
      <c r="B11" s="388" t="s">
        <v>724</v>
      </c>
      <c r="C11" s="388" t="str">
        <f>zSelectedEquipment</f>
        <v>G104-Gen-B</v>
      </c>
      <c r="D11" s="175" t="s">
        <v>4654</v>
      </c>
      <c r="E11" s="174" t="s">
        <v>1464</v>
      </c>
      <c r="F11" s="388"/>
      <c r="G11" s="388" t="s">
        <v>1519</v>
      </c>
      <c r="H11" s="78"/>
    </row>
    <row r="12" spans="1:8" ht="37.5" hidden="1" x14ac:dyDescent="0.3">
      <c r="A12" s="174">
        <v>8</v>
      </c>
      <c r="B12" s="388" t="s">
        <v>1462</v>
      </c>
      <c r="C12" s="388" t="s">
        <v>84</v>
      </c>
      <c r="D12" s="175" t="s">
        <v>2119</v>
      </c>
      <c r="E12" s="174" t="s">
        <v>1464</v>
      </c>
      <c r="F12" s="198"/>
      <c r="G12" s="199" t="s">
        <v>1519</v>
      </c>
      <c r="H12" s="78"/>
    </row>
    <row r="13" spans="1:8" ht="37.5" hidden="1" x14ac:dyDescent="0.25">
      <c r="A13" s="174">
        <v>9</v>
      </c>
      <c r="B13" s="388" t="str">
        <f>Suite&amp;" Electrical Rooms"</f>
        <v>G104 Electrical Rooms</v>
      </c>
      <c r="C13" s="225" t="str">
        <f>Suite&amp;" UPS "&amp;ElectricalRoom</f>
        <v>G104 UPS 0</v>
      </c>
      <c r="D13" s="175" t="s">
        <v>2085</v>
      </c>
      <c r="E13" s="174" t="s">
        <v>1464</v>
      </c>
      <c r="F13" s="388"/>
      <c r="G13" s="174"/>
      <c r="H13" s="78"/>
    </row>
    <row r="14" spans="1:8" ht="37.5" hidden="1" x14ac:dyDescent="0.25">
      <c r="A14" s="174">
        <v>10</v>
      </c>
      <c r="B14" s="388" t="str">
        <f>Suite&amp;" Electrical Room "&amp;ElectricalRoom</f>
        <v>G104 Electrical Room 0</v>
      </c>
      <c r="C14" s="225" t="str">
        <f>Suite&amp;" UPS "&amp;ElectricalRoom</f>
        <v>G104 UPS 0</v>
      </c>
      <c r="D14" s="175" t="str">
        <f>"Notate the kW reading at UPS-" &amp; ElectricalRoom &amp; "1:  ___________"</f>
        <v>Notate the kW reading at UPS-01:  ___________</v>
      </c>
      <c r="E14" s="174" t="s">
        <v>1464</v>
      </c>
      <c r="F14" s="178"/>
      <c r="G14" s="178"/>
      <c r="H14" s="78"/>
    </row>
    <row r="15" spans="1:8" ht="37.5" hidden="1" x14ac:dyDescent="0.25">
      <c r="A15" s="174">
        <v>11</v>
      </c>
      <c r="B15" s="388" t="str">
        <f>Suite&amp;" Electrical Room "&amp;ElectricalRoom</f>
        <v>G104 Electrical Room 0</v>
      </c>
      <c r="C15" s="225" t="str">
        <f>Suite&amp;" UPS "&amp;ElectricalRoom</f>
        <v>G104 UPS 0</v>
      </c>
      <c r="D15" s="175" t="str">
        <f>"Notate the kW reading at UPS-" &amp; ElectricalRoom &amp; "2:  ___________"</f>
        <v>Notate the kW reading at UPS-02:  ___________</v>
      </c>
      <c r="E15" s="174" t="s">
        <v>1464</v>
      </c>
      <c r="F15" s="178"/>
      <c r="G15" s="178"/>
      <c r="H15" s="78"/>
    </row>
    <row r="16" spans="1:8" ht="37.5" hidden="1" x14ac:dyDescent="0.25">
      <c r="A16" s="174">
        <v>12</v>
      </c>
      <c r="B16" s="388" t="str">
        <f>Suite&amp;" Electrical Room "&amp;ROP</f>
        <v>G104 Electrical Room 0</v>
      </c>
      <c r="C16" s="225" t="str">
        <f>Suite&amp;" ROP "&amp;ROP</f>
        <v>G104 ROP 0</v>
      </c>
      <c r="D16" s="175" t="s">
        <v>4658</v>
      </c>
      <c r="E16" s="174" t="s">
        <v>1464</v>
      </c>
      <c r="F16" s="388"/>
      <c r="G16" s="174"/>
      <c r="H16" s="78"/>
    </row>
    <row r="17" spans="1:8" ht="37.5" hidden="1" x14ac:dyDescent="0.25">
      <c r="A17" s="174">
        <v>13</v>
      </c>
      <c r="B17" s="388" t="str">
        <f>Suite&amp;" Electrical Room "&amp;ROP</f>
        <v>G104 Electrical Room 0</v>
      </c>
      <c r="C17" s="225" t="str">
        <f>Suite&amp;" ROP "&amp;ROP</f>
        <v>G104 ROP 0</v>
      </c>
      <c r="D17" s="175" t="s">
        <v>4670</v>
      </c>
      <c r="E17" s="174" t="s">
        <v>1464</v>
      </c>
      <c r="F17" s="388"/>
      <c r="G17" s="174"/>
      <c r="H17" s="78"/>
    </row>
    <row r="18" spans="1:8" ht="37.5" hidden="1" x14ac:dyDescent="0.25">
      <c r="A18" s="174">
        <v>15</v>
      </c>
      <c r="B18" s="388" t="str">
        <f>Suite&amp;" Electrical Room "&amp;ROP</f>
        <v>G104 Electrical Room 0</v>
      </c>
      <c r="C18" s="225" t="str">
        <f>Suite&amp;" ROP "&amp;ROP</f>
        <v>G104 ROP 0</v>
      </c>
      <c r="D18" s="175" t="s">
        <v>4659</v>
      </c>
      <c r="E18" s="174" t="s">
        <v>1464</v>
      </c>
      <c r="F18" s="388"/>
      <c r="G18" s="174"/>
      <c r="H18" s="78"/>
    </row>
    <row r="19" spans="1:8" ht="56.25" hidden="1" x14ac:dyDescent="0.25">
      <c r="A19" s="174">
        <v>16</v>
      </c>
      <c r="B19" s="388" t="str">
        <f>Suite&amp;" Electrical Room "&amp;ROP</f>
        <v>G104 Electrical Room 0</v>
      </c>
      <c r="C19" s="225" t="str">
        <f>Suite&amp;" ROP "&amp;ROP</f>
        <v>G104 ROP 0</v>
      </c>
      <c r="D19" s="175" t="s">
        <v>4643</v>
      </c>
      <c r="E19" s="174" t="s">
        <v>1464</v>
      </c>
      <c r="F19" s="388"/>
      <c r="G19" s="174"/>
      <c r="H19" s="78"/>
    </row>
    <row r="20" spans="1:8" ht="37.5" hidden="1" x14ac:dyDescent="0.25">
      <c r="A20" s="174">
        <v>17</v>
      </c>
      <c r="B20" s="388" t="str">
        <f>Suite&amp;" Electrical Room "&amp;ROP</f>
        <v>G104 Electrical Room 0</v>
      </c>
      <c r="C20" s="225" t="str">
        <f>Suite&amp;" ROP "&amp;ROP</f>
        <v>G104 ROP 0</v>
      </c>
      <c r="D20" s="175" t="s">
        <v>4660</v>
      </c>
      <c r="E20" s="174" t="s">
        <v>1464</v>
      </c>
      <c r="F20" s="388"/>
      <c r="G20" s="174"/>
      <c r="H20" s="78"/>
    </row>
    <row r="21" spans="1:8" ht="37.5" hidden="1" x14ac:dyDescent="0.25">
      <c r="A21" s="174">
        <v>18</v>
      </c>
      <c r="B21" s="388" t="str">
        <f>Suite&amp;" Electrical Room "&amp;ROP</f>
        <v>G104 Electrical Room 0</v>
      </c>
      <c r="C21" s="225" t="str">
        <f>Suite&amp;" ROP "&amp;ROP</f>
        <v>G104 ROP 0</v>
      </c>
      <c r="D21" s="175" t="s">
        <v>4661</v>
      </c>
      <c r="E21" s="174" t="s">
        <v>1464</v>
      </c>
      <c r="F21" s="388"/>
      <c r="G21" s="174"/>
      <c r="H21" s="78"/>
    </row>
    <row r="22" spans="1:8" ht="37.5" hidden="1" x14ac:dyDescent="0.25">
      <c r="A22" s="174">
        <v>19</v>
      </c>
      <c r="B22" s="388" t="str">
        <f>Suite&amp;" Electrical Room "&amp;ROP</f>
        <v>G104 Electrical Room 0</v>
      </c>
      <c r="C22" s="225" t="str">
        <f>Suite&amp;" ROP "&amp;ROP</f>
        <v>G104 ROP 0</v>
      </c>
      <c r="D22" s="175" t="s">
        <v>4626</v>
      </c>
      <c r="E22" s="174" t="s">
        <v>1464</v>
      </c>
      <c r="F22" s="388"/>
      <c r="G22" s="174"/>
      <c r="H22" s="78"/>
    </row>
    <row r="23" spans="1:8" ht="37.5" hidden="1" x14ac:dyDescent="0.25">
      <c r="A23" s="174">
        <v>20</v>
      </c>
      <c r="B23" s="388" t="str">
        <f>Suite&amp;" Electrical Room "&amp;ROP</f>
        <v>G104 Electrical Room 0</v>
      </c>
      <c r="C23" s="225" t="str">
        <f>Suite&amp;" ROP "&amp;ROP</f>
        <v>G104 ROP 0</v>
      </c>
      <c r="D23" s="175" t="s">
        <v>4627</v>
      </c>
      <c r="E23" s="174" t="s">
        <v>1464</v>
      </c>
      <c r="F23" s="388"/>
      <c r="G23" s="174"/>
      <c r="H23" s="78"/>
    </row>
    <row r="24" spans="1:8" ht="37.5" hidden="1" x14ac:dyDescent="0.25">
      <c r="A24" s="174">
        <v>21</v>
      </c>
      <c r="B24" s="388" t="str">
        <f>Suite&amp;" Electrical Room "&amp;ROP</f>
        <v>G104 Electrical Room 0</v>
      </c>
      <c r="C24" s="225" t="str">
        <f>Suite&amp;" ROP "&amp;ROP</f>
        <v>G104 ROP 0</v>
      </c>
      <c r="D24" s="175" t="s">
        <v>4635</v>
      </c>
      <c r="E24" s="174" t="s">
        <v>1464</v>
      </c>
      <c r="F24" s="388"/>
      <c r="G24" s="174"/>
      <c r="H24" s="78"/>
    </row>
    <row r="25" spans="1:8" ht="37.5" hidden="1" x14ac:dyDescent="0.25">
      <c r="A25" s="174">
        <v>23</v>
      </c>
      <c r="B25" s="388" t="str">
        <f>Suite&amp;" Electrical Room "&amp;ROP</f>
        <v>G104 Electrical Room 0</v>
      </c>
      <c r="C25" s="225" t="str">
        <f>Suite&amp;" ROP "&amp;ROP</f>
        <v>G104 ROP 0</v>
      </c>
      <c r="D25" s="175" t="s">
        <v>4662</v>
      </c>
      <c r="E25" s="174" t="s">
        <v>1464</v>
      </c>
      <c r="F25" s="388"/>
      <c r="G25" s="174"/>
      <c r="H25" s="78"/>
    </row>
    <row r="26" spans="1:8" ht="37.5" hidden="1" x14ac:dyDescent="0.25">
      <c r="A26" s="174">
        <v>24</v>
      </c>
      <c r="B26" s="388" t="str">
        <f>Suite&amp;" Electrical Room "&amp;ROP</f>
        <v>G104 Electrical Room 0</v>
      </c>
      <c r="C26" s="225" t="str">
        <f>Suite&amp;" ROP "&amp;ROP</f>
        <v>G104 ROP 0</v>
      </c>
      <c r="D26" s="175" t="s">
        <v>4659</v>
      </c>
      <c r="E26" s="174" t="s">
        <v>1464</v>
      </c>
      <c r="F26" s="388"/>
      <c r="G26" s="174"/>
      <c r="H26" s="78"/>
    </row>
    <row r="27" spans="1:8" ht="37.5" hidden="1" x14ac:dyDescent="0.25">
      <c r="A27" s="174">
        <v>25</v>
      </c>
      <c r="B27" s="388" t="str">
        <f>Suite&amp;" Electrical Room "&amp;ROP</f>
        <v>G104 Electrical Room 0</v>
      </c>
      <c r="C27" s="225" t="str">
        <f>Suite&amp;" ROP "&amp;ROP</f>
        <v>G104 ROP 0</v>
      </c>
      <c r="D27" s="175" t="s">
        <v>4668</v>
      </c>
      <c r="E27" s="174" t="s">
        <v>1464</v>
      </c>
      <c r="F27" s="388"/>
      <c r="G27" s="174"/>
      <c r="H27" s="78"/>
    </row>
    <row r="28" spans="1:8" ht="37.5" hidden="1" x14ac:dyDescent="0.3">
      <c r="A28" s="174">
        <v>26</v>
      </c>
      <c r="B28" s="388" t="str">
        <f>Suite&amp;" Electrical Room "&amp;ROP</f>
        <v>G104 Electrical Room 0</v>
      </c>
      <c r="C28" s="225" t="str">
        <f>Suite&amp;" ROP "&amp;ROP</f>
        <v>G104 ROP 0</v>
      </c>
      <c r="D28" s="175" t="str">
        <f>"Using the graphic, Select " &amp; ElectricalRoom &amp; "G for SW" &amp; ElectricalRoom &amp; "."</f>
        <v>Using the graphic, Select 0G for SW0.</v>
      </c>
      <c r="E28" s="174" t="s">
        <v>1464</v>
      </c>
      <c r="F28" s="198"/>
      <c r="G28" s="198"/>
      <c r="H28" s="78"/>
    </row>
    <row r="29" spans="1:8" ht="56.25" hidden="1" x14ac:dyDescent="0.3">
      <c r="A29" s="174">
        <v>27</v>
      </c>
      <c r="B29" s="388" t="str">
        <f>Suite&amp;" Electrical Room "&amp;ROP</f>
        <v>G104 Electrical Room 0</v>
      </c>
      <c r="C29" s="225" t="str">
        <f>Suite&amp;" ROP "&amp;ROP</f>
        <v>G104 ROP 0</v>
      </c>
      <c r="D29" s="175" t="s">
        <v>4671</v>
      </c>
      <c r="E29" s="174" t="s">
        <v>1464</v>
      </c>
      <c r="F29" s="198"/>
      <c r="G29" s="198"/>
      <c r="H29" s="78"/>
    </row>
    <row r="30" spans="1:8" ht="37.5" hidden="1" x14ac:dyDescent="0.3">
      <c r="A30" s="174">
        <v>28</v>
      </c>
      <c r="B30" s="388" t="str">
        <f>Suite&amp;" Electrical Room "&amp;ROP</f>
        <v>G104 Electrical Room 0</v>
      </c>
      <c r="C30" s="225" t="str">
        <f>Suite&amp;" ROP "&amp;ROP</f>
        <v>G104 ROP 0</v>
      </c>
      <c r="D30" s="175" t="s">
        <v>4669</v>
      </c>
      <c r="E30" s="174" t="s">
        <v>1464</v>
      </c>
      <c r="F30" s="198"/>
      <c r="G30" s="198"/>
      <c r="H30" s="78"/>
    </row>
    <row r="31" spans="1:8" ht="56.25" hidden="1" x14ac:dyDescent="0.3">
      <c r="A31" s="174">
        <v>29</v>
      </c>
      <c r="B31" s="388" t="str">
        <f>Suite&amp;" Electrical Room "&amp;ROP</f>
        <v>G104 Electrical Room 0</v>
      </c>
      <c r="C31" s="225" t="str">
        <f>Suite&amp;" ROP "&amp;ROP</f>
        <v>G104 ROP 0</v>
      </c>
      <c r="D31" s="175" t="s">
        <v>4647</v>
      </c>
      <c r="E31" s="174" t="s">
        <v>1464</v>
      </c>
      <c r="F31" s="198"/>
      <c r="G31" s="198"/>
      <c r="H31" s="78"/>
    </row>
    <row r="32" spans="1:8" ht="56.25" hidden="1" x14ac:dyDescent="0.3">
      <c r="A32" s="174">
        <v>30</v>
      </c>
      <c r="B32" s="388" t="str">
        <f>Suite&amp;" Electrical Room "&amp;ROP</f>
        <v>G104 Electrical Room 0</v>
      </c>
      <c r="C32" s="225" t="str">
        <f>Suite&amp;" ROP "&amp;ROP</f>
        <v>G104 ROP 0</v>
      </c>
      <c r="D32" s="261" t="s">
        <v>4646</v>
      </c>
      <c r="E32" s="174" t="s">
        <v>1464</v>
      </c>
      <c r="F32" s="198"/>
      <c r="G32" s="198"/>
      <c r="H32" s="78"/>
    </row>
    <row r="33" spans="1:8" ht="37.5" hidden="1" x14ac:dyDescent="0.3">
      <c r="A33" s="174">
        <v>31</v>
      </c>
      <c r="B33" s="388" t="str">
        <f>Suite&amp;" Electrical Room "&amp;ROP</f>
        <v>G104 Electrical Room 0</v>
      </c>
      <c r="C33" s="225" t="str">
        <f>Suite&amp;" ROP "&amp;ROP</f>
        <v>G104 ROP 0</v>
      </c>
      <c r="D33" s="175" t="str">
        <f>"Verify breaker " &amp; ElectricalRoom &amp; "G on switchboard SW" &amp; ElectricalRoom &amp; " CLOSES as indicated by color change from GREEN to RED."</f>
        <v>Verify breaker 0G on switchboard SW0 CLOSES as indicated by color change from GREEN to RED.</v>
      </c>
      <c r="E33" s="174" t="s">
        <v>1464</v>
      </c>
      <c r="F33" s="198"/>
      <c r="G33" s="198"/>
      <c r="H33" s="78"/>
    </row>
    <row r="34" spans="1:8" ht="37.5" hidden="1" x14ac:dyDescent="0.3">
      <c r="A34" s="174">
        <v>33</v>
      </c>
      <c r="B34" s="388" t="str">
        <f>Suite&amp;" Electrical Room "&amp;ElectricalRoom</f>
        <v>G104 Electrical Room 0</v>
      </c>
      <c r="C34" s="225" t="str">
        <f>Suite&amp;" UPS "&amp;ElectricalRoom</f>
        <v>G104 UPS 0</v>
      </c>
      <c r="D34" s="175" t="s">
        <v>2085</v>
      </c>
      <c r="E34" s="174" t="s">
        <v>1464</v>
      </c>
      <c r="F34" s="198"/>
      <c r="G34" s="198"/>
      <c r="H34" s="78"/>
    </row>
    <row r="35" spans="1:8" ht="37.5" hidden="1" x14ac:dyDescent="0.3">
      <c r="A35" s="174">
        <v>32</v>
      </c>
      <c r="B35" s="388" t="str">
        <f>Suite&amp;" Electrical Room "&amp;ROP</f>
        <v>G104 Electrical Room 0</v>
      </c>
      <c r="C35" s="225" t="str">
        <f>Suite&amp;" ROP "&amp;ROP</f>
        <v>G104 ROP 0</v>
      </c>
      <c r="D35" s="175" t="str">
        <f>"Notate the kW reading at UPS-" &amp; ElectricalRoom &amp; "1:  ___________"</f>
        <v>Notate the kW reading at UPS-01:  ___________</v>
      </c>
      <c r="E35" s="174" t="s">
        <v>1464</v>
      </c>
      <c r="F35" s="198"/>
      <c r="G35" s="198"/>
      <c r="H35" s="78"/>
    </row>
    <row r="36" spans="1:8" ht="37.5" hidden="1" x14ac:dyDescent="0.3">
      <c r="A36" s="174">
        <v>36</v>
      </c>
      <c r="B36" s="388" t="str">
        <f>Suite&amp;" Electrical Room "&amp;ElectricalRoom</f>
        <v>G104 Electrical Room 0</v>
      </c>
      <c r="C36" s="225" t="str">
        <f>Suite&amp;" UPS "&amp;ElectricalRoom</f>
        <v>G104 UPS 0</v>
      </c>
      <c r="D36" s="175" t="str">
        <f>"Verify the readings in step " &amp; A14 &amp; " and " &amp; A35 &amp; " are within 3% of each other. (new kW divided by original kW must be ≤1.03 and ≥0.97)."</f>
        <v>Verify the readings in step 10 and 32 are within 3% of each other. (new kW divided by original kW must be ≤1.03 and ≥0.97).</v>
      </c>
      <c r="E36" s="174" t="s">
        <v>1464</v>
      </c>
      <c r="F36" s="198"/>
      <c r="G36" s="198"/>
      <c r="H36" s="78"/>
    </row>
    <row r="37" spans="1:8" ht="37.5" hidden="1" x14ac:dyDescent="0.3">
      <c r="A37" s="174">
        <v>35</v>
      </c>
      <c r="B37" s="388" t="str">
        <f>Suite&amp;" Electrical Room "&amp;ElectricalRoom</f>
        <v>G104 Electrical Room 0</v>
      </c>
      <c r="C37" s="225" t="str">
        <f>Suite&amp;" UPS "&amp;ElectricalRoom</f>
        <v>G104 UPS 0</v>
      </c>
      <c r="D37" s="175" t="str">
        <f>"Notate the kW reading at UPS-" &amp; ElectricalRoom &amp; "2:  ___________"</f>
        <v>Notate the kW reading at UPS-02:  ___________</v>
      </c>
      <c r="E37" s="174" t="s">
        <v>1464</v>
      </c>
      <c r="F37" s="198"/>
      <c r="G37" s="198"/>
      <c r="H37" s="78"/>
    </row>
    <row r="38" spans="1:8" ht="37.5" hidden="1" x14ac:dyDescent="0.3">
      <c r="A38" s="174">
        <v>36</v>
      </c>
      <c r="B38" s="388" t="str">
        <f>Suite&amp;" Electrical Room "&amp;ElectricalRoom</f>
        <v>G104 Electrical Room 0</v>
      </c>
      <c r="C38" s="225" t="str">
        <f>Suite&amp;" UPS "&amp;ElectricalRoom</f>
        <v>G104 UPS 0</v>
      </c>
      <c r="D38" s="175" t="str">
        <f>"Verify the readings in step " &amp; A15 &amp; " and " &amp; A37 &amp; " are within 3% of each other. (new kW divided by original kW must be ≤1.03 and ≥0.97)."</f>
        <v>Verify the readings in step 11 and 35 are within 3% of each other. (new kW divided by original kW must be ≤1.03 and ≥0.97).</v>
      </c>
      <c r="E38" s="174" t="s">
        <v>1464</v>
      </c>
      <c r="F38" s="198"/>
      <c r="G38" s="198"/>
      <c r="H38" s="78"/>
    </row>
    <row r="39" spans="1:8" ht="37.5" hidden="1" x14ac:dyDescent="0.3">
      <c r="A39" s="174">
        <v>37</v>
      </c>
      <c r="B39" s="388" t="str">
        <f>Suite&amp;" Electrical Room "&amp;ElectricalRoom</f>
        <v>G104 Electrical Room 0</v>
      </c>
      <c r="C39" s="225" t="str">
        <f>Suite&amp;" SW"&amp;ElectricalRoom</f>
        <v>G104 SW0</v>
      </c>
      <c r="D39" s="175" t="str">
        <f>"Verify the following at switchboard SW" &amp; ElectricalRoom &amp; ":"</f>
        <v>Verify the following at switchboard SW0:</v>
      </c>
      <c r="E39" s="174" t="s">
        <v>1464</v>
      </c>
      <c r="F39" s="198"/>
      <c r="G39" s="198"/>
      <c r="H39" s="78"/>
    </row>
    <row r="40" spans="1:8" ht="37.5" hidden="1" x14ac:dyDescent="0.3">
      <c r="A40" s="174">
        <v>38</v>
      </c>
      <c r="B40" s="388" t="str">
        <f>Suite&amp;" Electrical Room "&amp;ElectricalRoom</f>
        <v>G104 Electrical Room 0</v>
      </c>
      <c r="C40" s="225" t="str">
        <f>Suite&amp;" SW"&amp;ElectricalRoom</f>
        <v>G104 SW0</v>
      </c>
      <c r="D40" s="175" t="str">
        <f>"Breaker " &amp; ElectricalRoom &amp; "G is CLOSED."</f>
        <v>Breaker 0G is CLOSED.</v>
      </c>
      <c r="E40" s="174" t="s">
        <v>1464</v>
      </c>
      <c r="F40" s="198"/>
      <c r="G40" s="198"/>
      <c r="H40" s="78"/>
    </row>
    <row r="41" spans="1:8" ht="37.5" hidden="1" x14ac:dyDescent="0.3">
      <c r="A41" s="174">
        <v>39</v>
      </c>
      <c r="B41" s="388" t="str">
        <f>Suite&amp;" Electrical Room "&amp;ElectricalRoom</f>
        <v>G104 Electrical Room 0</v>
      </c>
      <c r="C41" s="225" t="str">
        <f>Suite&amp;" SW"&amp;ElectricalRoom</f>
        <v>G104 SW0</v>
      </c>
      <c r="D41" s="175" t="str">
        <f>"Breaker " &amp; ElectricalRoom &amp; "U is OPEN."</f>
        <v>Breaker 0U is OPEN.</v>
      </c>
      <c r="E41" s="174" t="s">
        <v>1464</v>
      </c>
      <c r="F41" s="198"/>
      <c r="G41" s="198"/>
      <c r="H41" s="78"/>
    </row>
    <row r="42" spans="1:8" ht="37.5" hidden="1" x14ac:dyDescent="0.3">
      <c r="A42" s="174">
        <v>40</v>
      </c>
      <c r="B42" s="388" t="str">
        <f>Suite&amp;" Electrical Room "&amp;ElectricalRoom</f>
        <v>G104 Electrical Room 0</v>
      </c>
      <c r="C42" s="225" t="str">
        <f>Suite&amp;" UP"&amp;ElectricalRoom</f>
        <v>G104 UP0</v>
      </c>
      <c r="D42" s="175" t="str">
        <f>"Breaker UPS-" &amp; ElectricalRoom &amp; "1 is CLOSED."</f>
        <v>Breaker UPS-01 is CLOSED.</v>
      </c>
      <c r="E42" s="174" t="s">
        <v>1464</v>
      </c>
      <c r="F42" s="198"/>
      <c r="G42" s="198"/>
      <c r="H42" s="78"/>
    </row>
    <row r="43" spans="1:8" ht="37.5" hidden="1" x14ac:dyDescent="0.3">
      <c r="A43" s="174">
        <v>41</v>
      </c>
      <c r="B43" s="388" t="str">
        <f>Suite&amp;" Electrical Room "&amp;ElectricalRoom</f>
        <v>G104 Electrical Room 0</v>
      </c>
      <c r="C43" s="225" t="str">
        <f>Suite&amp;" UP"&amp;ElectricalRoom</f>
        <v>G104 UP0</v>
      </c>
      <c r="D43" s="175" t="str">
        <f>"Breaker UPS-" &amp; ElectricalRoom &amp; "2 is CLOSED."</f>
        <v>Breaker UPS-02 is CLOSED.</v>
      </c>
      <c r="E43" s="174" t="s">
        <v>1464</v>
      </c>
      <c r="F43" s="198"/>
      <c r="G43" s="198"/>
      <c r="H43" s="78"/>
    </row>
    <row r="44" spans="1:8" ht="37.5" hidden="1" x14ac:dyDescent="0.3">
      <c r="A44" s="174">
        <v>42</v>
      </c>
      <c r="B44" s="388" t="str">
        <f>Suite&amp;" Electrical Room "&amp;ElectricalRoom</f>
        <v>G104 Electrical Room 0</v>
      </c>
      <c r="C44" s="225" t="str">
        <f>Suite&amp;" UP"&amp;ElectricalRoom</f>
        <v>G104 UP0</v>
      </c>
      <c r="D44" s="175" t="str">
        <f>"Breaker MCBUP" &amp; ElectricalRoom &amp; " is CLOSED."</f>
        <v>Breaker MCBUP0 is CLOSED.</v>
      </c>
      <c r="E44" s="174" t="s">
        <v>1464</v>
      </c>
      <c r="F44" s="198"/>
      <c r="G44" s="198"/>
      <c r="H44" s="78"/>
    </row>
    <row r="45" spans="1:8" ht="37.5" hidden="1" x14ac:dyDescent="0.3">
      <c r="A45" s="174">
        <v>43</v>
      </c>
      <c r="B45" s="388" t="s">
        <v>1342</v>
      </c>
      <c r="C45" s="388" t="s">
        <v>2056</v>
      </c>
      <c r="D45" s="175" t="s">
        <v>4628</v>
      </c>
      <c r="E45" s="174" t="s">
        <v>1464</v>
      </c>
      <c r="F45" s="198"/>
      <c r="G45" s="198"/>
      <c r="H45" s="78"/>
    </row>
    <row r="46" spans="1:8" ht="37.5" hidden="1" x14ac:dyDescent="0.3">
      <c r="A46" s="174">
        <v>44</v>
      </c>
      <c r="B46" s="388" t="str">
        <f>Suite&amp;" Data Center"</f>
        <v>G104 Data Center</v>
      </c>
      <c r="C46" s="388" t="s">
        <v>2058</v>
      </c>
      <c r="D46" s="175" t="s">
        <v>4629</v>
      </c>
      <c r="E46" s="174" t="s">
        <v>1464</v>
      </c>
      <c r="F46" s="198"/>
      <c r="G46" s="198"/>
      <c r="H46" s="78"/>
    </row>
    <row r="47" spans="1:8" ht="37.5" hidden="1" x14ac:dyDescent="0.3">
      <c r="A47" s="174">
        <v>45</v>
      </c>
      <c r="B47" s="388" t="s">
        <v>1462</v>
      </c>
      <c r="C47" s="388" t="s">
        <v>84</v>
      </c>
      <c r="D47" s="175" t="s">
        <v>2119</v>
      </c>
      <c r="E47" s="174" t="s">
        <v>1464</v>
      </c>
      <c r="F47" s="198"/>
      <c r="G47" s="199" t="s">
        <v>1519</v>
      </c>
      <c r="H47" s="78"/>
    </row>
    <row r="48" spans="1:8" ht="37.5" hidden="1" x14ac:dyDescent="0.3">
      <c r="A48" s="174">
        <v>46</v>
      </c>
      <c r="B48" s="388" t="s">
        <v>724</v>
      </c>
      <c r="C48" s="388" t="str">
        <f>zSelectedEquipment</f>
        <v>G104-Gen-B</v>
      </c>
      <c r="D48" s="175" t="s">
        <v>2030</v>
      </c>
      <c r="E48" s="174" t="s">
        <v>1464</v>
      </c>
      <c r="F48" s="198"/>
      <c r="G48" s="198"/>
      <c r="H48" s="78"/>
    </row>
    <row r="49" spans="1:8" ht="37.5" hidden="1" x14ac:dyDescent="0.3">
      <c r="A49" s="174">
        <v>47</v>
      </c>
      <c r="B49" s="388" t="str">
        <f>Suite&amp;" Electrical Room "&amp;ROP</f>
        <v>G104 Electrical Room 0</v>
      </c>
      <c r="C49" s="225" t="str">
        <f>Suite&amp;" ROP "&amp;ROP</f>
        <v>G104 ROP 0</v>
      </c>
      <c r="D49" s="175" t="s">
        <v>2061</v>
      </c>
      <c r="E49" s="174" t="s">
        <v>1464</v>
      </c>
      <c r="F49" s="198"/>
      <c r="G49" s="198"/>
      <c r="H49" s="78"/>
    </row>
    <row r="50" spans="1:8" hidden="1" x14ac:dyDescent="0.25">
      <c r="A50" s="174">
        <v>48</v>
      </c>
      <c r="B50" s="716" t="str">
        <f>"Re-transfer Switchboard SW" &amp; ElectricalRoom &amp; " to Utility Power"</f>
        <v>Re-transfer Switchboard SW0 to Utility Power</v>
      </c>
      <c r="C50" s="716"/>
      <c r="D50" s="716"/>
      <c r="E50" s="716"/>
      <c r="F50" s="716"/>
      <c r="G50" s="716"/>
      <c r="H50" s="78"/>
    </row>
    <row r="51" spans="1:8" ht="37.5" hidden="1" x14ac:dyDescent="0.3">
      <c r="A51" s="174">
        <v>49</v>
      </c>
      <c r="B51" s="388" t="str">
        <f>Suite&amp;" Electrical Room "&amp;ElectricalRoom</f>
        <v>G104 Electrical Room 0</v>
      </c>
      <c r="C51" s="225" t="str">
        <f>Suite&amp;" UPS "&amp;ElectricalRoom</f>
        <v>G104 UPS 0</v>
      </c>
      <c r="D51" s="175" t="s">
        <v>2085</v>
      </c>
      <c r="E51" s="174" t="s">
        <v>1464</v>
      </c>
      <c r="F51" s="198"/>
      <c r="G51" s="198"/>
      <c r="H51" s="78"/>
    </row>
    <row r="52" spans="1:8" ht="37.5" hidden="1" x14ac:dyDescent="0.3">
      <c r="A52" s="174">
        <v>50</v>
      </c>
      <c r="B52" s="388" t="str">
        <f>Suite&amp;" Electrical Room "&amp;ElectricalRoom</f>
        <v>G104 Electrical Room 0</v>
      </c>
      <c r="C52" s="225" t="str">
        <f>Suite&amp;" UPS "&amp;ElectricalRoom</f>
        <v>G104 UPS 0</v>
      </c>
      <c r="D52" s="175" t="str">
        <f>"Notate the kW reading at UPS-" &amp; ElectricalRoom &amp; "1:  ___________"</f>
        <v>Notate the kW reading at UPS-01:  ___________</v>
      </c>
      <c r="E52" s="174" t="s">
        <v>1464</v>
      </c>
      <c r="F52" s="198"/>
      <c r="G52" s="198"/>
      <c r="H52" s="78"/>
    </row>
    <row r="53" spans="1:8" ht="37.5" hidden="1" x14ac:dyDescent="0.3">
      <c r="A53" s="174">
        <v>51</v>
      </c>
      <c r="B53" s="388" t="str">
        <f>Suite&amp;" Electrical Room "&amp;ElectricalRoom</f>
        <v>G104 Electrical Room 0</v>
      </c>
      <c r="C53" s="225" t="str">
        <f>Suite&amp;" UPS "&amp;ElectricalRoom</f>
        <v>G104 UPS 0</v>
      </c>
      <c r="D53" s="175" t="str">
        <f>"Notate the kW reading at UPS-" &amp; ElectricalRoom &amp; "2:  ___________"</f>
        <v>Notate the kW reading at UPS-02:  ___________</v>
      </c>
      <c r="E53" s="174" t="s">
        <v>1464</v>
      </c>
      <c r="F53" s="198"/>
      <c r="G53" s="198"/>
      <c r="H53" s="78"/>
    </row>
    <row r="54" spans="1:8" ht="37.5" hidden="1" x14ac:dyDescent="0.25">
      <c r="A54" s="174">
        <v>52</v>
      </c>
      <c r="B54" s="388" t="str">
        <f>Suite&amp;" Electrical Room "&amp;ROP</f>
        <v>G104 Electrical Room 0</v>
      </c>
      <c r="C54" s="225" t="str">
        <f>Suite&amp;" ROP "&amp;ROP</f>
        <v>G104 ROP 0</v>
      </c>
      <c r="D54" s="175" t="s">
        <v>4658</v>
      </c>
      <c r="E54" s="174" t="s">
        <v>1464</v>
      </c>
      <c r="F54" s="388"/>
      <c r="G54" s="174"/>
      <c r="H54" s="78"/>
    </row>
    <row r="55" spans="1:8" ht="37.5" hidden="1" x14ac:dyDescent="0.25">
      <c r="A55" s="174">
        <v>53</v>
      </c>
      <c r="B55" s="388" t="str">
        <f>Suite&amp;" Electrical Room "&amp;ROP</f>
        <v>G104 Electrical Room 0</v>
      </c>
      <c r="C55" s="225" t="str">
        <f>Suite&amp;" ROP "&amp;ROP</f>
        <v>G104 ROP 0</v>
      </c>
      <c r="D55" s="175" t="s">
        <v>4670</v>
      </c>
      <c r="E55" s="174" t="s">
        <v>1464</v>
      </c>
      <c r="F55" s="388"/>
      <c r="G55" s="174"/>
      <c r="H55" s="78"/>
    </row>
    <row r="56" spans="1:8" ht="37.5" hidden="1" x14ac:dyDescent="0.25">
      <c r="A56" s="174">
        <v>54</v>
      </c>
      <c r="B56" s="388" t="str">
        <f>Suite&amp;" Electrical Room "&amp;ROP</f>
        <v>G104 Electrical Room 0</v>
      </c>
      <c r="C56" s="225" t="str">
        <f>Suite&amp;" ROP "&amp;ROP</f>
        <v>G104 ROP 0</v>
      </c>
      <c r="D56" s="175" t="s">
        <v>4635</v>
      </c>
      <c r="E56" s="174" t="s">
        <v>1464</v>
      </c>
      <c r="F56" s="388"/>
      <c r="G56" s="174"/>
      <c r="H56" s="78"/>
    </row>
    <row r="57" spans="1:8" ht="37.5" hidden="1" x14ac:dyDescent="0.3">
      <c r="A57" s="174">
        <v>55</v>
      </c>
      <c r="B57" s="388" t="str">
        <f>Suite&amp;" Electrical Room "&amp;ROP</f>
        <v>G104 Electrical Room 0</v>
      </c>
      <c r="C57" s="225" t="str">
        <f>Suite&amp;" ROP "&amp;ROP</f>
        <v>G104 ROP 0</v>
      </c>
      <c r="D57" s="175" t="s">
        <v>4666</v>
      </c>
      <c r="E57" s="174" t="s">
        <v>1464</v>
      </c>
      <c r="F57" s="198"/>
      <c r="G57" s="198"/>
      <c r="H57" s="78"/>
    </row>
    <row r="58" spans="1:8" ht="37.5" hidden="1" x14ac:dyDescent="0.25">
      <c r="A58" s="174">
        <v>56</v>
      </c>
      <c r="B58" s="388" t="str">
        <f>Suite&amp;" Electrical Room "&amp;ROP</f>
        <v>G104 Electrical Room 0</v>
      </c>
      <c r="C58" s="225" t="str">
        <f>Suite&amp;" ROP "&amp;ROP</f>
        <v>G104 ROP 0</v>
      </c>
      <c r="D58" s="175" t="s">
        <v>4662</v>
      </c>
      <c r="E58" s="174" t="s">
        <v>1464</v>
      </c>
      <c r="F58" s="388"/>
      <c r="G58" s="174"/>
      <c r="H58" s="78"/>
    </row>
    <row r="59" spans="1:8" ht="37.5" hidden="1" x14ac:dyDescent="0.25">
      <c r="A59" s="174">
        <v>57</v>
      </c>
      <c r="B59" s="388" t="str">
        <f>Suite&amp;" Electrical Room "&amp;ROP</f>
        <v>G104 Electrical Room 0</v>
      </c>
      <c r="C59" s="225" t="str">
        <f>Suite&amp;" ROP "&amp;ROP</f>
        <v>G104 ROP 0</v>
      </c>
      <c r="D59" s="175" t="s">
        <v>4663</v>
      </c>
      <c r="E59" s="174" t="s">
        <v>1464</v>
      </c>
      <c r="F59" s="388"/>
      <c r="G59" s="174"/>
      <c r="H59" s="78"/>
    </row>
    <row r="60" spans="1:8" ht="56.25" hidden="1" x14ac:dyDescent="0.3">
      <c r="A60" s="174">
        <v>58</v>
      </c>
      <c r="B60" s="388" t="str">
        <f>Suite&amp;" Electrical Room "&amp;ROP</f>
        <v>G104 Electrical Room 0</v>
      </c>
      <c r="C60" s="225" t="str">
        <f>Suite&amp;" ROP "&amp;ROP</f>
        <v>G104 ROP 0</v>
      </c>
      <c r="D60" s="175" t="s">
        <v>4644</v>
      </c>
      <c r="E60" s="174" t="s">
        <v>1464</v>
      </c>
      <c r="F60" s="198"/>
      <c r="G60" s="198"/>
      <c r="H60" s="78"/>
    </row>
    <row r="61" spans="1:8" ht="37.5" hidden="1" x14ac:dyDescent="0.25">
      <c r="A61" s="174">
        <v>59</v>
      </c>
      <c r="B61" s="388" t="str">
        <f>Suite&amp;" Electrical Room "&amp;ROP</f>
        <v>G104 Electrical Room 0</v>
      </c>
      <c r="C61" s="225" t="str">
        <f>Suite&amp;" ROP "&amp;ROP</f>
        <v>G104 ROP 0</v>
      </c>
      <c r="D61" s="175" t="s">
        <v>4668</v>
      </c>
      <c r="E61" s="174" t="s">
        <v>1464</v>
      </c>
      <c r="F61" s="388"/>
      <c r="G61" s="174"/>
      <c r="H61" s="78"/>
    </row>
    <row r="62" spans="1:8" ht="37.5" hidden="1" x14ac:dyDescent="0.3">
      <c r="A62" s="174">
        <v>60</v>
      </c>
      <c r="B62" s="388" t="str">
        <f>Suite&amp;" Electrical Room "&amp;ROP</f>
        <v>G104 Electrical Room 0</v>
      </c>
      <c r="C62" s="225" t="str">
        <f>Suite&amp;" ROP "&amp;ROP</f>
        <v>G104 ROP 0</v>
      </c>
      <c r="D62" s="175" t="str">
        <f>"Using the graphic, Select " &amp; ElectricalRoom &amp; "U for SW" &amp; ElectricalRoom &amp; "."</f>
        <v>Using the graphic, Select 0U for SW0.</v>
      </c>
      <c r="E62" s="174" t="s">
        <v>1464</v>
      </c>
      <c r="F62" s="198"/>
      <c r="G62" s="198"/>
      <c r="H62" s="78"/>
    </row>
    <row r="63" spans="1:8" ht="37.5" hidden="1" x14ac:dyDescent="0.3">
      <c r="A63" s="174">
        <v>61</v>
      </c>
      <c r="B63" s="388" t="str">
        <f>Suite&amp;" Electrical Room "&amp;ROP</f>
        <v>G104 Electrical Room 0</v>
      </c>
      <c r="C63" s="225" t="str">
        <f>Suite&amp;" ROP "&amp;ROP</f>
        <v>G104 ROP 0</v>
      </c>
      <c r="D63" s="175" t="s">
        <v>4672</v>
      </c>
      <c r="E63" s="174" t="s">
        <v>1464</v>
      </c>
      <c r="F63" s="198"/>
      <c r="G63" s="198"/>
      <c r="H63" s="78"/>
    </row>
    <row r="64" spans="1:8" ht="37.5" hidden="1" x14ac:dyDescent="0.3">
      <c r="A64" s="174">
        <v>62</v>
      </c>
      <c r="B64" s="388" t="str">
        <f>Suite&amp;" Electrical Room "&amp;ROP</f>
        <v>G104 Electrical Room 0</v>
      </c>
      <c r="C64" s="225" t="str">
        <f>Suite&amp;" ROP "&amp;ROP</f>
        <v>G104 ROP 0</v>
      </c>
      <c r="D64" s="175" t="s">
        <v>4669</v>
      </c>
      <c r="E64" s="174" t="s">
        <v>1464</v>
      </c>
      <c r="F64" s="198"/>
      <c r="G64" s="198"/>
      <c r="H64" s="78"/>
    </row>
    <row r="65" spans="1:8" ht="37.5" hidden="1" x14ac:dyDescent="0.3">
      <c r="A65" s="174">
        <v>63</v>
      </c>
      <c r="B65" s="388" t="str">
        <f>Suite&amp;" Electrical Room "&amp;ROP</f>
        <v>G104 Electrical Room 0</v>
      </c>
      <c r="C65" s="225" t="str">
        <f>Suite&amp;" ROP "&amp;ROP</f>
        <v>G104 ROP 0</v>
      </c>
      <c r="D65" s="175" t="s">
        <v>4667</v>
      </c>
      <c r="E65" s="174" t="s">
        <v>1464</v>
      </c>
      <c r="F65" s="198"/>
      <c r="G65" s="198"/>
      <c r="H65" s="78"/>
    </row>
    <row r="66" spans="1:8" ht="56.25" hidden="1" x14ac:dyDescent="0.3">
      <c r="A66" s="174">
        <v>64</v>
      </c>
      <c r="B66" s="388" t="str">
        <f>Suite&amp;" Electrical Room "&amp;ROP</f>
        <v>G104 Electrical Room 0</v>
      </c>
      <c r="C66" s="225" t="str">
        <f>Suite&amp;" ROP "&amp;ROP</f>
        <v>G104 ROP 0</v>
      </c>
      <c r="D66" s="261" t="s">
        <v>4624</v>
      </c>
      <c r="E66" s="174" t="s">
        <v>1464</v>
      </c>
      <c r="F66" s="198"/>
      <c r="G66" s="198"/>
      <c r="H66" s="78"/>
    </row>
    <row r="67" spans="1:8" ht="37.5" hidden="1" x14ac:dyDescent="0.3">
      <c r="A67" s="174">
        <v>65</v>
      </c>
      <c r="B67" s="388" t="str">
        <f>Suite&amp;" Electrical Room "&amp;ROP</f>
        <v>G104 Electrical Room 0</v>
      </c>
      <c r="C67" s="225" t="str">
        <f>Suite&amp;" ROP "&amp;ROP</f>
        <v>G104 ROP 0</v>
      </c>
      <c r="D67" s="175" t="s">
        <v>2068</v>
      </c>
      <c r="E67" s="174" t="s">
        <v>1464</v>
      </c>
      <c r="F67" s="198"/>
      <c r="G67" s="198"/>
      <c r="H67" s="78"/>
    </row>
    <row r="68" spans="1:8" ht="37.5" hidden="1" x14ac:dyDescent="0.3">
      <c r="A68" s="174">
        <v>66</v>
      </c>
      <c r="B68" s="388" t="str">
        <f>Suite&amp;" Electrical Room "&amp;ROP</f>
        <v>G104 Electrical Room 0</v>
      </c>
      <c r="C68" s="225" t="str">
        <f>Suite&amp;" ROP "&amp;ROP</f>
        <v>G104 ROP 0</v>
      </c>
      <c r="D68" s="175" t="str">
        <f>"Verify breaker " &amp; ElectricalRoom &amp; "U on switchboard SW" &amp; ElectricalRoom &amp; " CLOSES as indicated by color change from GREEN to RED."</f>
        <v>Verify breaker 0U on switchboard SW0 CLOSES as indicated by color change from GREEN to RED.</v>
      </c>
      <c r="E68" s="174" t="s">
        <v>1464</v>
      </c>
      <c r="F68" s="198"/>
      <c r="G68" s="198"/>
      <c r="H68" s="78"/>
    </row>
    <row r="69" spans="1:8" ht="37.5" hidden="1" x14ac:dyDescent="0.3">
      <c r="A69" s="174">
        <v>67</v>
      </c>
      <c r="B69" s="388" t="str">
        <f>Suite&amp;" Electrical Room "&amp;ROP</f>
        <v>G104 Electrical Room 0</v>
      </c>
      <c r="C69" s="225" t="str">
        <f>Suite&amp;" ROP "&amp;ROP</f>
        <v>G104 ROP 0</v>
      </c>
      <c r="D69" s="175" t="str">
        <f>"Verify breaker " &amp; ElectricalRoom &amp; "G on switchboard SW" &amp; ElectricalRoom &amp; " OPENS as indicated by color change from RED to GREEN."</f>
        <v>Verify breaker 0G on switchboard SW0 OPENS as indicated by color change from RED to GREEN.</v>
      </c>
      <c r="E69" s="174" t="s">
        <v>1464</v>
      </c>
      <c r="F69" s="198"/>
      <c r="G69" s="198"/>
      <c r="H69" s="78"/>
    </row>
    <row r="70" spans="1:8" ht="37.5" hidden="1" x14ac:dyDescent="0.3">
      <c r="A70" s="174">
        <v>68</v>
      </c>
      <c r="B70" s="388" t="str">
        <f>Suite&amp;" Electrical Room "&amp;ROP</f>
        <v>G104 Electrical Room 0</v>
      </c>
      <c r="C70" s="225" t="str">
        <f>Suite&amp;" ROP "&amp;ROP</f>
        <v>G104 ROP 0</v>
      </c>
      <c r="D70" s="175" t="s">
        <v>4637</v>
      </c>
      <c r="E70" s="174" t="s">
        <v>1464</v>
      </c>
      <c r="F70" s="198"/>
      <c r="G70" s="198"/>
      <c r="H70" s="78"/>
    </row>
    <row r="71" spans="1:8" ht="37.5" hidden="1" x14ac:dyDescent="0.3">
      <c r="A71" s="174">
        <v>69</v>
      </c>
      <c r="B71" s="388" t="str">
        <f>Suite&amp;" Electrical Room "&amp;ElectricalRoom</f>
        <v>G104 Electrical Room 0</v>
      </c>
      <c r="C71" s="225" t="str">
        <f>Suite&amp;" UPS "&amp;ElectricalRoom</f>
        <v>G104 UPS 0</v>
      </c>
      <c r="D71" s="175" t="s">
        <v>2085</v>
      </c>
      <c r="E71" s="174" t="s">
        <v>1464</v>
      </c>
      <c r="F71" s="198"/>
      <c r="G71" s="198"/>
      <c r="H71" s="78"/>
    </row>
    <row r="72" spans="1:8" ht="37.5" hidden="1" x14ac:dyDescent="0.3">
      <c r="A72" s="174">
        <v>70</v>
      </c>
      <c r="B72" s="388" t="str">
        <f>Suite&amp;" Electrical Room "&amp;ElectricalRoom</f>
        <v>G104 Electrical Room 0</v>
      </c>
      <c r="C72" s="225" t="str">
        <f>Suite&amp;" UPS "&amp;ElectricalRoom</f>
        <v>G104 UPS 0</v>
      </c>
      <c r="D72" s="175" t="str">
        <f>"Notate the kW reading at UPS-" &amp; ElectricalRoom &amp; "1:  ___________ "</f>
        <v xml:space="preserve">Notate the kW reading at UPS-01:  ___________ </v>
      </c>
      <c r="E72" s="174" t="s">
        <v>1464</v>
      </c>
      <c r="F72" s="198"/>
      <c r="G72" s="198"/>
      <c r="H72" s="78"/>
    </row>
    <row r="73" spans="1:8" ht="37.5" hidden="1" x14ac:dyDescent="0.3">
      <c r="A73" s="174">
        <v>36</v>
      </c>
      <c r="B73" s="388" t="str">
        <f>Suite&amp;" Electrical Room "&amp;ElectricalRoom</f>
        <v>G104 Electrical Room 0</v>
      </c>
      <c r="C73" s="225" t="str">
        <f>Suite&amp;" UPS "&amp;ElectricalRoom</f>
        <v>G104 UPS 0</v>
      </c>
      <c r="D73" s="175" t="str">
        <f>"Verify the readings in step " &amp; A52 &amp; " and " &amp; A72 &amp; " are within 3% of each other. (new kW divided by original kW must be ≤1.03 and ≥0.97)."</f>
        <v>Verify the readings in step 50 and 70 are within 3% of each other. (new kW divided by original kW must be ≤1.03 and ≥0.97).</v>
      </c>
      <c r="E73" s="174" t="s">
        <v>1464</v>
      </c>
      <c r="F73" s="198"/>
      <c r="G73" s="198"/>
      <c r="H73" s="78"/>
    </row>
    <row r="74" spans="1:8" ht="37.5" hidden="1" x14ac:dyDescent="0.3">
      <c r="A74" s="174">
        <v>71</v>
      </c>
      <c r="B74" s="388" t="str">
        <f>Suite&amp;" Electrical Room "&amp;ElectricalRoom</f>
        <v>G104 Electrical Room 0</v>
      </c>
      <c r="C74" s="225" t="str">
        <f>Suite&amp;" UPS "&amp;ElectricalRoom</f>
        <v>G104 UPS 0</v>
      </c>
      <c r="D74" s="175" t="str">
        <f>"Notate the kW reading at UPS-" &amp; ElectricalRoom &amp; "2:  ___________ "</f>
        <v xml:space="preserve">Notate the kW reading at UPS-02:  ___________ </v>
      </c>
      <c r="E74" s="174" t="s">
        <v>1464</v>
      </c>
      <c r="F74" s="198"/>
      <c r="G74" s="198"/>
      <c r="H74" s="78"/>
    </row>
    <row r="75" spans="1:8" ht="37.5" hidden="1" x14ac:dyDescent="0.3">
      <c r="A75" s="174">
        <v>36</v>
      </c>
      <c r="B75" s="388" t="str">
        <f>Suite&amp;" Electrical Room "&amp;ElectricalRoom</f>
        <v>G104 Electrical Room 0</v>
      </c>
      <c r="C75" s="225" t="str">
        <f>Suite&amp;" UPS "&amp;ElectricalRoom</f>
        <v>G104 UPS 0</v>
      </c>
      <c r="D75" s="175" t="str">
        <f>"Verify the readings in step " &amp; A53 &amp; " and " &amp; A74 &amp; " are within 3% of each other. (new kW divided by original kW must be ≤1.03 and ≥0.97)."</f>
        <v>Verify the readings in step 51 and 71 are within 3% of each other. (new kW divided by original kW must be ≤1.03 and ≥0.97).</v>
      </c>
      <c r="E75" s="174" t="s">
        <v>1464</v>
      </c>
      <c r="F75" s="198"/>
      <c r="G75" s="198"/>
      <c r="H75" s="78"/>
    </row>
    <row r="76" spans="1:8" ht="37.5" hidden="1" x14ac:dyDescent="0.3">
      <c r="A76" s="174">
        <v>73</v>
      </c>
      <c r="B76" s="388" t="str">
        <f>Suite&amp;" Electrical Room "&amp;ElectricalRoom</f>
        <v>G104 Electrical Room 0</v>
      </c>
      <c r="C76" s="225" t="str">
        <f>Suite&amp;" SW"&amp;ElectricalRoom</f>
        <v>G104 SW0</v>
      </c>
      <c r="D76" s="175" t="str">
        <f>"Verify the following at switchboard SW" &amp; ElectricalRoom &amp; ":"</f>
        <v>Verify the following at switchboard SW0:</v>
      </c>
      <c r="E76" s="174" t="s">
        <v>1464</v>
      </c>
      <c r="F76" s="198"/>
      <c r="G76" s="198"/>
      <c r="H76" s="78"/>
    </row>
    <row r="77" spans="1:8" ht="37.5" hidden="1" x14ac:dyDescent="0.3">
      <c r="A77" s="174">
        <v>74</v>
      </c>
      <c r="B77" s="388" t="str">
        <f>Suite&amp;" Electrical Room "&amp;ElectricalRoom</f>
        <v>G104 Electrical Room 0</v>
      </c>
      <c r="C77" s="225" t="str">
        <f>Suite&amp;" SW"&amp;ElectricalRoom</f>
        <v>G104 SW0</v>
      </c>
      <c r="D77" s="175" t="str">
        <f>"Breaker " &amp; ElectricalRoom &amp; "U is CLOSED."</f>
        <v>Breaker 0U is CLOSED.</v>
      </c>
      <c r="E77" s="174" t="s">
        <v>1464</v>
      </c>
      <c r="F77" s="198"/>
      <c r="G77" s="198"/>
      <c r="H77" s="78"/>
    </row>
    <row r="78" spans="1:8" ht="37.5" hidden="1" x14ac:dyDescent="0.3">
      <c r="A78" s="174">
        <v>75</v>
      </c>
      <c r="B78" s="388" t="str">
        <f>Suite&amp;" Electrical Room "&amp;ElectricalRoom</f>
        <v>G104 Electrical Room 0</v>
      </c>
      <c r="C78" s="225" t="str">
        <f>Suite&amp;" SW"&amp;ElectricalRoom</f>
        <v>G104 SW0</v>
      </c>
      <c r="D78" s="175" t="str">
        <f>"Breaker " &amp; ElectricalRoom &amp; "G is OPEN."</f>
        <v>Breaker 0G is OPEN.</v>
      </c>
      <c r="E78" s="174" t="s">
        <v>1464</v>
      </c>
      <c r="F78" s="198"/>
      <c r="G78" s="198"/>
      <c r="H78" s="78"/>
    </row>
    <row r="79" spans="1:8" ht="37.5" hidden="1" x14ac:dyDescent="0.3">
      <c r="A79" s="174">
        <v>76</v>
      </c>
      <c r="B79" s="388" t="str">
        <f>Suite&amp;" Electrical Room "&amp;ElectricalRoom</f>
        <v>G104 Electrical Room 0</v>
      </c>
      <c r="C79" s="225" t="str">
        <f>Suite&amp;" UP"&amp;ElectricalRoom</f>
        <v>G104 UP0</v>
      </c>
      <c r="D79" s="175" t="str">
        <f>"Breaker UPS-" &amp; ElectricalRoom &amp; "1 is CLOSED."</f>
        <v>Breaker UPS-01 is CLOSED.</v>
      </c>
      <c r="E79" s="174" t="s">
        <v>1464</v>
      </c>
      <c r="F79" s="198"/>
      <c r="G79" s="198"/>
      <c r="H79" s="78"/>
    </row>
    <row r="80" spans="1:8" ht="37.5" hidden="1" x14ac:dyDescent="0.3">
      <c r="A80" s="174">
        <v>77</v>
      </c>
      <c r="B80" s="388" t="str">
        <f>Suite&amp;" Electrical Room "&amp;ElectricalRoom</f>
        <v>G104 Electrical Room 0</v>
      </c>
      <c r="C80" s="225" t="str">
        <f>Suite&amp;" UP"&amp;ElectricalRoom</f>
        <v>G104 UP0</v>
      </c>
      <c r="D80" s="175" t="str">
        <f>"Breaker UPS-" &amp; ElectricalRoom &amp; "2 is CLOSED."</f>
        <v>Breaker UPS-02 is CLOSED.</v>
      </c>
      <c r="E80" s="174" t="s">
        <v>1464</v>
      </c>
      <c r="F80" s="198"/>
      <c r="G80" s="198"/>
      <c r="H80" s="78"/>
    </row>
    <row r="81" spans="1:8" ht="37.5" hidden="1" x14ac:dyDescent="0.3">
      <c r="A81" s="174">
        <v>78</v>
      </c>
      <c r="B81" s="388" t="str">
        <f>Suite&amp;" Electrical Room "&amp;ElectricalRoom</f>
        <v>G104 Electrical Room 0</v>
      </c>
      <c r="C81" s="225" t="str">
        <f>Suite&amp;" UP"&amp;ElectricalRoom</f>
        <v>G104 UP0</v>
      </c>
      <c r="D81" s="175" t="str">
        <f>"Breaker MCBUP" &amp; ElectricalRoom &amp; " is CLOSED."</f>
        <v>Breaker MCBUP0 is CLOSED.</v>
      </c>
      <c r="E81" s="174" t="s">
        <v>1464</v>
      </c>
      <c r="F81" s="198"/>
      <c r="G81" s="198"/>
      <c r="H81" s="78"/>
    </row>
    <row r="82" spans="1:8" ht="37.5" hidden="1" x14ac:dyDescent="0.3">
      <c r="A82" s="174">
        <v>79</v>
      </c>
      <c r="B82" s="388" t="s">
        <v>1342</v>
      </c>
      <c r="C82" s="388" t="s">
        <v>2056</v>
      </c>
      <c r="D82" s="175" t="s">
        <v>4628</v>
      </c>
      <c r="E82" s="174" t="s">
        <v>1464</v>
      </c>
      <c r="F82" s="198"/>
      <c r="G82" s="199" t="s">
        <v>1519</v>
      </c>
      <c r="H82" s="78"/>
    </row>
    <row r="83" spans="1:8" ht="37.5" hidden="1" x14ac:dyDescent="0.3">
      <c r="A83" s="174">
        <v>80</v>
      </c>
      <c r="B83" s="388" t="str">
        <f>Suite&amp;" Data Center"</f>
        <v>G104 Data Center</v>
      </c>
      <c r="C83" s="388" t="s">
        <v>2058</v>
      </c>
      <c r="D83" s="175" t="s">
        <v>4630</v>
      </c>
      <c r="E83" s="174" t="s">
        <v>1464</v>
      </c>
      <c r="F83" s="198"/>
      <c r="G83" s="199" t="s">
        <v>1519</v>
      </c>
      <c r="H83" s="78"/>
    </row>
    <row r="84" spans="1:8" ht="37.5" hidden="1" x14ac:dyDescent="0.3">
      <c r="A84" s="174">
        <v>81</v>
      </c>
      <c r="B84" s="388" t="s">
        <v>1462</v>
      </c>
      <c r="C84" s="388" t="s">
        <v>84</v>
      </c>
      <c r="D84" s="175" t="s">
        <v>2119</v>
      </c>
      <c r="E84" s="174" t="s">
        <v>1464</v>
      </c>
      <c r="F84" s="198"/>
      <c r="G84" s="199" t="s">
        <v>1519</v>
      </c>
      <c r="H84" s="78"/>
    </row>
    <row r="85" spans="1:8" ht="37.5" hidden="1" x14ac:dyDescent="0.3">
      <c r="A85" s="174">
        <v>82</v>
      </c>
      <c r="B85" s="388" t="s">
        <v>724</v>
      </c>
      <c r="C85" s="388" t="str">
        <f>zSelectedEquipment</f>
        <v>G104-Gen-B</v>
      </c>
      <c r="D85" s="175" t="str">
        <f>"Verify " &amp; zSelectedEquipment &amp; " has completed the cool down cycle and is no longer operating before proceeding."</f>
        <v>Verify G104-Gen-B has completed the cool down cycle and is no longer operating before proceeding.</v>
      </c>
      <c r="E85" s="174" t="s">
        <v>1464</v>
      </c>
      <c r="F85" s="198"/>
      <c r="G85" s="199" t="s">
        <v>1519</v>
      </c>
      <c r="H85" s="78"/>
    </row>
    <row r="86" spans="1:8" x14ac:dyDescent="0.25">
      <c r="A86" s="174">
        <v>5</v>
      </c>
      <c r="B86" s="716" t="str">
        <f>"PROOF OF START TESTING " &amp; zSelectedEquipment</f>
        <v>PROOF OF START TESTING G104-Gen-B</v>
      </c>
      <c r="C86" s="716"/>
      <c r="D86" s="716"/>
      <c r="E86" s="716"/>
      <c r="F86" s="716"/>
      <c r="G86" s="716"/>
    </row>
    <row r="87" spans="1:8" ht="37.5" x14ac:dyDescent="0.3">
      <c r="A87" s="174">
        <f>A86+1</f>
        <v>6</v>
      </c>
      <c r="B87" s="388" t="s">
        <v>724</v>
      </c>
      <c r="C87" s="388" t="str">
        <f>zSelectedEquipment</f>
        <v>G104-Gen-B</v>
      </c>
      <c r="D87" s="175" t="s">
        <v>4673</v>
      </c>
      <c r="E87" s="174" t="s">
        <v>1464</v>
      </c>
      <c r="F87" s="388"/>
      <c r="G87" s="199" t="s">
        <v>1519</v>
      </c>
    </row>
    <row r="88" spans="1:8" ht="37.5" x14ac:dyDescent="0.25">
      <c r="A88" s="174">
        <f t="shared" ref="A88:A119" si="0">A87+1</f>
        <v>7</v>
      </c>
      <c r="B88" s="388" t="str">
        <f>Suite&amp;" Electrical Room "&amp;ROP</f>
        <v>G104 Electrical Room 0</v>
      </c>
      <c r="C88" s="225" t="str">
        <f>Suite&amp;" ROP "&amp;ROP</f>
        <v>G104 ROP 0</v>
      </c>
      <c r="D88" s="175" t="s">
        <v>4658</v>
      </c>
      <c r="E88" s="174" t="s">
        <v>1464</v>
      </c>
      <c r="F88" s="388"/>
      <c r="G88" s="388" t="s">
        <v>1519</v>
      </c>
    </row>
    <row r="89" spans="1:8" ht="37.5" x14ac:dyDescent="0.25">
      <c r="A89" s="174">
        <f t="shared" si="0"/>
        <v>8</v>
      </c>
      <c r="B89" s="388" t="str">
        <f>Suite&amp;" Electrical Room "&amp;ROP</f>
        <v>G104 Electrical Room 0</v>
      </c>
      <c r="C89" s="225" t="str">
        <f>Suite&amp;" ROP "&amp;ROP</f>
        <v>G104 ROP 0</v>
      </c>
      <c r="D89" s="175" t="s">
        <v>4670</v>
      </c>
      <c r="E89" s="174" t="s">
        <v>1464</v>
      </c>
      <c r="F89" s="388"/>
      <c r="G89" s="388" t="s">
        <v>1519</v>
      </c>
    </row>
    <row r="90" spans="1:8" ht="37.5" x14ac:dyDescent="0.25">
      <c r="A90" s="174">
        <f t="shared" si="0"/>
        <v>9</v>
      </c>
      <c r="B90" s="388" t="str">
        <f>Suite&amp;" Electrical Room "&amp;ROP</f>
        <v>G104 Electrical Room 0</v>
      </c>
      <c r="C90" s="225" t="str">
        <f>Suite&amp;" ROP "&amp;ROP</f>
        <v>G104 ROP 0</v>
      </c>
      <c r="D90" s="175" t="s">
        <v>4662</v>
      </c>
      <c r="E90" s="174" t="s">
        <v>1464</v>
      </c>
      <c r="F90" s="388"/>
      <c r="G90" s="388" t="s">
        <v>1519</v>
      </c>
    </row>
    <row r="91" spans="1:8" ht="37.5" x14ac:dyDescent="0.25">
      <c r="A91" s="174">
        <f t="shared" si="0"/>
        <v>10</v>
      </c>
      <c r="B91" s="388" t="str">
        <f>Suite&amp;" Electrical Room "&amp;ROP</f>
        <v>G104 Electrical Room 0</v>
      </c>
      <c r="C91" s="225" t="str">
        <f>Suite&amp;" ROP "&amp;ROP</f>
        <v>G104 ROP 0</v>
      </c>
      <c r="D91" s="175" t="s">
        <v>4659</v>
      </c>
      <c r="E91" s="174" t="s">
        <v>1464</v>
      </c>
      <c r="F91" s="388"/>
      <c r="G91" s="388" t="s">
        <v>1519</v>
      </c>
    </row>
    <row r="92" spans="1:8" ht="56.25" x14ac:dyDescent="0.25">
      <c r="A92" s="174">
        <f t="shared" si="0"/>
        <v>11</v>
      </c>
      <c r="B92" s="388" t="str">
        <f>Suite&amp;" Electrical Room "&amp;ROP</f>
        <v>G104 Electrical Room 0</v>
      </c>
      <c r="C92" s="225" t="str">
        <f>Suite&amp;" ROP "&amp;ROP</f>
        <v>G104 ROP 0</v>
      </c>
      <c r="D92" s="175" t="s">
        <v>4645</v>
      </c>
      <c r="E92" s="174" t="s">
        <v>1464</v>
      </c>
      <c r="F92" s="388"/>
      <c r="G92" s="388" t="s">
        <v>1519</v>
      </c>
    </row>
    <row r="93" spans="1:8" ht="37.5" x14ac:dyDescent="0.25">
      <c r="A93" s="174">
        <f t="shared" si="0"/>
        <v>12</v>
      </c>
      <c r="B93" s="388" t="str">
        <f>Suite&amp;" Electrical Room "&amp;ROP</f>
        <v>G104 Electrical Room 0</v>
      </c>
      <c r="C93" s="225" t="str">
        <f>Suite&amp;" ROP "&amp;ROP</f>
        <v>G104 ROP 0</v>
      </c>
      <c r="D93" s="175" t="s">
        <v>4660</v>
      </c>
      <c r="E93" s="174" t="s">
        <v>1464</v>
      </c>
      <c r="F93" s="388"/>
      <c r="G93" s="388" t="s">
        <v>1519</v>
      </c>
    </row>
    <row r="94" spans="1:8" ht="37.5" x14ac:dyDescent="0.25">
      <c r="A94" s="174">
        <f t="shared" si="0"/>
        <v>13</v>
      </c>
      <c r="B94" s="388" t="str">
        <f>Suite&amp;" Electrical Room "&amp;ROP</f>
        <v>G104 Electrical Room 0</v>
      </c>
      <c r="C94" s="225" t="str">
        <f>Suite&amp;" ROP "&amp;ROP</f>
        <v>G104 ROP 0</v>
      </c>
      <c r="D94" s="175" t="s">
        <v>4661</v>
      </c>
      <c r="E94" s="174" t="s">
        <v>1464</v>
      </c>
      <c r="F94" s="388"/>
      <c r="G94" s="388" t="s">
        <v>1519</v>
      </c>
    </row>
    <row r="95" spans="1:8" ht="37.5" x14ac:dyDescent="0.25">
      <c r="A95" s="174">
        <f t="shared" si="0"/>
        <v>14</v>
      </c>
      <c r="B95" s="388" t="str">
        <f>Suite&amp;" Electrical Room "&amp;ROP</f>
        <v>G104 Electrical Room 0</v>
      </c>
      <c r="C95" s="225" t="str">
        <f>Suite&amp;" ROP "&amp;ROP</f>
        <v>G104 ROP 0</v>
      </c>
      <c r="D95" s="175" t="s">
        <v>4626</v>
      </c>
      <c r="E95" s="174" t="s">
        <v>1464</v>
      </c>
      <c r="F95" s="388"/>
      <c r="G95" s="388" t="s">
        <v>1519</v>
      </c>
    </row>
    <row r="96" spans="1:8" ht="37.5" x14ac:dyDescent="0.25">
      <c r="A96" s="174">
        <f t="shared" si="0"/>
        <v>15</v>
      </c>
      <c r="B96" s="388" t="str">
        <f>Suite&amp;" Electrical Room "&amp;ROP</f>
        <v>G104 Electrical Room 0</v>
      </c>
      <c r="C96" s="225" t="str">
        <f>Suite&amp;" ROP "&amp;ROP</f>
        <v>G104 ROP 0</v>
      </c>
      <c r="D96" s="175" t="s">
        <v>4627</v>
      </c>
      <c r="E96" s="174" t="s">
        <v>1464</v>
      </c>
      <c r="F96" s="388"/>
      <c r="G96" s="388" t="s">
        <v>1519</v>
      </c>
    </row>
    <row r="97" spans="1:7" ht="37.5" x14ac:dyDescent="0.25">
      <c r="A97" s="174">
        <f t="shared" si="0"/>
        <v>16</v>
      </c>
      <c r="B97" s="388" t="str">
        <f>Suite&amp;" Electrical Room "&amp;ROP</f>
        <v>G104 Electrical Room 0</v>
      </c>
      <c r="C97" s="225" t="str">
        <f>Suite&amp;" ROP "&amp;ROP</f>
        <v>G104 ROP 0</v>
      </c>
      <c r="D97" s="175" t="s">
        <v>4635</v>
      </c>
      <c r="E97" s="174" t="s">
        <v>1464</v>
      </c>
      <c r="F97" s="388"/>
      <c r="G97" s="388" t="s">
        <v>1519</v>
      </c>
    </row>
    <row r="98" spans="1:7" ht="37.5" x14ac:dyDescent="0.25">
      <c r="A98" s="174">
        <f t="shared" si="0"/>
        <v>17</v>
      </c>
      <c r="B98" s="388" t="str">
        <f>Suite&amp;" Electrical Room "&amp;ROP</f>
        <v>G104 Electrical Room 0</v>
      </c>
      <c r="C98" s="225" t="str">
        <f>Suite&amp;" ROP "&amp;ROP</f>
        <v>G104 ROP 0</v>
      </c>
      <c r="D98" s="175" t="str">
        <f>"Verify there are no alarms present other than the ‘27/81’ alarms on breaker " &amp; ElectricalRoom &amp; "G."</f>
        <v>Verify there are no alarms present other than the ‘27/81’ alarms on breaker 0G.</v>
      </c>
      <c r="E98" s="174" t="s">
        <v>1464</v>
      </c>
      <c r="F98" s="388"/>
      <c r="G98" s="388" t="s">
        <v>1519</v>
      </c>
    </row>
    <row r="99" spans="1:7" ht="37.5" x14ac:dyDescent="0.25">
      <c r="A99" s="174">
        <f t="shared" si="0"/>
        <v>18</v>
      </c>
      <c r="B99" s="388" t="str">
        <f>Suite&amp;" Electrical Room "&amp;ROP</f>
        <v>G104 Electrical Room 0</v>
      </c>
      <c r="C99" s="225" t="str">
        <f>Suite&amp;" ROP "&amp;ROP</f>
        <v>G104 ROP 0</v>
      </c>
      <c r="D99" s="175" t="s">
        <v>4662</v>
      </c>
      <c r="E99" s="174" t="s">
        <v>1464</v>
      </c>
      <c r="F99" s="388"/>
      <c r="G99" s="388" t="s">
        <v>1519</v>
      </c>
    </row>
    <row r="100" spans="1:7" ht="37.5" x14ac:dyDescent="0.25">
      <c r="A100" s="174">
        <f t="shared" si="0"/>
        <v>19</v>
      </c>
      <c r="B100" s="388" t="str">
        <f>Suite&amp;" Electrical Room "&amp;ROP</f>
        <v>G104 Electrical Room 0</v>
      </c>
      <c r="C100" s="225" t="str">
        <f>Suite&amp;" ROP "&amp;ROP</f>
        <v>G104 ROP 0</v>
      </c>
      <c r="D100" s="175" t="s">
        <v>4659</v>
      </c>
      <c r="E100" s="174" t="s">
        <v>1464</v>
      </c>
      <c r="F100" s="388"/>
      <c r="G100" s="388" t="s">
        <v>1519</v>
      </c>
    </row>
    <row r="101" spans="1:7" ht="37.5" x14ac:dyDescent="0.25">
      <c r="A101" s="174">
        <f t="shared" si="0"/>
        <v>20</v>
      </c>
      <c r="B101" s="388" t="str">
        <f>Suite&amp;" Electrical Room "&amp;ROP</f>
        <v>G104 Electrical Room 0</v>
      </c>
      <c r="C101" s="225" t="str">
        <f>Suite&amp;" ROP "&amp;ROP</f>
        <v>G104 ROP 0</v>
      </c>
      <c r="D101" s="175" t="s">
        <v>4638</v>
      </c>
      <c r="E101" s="174" t="s">
        <v>1464</v>
      </c>
      <c r="F101" s="388"/>
      <c r="G101" s="388" t="s">
        <v>1519</v>
      </c>
    </row>
    <row r="102" spans="1:7" ht="37.5" x14ac:dyDescent="0.25">
      <c r="A102" s="174">
        <f t="shared" si="0"/>
        <v>21</v>
      </c>
      <c r="B102" s="388" t="str">
        <f>Suite&amp;" Electrical Room "&amp;ROP</f>
        <v>G104 Electrical Room 0</v>
      </c>
      <c r="C102" s="225" t="str">
        <f>Suite&amp;" ROP "&amp;ROP</f>
        <v>G104 ROP 0</v>
      </c>
      <c r="D102" s="175" t="s">
        <v>4664</v>
      </c>
      <c r="E102" s="174" t="s">
        <v>1464</v>
      </c>
      <c r="F102" s="388"/>
      <c r="G102" s="388" t="s">
        <v>1519</v>
      </c>
    </row>
    <row r="103" spans="1:7" ht="56.25" x14ac:dyDescent="0.3">
      <c r="A103" s="174">
        <f t="shared" si="0"/>
        <v>22</v>
      </c>
      <c r="B103" s="388" t="s">
        <v>724</v>
      </c>
      <c r="C103" s="388" t="str">
        <f>zSelectedEquipment</f>
        <v>G104-Gen-B</v>
      </c>
      <c r="D103" s="175" t="s">
        <v>2019</v>
      </c>
      <c r="E103" s="174" t="s">
        <v>1464</v>
      </c>
      <c r="F103" s="198"/>
      <c r="G103" s="388" t="s">
        <v>1519</v>
      </c>
    </row>
    <row r="104" spans="1:7" ht="37.5" x14ac:dyDescent="0.3">
      <c r="A104" s="174">
        <f t="shared" si="0"/>
        <v>23</v>
      </c>
      <c r="B104" s="388" t="s">
        <v>724</v>
      </c>
      <c r="C104" s="388" t="str">
        <f>zSelectedEquipment</f>
        <v>G104-Gen-B</v>
      </c>
      <c r="D104" s="175" t="s">
        <v>2030</v>
      </c>
      <c r="E104" s="174" t="s">
        <v>1464</v>
      </c>
      <c r="F104" s="198"/>
      <c r="G104" s="388" t="s">
        <v>1519</v>
      </c>
    </row>
    <row r="105" spans="1:7" ht="37.5" x14ac:dyDescent="0.3">
      <c r="A105" s="174">
        <f t="shared" si="0"/>
        <v>24</v>
      </c>
      <c r="B105" s="388" t="str">
        <f>Suite&amp;" Electrical Room "&amp;ROP</f>
        <v>G104 Electrical Room 0</v>
      </c>
      <c r="C105" s="225" t="str">
        <f>Suite&amp;" ROP "&amp;ROP</f>
        <v>G104 ROP 0</v>
      </c>
      <c r="D105" s="175" t="s">
        <v>2157</v>
      </c>
      <c r="E105" s="174" t="s">
        <v>1464</v>
      </c>
      <c r="F105" s="198"/>
      <c r="G105" s="388" t="s">
        <v>1519</v>
      </c>
    </row>
    <row r="106" spans="1:7" ht="37.5" x14ac:dyDescent="0.3">
      <c r="A106" s="174">
        <f t="shared" si="0"/>
        <v>25</v>
      </c>
      <c r="B106" s="388" t="str">
        <f>Suite&amp;" Electrical Room "&amp;ROP</f>
        <v>G104 Electrical Room 0</v>
      </c>
      <c r="C106" s="225" t="str">
        <f>Suite&amp;" ROP "&amp;ROP</f>
        <v>G104 ROP 0</v>
      </c>
      <c r="D106" s="175" t="s">
        <v>2020</v>
      </c>
      <c r="E106" s="174" t="s">
        <v>1464</v>
      </c>
      <c r="F106" s="198"/>
      <c r="G106" s="388" t="s">
        <v>1519</v>
      </c>
    </row>
    <row r="107" spans="1:7" ht="37.5" x14ac:dyDescent="0.25">
      <c r="A107" s="174">
        <f t="shared" si="0"/>
        <v>26</v>
      </c>
      <c r="B107" s="388" t="str">
        <f>Suite&amp;" Electrical Room "&amp;ROP</f>
        <v>G104 Electrical Room 0</v>
      </c>
      <c r="C107" s="225" t="str">
        <f>Suite&amp;" ROP "&amp;ROP</f>
        <v>G104 ROP 0</v>
      </c>
      <c r="D107" s="175" t="s">
        <v>4658</v>
      </c>
      <c r="E107" s="174" t="s">
        <v>1464</v>
      </c>
      <c r="F107" s="388"/>
      <c r="G107" s="388" t="s">
        <v>1519</v>
      </c>
    </row>
    <row r="108" spans="1:7" ht="37.5" x14ac:dyDescent="0.25">
      <c r="A108" s="174">
        <f t="shared" si="0"/>
        <v>27</v>
      </c>
      <c r="B108" s="388" t="str">
        <f>Suite&amp;" Electrical Room "&amp;ROP</f>
        <v>G104 Electrical Room 0</v>
      </c>
      <c r="C108" s="225" t="str">
        <f>Suite&amp;" ROP "&amp;ROP</f>
        <v>G104 ROP 0</v>
      </c>
      <c r="D108" s="175" t="s">
        <v>4670</v>
      </c>
      <c r="E108" s="174" t="s">
        <v>1464</v>
      </c>
      <c r="F108" s="388"/>
      <c r="G108" s="388" t="s">
        <v>1519</v>
      </c>
    </row>
    <row r="109" spans="1:7" ht="37.5" x14ac:dyDescent="0.25">
      <c r="A109" s="174">
        <f>A108+1</f>
        <v>28</v>
      </c>
      <c r="B109" s="388" t="str">
        <f>Suite&amp;" Electrical Room "&amp;ROP</f>
        <v>G104 Electrical Room 0</v>
      </c>
      <c r="C109" s="225" t="str">
        <f>Suite&amp;" ROP "&amp;ROP</f>
        <v>G104 ROP 0</v>
      </c>
      <c r="D109" s="175" t="s">
        <v>4662</v>
      </c>
      <c r="E109" s="174" t="s">
        <v>1464</v>
      </c>
      <c r="F109" s="388"/>
      <c r="G109" s="388" t="s">
        <v>1519</v>
      </c>
    </row>
    <row r="110" spans="1:7" ht="37.5" x14ac:dyDescent="0.25">
      <c r="A110" s="174">
        <f t="shared" si="0"/>
        <v>29</v>
      </c>
      <c r="B110" s="388" t="str">
        <f>Suite&amp;" Electrical Room "&amp;ROP</f>
        <v>G104 Electrical Room 0</v>
      </c>
      <c r="C110" s="225" t="str">
        <f>Suite&amp;" ROP "&amp;ROP</f>
        <v>G104 ROP 0</v>
      </c>
      <c r="D110" s="175" t="s">
        <v>4663</v>
      </c>
      <c r="E110" s="174" t="s">
        <v>1464</v>
      </c>
      <c r="F110" s="388"/>
      <c r="G110" s="388" t="s">
        <v>1519</v>
      </c>
    </row>
    <row r="111" spans="1:7" ht="37.5" x14ac:dyDescent="0.25">
      <c r="A111" s="174">
        <f t="shared" si="0"/>
        <v>30</v>
      </c>
      <c r="B111" s="388" t="str">
        <f>Suite&amp;" Electrical Room "&amp;ROP</f>
        <v>G104 Electrical Room 0</v>
      </c>
      <c r="C111" s="225" t="str">
        <f>Suite&amp;" ROP "&amp;ROP</f>
        <v>G104 ROP 0</v>
      </c>
      <c r="D111" s="175" t="s">
        <v>4638</v>
      </c>
      <c r="E111" s="174" t="s">
        <v>1464</v>
      </c>
      <c r="F111" s="388"/>
      <c r="G111" s="388" t="s">
        <v>1519</v>
      </c>
    </row>
    <row r="112" spans="1:7" ht="37.5" x14ac:dyDescent="0.25">
      <c r="A112" s="174">
        <f t="shared" si="0"/>
        <v>31</v>
      </c>
      <c r="B112" s="388" t="str">
        <f>Suite&amp;" Electrical Room "&amp;ROP</f>
        <v>G104 Electrical Room 0</v>
      </c>
      <c r="C112" s="225" t="str">
        <f>Suite&amp;" ROP "&amp;ROP</f>
        <v>G104 ROP 0</v>
      </c>
      <c r="D112" s="175" t="s">
        <v>4665</v>
      </c>
      <c r="E112" s="174" t="s">
        <v>1464</v>
      </c>
      <c r="F112" s="388"/>
      <c r="G112" s="388" t="s">
        <v>1519</v>
      </c>
    </row>
    <row r="113" spans="1:7" ht="37.5" x14ac:dyDescent="0.3">
      <c r="A113" s="174">
        <f t="shared" si="0"/>
        <v>32</v>
      </c>
      <c r="B113" s="388" t="s">
        <v>724</v>
      </c>
      <c r="C113" s="388" t="str">
        <f>zSelectedEquipment</f>
        <v>G104-Gen-B</v>
      </c>
      <c r="D113" s="175" t="str">
        <f>"Verify GENERATOR " &amp;zSelectedEquipment&amp; " has completed the cool down cycle and is no longer operating before proceeding."</f>
        <v>Verify GENERATOR G104-Gen-B has completed the cool down cycle and is no longer operating before proceeding.</v>
      </c>
      <c r="E113" s="174" t="s">
        <v>1464</v>
      </c>
      <c r="F113" s="198"/>
      <c r="G113" s="388" t="s">
        <v>1519</v>
      </c>
    </row>
    <row r="114" spans="1:7" ht="37.5" x14ac:dyDescent="0.25">
      <c r="A114" s="174">
        <f t="shared" si="0"/>
        <v>33</v>
      </c>
      <c r="B114" s="388" t="s">
        <v>724</v>
      </c>
      <c r="C114" s="388" t="str">
        <f>zSelectedEquipment</f>
        <v>G104-Gen-B</v>
      </c>
      <c r="D114" s="175" t="s">
        <v>4656</v>
      </c>
      <c r="E114" s="174" t="s">
        <v>1464</v>
      </c>
      <c r="F114" s="388"/>
      <c r="G114" s="388" t="s">
        <v>1519</v>
      </c>
    </row>
    <row r="115" spans="1:7" x14ac:dyDescent="0.25">
      <c r="A115" s="174">
        <f>IF(zTaskNameIdentifier="zzGenRunNL", A114+1,A85+1)</f>
        <v>34</v>
      </c>
      <c r="B115" s="716" t="str">
        <f>"Call Building "&amp;Building&amp;" back in"</f>
        <v>Call Building G back in</v>
      </c>
      <c r="C115" s="716"/>
      <c r="D115" s="716"/>
      <c r="E115" s="716"/>
      <c r="F115" s="716"/>
      <c r="G115" s="716"/>
    </row>
    <row r="116" spans="1:7" ht="37.5" x14ac:dyDescent="0.25">
      <c r="A116" s="174">
        <f t="shared" si="0"/>
        <v>35</v>
      </c>
      <c r="B116" s="388" t="s">
        <v>1462</v>
      </c>
      <c r="C116" s="388" t="s">
        <v>84</v>
      </c>
      <c r="D116" s="194" t="s">
        <v>2022</v>
      </c>
      <c r="E116" s="174" t="s">
        <v>1464</v>
      </c>
      <c r="F116" s="388"/>
      <c r="G116" s="388" t="s">
        <v>1519</v>
      </c>
    </row>
    <row r="117" spans="1:7" ht="37.5" x14ac:dyDescent="0.25">
      <c r="A117" s="174">
        <f t="shared" si="0"/>
        <v>36</v>
      </c>
      <c r="B117" s="388" t="s">
        <v>1462</v>
      </c>
      <c r="C117" s="388" t="s">
        <v>84</v>
      </c>
      <c r="D117" s="194" t="s">
        <v>2023</v>
      </c>
      <c r="E117" s="174" t="s">
        <v>1464</v>
      </c>
      <c r="F117" s="388"/>
      <c r="G117" s="388" t="s">
        <v>1519</v>
      </c>
    </row>
    <row r="118" spans="1:7" ht="56.25" x14ac:dyDescent="0.25">
      <c r="A118" s="174">
        <f t="shared" si="0"/>
        <v>37</v>
      </c>
      <c r="B118" s="388" t="s">
        <v>1462</v>
      </c>
      <c r="C118" s="388" t="s">
        <v>84</v>
      </c>
      <c r="D118" s="175" t="s">
        <v>2024</v>
      </c>
      <c r="E118" s="174" t="s">
        <v>1464</v>
      </c>
      <c r="F118" s="388"/>
      <c r="G118" s="388" t="s">
        <v>1519</v>
      </c>
    </row>
    <row r="119" spans="1:7" ht="37.5" x14ac:dyDescent="0.25">
      <c r="A119" s="174">
        <f t="shared" si="0"/>
        <v>38</v>
      </c>
      <c r="B119" s="388" t="s">
        <v>1462</v>
      </c>
      <c r="C119" s="388" t="s">
        <v>84</v>
      </c>
      <c r="D119" s="175" t="s">
        <v>2025</v>
      </c>
      <c r="E119" s="174" t="s">
        <v>1464</v>
      </c>
      <c r="F119" s="388"/>
      <c r="G119" s="388" t="s">
        <v>1519</v>
      </c>
    </row>
  </sheetData>
  <sheetProtection formatCells="0" formatColumns="0" formatRows="0" insertRows="0" deleteRows="0" sort="0" autoFilter="0"/>
  <mergeCells count="8">
    <mergeCell ref="B86:G86"/>
    <mergeCell ref="B115:G115"/>
    <mergeCell ref="A2:B2"/>
    <mergeCell ref="A4:C4"/>
    <mergeCell ref="B6:G6"/>
    <mergeCell ref="B10:G10"/>
    <mergeCell ref="B50:G50"/>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ignoredErrors>
    <ignoredError sqref="A2:B2 A120:G133 B113 F113 F118:G118 B115:G115 F117:G117 A135:G332 A134:C134 E134:G134" unlockedFormula="1"/>
    <ignoredError sqref="C86:G86 A4:G5 B82:C82 B85 B87 B105:C105 A8:C8 A7:C7 B30:C30 B28:C28 A6:G6 B32:D32 B31:C31 F31:G31 C50:G50 B46:C46 F46:G46 F85 F105 B45:C45 B60:C60 F60:G60 B66:D66 B62:C63 B11 F11:G11 C10:G10 B9:D9 F103 B103 B13 F15:G15 F28 B33:C33 F37:G37 F44:G44 F53:G53 F63:G63 B67:C70 F81:G81 F83 B83:C83 F7 F8:G8 F9:G9 F13:G13 F14:G14 B29:C29 F29:G29 F30:G30 F32:G32 F33:G33 F38:G38 F39:G39 F40:G40 F41:G41 F42:G42 F43:G43 F45:G45 F51:G51 F52:G52 F62:G62 B64:C64 F64:G64 B65:C65 F65:G65 F66:G66 F67:G67 F68:G68 F69:G69 F70:G70 F71:G71 F72:G72 F74:G74 F76:G76 F77:G77 F78:G78 F79:G79 F80:G80 F82 F87" formula="1" unlockedFormula="1"/>
  </ignoredErrors>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F2B1-3CA6-4507-A4B0-FCA2737543F0}">
  <sheetPr codeName="Gen_Jacket_Hose_Repair">
    <pageSetUpPr fitToPage="1"/>
  </sheetPr>
  <dimension ref="A1:G59"/>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8" style="3" customWidth="1"/>
    <col min="9" max="9" width="7.85546875" style="3" customWidth="1"/>
    <col min="10" max="10" width="11.140625" style="3" customWidth="1"/>
    <col min="11" max="16384" width="8.85546875" style="3"/>
  </cols>
  <sheetData>
    <row r="1" spans="1:7" x14ac:dyDescent="0.25">
      <c r="A1" s="172" t="s">
        <v>1454</v>
      </c>
      <c r="B1" s="172"/>
      <c r="C1" s="173"/>
      <c r="D1" s="173"/>
      <c r="E1" s="173"/>
      <c r="F1" s="173"/>
      <c r="G1" s="173"/>
    </row>
    <row r="2" spans="1:7" ht="18.75" customHeight="1" x14ac:dyDescent="0.25">
      <c r="A2" s="705" t="s">
        <v>42</v>
      </c>
      <c r="B2" s="705"/>
      <c r="C2" s="708" t="str">
        <f>zTaskName</f>
        <v>Routine Generator run with no load transfer</v>
      </c>
      <c r="D2" s="709"/>
      <c r="E2" s="709"/>
      <c r="F2" s="709"/>
      <c r="G2" s="710"/>
    </row>
    <row r="3" spans="1:7" ht="9.9499999999999993" customHeight="1" x14ac:dyDescent="0.25">
      <c r="A3" s="459"/>
      <c r="B3" s="460"/>
      <c r="C3" s="461"/>
      <c r="D3" s="461"/>
      <c r="E3" s="461"/>
      <c r="F3" s="461"/>
      <c r="G3" s="462"/>
    </row>
    <row r="4" spans="1:7" ht="9.9499999999999993" customHeight="1" x14ac:dyDescent="0.25">
      <c r="A4" s="706"/>
      <c r="B4" s="707"/>
      <c r="C4" s="707"/>
      <c r="D4" s="382"/>
      <c r="E4" s="382"/>
      <c r="F4" s="382"/>
      <c r="G4" s="383"/>
    </row>
    <row r="5" spans="1:7" ht="37.5" x14ac:dyDescent="0.25">
      <c r="A5" s="379" t="s">
        <v>1455</v>
      </c>
      <c r="B5" s="379" t="s">
        <v>8</v>
      </c>
      <c r="C5" s="379" t="s">
        <v>1456</v>
      </c>
      <c r="D5" s="379" t="s">
        <v>1457</v>
      </c>
      <c r="E5" s="379" t="s">
        <v>1458</v>
      </c>
      <c r="F5" s="379" t="s">
        <v>1459</v>
      </c>
      <c r="G5" s="379" t="s">
        <v>1460</v>
      </c>
    </row>
    <row r="6" spans="1:7" s="78" customFormat="1" x14ac:dyDescent="0.25">
      <c r="A6" s="388">
        <v>1</v>
      </c>
      <c r="B6" s="716" t="s">
        <v>2122</v>
      </c>
      <c r="C6" s="716"/>
      <c r="D6" s="716"/>
      <c r="E6" s="716"/>
      <c r="F6" s="716"/>
      <c r="G6" s="716"/>
    </row>
    <row r="7" spans="1:7" s="78" customFormat="1" ht="37.5" x14ac:dyDescent="0.25">
      <c r="A7" s="388">
        <v>2</v>
      </c>
      <c r="B7" s="388" t="s">
        <v>1462</v>
      </c>
      <c r="C7" s="388" t="s">
        <v>84</v>
      </c>
      <c r="D7" s="175" t="str">
        <f>"Contact the engineer stationed on base to verify no abnormal conditions exist on " &amp; zSelectedEquipment &amp; "."</f>
        <v>Contact the engineer stationed on base to verify no abnormal conditions exist on G104-Gen-B.</v>
      </c>
      <c r="E7" s="388" t="s">
        <v>1464</v>
      </c>
      <c r="F7" s="388" t="s">
        <v>1519</v>
      </c>
      <c r="G7" s="388" t="s">
        <v>1519</v>
      </c>
    </row>
    <row r="8" spans="1:7" s="78" customFormat="1" ht="37.5" x14ac:dyDescent="0.25">
      <c r="A8" s="388">
        <v>3</v>
      </c>
      <c r="B8" s="388" t="s">
        <v>1462</v>
      </c>
      <c r="C8" s="388" t="s">
        <v>84</v>
      </c>
      <c r="D8" s="175" t="s">
        <v>2027</v>
      </c>
      <c r="E8" s="388" t="s">
        <v>1464</v>
      </c>
      <c r="F8" s="388" t="s">
        <v>1519</v>
      </c>
      <c r="G8" s="388" t="s">
        <v>1519</v>
      </c>
    </row>
    <row r="9" spans="1:7" s="78" customFormat="1" ht="37.5" x14ac:dyDescent="0.25">
      <c r="A9" s="388">
        <v>4</v>
      </c>
      <c r="B9" s="388" t="str">
        <f>IADNumber &amp; " Gen Yard"</f>
        <v>IAD35 Gen Yard</v>
      </c>
      <c r="C9" s="388" t="str">
        <f>zSelectedEquipment</f>
        <v>G104-Gen-B</v>
      </c>
      <c r="D9" s="175" t="s">
        <v>2123</v>
      </c>
      <c r="E9" s="388" t="s">
        <v>1464</v>
      </c>
      <c r="F9" s="388" t="s">
        <v>1519</v>
      </c>
      <c r="G9" s="388" t="s">
        <v>1519</v>
      </c>
    </row>
    <row r="10" spans="1:7" s="78" customFormat="1" x14ac:dyDescent="0.25">
      <c r="A10" s="388">
        <v>5</v>
      </c>
      <c r="B10" s="716" t="s">
        <v>2124</v>
      </c>
      <c r="C10" s="716"/>
      <c r="D10" s="716"/>
      <c r="E10" s="716"/>
      <c r="F10" s="716"/>
      <c r="G10" s="716"/>
    </row>
    <row r="11" spans="1:7" s="78" customFormat="1" ht="37.5" x14ac:dyDescent="0.25">
      <c r="A11" s="388">
        <v>6</v>
      </c>
      <c r="B11" s="388" t="str">
        <f>IADNumber &amp; " Gen Yard"</f>
        <v>IAD35 Gen Yard</v>
      </c>
      <c r="C11" s="180" t="str">
        <f>zSelectedEquipment</f>
        <v>G104-Gen-B</v>
      </c>
      <c r="D11" s="175" t="s">
        <v>2125</v>
      </c>
      <c r="E11" s="388" t="s">
        <v>1464</v>
      </c>
      <c r="F11" s="388" t="s">
        <v>1519</v>
      </c>
      <c r="G11" s="388" t="s">
        <v>1519</v>
      </c>
    </row>
    <row r="12" spans="1:7" s="78" customFormat="1" ht="37.5" x14ac:dyDescent="0.25">
      <c r="A12" s="388">
        <v>7</v>
      </c>
      <c r="B12" s="388" t="s">
        <v>2126</v>
      </c>
      <c r="C12" s="180" t="str">
        <f>zSelectedEquipment</f>
        <v>G104-Gen-B</v>
      </c>
      <c r="D12" s="175" t="s">
        <v>2127</v>
      </c>
      <c r="E12" s="388" t="s">
        <v>1464</v>
      </c>
      <c r="F12" s="388"/>
      <c r="G12" s="388" t="s">
        <v>1519</v>
      </c>
    </row>
    <row r="13" spans="1:7" s="78" customFormat="1" ht="37.5" x14ac:dyDescent="0.25">
      <c r="A13" s="388">
        <v>8</v>
      </c>
      <c r="B13" s="388" t="s">
        <v>2126</v>
      </c>
      <c r="C13" s="180" t="str">
        <f>zSelectedEquipment</f>
        <v>G104-Gen-B</v>
      </c>
      <c r="D13" s="175" t="s">
        <v>2128</v>
      </c>
      <c r="E13" s="388" t="s">
        <v>1464</v>
      </c>
      <c r="F13" s="388"/>
      <c r="G13" s="388" t="s">
        <v>1519</v>
      </c>
    </row>
    <row r="14" spans="1:7" s="78" customFormat="1" ht="37.5" x14ac:dyDescent="0.25">
      <c r="A14" s="388">
        <v>9</v>
      </c>
      <c r="B14" s="388" t="s">
        <v>2126</v>
      </c>
      <c r="C14" s="180" t="str">
        <f>zSelectedEquipment</f>
        <v>G104-Gen-B</v>
      </c>
      <c r="D14" s="175" t="s">
        <v>1518</v>
      </c>
      <c r="E14" s="388" t="s">
        <v>1464</v>
      </c>
      <c r="F14" s="388"/>
      <c r="G14" s="388" t="s">
        <v>1519</v>
      </c>
    </row>
    <row r="15" spans="1:7" s="78" customFormat="1" ht="37.5" x14ac:dyDescent="0.25">
      <c r="A15" s="388">
        <v>10</v>
      </c>
      <c r="B15" s="388" t="str">
        <f t="shared" ref="B15:B30" si="0">IADNumber &amp; " Gen Yard"</f>
        <v>IAD35 Gen Yard</v>
      </c>
      <c r="C15" s="180" t="str">
        <f>zSelectedEquipment</f>
        <v>G104-Gen-B</v>
      </c>
      <c r="D15" s="175" t="s">
        <v>2129</v>
      </c>
      <c r="E15" s="388" t="s">
        <v>1464</v>
      </c>
      <c r="F15" s="388" t="s">
        <v>1519</v>
      </c>
      <c r="G15" s="388" t="s">
        <v>1519</v>
      </c>
    </row>
    <row r="16" spans="1:7" s="78" customFormat="1" ht="37.5" x14ac:dyDescent="0.25">
      <c r="A16" s="388">
        <v>11</v>
      </c>
      <c r="B16" s="388" t="str">
        <f t="shared" si="0"/>
        <v>IAD35 Gen Yard</v>
      </c>
      <c r="C16" s="180" t="str">
        <f>zSelectedEquipment</f>
        <v>G104-Gen-B</v>
      </c>
      <c r="D16" s="261" t="s">
        <v>2130</v>
      </c>
      <c r="E16" s="388" t="s">
        <v>1464</v>
      </c>
      <c r="F16" s="388" t="s">
        <v>1519</v>
      </c>
      <c r="G16" s="388" t="s">
        <v>1519</v>
      </c>
    </row>
    <row r="17" spans="1:7" s="78" customFormat="1" ht="37.5" x14ac:dyDescent="0.25">
      <c r="A17" s="388">
        <v>12</v>
      </c>
      <c r="B17" s="388" t="str">
        <f t="shared" si="0"/>
        <v>IAD35 Gen Yard</v>
      </c>
      <c r="C17" s="180" t="str">
        <f>zSelectedEquipment</f>
        <v>G104-Gen-B</v>
      </c>
      <c r="D17" s="256" t="s">
        <v>2131</v>
      </c>
      <c r="E17" s="388" t="s">
        <v>1464</v>
      </c>
      <c r="F17" s="388" t="s">
        <v>1519</v>
      </c>
      <c r="G17" s="388" t="s">
        <v>1519</v>
      </c>
    </row>
    <row r="18" spans="1:7" s="78" customFormat="1" ht="37.5" x14ac:dyDescent="0.25">
      <c r="A18" s="388">
        <v>13</v>
      </c>
      <c r="B18" s="388" t="str">
        <f t="shared" si="0"/>
        <v>IAD35 Gen Yard</v>
      </c>
      <c r="C18" s="180" t="str">
        <f>zSelectedEquipment</f>
        <v>G104-Gen-B</v>
      </c>
      <c r="D18" s="256" t="s">
        <v>2132</v>
      </c>
      <c r="E18" s="388" t="s">
        <v>1464</v>
      </c>
      <c r="F18" s="388" t="s">
        <v>1519</v>
      </c>
      <c r="G18" s="388" t="s">
        <v>1519</v>
      </c>
    </row>
    <row r="19" spans="1:7" s="78" customFormat="1" ht="37.5" x14ac:dyDescent="0.25">
      <c r="A19" s="388">
        <v>14</v>
      </c>
      <c r="B19" s="388" t="str">
        <f t="shared" si="0"/>
        <v>IAD35 Gen Yard</v>
      </c>
      <c r="C19" s="180" t="str">
        <f>zSelectedEquipment</f>
        <v>G104-Gen-B</v>
      </c>
      <c r="D19" s="256" t="s">
        <v>2133</v>
      </c>
      <c r="E19" s="388" t="s">
        <v>1464</v>
      </c>
      <c r="F19" s="388" t="s">
        <v>1519</v>
      </c>
      <c r="G19" s="388" t="s">
        <v>1519</v>
      </c>
    </row>
    <row r="20" spans="1:7" s="78" customFormat="1" ht="37.5" x14ac:dyDescent="0.25">
      <c r="A20" s="388">
        <v>15</v>
      </c>
      <c r="B20" s="388" t="str">
        <f t="shared" si="0"/>
        <v>IAD35 Gen Yard</v>
      </c>
      <c r="C20" s="180" t="str">
        <f>zSelectedEquipment</f>
        <v>G104-Gen-B</v>
      </c>
      <c r="D20" s="256" t="s">
        <v>2134</v>
      </c>
      <c r="E20" s="388" t="s">
        <v>1464</v>
      </c>
      <c r="F20" s="388" t="s">
        <v>1519</v>
      </c>
      <c r="G20" s="388" t="s">
        <v>1519</v>
      </c>
    </row>
    <row r="21" spans="1:7" s="78" customFormat="1" ht="37.5" x14ac:dyDescent="0.25">
      <c r="A21" s="388">
        <v>16</v>
      </c>
      <c r="B21" s="388" t="str">
        <f t="shared" si="0"/>
        <v>IAD35 Gen Yard</v>
      </c>
      <c r="C21" s="180" t="str">
        <f>zSelectedEquipment</f>
        <v>G104-Gen-B</v>
      </c>
      <c r="D21" s="256" t="s">
        <v>2135</v>
      </c>
      <c r="E21" s="388" t="s">
        <v>1464</v>
      </c>
      <c r="F21" s="388" t="s">
        <v>1519</v>
      </c>
      <c r="G21" s="388" t="s">
        <v>1519</v>
      </c>
    </row>
    <row r="22" spans="1:7" s="78" customFormat="1" ht="37.5" x14ac:dyDescent="0.25">
      <c r="A22" s="388">
        <v>17</v>
      </c>
      <c r="B22" s="388" t="str">
        <f t="shared" si="0"/>
        <v>IAD35 Gen Yard</v>
      </c>
      <c r="C22" s="180" t="str">
        <f>zSelectedEquipment</f>
        <v>G104-Gen-B</v>
      </c>
      <c r="D22" s="256" t="s">
        <v>2136</v>
      </c>
      <c r="E22" s="388" t="s">
        <v>1464</v>
      </c>
      <c r="F22" s="388" t="s">
        <v>1519</v>
      </c>
      <c r="G22" s="388" t="s">
        <v>1519</v>
      </c>
    </row>
    <row r="23" spans="1:7" s="78" customFormat="1" ht="37.5" x14ac:dyDescent="0.25">
      <c r="A23" s="388">
        <v>18</v>
      </c>
      <c r="B23" s="388" t="str">
        <f t="shared" si="0"/>
        <v>IAD35 Gen Yard</v>
      </c>
      <c r="C23" s="180" t="str">
        <f>zSelectedEquipment</f>
        <v>G104-Gen-B</v>
      </c>
      <c r="D23" s="256" t="s">
        <v>2137</v>
      </c>
      <c r="E23" s="388" t="s">
        <v>1464</v>
      </c>
      <c r="F23" s="388" t="s">
        <v>1519</v>
      </c>
      <c r="G23" s="388" t="s">
        <v>1519</v>
      </c>
    </row>
    <row r="24" spans="1:7" s="78" customFormat="1" ht="37.5" x14ac:dyDescent="0.25">
      <c r="A24" s="388">
        <v>19</v>
      </c>
      <c r="B24" s="388" t="str">
        <f t="shared" si="0"/>
        <v>IAD35 Gen Yard</v>
      </c>
      <c r="C24" s="180" t="str">
        <f>zSelectedEquipment</f>
        <v>G104-Gen-B</v>
      </c>
      <c r="D24" s="256" t="s">
        <v>2138</v>
      </c>
      <c r="E24" s="388" t="s">
        <v>1464</v>
      </c>
      <c r="F24" s="388" t="s">
        <v>1519</v>
      </c>
      <c r="G24" s="388" t="s">
        <v>1519</v>
      </c>
    </row>
    <row r="25" spans="1:7" s="78" customFormat="1" ht="37.5" x14ac:dyDescent="0.25">
      <c r="A25" s="388">
        <v>20</v>
      </c>
      <c r="B25" s="388" t="str">
        <f t="shared" si="0"/>
        <v>IAD35 Gen Yard</v>
      </c>
      <c r="C25" s="180" t="str">
        <f>zSelectedEquipment</f>
        <v>G104-Gen-B</v>
      </c>
      <c r="D25" s="256" t="s">
        <v>2139</v>
      </c>
      <c r="E25" s="388" t="s">
        <v>1464</v>
      </c>
      <c r="F25" s="388" t="s">
        <v>1519</v>
      </c>
      <c r="G25" s="388" t="s">
        <v>1519</v>
      </c>
    </row>
    <row r="26" spans="1:7" s="78" customFormat="1" ht="37.5" x14ac:dyDescent="0.25">
      <c r="A26" s="388">
        <v>21</v>
      </c>
      <c r="B26" s="388" t="str">
        <f t="shared" si="0"/>
        <v>IAD35 Gen Yard</v>
      </c>
      <c r="C26" s="180" t="str">
        <f>zSelectedEquipment</f>
        <v>G104-Gen-B</v>
      </c>
      <c r="D26" s="256" t="s">
        <v>2140</v>
      </c>
      <c r="E26" s="388" t="s">
        <v>1464</v>
      </c>
      <c r="F26" s="388" t="s">
        <v>1519</v>
      </c>
      <c r="G26" s="388" t="s">
        <v>1519</v>
      </c>
    </row>
    <row r="27" spans="1:7" s="78" customFormat="1" ht="37.5" x14ac:dyDescent="0.25">
      <c r="A27" s="388">
        <v>22</v>
      </c>
      <c r="B27" s="388" t="str">
        <f t="shared" si="0"/>
        <v>IAD35 Gen Yard</v>
      </c>
      <c r="C27" s="180" t="str">
        <f>zSelectedEquipment</f>
        <v>G104-Gen-B</v>
      </c>
      <c r="D27" s="256" t="s">
        <v>2141</v>
      </c>
      <c r="E27" s="388" t="s">
        <v>1464</v>
      </c>
      <c r="F27" s="388" t="s">
        <v>1519</v>
      </c>
      <c r="G27" s="388" t="s">
        <v>1519</v>
      </c>
    </row>
    <row r="28" spans="1:7" s="78" customFormat="1" ht="37.5" x14ac:dyDescent="0.25">
      <c r="A28" s="388">
        <v>23</v>
      </c>
      <c r="B28" s="388" t="str">
        <f t="shared" si="0"/>
        <v>IAD35 Gen Yard</v>
      </c>
      <c r="C28" s="180" t="str">
        <f>zSelectedEquipment</f>
        <v>G104-Gen-B</v>
      </c>
      <c r="D28" s="256" t="s">
        <v>2142</v>
      </c>
      <c r="E28" s="388" t="s">
        <v>1464</v>
      </c>
      <c r="F28" s="388" t="s">
        <v>1519</v>
      </c>
      <c r="G28" s="388" t="s">
        <v>1519</v>
      </c>
    </row>
    <row r="29" spans="1:7" s="78" customFormat="1" ht="37.5" x14ac:dyDescent="0.25">
      <c r="A29" s="388">
        <v>24</v>
      </c>
      <c r="B29" s="388" t="str">
        <f t="shared" si="0"/>
        <v>IAD35 Gen Yard</v>
      </c>
      <c r="C29" s="180" t="str">
        <f>zSelectedEquipment</f>
        <v>G104-Gen-B</v>
      </c>
      <c r="D29" s="256" t="s">
        <v>2143</v>
      </c>
      <c r="E29" s="388" t="s">
        <v>1464</v>
      </c>
      <c r="F29" s="388" t="s">
        <v>1519</v>
      </c>
      <c r="G29" s="388" t="s">
        <v>1519</v>
      </c>
    </row>
    <row r="30" spans="1:7" s="78" customFormat="1" ht="37.5" x14ac:dyDescent="0.25">
      <c r="A30" s="388">
        <v>25</v>
      </c>
      <c r="B30" s="388" t="str">
        <f t="shared" si="0"/>
        <v>IAD35 Gen Yard</v>
      </c>
      <c r="C30" s="180" t="str">
        <f>zSelectedEquipment</f>
        <v>G104-Gen-B</v>
      </c>
      <c r="D30" s="256" t="s">
        <v>2144</v>
      </c>
      <c r="E30" s="388" t="s">
        <v>1464</v>
      </c>
      <c r="F30" s="388" t="s">
        <v>1519</v>
      </c>
      <c r="G30" s="388" t="s">
        <v>1519</v>
      </c>
    </row>
    <row r="31" spans="1:7" s="78" customFormat="1" ht="37.5" x14ac:dyDescent="0.25">
      <c r="A31" s="388">
        <v>26</v>
      </c>
      <c r="B31" s="388" t="s">
        <v>2126</v>
      </c>
      <c r="C31" s="180" t="str">
        <f>zSelectedEquipment</f>
        <v>G104-Gen-B</v>
      </c>
      <c r="D31" s="175" t="s">
        <v>2145</v>
      </c>
      <c r="E31" s="388" t="s">
        <v>1464</v>
      </c>
      <c r="F31" s="388"/>
      <c r="G31" s="388" t="s">
        <v>1519</v>
      </c>
    </row>
    <row r="32" spans="1:7" s="78" customFormat="1" ht="37.5" x14ac:dyDescent="0.25">
      <c r="A32" s="388">
        <v>27</v>
      </c>
      <c r="B32" s="388" t="s">
        <v>2126</v>
      </c>
      <c r="C32" s="180" t="str">
        <f>zSelectedEquipment</f>
        <v>G104-Gen-B</v>
      </c>
      <c r="D32" s="175" t="s">
        <v>2146</v>
      </c>
      <c r="E32" s="388" t="s">
        <v>1464</v>
      </c>
      <c r="F32" s="388"/>
      <c r="G32" s="388" t="s">
        <v>1519</v>
      </c>
    </row>
    <row r="33" spans="1:7" s="78" customFormat="1" ht="37.5" x14ac:dyDescent="0.25">
      <c r="A33" s="388">
        <v>28</v>
      </c>
      <c r="B33" s="388" t="s">
        <v>2126</v>
      </c>
      <c r="C33" s="180" t="str">
        <f>zSelectedEquipment</f>
        <v>G104-Gen-B</v>
      </c>
      <c r="D33" s="175" t="s">
        <v>1518</v>
      </c>
      <c r="E33" s="388" t="s">
        <v>1464</v>
      </c>
      <c r="F33" s="388"/>
      <c r="G33" s="388" t="s">
        <v>1519</v>
      </c>
    </row>
    <row r="34" spans="1:7" s="78" customFormat="1" ht="37.5" x14ac:dyDescent="0.25">
      <c r="A34" s="388">
        <v>29</v>
      </c>
      <c r="B34" s="388" t="s">
        <v>2126</v>
      </c>
      <c r="C34" s="180" t="str">
        <f>zSelectedEquipment</f>
        <v>G104-Gen-B</v>
      </c>
      <c r="D34" s="175" t="s">
        <v>2147</v>
      </c>
      <c r="E34" s="388" t="s">
        <v>1464</v>
      </c>
      <c r="F34" s="388"/>
      <c r="G34" s="388" t="s">
        <v>1519</v>
      </c>
    </row>
    <row r="35" spans="1:7" s="78" customFormat="1" ht="37.5" x14ac:dyDescent="0.25">
      <c r="A35" s="388">
        <v>30</v>
      </c>
      <c r="B35" s="388" t="str">
        <f>IADNumber &amp; " Gen Yard"</f>
        <v>IAD35 Gen Yard</v>
      </c>
      <c r="C35" s="180" t="str">
        <f>zSelectedEquipment</f>
        <v>G104-Gen-B</v>
      </c>
      <c r="D35" s="256" t="s">
        <v>2148</v>
      </c>
      <c r="E35" s="388" t="s">
        <v>1464</v>
      </c>
      <c r="F35" s="388" t="s">
        <v>1519</v>
      </c>
      <c r="G35" s="388" t="s">
        <v>1519</v>
      </c>
    </row>
    <row r="36" spans="1:7" s="78" customFormat="1" x14ac:dyDescent="0.25">
      <c r="A36" s="388">
        <v>31</v>
      </c>
      <c r="B36" s="716" t="s">
        <v>2149</v>
      </c>
      <c r="C36" s="716"/>
      <c r="D36" s="720"/>
      <c r="E36" s="716"/>
      <c r="F36" s="716"/>
      <c r="G36" s="716"/>
    </row>
    <row r="37" spans="1:7" s="78" customFormat="1" ht="37.5" x14ac:dyDescent="0.25">
      <c r="A37" s="388">
        <v>32</v>
      </c>
      <c r="B37" s="388" t="str">
        <f t="shared" ref="B37:B54" si="1">IADNumber &amp; " Gen Yard"</f>
        <v>IAD35 Gen Yard</v>
      </c>
      <c r="C37" s="388" t="str">
        <f>zSelectedEquipment</f>
        <v>G104-Gen-B</v>
      </c>
      <c r="D37" s="175" t="s">
        <v>2150</v>
      </c>
      <c r="E37" s="263" t="s">
        <v>1464</v>
      </c>
      <c r="F37" s="388" t="s">
        <v>1519</v>
      </c>
      <c r="G37" s="388" t="s">
        <v>1519</v>
      </c>
    </row>
    <row r="38" spans="1:7" s="78" customFormat="1" ht="37.5" x14ac:dyDescent="0.25">
      <c r="A38" s="388">
        <v>33</v>
      </c>
      <c r="B38" s="388" t="str">
        <f t="shared" si="1"/>
        <v>IAD35 Gen Yard</v>
      </c>
      <c r="C38" s="388" t="str">
        <f>zSelectedEquipment</f>
        <v>G104-Gen-B</v>
      </c>
      <c r="D38" s="175" t="s">
        <v>2151</v>
      </c>
      <c r="E38" s="263" t="s">
        <v>1464</v>
      </c>
      <c r="F38" s="388" t="s">
        <v>1519</v>
      </c>
      <c r="G38" s="388" t="s">
        <v>1519</v>
      </c>
    </row>
    <row r="39" spans="1:7" s="78" customFormat="1" ht="37.5" x14ac:dyDescent="0.25">
      <c r="A39" s="388">
        <v>34</v>
      </c>
      <c r="B39" s="388" t="str">
        <f t="shared" si="1"/>
        <v>IAD35 Gen Yard</v>
      </c>
      <c r="C39" s="388" t="str">
        <f>zSelectedEquipment</f>
        <v>G104-Gen-B</v>
      </c>
      <c r="D39" s="175" t="s">
        <v>2152</v>
      </c>
      <c r="E39" s="263" t="s">
        <v>1464</v>
      </c>
      <c r="F39" s="388" t="s">
        <v>1519</v>
      </c>
      <c r="G39" s="388" t="s">
        <v>1519</v>
      </c>
    </row>
    <row r="40" spans="1:7" s="78" customFormat="1" ht="37.5" x14ac:dyDescent="0.25">
      <c r="A40" s="388">
        <v>35</v>
      </c>
      <c r="B40" s="388" t="str">
        <f t="shared" si="1"/>
        <v>IAD35 Gen Yard</v>
      </c>
      <c r="C40" s="388" t="str">
        <f>zSelectedEquipment</f>
        <v>G104-Gen-B</v>
      </c>
      <c r="D40" s="175" t="s">
        <v>2153</v>
      </c>
      <c r="E40" s="263" t="s">
        <v>1464</v>
      </c>
      <c r="F40" s="175"/>
      <c r="G40" s="388" t="s">
        <v>1519</v>
      </c>
    </row>
    <row r="41" spans="1:7" s="78" customFormat="1" ht="37.5" x14ac:dyDescent="0.25">
      <c r="A41" s="388">
        <v>36</v>
      </c>
      <c r="B41" s="388" t="str">
        <f t="shared" si="1"/>
        <v>IAD35 Gen Yard</v>
      </c>
      <c r="C41" s="388" t="str">
        <f>zSelectedEquipment</f>
        <v>G104-Gen-B</v>
      </c>
      <c r="D41" s="175" t="s">
        <v>2154</v>
      </c>
      <c r="E41" s="263" t="s">
        <v>1464</v>
      </c>
      <c r="F41" s="388" t="s">
        <v>1519</v>
      </c>
      <c r="G41" s="388" t="s">
        <v>1519</v>
      </c>
    </row>
    <row r="42" spans="1:7" s="78" customFormat="1" ht="37.5" x14ac:dyDescent="0.25">
      <c r="A42" s="388">
        <v>37</v>
      </c>
      <c r="B42" s="388" t="str">
        <f t="shared" si="1"/>
        <v>IAD35 Gen Yard</v>
      </c>
      <c r="C42" s="388" t="str">
        <f>zSelectedEquipment</f>
        <v>G104-Gen-B</v>
      </c>
      <c r="D42" s="175" t="s">
        <v>2155</v>
      </c>
      <c r="E42" s="263" t="s">
        <v>1464</v>
      </c>
      <c r="F42" s="175"/>
      <c r="G42" s="388" t="s">
        <v>1519</v>
      </c>
    </row>
    <row r="43" spans="1:7" s="78" customFormat="1" ht="37.5" x14ac:dyDescent="0.25">
      <c r="A43" s="388">
        <v>38</v>
      </c>
      <c r="B43" s="388" t="str">
        <f t="shared" si="1"/>
        <v>IAD35 Gen Yard</v>
      </c>
      <c r="C43" s="388" t="str">
        <f>zSelectedEquipment</f>
        <v>G104-Gen-B</v>
      </c>
      <c r="D43" s="175" t="s">
        <v>2156</v>
      </c>
      <c r="E43" s="263" t="s">
        <v>1464</v>
      </c>
      <c r="F43" s="175"/>
      <c r="G43" s="388" t="s">
        <v>1519</v>
      </c>
    </row>
    <row r="44" spans="1:7" s="78" customFormat="1" ht="37.5" x14ac:dyDescent="0.25">
      <c r="A44" s="388">
        <v>39</v>
      </c>
      <c r="B44" s="388" t="str">
        <f t="shared" si="1"/>
        <v>IAD35 Gen Yard</v>
      </c>
      <c r="C44" s="388" t="str">
        <f>zSelectedEquipment</f>
        <v>G104-Gen-B</v>
      </c>
      <c r="D44" s="175" t="s">
        <v>2157</v>
      </c>
      <c r="E44" s="263" t="s">
        <v>1464</v>
      </c>
      <c r="F44" s="175"/>
      <c r="G44" s="388" t="s">
        <v>1519</v>
      </c>
    </row>
    <row r="45" spans="1:7" s="78" customFormat="1" ht="37.5" x14ac:dyDescent="0.25">
      <c r="A45" s="388">
        <v>40</v>
      </c>
      <c r="B45" s="388" t="str">
        <f t="shared" si="1"/>
        <v>IAD35 Gen Yard</v>
      </c>
      <c r="C45" s="388" t="str">
        <f>zSelectedEquipment</f>
        <v>G104-Gen-B</v>
      </c>
      <c r="D45" s="182" t="s">
        <v>2158</v>
      </c>
      <c r="E45" s="263" t="s">
        <v>1464</v>
      </c>
      <c r="F45" s="175"/>
      <c r="G45" s="388" t="s">
        <v>1519</v>
      </c>
    </row>
    <row r="46" spans="1:7" s="78" customFormat="1" ht="37.5" x14ac:dyDescent="0.25">
      <c r="A46" s="388">
        <v>41</v>
      </c>
      <c r="B46" s="388" t="str">
        <f t="shared" si="1"/>
        <v>IAD35 Gen Yard</v>
      </c>
      <c r="C46" s="388" t="str">
        <f>zSelectedEquipment</f>
        <v>G104-Gen-B</v>
      </c>
      <c r="D46" s="175" t="s">
        <v>2159</v>
      </c>
      <c r="E46" s="263" t="s">
        <v>1464</v>
      </c>
      <c r="F46" s="388"/>
      <c r="G46" s="388" t="s">
        <v>1519</v>
      </c>
    </row>
    <row r="47" spans="1:7" s="78" customFormat="1" ht="37.5" x14ac:dyDescent="0.25">
      <c r="A47" s="388">
        <v>42</v>
      </c>
      <c r="B47" s="388" t="str">
        <f t="shared" si="1"/>
        <v>IAD35 Gen Yard</v>
      </c>
      <c r="C47" s="388" t="str">
        <f>zSelectedEquipment</f>
        <v>G104-Gen-B</v>
      </c>
      <c r="D47" s="175" t="s">
        <v>2160</v>
      </c>
      <c r="E47" s="263" t="s">
        <v>1464</v>
      </c>
      <c r="F47" s="388"/>
      <c r="G47" s="388" t="s">
        <v>1519</v>
      </c>
    </row>
    <row r="48" spans="1:7" s="78" customFormat="1" ht="37.5" x14ac:dyDescent="0.25">
      <c r="A48" s="388">
        <v>43</v>
      </c>
      <c r="B48" s="388" t="str">
        <f t="shared" si="1"/>
        <v>IAD35 Gen Yard</v>
      </c>
      <c r="C48" s="388" t="str">
        <f>zSelectedEquipment</f>
        <v>G104-Gen-B</v>
      </c>
      <c r="D48" s="175" t="s">
        <v>2151</v>
      </c>
      <c r="E48" s="263" t="s">
        <v>1464</v>
      </c>
      <c r="F48" s="388" t="s">
        <v>1519</v>
      </c>
      <c r="G48" s="388" t="s">
        <v>1519</v>
      </c>
    </row>
    <row r="49" spans="1:7" s="78" customFormat="1" ht="37.5" x14ac:dyDescent="0.25">
      <c r="A49" s="388">
        <v>44</v>
      </c>
      <c r="B49" s="388" t="str">
        <f t="shared" si="1"/>
        <v>IAD35 Gen Yard</v>
      </c>
      <c r="C49" s="388" t="str">
        <f>zSelectedEquipment</f>
        <v>G104-Gen-B</v>
      </c>
      <c r="D49" s="175" t="s">
        <v>2152</v>
      </c>
      <c r="E49" s="263" t="s">
        <v>1464</v>
      </c>
      <c r="F49" s="388" t="s">
        <v>1519</v>
      </c>
      <c r="G49" s="388" t="s">
        <v>1519</v>
      </c>
    </row>
    <row r="50" spans="1:7" s="78" customFormat="1" ht="37.5" x14ac:dyDescent="0.25">
      <c r="A50" s="388">
        <v>45</v>
      </c>
      <c r="B50" s="388" t="str">
        <f t="shared" si="1"/>
        <v>IAD35 Gen Yard</v>
      </c>
      <c r="C50" s="388" t="str">
        <f>zSelectedEquipment</f>
        <v>G104-Gen-B</v>
      </c>
      <c r="D50" s="175" t="s">
        <v>2161</v>
      </c>
      <c r="E50" s="263" t="s">
        <v>1464</v>
      </c>
      <c r="F50" s="388" t="s">
        <v>1519</v>
      </c>
      <c r="G50" s="388" t="s">
        <v>1519</v>
      </c>
    </row>
    <row r="51" spans="1:7" s="78" customFormat="1" ht="37.5" x14ac:dyDescent="0.25">
      <c r="A51" s="388">
        <v>46</v>
      </c>
      <c r="B51" s="388" t="str">
        <f t="shared" si="1"/>
        <v>IAD35 Gen Yard</v>
      </c>
      <c r="C51" s="388" t="str">
        <f>zSelectedEquipment</f>
        <v>G104-Gen-B</v>
      </c>
      <c r="D51" s="175" t="s">
        <v>2162</v>
      </c>
      <c r="E51" s="263" t="s">
        <v>1464</v>
      </c>
      <c r="F51" s="388"/>
      <c r="G51" s="388" t="s">
        <v>1519</v>
      </c>
    </row>
    <row r="52" spans="1:7" s="78" customFormat="1" ht="56.25" x14ac:dyDescent="0.25">
      <c r="A52" s="388">
        <v>47</v>
      </c>
      <c r="B52" s="388" t="str">
        <f t="shared" si="1"/>
        <v>IAD35 Gen Yard</v>
      </c>
      <c r="C52" s="388" t="str">
        <f>zSelectedEquipment</f>
        <v>G104-Gen-B</v>
      </c>
      <c r="D52" s="175" t="s">
        <v>2163</v>
      </c>
      <c r="E52" s="263" t="s">
        <v>1464</v>
      </c>
      <c r="F52" s="388"/>
      <c r="G52" s="388" t="s">
        <v>1519</v>
      </c>
    </row>
    <row r="53" spans="1:7" s="78" customFormat="1" ht="56.25" x14ac:dyDescent="0.25">
      <c r="A53" s="388">
        <v>48</v>
      </c>
      <c r="B53" s="388" t="str">
        <f t="shared" si="1"/>
        <v>IAD35 Gen Yard</v>
      </c>
      <c r="C53" s="388" t="str">
        <f>zSelectedEquipment</f>
        <v>G104-Gen-B</v>
      </c>
      <c r="D53" s="175" t="s">
        <v>2164</v>
      </c>
      <c r="E53" s="263" t="s">
        <v>1464</v>
      </c>
      <c r="F53" s="388"/>
      <c r="G53" s="388" t="s">
        <v>1519</v>
      </c>
    </row>
    <row r="54" spans="1:7" s="78" customFormat="1" ht="37.5" x14ac:dyDescent="0.25">
      <c r="A54" s="388">
        <v>49</v>
      </c>
      <c r="B54" s="388" t="str">
        <f t="shared" si="1"/>
        <v>IAD35 Gen Yard</v>
      </c>
      <c r="C54" s="388" t="str">
        <f>zSelectedEquipment</f>
        <v>G104-Gen-B</v>
      </c>
      <c r="D54" s="175" t="s">
        <v>2165</v>
      </c>
      <c r="E54" s="263" t="s">
        <v>1464</v>
      </c>
      <c r="F54" s="388"/>
      <c r="G54" s="388" t="s">
        <v>1519</v>
      </c>
    </row>
    <row r="55" spans="1:7" s="78" customFormat="1" ht="37.5" x14ac:dyDescent="0.25">
      <c r="A55" s="388">
        <v>50</v>
      </c>
      <c r="B55" s="183" t="s">
        <v>1462</v>
      </c>
      <c r="C55" s="183" t="s">
        <v>84</v>
      </c>
      <c r="D55" s="175" t="str">
        <f>"Contact the engineer stationed on base to verify no abnormal conditions exist on " &amp; zSelectedEquipment &amp; "."</f>
        <v>Contact the engineer stationed on base to verify no abnormal conditions exist on G104-Gen-B.</v>
      </c>
      <c r="E55" s="263" t="s">
        <v>1464</v>
      </c>
      <c r="F55" s="388"/>
      <c r="G55" s="388" t="s">
        <v>1519</v>
      </c>
    </row>
    <row r="56" spans="1:7" s="78" customFormat="1" ht="37.5" x14ac:dyDescent="0.25">
      <c r="A56" s="388">
        <v>51</v>
      </c>
      <c r="B56" s="183" t="s">
        <v>1462</v>
      </c>
      <c r="C56" s="183" t="s">
        <v>84</v>
      </c>
      <c r="D56" s="184" t="s">
        <v>2166</v>
      </c>
      <c r="E56" s="263" t="s">
        <v>1464</v>
      </c>
      <c r="F56" s="388"/>
      <c r="G56" s="388" t="s">
        <v>1519</v>
      </c>
    </row>
    <row r="57" spans="1:7" ht="37.5" x14ac:dyDescent="0.25">
      <c r="A57" s="388">
        <v>52</v>
      </c>
      <c r="B57" s="183" t="s">
        <v>1462</v>
      </c>
      <c r="C57" s="183" t="s">
        <v>84</v>
      </c>
      <c r="D57" s="184" t="s">
        <v>2167</v>
      </c>
      <c r="E57" s="263" t="s">
        <v>1464</v>
      </c>
      <c r="F57" s="388" t="s">
        <v>1519</v>
      </c>
      <c r="G57" s="388" t="s">
        <v>1519</v>
      </c>
    </row>
    <row r="58" spans="1:7" ht="56.25" x14ac:dyDescent="0.25">
      <c r="A58" s="388">
        <v>53</v>
      </c>
      <c r="B58" s="183" t="s">
        <v>1462</v>
      </c>
      <c r="C58" s="183" t="s">
        <v>84</v>
      </c>
      <c r="D58" s="186" t="s">
        <v>2024</v>
      </c>
      <c r="E58" s="263" t="s">
        <v>1464</v>
      </c>
      <c r="F58" s="388" t="s">
        <v>1519</v>
      </c>
      <c r="G58" s="388" t="s">
        <v>1519</v>
      </c>
    </row>
    <row r="59" spans="1:7" ht="37.5" x14ac:dyDescent="0.25">
      <c r="A59" s="388">
        <v>54</v>
      </c>
      <c r="B59" s="183" t="s">
        <v>1462</v>
      </c>
      <c r="C59" s="183" t="s">
        <v>84</v>
      </c>
      <c r="D59" s="186" t="s">
        <v>2025</v>
      </c>
      <c r="E59" s="263" t="s">
        <v>1464</v>
      </c>
      <c r="F59" s="388" t="s">
        <v>1519</v>
      </c>
      <c r="G59" s="388" t="s">
        <v>1519</v>
      </c>
    </row>
  </sheetData>
  <sheetProtection formatCells="0" formatColumns="0" formatRows="0" insertRows="0" deleteRows="0" sort="0" autoFilter="0"/>
  <mergeCells count="6">
    <mergeCell ref="B36:G36"/>
    <mergeCell ref="B6:G6"/>
    <mergeCell ref="B10:G10"/>
    <mergeCell ref="A2:B2"/>
    <mergeCell ref="A4:C4"/>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8CC53-CF09-453F-8AD1-690F68A338D7}">
  <sheetPr codeName="Gen_APM_SAPM">
    <pageSetUpPr fitToPage="1"/>
  </sheetPr>
  <dimension ref="A1:I105"/>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3.7109375" style="3" customWidth="1"/>
    <col min="9" max="9" width="8" style="3" customWidth="1"/>
    <col min="10" max="10" width="7.85546875" style="3" customWidth="1"/>
    <col min="11" max="11" width="11.140625" style="3" customWidth="1"/>
    <col min="12" max="16384" width="8.85546875" style="3"/>
  </cols>
  <sheetData>
    <row r="1" spans="1:9" s="173" customFormat="1" x14ac:dyDescent="0.25">
      <c r="A1" s="172" t="s">
        <v>1454</v>
      </c>
      <c r="B1" s="172"/>
    </row>
    <row r="2" spans="1:9" s="173" customFormat="1" ht="18.75" customHeight="1" x14ac:dyDescent="0.25">
      <c r="A2" s="705" t="s">
        <v>42</v>
      </c>
      <c r="B2" s="705"/>
      <c r="C2" s="708" t="str">
        <f>zTaskName</f>
        <v>Routine Generator run with no load transfer</v>
      </c>
      <c r="D2" s="709"/>
      <c r="E2" s="709"/>
      <c r="F2" s="709"/>
      <c r="G2" s="710"/>
    </row>
    <row r="3" spans="1:9" s="173" customFormat="1" ht="9.9499999999999993" customHeight="1" x14ac:dyDescent="0.25">
      <c r="A3" s="459"/>
      <c r="B3" s="460"/>
      <c r="C3" s="461"/>
      <c r="D3" s="461"/>
      <c r="E3" s="461"/>
      <c r="F3" s="461"/>
      <c r="G3" s="462"/>
    </row>
    <row r="4" spans="1:9" s="173" customFormat="1" ht="9.9499999999999993" customHeight="1" x14ac:dyDescent="0.25">
      <c r="A4" s="706"/>
      <c r="B4" s="707"/>
      <c r="C4" s="707"/>
      <c r="D4" s="382"/>
      <c r="E4" s="382"/>
      <c r="F4" s="382"/>
      <c r="G4" s="383"/>
    </row>
    <row r="5" spans="1:9" s="173" customFormat="1" ht="37.5" x14ac:dyDescent="0.25">
      <c r="A5" s="378" t="s">
        <v>1455</v>
      </c>
      <c r="B5" s="379" t="s">
        <v>8</v>
      </c>
      <c r="C5" s="379" t="s">
        <v>1456</v>
      </c>
      <c r="D5" s="378" t="s">
        <v>1457</v>
      </c>
      <c r="E5" s="379" t="s">
        <v>1458</v>
      </c>
      <c r="F5" s="379" t="s">
        <v>1459</v>
      </c>
      <c r="G5" s="378" t="s">
        <v>1460</v>
      </c>
    </row>
    <row r="6" spans="1:9" s="173" customFormat="1" x14ac:dyDescent="0.25">
      <c r="A6" s="174">
        <v>1</v>
      </c>
      <c r="B6" s="716" t="s">
        <v>2122</v>
      </c>
      <c r="C6" s="716"/>
      <c r="D6" s="716"/>
      <c r="E6" s="716"/>
      <c r="F6" s="716"/>
      <c r="G6" s="716"/>
    </row>
    <row r="7" spans="1:9" s="173" customFormat="1" ht="37.5" x14ac:dyDescent="0.25">
      <c r="A7" s="174">
        <v>2</v>
      </c>
      <c r="B7" s="388" t="s">
        <v>1462</v>
      </c>
      <c r="C7" s="388" t="s">
        <v>84</v>
      </c>
      <c r="D7" s="175" t="str">
        <f>"Contact the engineer stationed on base to verify no abnormal conditions exist on " &amp; zSelectedEquipment &amp; "."</f>
        <v>Contact the engineer stationed on base to verify no abnormal conditions exist on G104-Gen-B.</v>
      </c>
      <c r="E7" s="174" t="s">
        <v>1464</v>
      </c>
      <c r="F7" s="388" t="s">
        <v>1519</v>
      </c>
      <c r="G7" s="388" t="s">
        <v>1519</v>
      </c>
    </row>
    <row r="8" spans="1:9" s="173" customFormat="1" ht="37.5" x14ac:dyDescent="0.25">
      <c r="A8" s="174">
        <v>3</v>
      </c>
      <c r="B8" s="388" t="s">
        <v>1462</v>
      </c>
      <c r="C8" s="388" t="s">
        <v>84</v>
      </c>
      <c r="D8" s="176" t="s">
        <v>2005</v>
      </c>
      <c r="E8" s="174" t="s">
        <v>1464</v>
      </c>
      <c r="F8" s="388" t="s">
        <v>1519</v>
      </c>
      <c r="G8" s="388" t="s">
        <v>1519</v>
      </c>
    </row>
    <row r="9" spans="1:9" s="173" customFormat="1" ht="37.5" x14ac:dyDescent="0.25">
      <c r="A9" s="174">
        <v>4</v>
      </c>
      <c r="B9" s="388" t="s">
        <v>1462</v>
      </c>
      <c r="C9" s="388" t="s">
        <v>84</v>
      </c>
      <c r="D9" s="176" t="s">
        <v>2006</v>
      </c>
      <c r="E9" s="174" t="s">
        <v>1464</v>
      </c>
      <c r="F9" s="388" t="s">
        <v>1519</v>
      </c>
      <c r="G9" s="388"/>
    </row>
    <row r="10" spans="1:9" s="173" customFormat="1" ht="37.5" hidden="1" x14ac:dyDescent="0.25">
      <c r="A10" s="174">
        <v>5</v>
      </c>
      <c r="B10" s="388" t="str">
        <f t="shared" ref="B10:B20" si="0">IADNumber &amp; " Gen Yard"</f>
        <v>IAD35 Gen Yard</v>
      </c>
      <c r="C10" s="388" t="str">
        <f>zSelectedEquipment</f>
        <v>G104-Gen-B</v>
      </c>
      <c r="D10" s="177" t="s">
        <v>2168</v>
      </c>
      <c r="E10" s="174" t="str">
        <f>IF(zTaskNameIdentifier="zzGenMajor", "Vendor", "DLR Ops")</f>
        <v>DLR Ops</v>
      </c>
      <c r="F10" s="388" t="s">
        <v>1519</v>
      </c>
      <c r="G10" s="388"/>
      <c r="H10" s="173" t="s">
        <v>442</v>
      </c>
    </row>
    <row r="11" spans="1:9" s="173" customFormat="1" ht="37.5" hidden="1" x14ac:dyDescent="0.25">
      <c r="A11" s="174">
        <f>A10+1</f>
        <v>6</v>
      </c>
      <c r="B11" s="388" t="str">
        <f t="shared" si="0"/>
        <v>IAD35 Gen Yard</v>
      </c>
      <c r="C11" s="388" t="str">
        <f>zSelectedEquipment</f>
        <v>G104-Gen-B</v>
      </c>
      <c r="D11" s="175" t="s">
        <v>2169</v>
      </c>
      <c r="E11" s="174" t="str">
        <f>IF(zTaskNameIdentifier="zzGenMajor", "Vendor", "DLR Ops")</f>
        <v>DLR Ops</v>
      </c>
      <c r="F11" s="388" t="s">
        <v>1519</v>
      </c>
      <c r="G11" s="388"/>
      <c r="H11" s="173" t="s">
        <v>442</v>
      </c>
    </row>
    <row r="12" spans="1:9" s="173" customFormat="1" ht="37.5" hidden="1" x14ac:dyDescent="0.25">
      <c r="A12" s="174">
        <f t="shared" ref="A12:A14" si="1">A11+1</f>
        <v>7</v>
      </c>
      <c r="B12" s="388" t="str">
        <f t="shared" si="0"/>
        <v>IAD35 Gen Yard</v>
      </c>
      <c r="C12" s="388" t="str">
        <f>zSelectedEquipment</f>
        <v>G104-Gen-B</v>
      </c>
      <c r="D12" s="175" t="s">
        <v>2170</v>
      </c>
      <c r="E12" s="174" t="str">
        <f>IF(zTaskNameIdentifier="zzGenMajor", "Vendor", "DLR Ops")</f>
        <v>DLR Ops</v>
      </c>
      <c r="F12" s="388" t="s">
        <v>1519</v>
      </c>
      <c r="G12" s="388"/>
      <c r="H12" s="173" t="s">
        <v>442</v>
      </c>
    </row>
    <row r="13" spans="1:9" s="173" customFormat="1" ht="37.5" hidden="1" x14ac:dyDescent="0.25">
      <c r="A13" s="174">
        <f t="shared" si="1"/>
        <v>8</v>
      </c>
      <c r="B13" s="388" t="str">
        <f t="shared" si="0"/>
        <v>IAD35 Gen Yard</v>
      </c>
      <c r="C13" s="388" t="str">
        <f>zSelectedEquipment</f>
        <v>G104-Gen-B</v>
      </c>
      <c r="D13" s="175" t="s">
        <v>2169</v>
      </c>
      <c r="E13" s="174" t="str">
        <f>IF(zTaskNameIdentifier="zzGenMajor", "Vendor", "DLR Ops")</f>
        <v>DLR Ops</v>
      </c>
      <c r="F13" s="388" t="s">
        <v>1519</v>
      </c>
      <c r="G13" s="388"/>
      <c r="H13" s="173" t="s">
        <v>442</v>
      </c>
    </row>
    <row r="14" spans="1:9" s="173" customFormat="1" ht="56.25" hidden="1" x14ac:dyDescent="0.25">
      <c r="A14" s="174">
        <f t="shared" si="1"/>
        <v>9</v>
      </c>
      <c r="B14" s="388" t="str">
        <f t="shared" si="0"/>
        <v>IAD35 Gen Yard</v>
      </c>
      <c r="C14" s="388" t="str">
        <f>zSelectedEquipment</f>
        <v>G104-Gen-B</v>
      </c>
      <c r="D14" s="175" t="s">
        <v>2171</v>
      </c>
      <c r="E14" s="174" t="str">
        <f>IF(zTaskNameIdentifier="zzGenMajor", "Vendor", "DLR Ops")</f>
        <v>DLR Ops</v>
      </c>
      <c r="F14" s="388" t="s">
        <v>1519</v>
      </c>
      <c r="G14" s="388"/>
      <c r="H14" s="173" t="s">
        <v>442</v>
      </c>
      <c r="I14" s="173" t="s">
        <v>2172</v>
      </c>
    </row>
    <row r="15" spans="1:9" s="173" customFormat="1" ht="37.5" hidden="1" x14ac:dyDescent="0.25">
      <c r="A15" s="174">
        <v>5</v>
      </c>
      <c r="B15" s="388" t="str">
        <f t="shared" si="0"/>
        <v>IAD35 Gen Yard</v>
      </c>
      <c r="C15" s="388" t="str">
        <f>zSelectedEquipment</f>
        <v>G104-Gen-B</v>
      </c>
      <c r="D15" s="177" t="s">
        <v>2173</v>
      </c>
      <c r="E15" s="174" t="str">
        <f>IF(zTaskNameIdentifier="zzGenMajor", "Vendor", "DLR Ops")</f>
        <v>DLR Ops</v>
      </c>
      <c r="F15" s="388" t="s">
        <v>1519</v>
      </c>
      <c r="G15" s="388"/>
      <c r="H15" s="173" t="s">
        <v>2174</v>
      </c>
    </row>
    <row r="16" spans="1:9" s="173" customFormat="1" ht="37.5" hidden="1" x14ac:dyDescent="0.25">
      <c r="A16" s="174">
        <f>A15+1</f>
        <v>6</v>
      </c>
      <c r="B16" s="388" t="str">
        <f t="shared" si="0"/>
        <v>IAD35 Gen Yard</v>
      </c>
      <c r="C16" s="388" t="str">
        <f>zSelectedEquipment</f>
        <v>G104-Gen-B</v>
      </c>
      <c r="D16" s="175" t="s">
        <v>2170</v>
      </c>
      <c r="E16" s="174" t="str">
        <f>IF(zTaskNameIdentifier="zzGenMajor", "Vendor", "DLR Ops")</f>
        <v>DLR Ops</v>
      </c>
      <c r="F16" s="388" t="s">
        <v>1519</v>
      </c>
      <c r="G16" s="388"/>
      <c r="H16" s="173" t="s">
        <v>2174</v>
      </c>
    </row>
    <row r="17" spans="1:8" s="173" customFormat="1" ht="37.5" hidden="1" x14ac:dyDescent="0.25">
      <c r="A17" s="174">
        <f>A16+1</f>
        <v>7</v>
      </c>
      <c r="B17" s="388" t="str">
        <f t="shared" si="0"/>
        <v>IAD35 Gen Yard</v>
      </c>
      <c r="C17" s="388" t="str">
        <f>zSelectedEquipment</f>
        <v>G104-Gen-B</v>
      </c>
      <c r="D17" s="175" t="s">
        <v>2175</v>
      </c>
      <c r="E17" s="174" t="str">
        <f>IF(zTaskNameIdentifier="zzGenMajor", "Vendor", "DLR Ops")</f>
        <v>DLR Ops</v>
      </c>
      <c r="F17" s="388" t="s">
        <v>1519</v>
      </c>
      <c r="G17" s="388"/>
      <c r="H17" s="173" t="s">
        <v>2174</v>
      </c>
    </row>
    <row r="18" spans="1:8" s="173" customFormat="1" ht="37.5" x14ac:dyDescent="0.25">
      <c r="A18" s="174">
        <v>5</v>
      </c>
      <c r="B18" s="388" t="str">
        <f t="shared" si="0"/>
        <v>IAD35 Gen Yard</v>
      </c>
      <c r="C18" s="388" t="str">
        <f>zSelectedEquipment</f>
        <v>G104-Gen-B</v>
      </c>
      <c r="D18" s="175" t="s">
        <v>2176</v>
      </c>
      <c r="E18" s="174" t="str">
        <f>IF(zTaskNameIdentifier="zzGenMajor", "Vendor", "DLR Ops")</f>
        <v>DLR Ops</v>
      </c>
      <c r="F18" s="388" t="s">
        <v>1519</v>
      </c>
      <c r="G18" s="388"/>
      <c r="H18" s="173" t="s">
        <v>2177</v>
      </c>
    </row>
    <row r="19" spans="1:8" s="173" customFormat="1" ht="37.5" x14ac:dyDescent="0.25">
      <c r="A19" s="174">
        <f>A18+1</f>
        <v>6</v>
      </c>
      <c r="B19" s="388" t="str">
        <f t="shared" si="0"/>
        <v>IAD35 Gen Yard</v>
      </c>
      <c r="C19" s="388" t="str">
        <f>zSelectedEquipment</f>
        <v>G104-Gen-B</v>
      </c>
      <c r="D19" s="175" t="s">
        <v>2170</v>
      </c>
      <c r="E19" s="174" t="str">
        <f>IF(zTaskNameIdentifier="zzGenMajor", "Vendor", "DLR Ops")</f>
        <v>DLR Ops</v>
      </c>
      <c r="F19" s="388" t="s">
        <v>1519</v>
      </c>
      <c r="G19" s="388"/>
      <c r="H19" s="173" t="s">
        <v>2177</v>
      </c>
    </row>
    <row r="20" spans="1:8" s="173" customFormat="1" ht="37.5" x14ac:dyDescent="0.25">
      <c r="A20" s="174">
        <f>A19+1</f>
        <v>7</v>
      </c>
      <c r="B20" s="388" t="str">
        <f t="shared" si="0"/>
        <v>IAD35 Gen Yard</v>
      </c>
      <c r="C20" s="388" t="str">
        <f>zSelectedEquipment</f>
        <v>G104-Gen-B</v>
      </c>
      <c r="D20" s="175" t="s">
        <v>2178</v>
      </c>
      <c r="E20" s="174" t="str">
        <f>IF(zTaskNameIdentifier="zzGenMajor", "Vendor", "DLR Ops")</f>
        <v>DLR Ops</v>
      </c>
      <c r="F20" s="388" t="s">
        <v>1519</v>
      </c>
      <c r="G20" s="388"/>
      <c r="H20" s="173" t="s">
        <v>2177</v>
      </c>
    </row>
    <row r="21" spans="1:8" s="173" customFormat="1" hidden="1" x14ac:dyDescent="0.25">
      <c r="A21" s="174">
        <f>IF(GenType="CAT",IF(POD="House", A13+1, A14+1), IF(PowerCommand=3, A17+1, A20+1))</f>
        <v>10</v>
      </c>
      <c r="B21" s="716" t="s">
        <v>2179</v>
      </c>
      <c r="C21" s="716"/>
      <c r="D21" s="716"/>
      <c r="E21" s="716"/>
      <c r="F21" s="716"/>
      <c r="G21" s="716"/>
      <c r="H21" s="173" t="s">
        <v>2180</v>
      </c>
    </row>
    <row r="22" spans="1:8" s="173" customFormat="1" x14ac:dyDescent="0.25">
      <c r="A22" s="174">
        <f>IF(GenType="CAT",IF(POD="House", A13+1, A14+1), IF(PowerCommand=3, A17+1, A20+1))</f>
        <v>10</v>
      </c>
      <c r="B22" s="716" t="s">
        <v>2181</v>
      </c>
      <c r="C22" s="716"/>
      <c r="D22" s="716"/>
      <c r="E22" s="716"/>
      <c r="F22" s="716"/>
      <c r="G22" s="716"/>
      <c r="H22" s="173" t="s">
        <v>2182</v>
      </c>
    </row>
    <row r="23" spans="1:8" s="173" customFormat="1" ht="37.5" x14ac:dyDescent="0.25">
      <c r="A23" s="174">
        <f>IF(zTaskNameIdentifier="zzGenMinor", A21+1, A22+1)</f>
        <v>11</v>
      </c>
      <c r="B23" s="388" t="str">
        <f t="shared" ref="B23:B59" si="2">IADNumber &amp; " Gen Yard"</f>
        <v>IAD35 Gen Yard</v>
      </c>
      <c r="C23" s="388" t="str">
        <f>zSelectedEquipment</f>
        <v>G104-Gen-B</v>
      </c>
      <c r="D23" s="175" t="s">
        <v>2183</v>
      </c>
      <c r="E23" s="174" t="str">
        <f>IF(zTaskNameIdentifier="zzGenMajor", "Vendor", "DLR Ops")</f>
        <v>DLR Ops</v>
      </c>
      <c r="F23" s="388" t="s">
        <v>1519</v>
      </c>
      <c r="G23" s="174"/>
      <c r="H23" s="173" t="s">
        <v>2184</v>
      </c>
    </row>
    <row r="24" spans="1:8" s="173" customFormat="1" ht="37.5" x14ac:dyDescent="0.25">
      <c r="A24" s="174">
        <f>A23+1</f>
        <v>12</v>
      </c>
      <c r="B24" s="388" t="str">
        <f t="shared" si="2"/>
        <v>IAD35 Gen Yard</v>
      </c>
      <c r="C24" s="388" t="str">
        <f>zSelectedEquipment</f>
        <v>G104-Gen-B</v>
      </c>
      <c r="D24" s="175" t="s">
        <v>2185</v>
      </c>
      <c r="E24" s="174" t="str">
        <f>IF(zTaskNameIdentifier="zzGenMajor", "Vendor", "DLR Ops")</f>
        <v>DLR Ops</v>
      </c>
      <c r="F24" s="388" t="s">
        <v>1519</v>
      </c>
      <c r="G24" s="178"/>
      <c r="H24" s="173" t="s">
        <v>2184</v>
      </c>
    </row>
    <row r="25" spans="1:8" s="173" customFormat="1" ht="37.5" x14ac:dyDescent="0.25">
      <c r="A25" s="174">
        <f t="shared" ref="A25:A58" si="3">A24+1</f>
        <v>13</v>
      </c>
      <c r="B25" s="388" t="str">
        <f t="shared" si="2"/>
        <v>IAD35 Gen Yard</v>
      </c>
      <c r="C25" s="388" t="str">
        <f>zSelectedEquipment</f>
        <v>G104-Gen-B</v>
      </c>
      <c r="D25" s="175" t="s">
        <v>2186</v>
      </c>
      <c r="E25" s="174" t="str">
        <f>IF(zTaskNameIdentifier="zzGenMajor", "Vendor", "DLR Ops")</f>
        <v>DLR Ops</v>
      </c>
      <c r="F25" s="388" t="s">
        <v>1519</v>
      </c>
      <c r="G25" s="174"/>
      <c r="H25" s="173" t="s">
        <v>2184</v>
      </c>
    </row>
    <row r="26" spans="1:8" s="173" customFormat="1" ht="37.5" x14ac:dyDescent="0.25">
      <c r="A26" s="174">
        <f>A25+1</f>
        <v>14</v>
      </c>
      <c r="B26" s="388" t="str">
        <f t="shared" si="2"/>
        <v>IAD35 Gen Yard</v>
      </c>
      <c r="C26" s="388" t="str">
        <f>zSelectedEquipment</f>
        <v>G104-Gen-B</v>
      </c>
      <c r="D26" s="175" t="str" cm="1">
        <f t="array" ref="D26">"Verify jacket water heater temperature is &gt;" &amp; IF(GenType="CAT", "100", "90")
 &amp; "° F."</f>
        <v>Verify jacket water heater temperature is &gt;100° F.</v>
      </c>
      <c r="E26" s="174" t="str">
        <f>IF(zTaskNameIdentifier="zzGenMajor", "Vendor", "DLR Ops")</f>
        <v>DLR Ops</v>
      </c>
      <c r="F26" s="388" t="s">
        <v>1519</v>
      </c>
      <c r="G26" s="174"/>
      <c r="H26" s="173" t="s">
        <v>2184</v>
      </c>
    </row>
    <row r="27" spans="1:8" s="173" customFormat="1" ht="37.5" x14ac:dyDescent="0.25">
      <c r="A27" s="174">
        <f>A26+1</f>
        <v>15</v>
      </c>
      <c r="B27" s="388" t="str">
        <f t="shared" si="2"/>
        <v>IAD35 Gen Yard</v>
      </c>
      <c r="C27" s="388" t="str">
        <f>zSelectedEquipment</f>
        <v>G104-Gen-B</v>
      </c>
      <c r="D27" s="175" t="s">
        <v>2187</v>
      </c>
      <c r="E27" s="174" t="str">
        <f>IF(zTaskNameIdentifier="zzGenMajor", "Vendor", "DLR Ops")</f>
        <v>DLR Ops</v>
      </c>
      <c r="F27" s="388" t="s">
        <v>1519</v>
      </c>
      <c r="G27" s="174"/>
      <c r="H27" s="173" t="s">
        <v>2184</v>
      </c>
    </row>
    <row r="28" spans="1:8" s="173" customFormat="1" ht="37.5" x14ac:dyDescent="0.25">
      <c r="A28" s="174">
        <f t="shared" si="3"/>
        <v>16</v>
      </c>
      <c r="B28" s="388" t="str">
        <f t="shared" si="2"/>
        <v>IAD35 Gen Yard</v>
      </c>
      <c r="C28" s="388" t="str">
        <f>zSelectedEquipment</f>
        <v>G104-Gen-B</v>
      </c>
      <c r="D28" s="175" t="s">
        <v>2188</v>
      </c>
      <c r="E28" s="174" t="str">
        <f>IF(zTaskNameIdentifier="zzGenMajor", "Vendor", "DLR Ops")</f>
        <v>DLR Ops</v>
      </c>
      <c r="F28" s="388" t="s">
        <v>1519</v>
      </c>
      <c r="G28" s="174"/>
      <c r="H28" s="173" t="s">
        <v>2184</v>
      </c>
    </row>
    <row r="29" spans="1:8" s="173" customFormat="1" ht="56.25" x14ac:dyDescent="0.25">
      <c r="A29" s="174">
        <f t="shared" si="3"/>
        <v>17</v>
      </c>
      <c r="B29" s="388" t="str">
        <f t="shared" si="2"/>
        <v>IAD35 Gen Yard</v>
      </c>
      <c r="C29" s="388" t="str">
        <f>zSelectedEquipment</f>
        <v>G104-Gen-B</v>
      </c>
      <c r="D29" s="175" t="s">
        <v>2189</v>
      </c>
      <c r="E29" s="174" t="str">
        <f>IF(zTaskNameIdentifier="zzGenMajor", "Vendor", "DLR Ops")</f>
        <v>DLR Ops</v>
      </c>
      <c r="F29" s="388" t="s">
        <v>1519</v>
      </c>
      <c r="G29" s="174"/>
      <c r="H29" s="173" t="s">
        <v>2184</v>
      </c>
    </row>
    <row r="30" spans="1:8" s="173" customFormat="1" ht="37.5" x14ac:dyDescent="0.25">
      <c r="A30" s="174">
        <f t="shared" si="3"/>
        <v>18</v>
      </c>
      <c r="B30" s="388" t="str">
        <f t="shared" si="2"/>
        <v>IAD35 Gen Yard</v>
      </c>
      <c r="C30" s="388" t="str">
        <f>zSelectedEquipment</f>
        <v>G104-Gen-B</v>
      </c>
      <c r="D30" s="175" t="s">
        <v>2190</v>
      </c>
      <c r="E30" s="174" t="str">
        <f>IF(zTaskNameIdentifier="zzGenMajor", "Vendor", "DLR Ops")</f>
        <v>DLR Ops</v>
      </c>
      <c r="F30" s="388" t="s">
        <v>1519</v>
      </c>
      <c r="G30" s="174"/>
      <c r="H30" s="173" t="s">
        <v>2184</v>
      </c>
    </row>
    <row r="31" spans="1:8" s="173" customFormat="1" ht="37.5" x14ac:dyDescent="0.25">
      <c r="A31" s="174">
        <f t="shared" si="3"/>
        <v>19</v>
      </c>
      <c r="B31" s="388" t="str">
        <f t="shared" si="2"/>
        <v>IAD35 Gen Yard</v>
      </c>
      <c r="C31" s="388" t="str">
        <f>zSelectedEquipment</f>
        <v>G104-Gen-B</v>
      </c>
      <c r="D31" s="175" t="s">
        <v>2191</v>
      </c>
      <c r="E31" s="174" t="str">
        <f>IF(zTaskNameIdentifier="zzGenMajor", "Vendor", "DLR Ops")</f>
        <v>DLR Ops</v>
      </c>
      <c r="F31" s="388" t="s">
        <v>1519</v>
      </c>
      <c r="G31" s="174"/>
      <c r="H31" s="173" t="s">
        <v>2184</v>
      </c>
    </row>
    <row r="32" spans="1:8" s="173" customFormat="1" ht="37.5" x14ac:dyDescent="0.25">
      <c r="A32" s="174">
        <f t="shared" si="3"/>
        <v>20</v>
      </c>
      <c r="B32" s="388" t="str">
        <f t="shared" si="2"/>
        <v>IAD35 Gen Yard</v>
      </c>
      <c r="C32" s="388" t="str">
        <f>zSelectedEquipment</f>
        <v>G104-Gen-B</v>
      </c>
      <c r="D32" s="175" t="s">
        <v>2192</v>
      </c>
      <c r="E32" s="174" t="str">
        <f>IF(zTaskNameIdentifier="zzGenMajor", "Vendor", "DLR Ops")</f>
        <v>DLR Ops</v>
      </c>
      <c r="F32" s="388" t="s">
        <v>1519</v>
      </c>
      <c r="G32" s="174"/>
      <c r="H32" s="173" t="s">
        <v>2184</v>
      </c>
    </row>
    <row r="33" spans="1:8" s="173" customFormat="1" ht="37.5" x14ac:dyDescent="0.25">
      <c r="A33" s="174">
        <f t="shared" si="3"/>
        <v>21</v>
      </c>
      <c r="B33" s="388" t="str">
        <f t="shared" si="2"/>
        <v>IAD35 Gen Yard</v>
      </c>
      <c r="C33" s="388" t="str">
        <f>zSelectedEquipment</f>
        <v>G104-Gen-B</v>
      </c>
      <c r="D33" s="175" t="s">
        <v>2193</v>
      </c>
      <c r="E33" s="174" t="str">
        <f>IF(zTaskNameIdentifier="zzGenMajor", "Vendor", "DLR Ops")</f>
        <v>DLR Ops</v>
      </c>
      <c r="F33" s="388" t="s">
        <v>1519</v>
      </c>
      <c r="G33" s="174"/>
      <c r="H33" s="173" t="s">
        <v>2184</v>
      </c>
    </row>
    <row r="34" spans="1:8" s="173" customFormat="1" ht="37.5" x14ac:dyDescent="0.25">
      <c r="A34" s="174">
        <f t="shared" si="3"/>
        <v>22</v>
      </c>
      <c r="B34" s="388" t="str">
        <f t="shared" si="2"/>
        <v>IAD35 Gen Yard</v>
      </c>
      <c r="C34" s="388" t="str">
        <f>zSelectedEquipment</f>
        <v>G104-Gen-B</v>
      </c>
      <c r="D34" s="175" t="s">
        <v>2194</v>
      </c>
      <c r="E34" s="174" t="str">
        <f>IF(zTaskNameIdentifier="zzGenMajor", "Vendor", "DLR Ops")</f>
        <v>DLR Ops</v>
      </c>
      <c r="F34" s="388" t="s">
        <v>1519</v>
      </c>
      <c r="G34" s="174"/>
      <c r="H34" s="173" t="s">
        <v>2184</v>
      </c>
    </row>
    <row r="35" spans="1:8" s="173" customFormat="1" ht="37.5" x14ac:dyDescent="0.25">
      <c r="A35" s="174">
        <f t="shared" si="3"/>
        <v>23</v>
      </c>
      <c r="B35" s="388" t="str">
        <f t="shared" si="2"/>
        <v>IAD35 Gen Yard</v>
      </c>
      <c r="C35" s="388" t="str">
        <f>zSelectedEquipment</f>
        <v>G104-Gen-B</v>
      </c>
      <c r="D35" s="175" t="s">
        <v>2195</v>
      </c>
      <c r="E35" s="174" t="str">
        <f>IF(zTaskNameIdentifier="zzGenMajor", "Vendor", "DLR Ops")</f>
        <v>DLR Ops</v>
      </c>
      <c r="F35" s="388" t="s">
        <v>1519</v>
      </c>
      <c r="G35" s="174"/>
      <c r="H35" s="173" t="s">
        <v>2184</v>
      </c>
    </row>
    <row r="36" spans="1:8" s="173" customFormat="1" ht="37.5" x14ac:dyDescent="0.25">
      <c r="A36" s="174">
        <f t="shared" si="3"/>
        <v>24</v>
      </c>
      <c r="B36" s="388" t="str">
        <f t="shared" si="2"/>
        <v>IAD35 Gen Yard</v>
      </c>
      <c r="C36" s="388" t="str">
        <f>zSelectedEquipment</f>
        <v>G104-Gen-B</v>
      </c>
      <c r="D36" s="175" t="s">
        <v>2196</v>
      </c>
      <c r="E36" s="174" t="str">
        <f>IF(zTaskNameIdentifier="zzGenMajor", "Vendor", "DLR Ops")</f>
        <v>DLR Ops</v>
      </c>
      <c r="F36" s="388" t="s">
        <v>1519</v>
      </c>
      <c r="G36" s="388" t="s">
        <v>1519</v>
      </c>
      <c r="H36" s="173" t="s">
        <v>2184</v>
      </c>
    </row>
    <row r="37" spans="1:8" s="173" customFormat="1" ht="37.5" x14ac:dyDescent="0.25">
      <c r="A37" s="174">
        <f t="shared" si="3"/>
        <v>25</v>
      </c>
      <c r="B37" s="388" t="str">
        <f t="shared" si="2"/>
        <v>IAD35 Gen Yard</v>
      </c>
      <c r="C37" s="388" t="str">
        <f>zSelectedEquipment</f>
        <v>G104-Gen-B</v>
      </c>
      <c r="D37" s="175" t="s">
        <v>2197</v>
      </c>
      <c r="E37" s="174" t="str">
        <f>IF(zTaskNameIdentifier="zzGenMajor", "Vendor", "DLR Ops")</f>
        <v>DLR Ops</v>
      </c>
      <c r="F37" s="388" t="s">
        <v>1519</v>
      </c>
      <c r="G37" s="388" t="s">
        <v>1519</v>
      </c>
      <c r="H37" s="173" t="s">
        <v>2184</v>
      </c>
    </row>
    <row r="38" spans="1:8" s="173" customFormat="1" ht="37.5" x14ac:dyDescent="0.25">
      <c r="A38" s="174">
        <f t="shared" si="3"/>
        <v>26</v>
      </c>
      <c r="B38" s="388" t="str">
        <f t="shared" si="2"/>
        <v>IAD35 Gen Yard</v>
      </c>
      <c r="C38" s="388" t="str">
        <f>zSelectedEquipment</f>
        <v>G104-Gen-B</v>
      </c>
      <c r="D38" s="175" t="s">
        <v>2198</v>
      </c>
      <c r="E38" s="174" t="str">
        <f>IF(zTaskNameIdentifier="zzGenMajor", "Vendor", "DLR Ops")</f>
        <v>DLR Ops</v>
      </c>
      <c r="F38" s="388" t="s">
        <v>1519</v>
      </c>
      <c r="G38" s="388" t="s">
        <v>1519</v>
      </c>
      <c r="H38" s="173" t="s">
        <v>2184</v>
      </c>
    </row>
    <row r="39" spans="1:8" s="173" customFormat="1" ht="37.5" x14ac:dyDescent="0.25">
      <c r="A39" s="174">
        <f t="shared" si="3"/>
        <v>27</v>
      </c>
      <c r="B39" s="388" t="str">
        <f t="shared" si="2"/>
        <v>IAD35 Gen Yard</v>
      </c>
      <c r="C39" s="388" t="str">
        <f>zSelectedEquipment</f>
        <v>G104-Gen-B</v>
      </c>
      <c r="D39" s="175" t="s">
        <v>2199</v>
      </c>
      <c r="E39" s="174" t="str">
        <f>IF(zTaskNameIdentifier="zzGenMajor", "Vendor", "DLR Ops")</f>
        <v>DLR Ops</v>
      </c>
      <c r="F39" s="388" t="s">
        <v>1519</v>
      </c>
      <c r="G39" s="388" t="s">
        <v>1519</v>
      </c>
      <c r="H39" s="173" t="s">
        <v>2184</v>
      </c>
    </row>
    <row r="40" spans="1:8" s="173" customFormat="1" ht="37.5" x14ac:dyDescent="0.25">
      <c r="A40" s="174">
        <f t="shared" si="3"/>
        <v>28</v>
      </c>
      <c r="B40" s="388" t="str">
        <f t="shared" si="2"/>
        <v>IAD35 Gen Yard</v>
      </c>
      <c r="C40" s="388" t="str">
        <f>zSelectedEquipment</f>
        <v>G104-Gen-B</v>
      </c>
      <c r="D40" s="175" t="s">
        <v>2200</v>
      </c>
      <c r="E40" s="174" t="str">
        <f>IF(zTaskNameIdentifier="zzGenMajor", "Vendor", "DLR Ops")</f>
        <v>DLR Ops</v>
      </c>
      <c r="F40" s="388" t="s">
        <v>1519</v>
      </c>
      <c r="G40" s="388" t="s">
        <v>1519</v>
      </c>
      <c r="H40" s="173" t="s">
        <v>2184</v>
      </c>
    </row>
    <row r="41" spans="1:8" s="173" customFormat="1" ht="37.5" x14ac:dyDescent="0.25">
      <c r="A41" s="174">
        <f t="shared" si="3"/>
        <v>29</v>
      </c>
      <c r="B41" s="388" t="str">
        <f t="shared" si="2"/>
        <v>IAD35 Gen Yard</v>
      </c>
      <c r="C41" s="388" t="str">
        <f>zSelectedEquipment</f>
        <v>G104-Gen-B</v>
      </c>
      <c r="D41" s="175" t="s">
        <v>2201</v>
      </c>
      <c r="E41" s="174" t="str">
        <f>IF(zTaskNameIdentifier="zzGenMajor", "Vendor", "DLR Ops")</f>
        <v>DLR Ops</v>
      </c>
      <c r="F41" s="388" t="s">
        <v>1519</v>
      </c>
      <c r="G41" s="388" t="s">
        <v>1519</v>
      </c>
      <c r="H41" s="173" t="s">
        <v>2184</v>
      </c>
    </row>
    <row r="42" spans="1:8" s="173" customFormat="1" ht="37.5" x14ac:dyDescent="0.25">
      <c r="A42" s="174">
        <f t="shared" si="3"/>
        <v>30</v>
      </c>
      <c r="B42" s="388" t="str">
        <f t="shared" si="2"/>
        <v>IAD35 Gen Yard</v>
      </c>
      <c r="C42" s="388" t="str">
        <f>zSelectedEquipment</f>
        <v>G104-Gen-B</v>
      </c>
      <c r="D42" s="175" t="s">
        <v>2202</v>
      </c>
      <c r="E42" s="174" t="str">
        <f>IF(zTaskNameIdentifier="zzGenMajor", "Vendor", "DLR Ops")</f>
        <v>DLR Ops</v>
      </c>
      <c r="F42" s="388" t="s">
        <v>1519</v>
      </c>
      <c r="G42" s="388" t="s">
        <v>1519</v>
      </c>
      <c r="H42" s="173" t="s">
        <v>2184</v>
      </c>
    </row>
    <row r="43" spans="1:8" s="173" customFormat="1" ht="37.5" x14ac:dyDescent="0.25">
      <c r="A43" s="174">
        <f t="shared" si="3"/>
        <v>31</v>
      </c>
      <c r="B43" s="388" t="str">
        <f t="shared" si="2"/>
        <v>IAD35 Gen Yard</v>
      </c>
      <c r="C43" s="388" t="str">
        <f>zSelectedEquipment</f>
        <v>G104-Gen-B</v>
      </c>
      <c r="D43" s="175" t="s">
        <v>2203</v>
      </c>
      <c r="E43" s="174" t="str">
        <f>IF(zTaskNameIdentifier="zzGenMajor", "Vendor", "DLR Ops")</f>
        <v>DLR Ops</v>
      </c>
      <c r="F43" s="388" t="s">
        <v>1519</v>
      </c>
      <c r="G43" s="388" t="s">
        <v>1519</v>
      </c>
      <c r="H43" s="173" t="s">
        <v>2184</v>
      </c>
    </row>
    <row r="44" spans="1:8" s="173" customFormat="1" ht="37.5" x14ac:dyDescent="0.25">
      <c r="A44" s="174">
        <f t="shared" si="3"/>
        <v>32</v>
      </c>
      <c r="B44" s="388" t="str">
        <f t="shared" si="2"/>
        <v>IAD35 Gen Yard</v>
      </c>
      <c r="C44" s="388" t="str">
        <f>zSelectedEquipment</f>
        <v>G104-Gen-B</v>
      </c>
      <c r="D44" s="175" t="s">
        <v>2204</v>
      </c>
      <c r="E44" s="174" t="str">
        <f>IF(zTaskNameIdentifier="zzGenMajor", "Vendor", "DLR Ops")</f>
        <v>DLR Ops</v>
      </c>
      <c r="F44" s="388" t="s">
        <v>1519</v>
      </c>
      <c r="G44" s="388" t="s">
        <v>1519</v>
      </c>
      <c r="H44" s="173" t="s">
        <v>2184</v>
      </c>
    </row>
    <row r="45" spans="1:8" s="173" customFormat="1" ht="37.5" x14ac:dyDescent="0.25">
      <c r="A45" s="174">
        <f t="shared" si="3"/>
        <v>33</v>
      </c>
      <c r="B45" s="388" t="str">
        <f t="shared" si="2"/>
        <v>IAD35 Gen Yard</v>
      </c>
      <c r="C45" s="388" t="str">
        <f>zSelectedEquipment</f>
        <v>G104-Gen-B</v>
      </c>
      <c r="D45" s="175" t="s">
        <v>2205</v>
      </c>
      <c r="E45" s="179" t="s">
        <v>1529</v>
      </c>
      <c r="F45" s="388" t="s">
        <v>1519</v>
      </c>
      <c r="G45" s="388" t="s">
        <v>1519</v>
      </c>
      <c r="H45" s="173" t="s">
        <v>2182</v>
      </c>
    </row>
    <row r="46" spans="1:8" s="173" customFormat="1" ht="37.5" x14ac:dyDescent="0.25">
      <c r="A46" s="174">
        <f t="shared" si="3"/>
        <v>34</v>
      </c>
      <c r="B46" s="388" t="str">
        <f t="shared" si="2"/>
        <v>IAD35 Gen Yard</v>
      </c>
      <c r="C46" s="388" t="str">
        <f>zSelectedEquipment</f>
        <v>G104-Gen-B</v>
      </c>
      <c r="D46" s="175" t="s">
        <v>2206</v>
      </c>
      <c r="E46" s="179" t="s">
        <v>1529</v>
      </c>
      <c r="F46" s="388" t="s">
        <v>1519</v>
      </c>
      <c r="G46" s="388" t="s">
        <v>1519</v>
      </c>
      <c r="H46" s="173" t="s">
        <v>2182</v>
      </c>
    </row>
    <row r="47" spans="1:8" s="173" customFormat="1" ht="37.5" x14ac:dyDescent="0.25">
      <c r="A47" s="174">
        <f t="shared" si="3"/>
        <v>35</v>
      </c>
      <c r="B47" s="388" t="str">
        <f t="shared" si="2"/>
        <v>IAD35 Gen Yard</v>
      </c>
      <c r="C47" s="388" t="str">
        <f>zSelectedEquipment</f>
        <v>G104-Gen-B</v>
      </c>
      <c r="D47" s="175" t="s">
        <v>2207</v>
      </c>
      <c r="E47" s="179" t="s">
        <v>1529</v>
      </c>
      <c r="F47" s="388" t="s">
        <v>1519</v>
      </c>
      <c r="G47" s="388" t="s">
        <v>1519</v>
      </c>
      <c r="H47" s="173" t="s">
        <v>2182</v>
      </c>
    </row>
    <row r="48" spans="1:8" s="173" customFormat="1" ht="37.5" x14ac:dyDescent="0.25">
      <c r="A48" s="174">
        <f t="shared" si="3"/>
        <v>36</v>
      </c>
      <c r="B48" s="388" t="str">
        <f t="shared" si="2"/>
        <v>IAD35 Gen Yard</v>
      </c>
      <c r="C48" s="388" t="str">
        <f>zSelectedEquipment</f>
        <v>G104-Gen-B</v>
      </c>
      <c r="D48" s="175" t="s">
        <v>2208</v>
      </c>
      <c r="E48" s="179" t="s">
        <v>1529</v>
      </c>
      <c r="F48" s="388" t="s">
        <v>1519</v>
      </c>
      <c r="G48" s="388" t="s">
        <v>1519</v>
      </c>
      <c r="H48" s="173" t="s">
        <v>2182</v>
      </c>
    </row>
    <row r="49" spans="1:9" s="173" customFormat="1" ht="37.5" x14ac:dyDescent="0.25">
      <c r="A49" s="174">
        <f t="shared" si="3"/>
        <v>37</v>
      </c>
      <c r="B49" s="388" t="str">
        <f t="shared" si="2"/>
        <v>IAD35 Gen Yard</v>
      </c>
      <c r="C49" s="388" t="str">
        <f>zSelectedEquipment</f>
        <v>G104-Gen-B</v>
      </c>
      <c r="D49" s="175" t="s">
        <v>2209</v>
      </c>
      <c r="E49" s="179" t="s">
        <v>1529</v>
      </c>
      <c r="F49" s="388" t="s">
        <v>1519</v>
      </c>
      <c r="G49" s="388" t="s">
        <v>1519</v>
      </c>
      <c r="H49" s="173" t="s">
        <v>2182</v>
      </c>
    </row>
    <row r="50" spans="1:9" s="173" customFormat="1" ht="37.5" x14ac:dyDescent="0.25">
      <c r="A50" s="174">
        <f t="shared" si="3"/>
        <v>38</v>
      </c>
      <c r="B50" s="388" t="str">
        <f t="shared" si="2"/>
        <v>IAD35 Gen Yard</v>
      </c>
      <c r="C50" s="388" t="str">
        <f>zSelectedEquipment</f>
        <v>G104-Gen-B</v>
      </c>
      <c r="D50" s="175" t="s">
        <v>2210</v>
      </c>
      <c r="E50" s="179" t="s">
        <v>1529</v>
      </c>
      <c r="F50" s="388" t="s">
        <v>1519</v>
      </c>
      <c r="G50" s="388" t="s">
        <v>1519</v>
      </c>
      <c r="H50" s="173" t="s">
        <v>2182</v>
      </c>
    </row>
    <row r="51" spans="1:9" s="173" customFormat="1" ht="37.5" x14ac:dyDescent="0.25">
      <c r="A51" s="174">
        <f t="shared" si="3"/>
        <v>39</v>
      </c>
      <c r="B51" s="388" t="str">
        <f t="shared" si="2"/>
        <v>IAD35 Gen Yard</v>
      </c>
      <c r="C51" s="388" t="str">
        <f>zSelectedEquipment</f>
        <v>G104-Gen-B</v>
      </c>
      <c r="D51" s="175" t="s">
        <v>2211</v>
      </c>
      <c r="E51" s="179" t="s">
        <v>1529</v>
      </c>
      <c r="F51" s="388" t="s">
        <v>1519</v>
      </c>
      <c r="G51" s="388" t="s">
        <v>1519</v>
      </c>
      <c r="H51" s="173" t="s">
        <v>2182</v>
      </c>
    </row>
    <row r="52" spans="1:9" s="173" customFormat="1" ht="37.5" x14ac:dyDescent="0.25">
      <c r="A52" s="174">
        <f t="shared" si="3"/>
        <v>40</v>
      </c>
      <c r="B52" s="388" t="str">
        <f t="shared" si="2"/>
        <v>IAD35 Gen Yard</v>
      </c>
      <c r="C52" s="388" t="str">
        <f>zSelectedEquipment</f>
        <v>G104-Gen-B</v>
      </c>
      <c r="D52" s="175" t="s">
        <v>2212</v>
      </c>
      <c r="E52" s="179" t="s">
        <v>1529</v>
      </c>
      <c r="F52" s="388" t="s">
        <v>1519</v>
      </c>
      <c r="G52" s="388" t="s">
        <v>1519</v>
      </c>
      <c r="H52" s="173" t="s">
        <v>2182</v>
      </c>
    </row>
    <row r="53" spans="1:9" s="173" customFormat="1" ht="37.5" x14ac:dyDescent="0.25">
      <c r="A53" s="174">
        <f t="shared" si="3"/>
        <v>41</v>
      </c>
      <c r="B53" s="388" t="str">
        <f t="shared" si="2"/>
        <v>IAD35 Gen Yard</v>
      </c>
      <c r="C53" s="388" t="str">
        <f>zSelectedEquipment</f>
        <v>G104-Gen-B</v>
      </c>
      <c r="D53" s="175" t="s">
        <v>2213</v>
      </c>
      <c r="E53" s="179" t="s">
        <v>1529</v>
      </c>
      <c r="F53" s="388"/>
      <c r="G53" s="388" t="s">
        <v>1519</v>
      </c>
      <c r="H53" s="173" t="s">
        <v>2182</v>
      </c>
    </row>
    <row r="54" spans="1:9" s="173" customFormat="1" ht="37.5" x14ac:dyDescent="0.25">
      <c r="A54" s="174">
        <f t="shared" si="3"/>
        <v>42</v>
      </c>
      <c r="B54" s="388" t="str">
        <f t="shared" si="2"/>
        <v>IAD35 Gen Yard</v>
      </c>
      <c r="C54" s="388" t="str">
        <f>zSelectedEquipment</f>
        <v>G104-Gen-B</v>
      </c>
      <c r="D54" s="175" t="s">
        <v>2214</v>
      </c>
      <c r="E54" s="179" t="s">
        <v>1529</v>
      </c>
      <c r="F54" s="388"/>
      <c r="G54" s="388" t="s">
        <v>1519</v>
      </c>
      <c r="H54" s="173" t="s">
        <v>2182</v>
      </c>
    </row>
    <row r="55" spans="1:9" s="173" customFormat="1" ht="37.5" x14ac:dyDescent="0.25">
      <c r="A55" s="174">
        <f t="shared" si="3"/>
        <v>43</v>
      </c>
      <c r="B55" s="388" t="str">
        <f t="shared" si="2"/>
        <v>IAD35 Gen Yard</v>
      </c>
      <c r="C55" s="388" t="str">
        <f>zSelectedEquipment</f>
        <v>G104-Gen-B</v>
      </c>
      <c r="D55" s="175" t="s">
        <v>2215</v>
      </c>
      <c r="E55" s="179" t="s">
        <v>1529</v>
      </c>
      <c r="F55" s="388"/>
      <c r="G55" s="388" t="s">
        <v>1519</v>
      </c>
      <c r="H55" s="173" t="s">
        <v>2182</v>
      </c>
    </row>
    <row r="56" spans="1:9" s="173" customFormat="1" ht="37.5" x14ac:dyDescent="0.25">
      <c r="A56" s="174">
        <f t="shared" si="3"/>
        <v>44</v>
      </c>
      <c r="B56" s="388" t="str">
        <f t="shared" si="2"/>
        <v>IAD35 Gen Yard</v>
      </c>
      <c r="C56" s="388" t="str">
        <f>zSelectedEquipment</f>
        <v>G104-Gen-B</v>
      </c>
      <c r="D56" s="175" t="s">
        <v>2216</v>
      </c>
      <c r="E56" s="179" t="s">
        <v>1529</v>
      </c>
      <c r="F56" s="388" t="s">
        <v>1519</v>
      </c>
      <c r="G56" s="388" t="s">
        <v>1519</v>
      </c>
      <c r="H56" s="173" t="s">
        <v>2182</v>
      </c>
    </row>
    <row r="57" spans="1:9" s="173" customFormat="1" ht="37.5" x14ac:dyDescent="0.25">
      <c r="A57" s="174">
        <f t="shared" si="3"/>
        <v>45</v>
      </c>
      <c r="B57" s="388" t="str">
        <f t="shared" si="2"/>
        <v>IAD35 Gen Yard</v>
      </c>
      <c r="C57" s="388" t="str">
        <f>zSelectedEquipment</f>
        <v>G104-Gen-B</v>
      </c>
      <c r="D57" s="175" t="s">
        <v>2217</v>
      </c>
      <c r="E57" s="179" t="s">
        <v>1529</v>
      </c>
      <c r="F57" s="388" t="s">
        <v>1519</v>
      </c>
      <c r="G57" s="388" t="s">
        <v>1519</v>
      </c>
      <c r="H57" s="173" t="s">
        <v>2182</v>
      </c>
    </row>
    <row r="58" spans="1:9" s="173" customFormat="1" ht="37.5" x14ac:dyDescent="0.25">
      <c r="A58" s="174">
        <f t="shared" si="3"/>
        <v>46</v>
      </c>
      <c r="B58" s="388" t="str">
        <f t="shared" si="2"/>
        <v>IAD35 Gen Yard</v>
      </c>
      <c r="C58" s="388" t="str">
        <f>zSelectedEquipment</f>
        <v>G104-Gen-B</v>
      </c>
      <c r="D58" s="175" t="s">
        <v>2218</v>
      </c>
      <c r="E58" s="179" t="s">
        <v>1529</v>
      </c>
      <c r="F58" s="388" t="s">
        <v>1519</v>
      </c>
      <c r="G58" s="388" t="s">
        <v>1519</v>
      </c>
      <c r="H58" s="173" t="s">
        <v>2182</v>
      </c>
    </row>
    <row r="59" spans="1:9" s="173" customFormat="1" ht="37.5" x14ac:dyDescent="0.25">
      <c r="A59" s="174">
        <f>A58+1</f>
        <v>47</v>
      </c>
      <c r="B59" s="388" t="str">
        <f t="shared" si="2"/>
        <v>IAD35 Gen Yard</v>
      </c>
      <c r="C59" s="388" t="str">
        <f>zSelectedEquipment</f>
        <v>G104-Gen-B</v>
      </c>
      <c r="D59" s="175" t="s">
        <v>2219</v>
      </c>
      <c r="E59" s="179" t="s">
        <v>1529</v>
      </c>
      <c r="F59" s="388" t="s">
        <v>1519</v>
      </c>
      <c r="G59" s="388" t="s">
        <v>1519</v>
      </c>
      <c r="H59" s="173" t="s">
        <v>2182</v>
      </c>
    </row>
    <row r="60" spans="1:9" s="173" customFormat="1" x14ac:dyDescent="0.25">
      <c r="A60" s="174">
        <f>IF(zTaskNameIdentifier="zzGenMinor", A44+1, A59+1)</f>
        <v>48</v>
      </c>
      <c r="B60" s="716" t="s">
        <v>2149</v>
      </c>
      <c r="C60" s="716"/>
      <c r="D60" s="720"/>
      <c r="E60" s="716"/>
      <c r="F60" s="716"/>
      <c r="G60" s="716"/>
    </row>
    <row r="61" spans="1:9" s="173" customFormat="1" ht="37.5" x14ac:dyDescent="0.25">
      <c r="A61" s="174">
        <f>A60+1</f>
        <v>49</v>
      </c>
      <c r="B61" s="388" t="str">
        <f t="shared" ref="B61:B100" si="4">IADNumber &amp; " Gen Yard"</f>
        <v>IAD35 Gen Yard</v>
      </c>
      <c r="C61" s="180" t="str">
        <f>zSelectedEquipment</f>
        <v>G104-Gen-B</v>
      </c>
      <c r="D61" s="175" t="s">
        <v>2162</v>
      </c>
      <c r="E61" s="181" t="s">
        <v>1529</v>
      </c>
      <c r="F61" s="283"/>
      <c r="G61" s="283" t="s">
        <v>1519</v>
      </c>
    </row>
    <row r="62" spans="1:9" s="173" customFormat="1" ht="56.25" x14ac:dyDescent="0.25">
      <c r="A62" s="174">
        <f t="shared" ref="A62:A63" si="5">A61+1</f>
        <v>50</v>
      </c>
      <c r="B62" s="388" t="str">
        <f t="shared" si="4"/>
        <v>IAD35 Gen Yard</v>
      </c>
      <c r="C62" s="180" t="str">
        <f>zSelectedEquipment</f>
        <v>G104-Gen-B</v>
      </c>
      <c r="D62" s="175" t="s">
        <v>2220</v>
      </c>
      <c r="E62" s="181" t="s">
        <v>1529</v>
      </c>
      <c r="F62" s="283"/>
      <c r="G62" s="283" t="s">
        <v>1519</v>
      </c>
    </row>
    <row r="63" spans="1:9" s="173" customFormat="1" ht="37.5" x14ac:dyDescent="0.25">
      <c r="A63" s="174">
        <f t="shared" si="5"/>
        <v>51</v>
      </c>
      <c r="B63" s="388" t="str">
        <f t="shared" si="4"/>
        <v>IAD35 Gen Yard</v>
      </c>
      <c r="C63" s="180" t="str">
        <f>zSelectedEquipment</f>
        <v>G104-Gen-B</v>
      </c>
      <c r="D63" s="175" t="s">
        <v>2221</v>
      </c>
      <c r="E63" s="179" t="str">
        <f>IF(zTaskNameIdentifier="zzGenMajor", "Vendor", "DLR Ops")</f>
        <v>DLR Ops</v>
      </c>
      <c r="F63" s="388"/>
      <c r="G63" s="283" t="s">
        <v>1519</v>
      </c>
    </row>
    <row r="64" spans="1:9" s="173" customFormat="1" ht="75" hidden="1" x14ac:dyDescent="0.25">
      <c r="A64" s="174">
        <f t="shared" ref="A64:A69" si="6">A63+1</f>
        <v>52</v>
      </c>
      <c r="B64" s="388" t="str">
        <f t="shared" si="4"/>
        <v>IAD35 Gen Yard</v>
      </c>
      <c r="C64" s="388" t="str">
        <f>zSelectedEquipment</f>
        <v>G104-Gen-B</v>
      </c>
      <c r="D64" s="175" t="s">
        <v>2222</v>
      </c>
      <c r="E64" s="174" t="str">
        <f>IF(zTaskNameIdentifier="zzGenMajor", "Vendor", "DLR Ops")</f>
        <v>DLR Ops</v>
      </c>
      <c r="F64" s="388" t="s">
        <v>1519</v>
      </c>
      <c r="G64" s="283" t="s">
        <v>1519</v>
      </c>
      <c r="H64" s="173" t="s">
        <v>442</v>
      </c>
      <c r="I64" s="173" t="s">
        <v>2172</v>
      </c>
    </row>
    <row r="65" spans="1:8" s="173" customFormat="1" ht="37.5" hidden="1" x14ac:dyDescent="0.25">
      <c r="A65" s="174" cm="1">
        <f t="array" ref="A65">IF(POD="House", A63+1, A64+1)</f>
        <v>53</v>
      </c>
      <c r="B65" s="388" t="str">
        <f t="shared" si="4"/>
        <v>IAD35 Gen Yard</v>
      </c>
      <c r="C65" s="388" t="str">
        <f>zSelectedEquipment</f>
        <v>G104-Gen-B</v>
      </c>
      <c r="D65" s="177" t="s">
        <v>2223</v>
      </c>
      <c r="E65" s="174" t="str">
        <f>IF(zTaskNameIdentifier="zzGenMajor", "Vendor", "DLR Ops")</f>
        <v>DLR Ops</v>
      </c>
      <c r="F65" s="388" t="s">
        <v>1519</v>
      </c>
      <c r="G65" s="283" t="s">
        <v>1519</v>
      </c>
      <c r="H65" s="173" t="s">
        <v>442</v>
      </c>
    </row>
    <row r="66" spans="1:8" s="173" customFormat="1" ht="37.5" hidden="1" x14ac:dyDescent="0.25">
      <c r="A66" s="174">
        <f t="shared" si="6"/>
        <v>54</v>
      </c>
      <c r="B66" s="388" t="str">
        <f t="shared" si="4"/>
        <v>IAD35 Gen Yard</v>
      </c>
      <c r="C66" s="388" t="str">
        <f>zSelectedEquipment</f>
        <v>G104-Gen-B</v>
      </c>
      <c r="D66" s="177" t="s">
        <v>2224</v>
      </c>
      <c r="E66" s="174" t="str">
        <f>IF(zTaskNameIdentifier="zzGenMajor", "Vendor", "DLR Ops")</f>
        <v>DLR Ops</v>
      </c>
      <c r="F66" s="388" t="s">
        <v>1519</v>
      </c>
      <c r="G66" s="283" t="s">
        <v>1519</v>
      </c>
      <c r="H66" s="173" t="s">
        <v>442</v>
      </c>
    </row>
    <row r="67" spans="1:8" s="173" customFormat="1" ht="37.5" hidden="1" x14ac:dyDescent="0.25">
      <c r="A67" s="174">
        <f t="shared" si="6"/>
        <v>55</v>
      </c>
      <c r="B67" s="388" t="str">
        <f t="shared" si="4"/>
        <v>IAD35 Gen Yard</v>
      </c>
      <c r="C67" s="388" t="str">
        <f>zSelectedEquipment</f>
        <v>G104-Gen-B</v>
      </c>
      <c r="D67" s="177" t="s">
        <v>2225</v>
      </c>
      <c r="E67" s="174" t="str">
        <f>IF(zTaskNameIdentifier="zzGenMajor", "Vendor", "DLR Ops")</f>
        <v>DLR Ops</v>
      </c>
      <c r="F67" s="388" t="s">
        <v>1519</v>
      </c>
      <c r="G67" s="283" t="s">
        <v>1519</v>
      </c>
      <c r="H67" s="173" t="s">
        <v>442</v>
      </c>
    </row>
    <row r="68" spans="1:8" s="173" customFormat="1" ht="37.5" hidden="1" x14ac:dyDescent="0.25">
      <c r="A68" s="174">
        <f t="shared" si="6"/>
        <v>56</v>
      </c>
      <c r="B68" s="388" t="str">
        <f t="shared" si="4"/>
        <v>IAD35 Gen Yard</v>
      </c>
      <c r="C68" s="388" t="str">
        <f>zSelectedEquipment</f>
        <v>G104-Gen-B</v>
      </c>
      <c r="D68" s="177" t="s">
        <v>2224</v>
      </c>
      <c r="E68" s="174" t="str">
        <f>IF(zTaskNameIdentifier="zzGenMajor", "Vendor", "DLR Ops")</f>
        <v>DLR Ops</v>
      </c>
      <c r="F68" s="388" t="s">
        <v>1519</v>
      </c>
      <c r="G68" s="283" t="s">
        <v>1519</v>
      </c>
      <c r="H68" s="173" t="s">
        <v>442</v>
      </c>
    </row>
    <row r="69" spans="1:8" s="173" customFormat="1" ht="37.5" hidden="1" x14ac:dyDescent="0.25">
      <c r="A69" s="174">
        <f t="shared" si="6"/>
        <v>57</v>
      </c>
      <c r="B69" s="388" t="str">
        <f t="shared" si="4"/>
        <v>IAD35 Gen Yard</v>
      </c>
      <c r="C69" s="388" t="str">
        <f>zSelectedEquipment</f>
        <v>G104-Gen-B</v>
      </c>
      <c r="D69" s="177" t="s">
        <v>2226</v>
      </c>
      <c r="E69" s="174" t="str">
        <f>IF(zTaskNameIdentifier="zzGenMajor", "Vendor", "DLR Ops")</f>
        <v>DLR Ops</v>
      </c>
      <c r="F69" s="388" t="s">
        <v>1519</v>
      </c>
      <c r="G69" s="283" t="s">
        <v>1519</v>
      </c>
      <c r="H69" s="173" t="s">
        <v>442</v>
      </c>
    </row>
    <row r="70" spans="1:8" s="173" customFormat="1" ht="37.5" hidden="1" x14ac:dyDescent="0.25">
      <c r="A70" s="174">
        <f>A63+1</f>
        <v>52</v>
      </c>
      <c r="B70" s="388" t="str">
        <f t="shared" si="4"/>
        <v>IAD35 Gen Yard</v>
      </c>
      <c r="C70" s="388" t="str">
        <f>zSelectedEquipment</f>
        <v>G104-Gen-B</v>
      </c>
      <c r="D70" s="177" t="s">
        <v>2227</v>
      </c>
      <c r="E70" s="174" t="str">
        <f>IF(zTaskNameIdentifier="zzGenMajor", "Vendor", "DLR Ops")</f>
        <v>DLR Ops</v>
      </c>
      <c r="F70" s="388" t="s">
        <v>1519</v>
      </c>
      <c r="G70" s="283" t="s">
        <v>1519</v>
      </c>
      <c r="H70" s="173" t="s">
        <v>2174</v>
      </c>
    </row>
    <row r="71" spans="1:8" s="173" customFormat="1" ht="37.5" hidden="1" x14ac:dyDescent="0.25">
      <c r="A71" s="174">
        <f>A70+1</f>
        <v>53</v>
      </c>
      <c r="B71" s="388" t="str">
        <f t="shared" si="4"/>
        <v>IAD35 Gen Yard</v>
      </c>
      <c r="C71" s="388" t="str">
        <f>zSelectedEquipment</f>
        <v>G104-Gen-B</v>
      </c>
      <c r="D71" s="177" t="s">
        <v>2228</v>
      </c>
      <c r="E71" s="174" t="str">
        <f>IF(zTaskNameIdentifier="zzGenMajor", "Vendor", "DLR Ops")</f>
        <v>DLR Ops</v>
      </c>
      <c r="F71" s="388" t="s">
        <v>1519</v>
      </c>
      <c r="G71" s="283" t="s">
        <v>1519</v>
      </c>
      <c r="H71" s="173" t="s">
        <v>2174</v>
      </c>
    </row>
    <row r="72" spans="1:8" s="173" customFormat="1" ht="37.5" hidden="1" x14ac:dyDescent="0.25">
      <c r="A72" s="174">
        <f>A71+1</f>
        <v>54</v>
      </c>
      <c r="B72" s="388" t="str">
        <f t="shared" si="4"/>
        <v>IAD35 Gen Yard</v>
      </c>
      <c r="C72" s="388" t="str">
        <f>zSelectedEquipment</f>
        <v>G104-Gen-B</v>
      </c>
      <c r="D72" s="177" t="s">
        <v>2229</v>
      </c>
      <c r="E72" s="174" t="str">
        <f>IF(zTaskNameIdentifier="zzGenMajor", "Vendor", "DLR Ops")</f>
        <v>DLR Ops</v>
      </c>
      <c r="F72" s="388" t="s">
        <v>1519</v>
      </c>
      <c r="G72" s="283" t="s">
        <v>1519</v>
      </c>
      <c r="H72" s="173" t="s">
        <v>2174</v>
      </c>
    </row>
    <row r="73" spans="1:8" s="173" customFormat="1" ht="37.5" x14ac:dyDescent="0.25">
      <c r="A73" s="174">
        <f>A63+1</f>
        <v>52</v>
      </c>
      <c r="B73" s="388" t="str">
        <f t="shared" si="4"/>
        <v>IAD35 Gen Yard</v>
      </c>
      <c r="C73" s="388" t="str">
        <f>zSelectedEquipment</f>
        <v>G104-Gen-B</v>
      </c>
      <c r="D73" s="177" t="s">
        <v>2227</v>
      </c>
      <c r="E73" s="174" t="str">
        <f>IF(zTaskNameIdentifier="zzGenMajor", "Vendor", "DLR Ops")</f>
        <v>DLR Ops</v>
      </c>
      <c r="F73" s="388" t="s">
        <v>1519</v>
      </c>
      <c r="G73" s="283" t="s">
        <v>1519</v>
      </c>
      <c r="H73" s="173" t="s">
        <v>2177</v>
      </c>
    </row>
    <row r="74" spans="1:8" s="173" customFormat="1" ht="37.5" x14ac:dyDescent="0.25">
      <c r="A74" s="174">
        <f>A73+1</f>
        <v>53</v>
      </c>
      <c r="B74" s="388" t="str">
        <f t="shared" si="4"/>
        <v>IAD35 Gen Yard</v>
      </c>
      <c r="C74" s="388" t="str">
        <f>zSelectedEquipment</f>
        <v>G104-Gen-B</v>
      </c>
      <c r="D74" s="175" t="s">
        <v>2230</v>
      </c>
      <c r="E74" s="174" t="str">
        <f>IF(zTaskNameIdentifier="zzGenMajor", "Vendor", "DLR Ops")</f>
        <v>DLR Ops</v>
      </c>
      <c r="F74" s="388" t="s">
        <v>1519</v>
      </c>
      <c r="G74" s="283" t="s">
        <v>1519</v>
      </c>
      <c r="H74" s="173" t="s">
        <v>2177</v>
      </c>
    </row>
    <row r="75" spans="1:8" s="173" customFormat="1" ht="37.5" x14ac:dyDescent="0.25">
      <c r="A75" s="174">
        <f>A74+1</f>
        <v>54</v>
      </c>
      <c r="B75" s="388" t="str">
        <f t="shared" si="4"/>
        <v>IAD35 Gen Yard</v>
      </c>
      <c r="C75" s="388" t="str">
        <f>zSelectedEquipment</f>
        <v>G104-Gen-B</v>
      </c>
      <c r="D75" s="175" t="s">
        <v>2021</v>
      </c>
      <c r="E75" s="174" t="str">
        <f>IF(zTaskNameIdentifier="zzGenMajor", "Vendor", "DLR Ops")</f>
        <v>DLR Ops</v>
      </c>
      <c r="F75" s="388" t="s">
        <v>1519</v>
      </c>
      <c r="G75" s="283" t="s">
        <v>1519</v>
      </c>
      <c r="H75" s="173" t="s">
        <v>2177</v>
      </c>
    </row>
    <row r="76" spans="1:8" s="173" customFormat="1" ht="37.5" x14ac:dyDescent="0.25">
      <c r="A76" s="174">
        <f>A75+1</f>
        <v>55</v>
      </c>
      <c r="B76" s="388" t="str">
        <f t="shared" si="4"/>
        <v>IAD35 Gen Yard</v>
      </c>
      <c r="C76" s="388" t="str">
        <f>zSelectedEquipment</f>
        <v>G104-Gen-B</v>
      </c>
      <c r="D76" s="175" t="s">
        <v>2231</v>
      </c>
      <c r="E76" s="174" t="str">
        <f>IF(zTaskNameIdentifier="zzGenMajor", "Vendor", "DLR Ops")</f>
        <v>DLR Ops</v>
      </c>
      <c r="F76" s="388" t="s">
        <v>1519</v>
      </c>
      <c r="G76" s="283" t="s">
        <v>1519</v>
      </c>
      <c r="H76" s="173" t="s">
        <v>2177</v>
      </c>
    </row>
    <row r="77" spans="1:8" s="173" customFormat="1" ht="37.5" x14ac:dyDescent="0.25">
      <c r="A77" s="174">
        <f>IF(GenType="CAT", A69+1, IF(PowerCommand=3, A72+1, A76+1))</f>
        <v>58</v>
      </c>
      <c r="B77" s="388" t="str">
        <f t="shared" si="4"/>
        <v>IAD35 Gen Yard</v>
      </c>
      <c r="C77" s="180" t="str">
        <f>zSelectedEquipment</f>
        <v>G104-Gen-B</v>
      </c>
      <c r="D77" s="175" t="s">
        <v>2153</v>
      </c>
      <c r="E77" s="179" t="str">
        <f>IF(zTaskNameIdentifier="zzGenMajor", "Vendor", "DLR Ops")</f>
        <v>DLR Ops</v>
      </c>
      <c r="F77" s="177"/>
      <c r="G77" s="283" t="s">
        <v>1519</v>
      </c>
    </row>
    <row r="78" spans="1:8" s="173" customFormat="1" ht="37.5" x14ac:dyDescent="0.25">
      <c r="A78" s="174">
        <f>A77+1</f>
        <v>59</v>
      </c>
      <c r="B78" s="388" t="str">
        <f t="shared" si="4"/>
        <v>IAD35 Gen Yard</v>
      </c>
      <c r="C78" s="180" t="str">
        <f>zSelectedEquipment</f>
        <v>G104-Gen-B</v>
      </c>
      <c r="D78" s="175" t="s">
        <v>2154</v>
      </c>
      <c r="E78" s="179" t="str">
        <f>IF(zTaskNameIdentifier="zzGenMajor", "Vendor", "DLR Ops")</f>
        <v>DLR Ops</v>
      </c>
      <c r="F78" s="388" t="s">
        <v>1519</v>
      </c>
      <c r="G78" s="283" t="s">
        <v>1519</v>
      </c>
    </row>
    <row r="79" spans="1:8" s="173" customFormat="1" ht="37.5" hidden="1" x14ac:dyDescent="0.25">
      <c r="A79" s="174">
        <f>A78+1</f>
        <v>60</v>
      </c>
      <c r="B79" s="388" t="str">
        <f t="shared" si="4"/>
        <v>IAD35 Gen Yard</v>
      </c>
      <c r="C79" s="180" t="str">
        <f>zSelectedEquipment</f>
        <v>G104-Gen-B</v>
      </c>
      <c r="D79" s="177" t="s">
        <v>2232</v>
      </c>
      <c r="E79" s="179" t="str">
        <f>IF(zTaskNameIdentifier="zzGenMajor", "Vendor", "DLR Ops")</f>
        <v>DLR Ops</v>
      </c>
      <c r="F79" s="177"/>
      <c r="G79" s="283" t="s">
        <v>1519</v>
      </c>
      <c r="H79" s="173" t="s">
        <v>442</v>
      </c>
    </row>
    <row r="80" spans="1:8" s="173" customFormat="1" ht="37.5" hidden="1" x14ac:dyDescent="0.25">
      <c r="A80" s="174">
        <f>A78+1</f>
        <v>60</v>
      </c>
      <c r="B80" s="388" t="str">
        <f t="shared" si="4"/>
        <v>IAD35 Gen Yard</v>
      </c>
      <c r="C80" s="180" t="str">
        <f>zSelectedEquipment</f>
        <v>G104-Gen-B</v>
      </c>
      <c r="D80" s="177" t="s">
        <v>2233</v>
      </c>
      <c r="E80" s="179" t="str">
        <f>IF(zTaskNameIdentifier="zzGenMajor", "Vendor", "DLR Ops")</f>
        <v>DLR Ops</v>
      </c>
      <c r="F80" s="177"/>
      <c r="G80" s="283" t="s">
        <v>1519</v>
      </c>
      <c r="H80" s="173" t="s">
        <v>2174</v>
      </c>
    </row>
    <row r="81" spans="1:8" s="173" customFormat="1" ht="37.5" hidden="1" x14ac:dyDescent="0.25">
      <c r="A81" s="174">
        <f>A80+1</f>
        <v>61</v>
      </c>
      <c r="B81" s="388" t="str">
        <f t="shared" si="4"/>
        <v>IAD35 Gen Yard</v>
      </c>
      <c r="C81" s="180" t="str">
        <f>zSelectedEquipment</f>
        <v>G104-Gen-B</v>
      </c>
      <c r="D81" s="177" t="s">
        <v>2234</v>
      </c>
      <c r="E81" s="179" t="str">
        <f>IF(zTaskNameIdentifier="zzGenMajor", "Vendor", "DLR Ops")</f>
        <v>DLR Ops</v>
      </c>
      <c r="F81" s="177"/>
      <c r="G81" s="283" t="s">
        <v>1519</v>
      </c>
      <c r="H81" s="173" t="s">
        <v>2174</v>
      </c>
    </row>
    <row r="82" spans="1:8" s="173" customFormat="1" ht="37.5" x14ac:dyDescent="0.25">
      <c r="A82" s="174">
        <f>A78+1</f>
        <v>60</v>
      </c>
      <c r="B82" s="388" t="str">
        <f t="shared" si="4"/>
        <v>IAD35 Gen Yard</v>
      </c>
      <c r="C82" s="180" t="str">
        <f>zSelectedEquipment</f>
        <v>G104-Gen-B</v>
      </c>
      <c r="D82" s="175" t="s">
        <v>2017</v>
      </c>
      <c r="E82" s="179" t="str">
        <f>IF(zTaskNameIdentifier="zzGenMajor", "Vendor", "DLR Ops")</f>
        <v>DLR Ops</v>
      </c>
      <c r="F82" s="177"/>
      <c r="G82" s="283" t="s">
        <v>1519</v>
      </c>
      <c r="H82" s="173" t="s">
        <v>2177</v>
      </c>
    </row>
    <row r="83" spans="1:8" s="173" customFormat="1" ht="37.5" x14ac:dyDescent="0.25">
      <c r="A83" s="174">
        <f>A80+1</f>
        <v>61</v>
      </c>
      <c r="B83" s="388" t="str">
        <f t="shared" si="4"/>
        <v>IAD35 Gen Yard</v>
      </c>
      <c r="C83" s="180" t="str">
        <f>zSelectedEquipment</f>
        <v>G104-Gen-B</v>
      </c>
      <c r="D83" s="177" t="s">
        <v>2018</v>
      </c>
      <c r="E83" s="179" t="str">
        <f>IF(zTaskNameIdentifier="zzGenMajor", "Vendor", "DLR Ops")</f>
        <v>DLR Ops</v>
      </c>
      <c r="F83" s="177"/>
      <c r="G83" s="283" t="s">
        <v>1519</v>
      </c>
      <c r="H83" s="173" t="s">
        <v>2177</v>
      </c>
    </row>
    <row r="84" spans="1:8" s="173" customFormat="1" ht="37.5" x14ac:dyDescent="0.25">
      <c r="A84" s="174">
        <f>IF(GenType="CAT", A79+1, IF(PowerCommand=3, A81+1, A83+1))</f>
        <v>61</v>
      </c>
      <c r="B84" s="388" t="str">
        <f t="shared" si="4"/>
        <v>IAD35 Gen Yard</v>
      </c>
      <c r="C84" s="180" t="str">
        <f>zSelectedEquipment</f>
        <v>G104-Gen-B</v>
      </c>
      <c r="D84" s="175" t="s">
        <v>2235</v>
      </c>
      <c r="E84" s="179" t="str">
        <f>IF(zTaskNameIdentifier="zzGenMajor", "Vendor", "DLR Ops")</f>
        <v>DLR Ops</v>
      </c>
      <c r="F84" s="177"/>
      <c r="G84" s="283" t="s">
        <v>1519</v>
      </c>
    </row>
    <row r="85" spans="1:8" s="173" customFormat="1" ht="37.5" x14ac:dyDescent="0.25">
      <c r="A85" s="174">
        <f>A84+1</f>
        <v>62</v>
      </c>
      <c r="B85" s="388" t="str">
        <f t="shared" si="4"/>
        <v>IAD35 Gen Yard</v>
      </c>
      <c r="C85" s="180" t="str">
        <f>zSelectedEquipment</f>
        <v>G104-Gen-B</v>
      </c>
      <c r="D85" s="175" t="s">
        <v>2236</v>
      </c>
      <c r="E85" s="179" t="str">
        <f>IF(zTaskNameIdentifier="zzGenMajor", "Vendor", "DLR Ops")</f>
        <v>DLR Ops</v>
      </c>
      <c r="F85" s="177"/>
      <c r="G85" s="283" t="s">
        <v>1519</v>
      </c>
    </row>
    <row r="86" spans="1:8" s="173" customFormat="1" ht="37.5" x14ac:dyDescent="0.25">
      <c r="A86" s="174">
        <f t="shared" ref="A86:A89" si="7">A85+1</f>
        <v>63</v>
      </c>
      <c r="B86" s="388" t="str">
        <f t="shared" si="4"/>
        <v>IAD35 Gen Yard</v>
      </c>
      <c r="C86" s="180" t="str">
        <f>zSelectedEquipment</f>
        <v>G104-Gen-B</v>
      </c>
      <c r="D86" s="175" t="s">
        <v>2237</v>
      </c>
      <c r="E86" s="179" t="str">
        <f>IF(zTaskNameIdentifier="zzGenMajor", "Vendor", "DLR Ops")</f>
        <v>DLR Ops</v>
      </c>
      <c r="F86" s="177"/>
      <c r="G86" s="283" t="s">
        <v>1519</v>
      </c>
    </row>
    <row r="87" spans="1:8" s="173" customFormat="1" ht="37.5" x14ac:dyDescent="0.25">
      <c r="A87" s="174">
        <f t="shared" si="7"/>
        <v>64</v>
      </c>
      <c r="B87" s="388" t="str">
        <f t="shared" si="4"/>
        <v>IAD35 Gen Yard</v>
      </c>
      <c r="C87" s="180" t="str">
        <f>zSelectedEquipment</f>
        <v>G104-Gen-B</v>
      </c>
      <c r="D87" s="175" t="s">
        <v>2238</v>
      </c>
      <c r="E87" s="179" t="str">
        <f>IF(zTaskNameIdentifier="zzGenMajor", "Vendor", "DLR Ops")</f>
        <v>DLR Ops</v>
      </c>
      <c r="F87" s="177"/>
      <c r="G87" s="283" t="s">
        <v>1519</v>
      </c>
    </row>
    <row r="88" spans="1:8" s="173" customFormat="1" ht="37.5" x14ac:dyDescent="0.25">
      <c r="A88" s="174">
        <f>A87+1</f>
        <v>65</v>
      </c>
      <c r="B88" s="388" t="str">
        <f t="shared" si="4"/>
        <v>IAD35 Gen Yard</v>
      </c>
      <c r="C88" s="180" t="str">
        <f>zSelectedEquipment</f>
        <v>G104-Gen-B</v>
      </c>
      <c r="D88" s="175" t="s">
        <v>2239</v>
      </c>
      <c r="E88" s="179" t="s">
        <v>1529</v>
      </c>
      <c r="F88" s="177"/>
      <c r="G88" s="283" t="s">
        <v>1519</v>
      </c>
      <c r="H88" s="173" t="s">
        <v>2182</v>
      </c>
    </row>
    <row r="89" spans="1:8" s="173" customFormat="1" ht="37.5" x14ac:dyDescent="0.25">
      <c r="A89" s="174">
        <f t="shared" si="7"/>
        <v>66</v>
      </c>
      <c r="B89" s="388" t="str">
        <f t="shared" si="4"/>
        <v>IAD35 Gen Yard</v>
      </c>
      <c r="C89" s="180" t="str">
        <f>zSelectedEquipment</f>
        <v>G104-Gen-B</v>
      </c>
      <c r="D89" s="175" t="s">
        <v>2240</v>
      </c>
      <c r="E89" s="179" t="s">
        <v>1529</v>
      </c>
      <c r="F89" s="177"/>
      <c r="G89" s="283" t="s">
        <v>1519</v>
      </c>
      <c r="H89" s="173" t="s">
        <v>2182</v>
      </c>
    </row>
    <row r="90" spans="1:8" s="173" customFormat="1" ht="37.5" x14ac:dyDescent="0.25">
      <c r="A90" s="174">
        <f>IF(zTaskNameIdentifier="zzGenMajor", A89+1, A87+1)</f>
        <v>65</v>
      </c>
      <c r="B90" s="388" t="str">
        <f t="shared" si="4"/>
        <v>IAD35 Gen Yard</v>
      </c>
      <c r="C90" s="180" t="str">
        <f>zSelectedEquipment</f>
        <v>G104-Gen-B</v>
      </c>
      <c r="D90" s="182" t="s">
        <v>2158</v>
      </c>
      <c r="E90" s="179" t="str">
        <f>IF(zTaskNameIdentifier="zzGenMajor", "Vendor", "DLR Ops")</f>
        <v>DLR Ops</v>
      </c>
      <c r="F90" s="177"/>
      <c r="G90" s="283" t="s">
        <v>1519</v>
      </c>
    </row>
    <row r="91" spans="1:8" s="173" customFormat="1" ht="37.5" hidden="1" x14ac:dyDescent="0.25">
      <c r="A91" s="174">
        <f>A90+1</f>
        <v>66</v>
      </c>
      <c r="B91" s="388" t="str">
        <f t="shared" si="4"/>
        <v>IAD35 Gen Yard</v>
      </c>
      <c r="C91" s="180" t="str">
        <f>zSelectedEquipment</f>
        <v>G104-Gen-B</v>
      </c>
      <c r="D91" s="177" t="s">
        <v>2226</v>
      </c>
      <c r="E91" s="179" t="str">
        <f>IF(zTaskNameIdentifier="zzGenMajor", "Vendor", "DLR Ops")</f>
        <v>DLR Ops</v>
      </c>
      <c r="F91" s="388"/>
      <c r="G91" s="283" t="s">
        <v>1519</v>
      </c>
      <c r="H91" s="173" t="s">
        <v>442</v>
      </c>
    </row>
    <row r="92" spans="1:8" s="173" customFormat="1" ht="37.5" hidden="1" x14ac:dyDescent="0.25">
      <c r="A92" s="174">
        <f>A90+1</f>
        <v>66</v>
      </c>
      <c r="B92" s="388" t="str">
        <f t="shared" si="4"/>
        <v>IAD35 Gen Yard</v>
      </c>
      <c r="C92" s="180" t="str">
        <f>zSelectedEquipment</f>
        <v>G104-Gen-B</v>
      </c>
      <c r="D92" s="177" t="s">
        <v>2229</v>
      </c>
      <c r="E92" s="179" t="str">
        <f>IF(zTaskNameIdentifier="zzGenMajor", "Vendor", "DLR Ops")</f>
        <v>DLR Ops</v>
      </c>
      <c r="F92" s="388"/>
      <c r="G92" s="283" t="s">
        <v>1519</v>
      </c>
      <c r="H92" s="173" t="s">
        <v>2174</v>
      </c>
    </row>
    <row r="93" spans="1:8" s="173" customFormat="1" ht="37.5" x14ac:dyDescent="0.25">
      <c r="A93" s="174">
        <f>A90+1</f>
        <v>66</v>
      </c>
      <c r="B93" s="388" t="str">
        <f t="shared" si="4"/>
        <v>IAD35 Gen Yard</v>
      </c>
      <c r="C93" s="180" t="str">
        <f>zSelectedEquipment</f>
        <v>G104-Gen-B</v>
      </c>
      <c r="D93" s="177" t="s">
        <v>2018</v>
      </c>
      <c r="E93" s="179" t="str">
        <f>IF(zTaskNameIdentifier="zzGenMajor", "Vendor", "DLR Ops")</f>
        <v>DLR Ops</v>
      </c>
      <c r="F93" s="388"/>
      <c r="G93" s="283" t="s">
        <v>1519</v>
      </c>
      <c r="H93" s="173" t="s">
        <v>2177</v>
      </c>
    </row>
    <row r="94" spans="1:8" s="173" customFormat="1" ht="37.5" x14ac:dyDescent="0.25">
      <c r="A94" s="174">
        <f>A93+1</f>
        <v>67</v>
      </c>
      <c r="B94" s="388" t="str">
        <f t="shared" si="4"/>
        <v>IAD35 Gen Yard</v>
      </c>
      <c r="C94" s="180" t="str">
        <f>zSelectedEquipment</f>
        <v>G104-Gen-B</v>
      </c>
      <c r="D94" s="175" t="s">
        <v>2021</v>
      </c>
      <c r="E94" s="179" t="str">
        <f>IF(zTaskNameIdentifier="zzGenMajor", "Vendor", "DLR Ops")</f>
        <v>DLR Ops</v>
      </c>
      <c r="F94" s="388"/>
      <c r="G94" s="283" t="s">
        <v>1519</v>
      </c>
      <c r="H94" s="173" t="s">
        <v>2177</v>
      </c>
    </row>
    <row r="95" spans="1:8" s="173" customFormat="1" ht="37.5" x14ac:dyDescent="0.25">
      <c r="A95" s="174">
        <f>IF(GenType="CAT", A91+1, IF(PowerCommand=3, A92+1, A94+1))</f>
        <v>67</v>
      </c>
      <c r="B95" s="388" t="str">
        <f t="shared" si="4"/>
        <v>IAD35 Gen Yard</v>
      </c>
      <c r="C95" s="180" t="str">
        <f>zSelectedEquipment</f>
        <v>G104-Gen-B</v>
      </c>
      <c r="D95" s="175" t="s">
        <v>2160</v>
      </c>
      <c r="E95" s="179" t="str">
        <f>IF(zTaskNameIdentifier="zzGenMajor", "Vendor", "DLR Ops")</f>
        <v>DLR Ops</v>
      </c>
      <c r="F95" s="388"/>
      <c r="G95" s="283" t="s">
        <v>1519</v>
      </c>
    </row>
    <row r="96" spans="1:8" s="173" customFormat="1" ht="37.5" x14ac:dyDescent="0.25">
      <c r="A96" s="174">
        <f>A95+1</f>
        <v>68</v>
      </c>
      <c r="B96" s="388" t="str">
        <f t="shared" si="4"/>
        <v>IAD35 Gen Yard</v>
      </c>
      <c r="C96" s="180" t="str">
        <f>zSelectedEquipment</f>
        <v>G104-Gen-B</v>
      </c>
      <c r="D96" s="175" t="s">
        <v>2161</v>
      </c>
      <c r="E96" s="179" t="str">
        <f>IF(zTaskNameIdentifier="zzGenMajor", "Vendor", "DLR Ops")</f>
        <v>DLR Ops</v>
      </c>
      <c r="F96" s="388" t="s">
        <v>1519</v>
      </c>
      <c r="G96" s="283" t="s">
        <v>1519</v>
      </c>
    </row>
    <row r="97" spans="1:8" s="173" customFormat="1" ht="37.5" x14ac:dyDescent="0.25">
      <c r="A97" s="174">
        <f t="shared" ref="A97:A105" si="8">A96+1</f>
        <v>69</v>
      </c>
      <c r="B97" s="388" t="str">
        <f t="shared" si="4"/>
        <v>IAD35 Gen Yard</v>
      </c>
      <c r="C97" s="180" t="str">
        <f>zSelectedEquipment</f>
        <v>G104-Gen-B</v>
      </c>
      <c r="D97" s="175" t="s">
        <v>2162</v>
      </c>
      <c r="E97" s="179" t="str">
        <f>IF(zTaskNameIdentifier="zzGenMajor", "Vendor", "DLR Ops")</f>
        <v>DLR Ops</v>
      </c>
      <c r="F97" s="388"/>
      <c r="G97" s="283" t="s">
        <v>1519</v>
      </c>
    </row>
    <row r="98" spans="1:8" s="173" customFormat="1" ht="56.25" x14ac:dyDescent="0.25">
      <c r="A98" s="174">
        <f t="shared" si="8"/>
        <v>70</v>
      </c>
      <c r="B98" s="388" t="str">
        <f t="shared" si="4"/>
        <v>IAD35 Gen Yard</v>
      </c>
      <c r="C98" s="180" t="str">
        <f>zSelectedEquipment</f>
        <v>G104-Gen-B</v>
      </c>
      <c r="D98" s="175" t="s">
        <v>2220</v>
      </c>
      <c r="E98" s="179" t="str">
        <f>IF(zTaskNameIdentifier="zzGenMajor", "Vendor", "DLR Ops")</f>
        <v>DLR Ops</v>
      </c>
      <c r="F98" s="388"/>
      <c r="G98" s="283" t="s">
        <v>1519</v>
      </c>
    </row>
    <row r="99" spans="1:8" s="173" customFormat="1" ht="56.25" x14ac:dyDescent="0.25">
      <c r="A99" s="174">
        <f t="shared" si="8"/>
        <v>71</v>
      </c>
      <c r="B99" s="388" t="str">
        <f t="shared" si="4"/>
        <v>IAD35 Gen Yard</v>
      </c>
      <c r="C99" s="180" t="str">
        <f>zSelectedEquipment</f>
        <v>G104-Gen-B</v>
      </c>
      <c r="D99" s="175" t="s">
        <v>2164</v>
      </c>
      <c r="E99" s="179" t="s">
        <v>1529</v>
      </c>
      <c r="F99" s="388"/>
      <c r="G99" s="283" t="s">
        <v>1519</v>
      </c>
      <c r="H99" s="173" t="s">
        <v>2182</v>
      </c>
    </row>
    <row r="100" spans="1:8" s="173" customFormat="1" ht="37.5" x14ac:dyDescent="0.25">
      <c r="A100" s="174">
        <f t="shared" si="8"/>
        <v>72</v>
      </c>
      <c r="B100" s="388" t="str">
        <f t="shared" si="4"/>
        <v>IAD35 Gen Yard</v>
      </c>
      <c r="C100" s="180" t="str">
        <f>zSelectedEquipment</f>
        <v>G104-Gen-B</v>
      </c>
      <c r="D100" s="175" t="s">
        <v>2165</v>
      </c>
      <c r="E100" s="179" t="s">
        <v>1529</v>
      </c>
      <c r="F100" s="388"/>
      <c r="G100" s="283" t="s">
        <v>1519</v>
      </c>
      <c r="H100" s="173" t="s">
        <v>2182</v>
      </c>
    </row>
    <row r="101" spans="1:8" s="173" customFormat="1" ht="37.5" x14ac:dyDescent="0.25">
      <c r="A101" s="174">
        <f>IF(zTaskNameIdentifier="zzGenMajor", A100+1, A98+1)</f>
        <v>71</v>
      </c>
      <c r="B101" s="183" t="s">
        <v>1462</v>
      </c>
      <c r="C101" s="183" t="s">
        <v>84</v>
      </c>
      <c r="D101" s="175" t="str">
        <f>"Contact the engineer stationed on base to verify no abnormal conditions exist on " &amp; zSelectedEquipment &amp; "."</f>
        <v>Contact the engineer stationed on base to verify no abnormal conditions exist on G104-Gen-B.</v>
      </c>
      <c r="E101" s="179" t="s">
        <v>1464</v>
      </c>
      <c r="F101" s="388"/>
      <c r="G101" s="283" t="s">
        <v>1519</v>
      </c>
    </row>
    <row r="102" spans="1:8" s="173" customFormat="1" ht="37.5" x14ac:dyDescent="0.25">
      <c r="A102" s="174">
        <f t="shared" si="8"/>
        <v>72</v>
      </c>
      <c r="B102" s="183" t="s">
        <v>1462</v>
      </c>
      <c r="C102" s="183" t="s">
        <v>84</v>
      </c>
      <c r="D102" s="184" t="s">
        <v>2022</v>
      </c>
      <c r="E102" s="179" t="s">
        <v>1464</v>
      </c>
      <c r="F102" s="388"/>
      <c r="G102" s="283" t="s">
        <v>1519</v>
      </c>
    </row>
    <row r="103" spans="1:8" s="185" customFormat="1" ht="37.5" x14ac:dyDescent="0.3">
      <c r="A103" s="174">
        <f t="shared" si="8"/>
        <v>73</v>
      </c>
      <c r="B103" s="183" t="s">
        <v>1462</v>
      </c>
      <c r="C103" s="183" t="s">
        <v>84</v>
      </c>
      <c r="D103" s="184" t="s">
        <v>2167</v>
      </c>
      <c r="E103" s="179" t="s">
        <v>1464</v>
      </c>
      <c r="F103" s="388" t="s">
        <v>1519</v>
      </c>
      <c r="G103" s="283" t="s">
        <v>1519</v>
      </c>
    </row>
    <row r="104" spans="1:8" s="185" customFormat="1" ht="56.25" x14ac:dyDescent="0.3">
      <c r="A104" s="174">
        <f t="shared" si="8"/>
        <v>74</v>
      </c>
      <c r="B104" s="183" t="s">
        <v>1462</v>
      </c>
      <c r="C104" s="183" t="s">
        <v>84</v>
      </c>
      <c r="D104" s="186" t="s">
        <v>2024</v>
      </c>
      <c r="E104" s="179" t="s">
        <v>1464</v>
      </c>
      <c r="F104" s="388" t="s">
        <v>1519</v>
      </c>
      <c r="G104" s="283" t="s">
        <v>1519</v>
      </c>
    </row>
    <row r="105" spans="1:8" s="185" customFormat="1" ht="37.5" x14ac:dyDescent="0.3">
      <c r="A105" s="174">
        <f t="shared" si="8"/>
        <v>75</v>
      </c>
      <c r="B105" s="183" t="s">
        <v>1462</v>
      </c>
      <c r="C105" s="183" t="s">
        <v>84</v>
      </c>
      <c r="D105" s="187" t="s">
        <v>2025</v>
      </c>
      <c r="E105" s="179" t="s">
        <v>1464</v>
      </c>
      <c r="F105" s="388" t="s">
        <v>1519</v>
      </c>
      <c r="G105" s="283" t="s">
        <v>1519</v>
      </c>
    </row>
  </sheetData>
  <sheetProtection formatCells="0" formatColumns="0" formatRows="0" insertRows="0" deleteRows="0" sort="0" autoFilter="0"/>
  <mergeCells count="7">
    <mergeCell ref="A2:B2"/>
    <mergeCell ref="C2:G2"/>
    <mergeCell ref="A4:C4"/>
    <mergeCell ref="B6:G6"/>
    <mergeCell ref="B60:G60"/>
    <mergeCell ref="B21:G21"/>
    <mergeCell ref="B22:G22"/>
  </mergeCells>
  <phoneticPr fontId="42" type="noConversion"/>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colBreaks count="1" manualBreakCount="1">
    <brk id="11" max="1048575" man="1"/>
  </colBreaks>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5AB0-73F6-4D97-9F04-5529959B6B0D}">
  <sheetPr codeName="Humidifier_SAPM">
    <pageSetUpPr fitToPage="1"/>
  </sheetPr>
  <dimension ref="A1:I65"/>
  <sheetViews>
    <sheetView view="pageBreakPreview" zoomScale="90" zoomScaleNormal="100" zoomScaleSheetLayoutView="90" workbookViewId="0">
      <selection activeCell="K12" sqref="K12"/>
    </sheetView>
  </sheetViews>
  <sheetFormatPr defaultColWidth="8.855468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7.85546875" customWidth="1"/>
    <col min="11" max="11" width="11.14062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59"/>
      <c r="B3" s="460"/>
      <c r="C3" s="461"/>
      <c r="D3" s="461"/>
      <c r="E3" s="461"/>
      <c r="F3" s="461"/>
      <c r="G3" s="462"/>
    </row>
    <row r="4" spans="1:9" ht="9.9499999999999993" customHeight="1" x14ac:dyDescent="0.25">
      <c r="A4" s="706"/>
      <c r="B4" s="707"/>
      <c r="C4" s="707"/>
      <c r="D4" s="382"/>
      <c r="E4" s="382"/>
      <c r="F4" s="382"/>
      <c r="G4" s="383"/>
      <c r="H4" s="3"/>
      <c r="I4" s="3"/>
    </row>
    <row r="5" spans="1:9" s="3" customFormat="1" ht="37.5" x14ac:dyDescent="0.25">
      <c r="A5" s="378" t="s">
        <v>1455</v>
      </c>
      <c r="B5" s="379" t="s">
        <v>8</v>
      </c>
      <c r="C5" s="379" t="s">
        <v>1456</v>
      </c>
      <c r="D5" s="378" t="s">
        <v>1457</v>
      </c>
      <c r="E5" s="379" t="s">
        <v>1458</v>
      </c>
      <c r="F5" s="379" t="s">
        <v>1459</v>
      </c>
      <c r="G5" s="378" t="s">
        <v>1460</v>
      </c>
    </row>
    <row r="6" spans="1:9" x14ac:dyDescent="0.25">
      <c r="A6" s="228">
        <v>1</v>
      </c>
      <c r="B6" s="716" t="s">
        <v>1461</v>
      </c>
      <c r="C6" s="716"/>
      <c r="D6" s="716"/>
      <c r="E6" s="716"/>
      <c r="F6" s="716"/>
      <c r="G6" s="716"/>
    </row>
    <row r="7" spans="1:9" ht="37.5" x14ac:dyDescent="0.25">
      <c r="A7" s="228">
        <v>2</v>
      </c>
      <c r="B7" s="388" t="s">
        <v>1462</v>
      </c>
      <c r="C7" s="388" t="s">
        <v>84</v>
      </c>
      <c r="D7" s="224" t="s">
        <v>2241</v>
      </c>
      <c r="E7" s="388" t="s">
        <v>1464</v>
      </c>
      <c r="F7" s="189" t="s">
        <v>1519</v>
      </c>
      <c r="G7" s="189"/>
    </row>
    <row r="8" spans="1:9" x14ac:dyDescent="0.25">
      <c r="A8" s="228">
        <v>3</v>
      </c>
      <c r="B8" s="722" t="s">
        <v>2242</v>
      </c>
      <c r="C8" s="723"/>
      <c r="D8" s="723"/>
      <c r="E8" s="723"/>
      <c r="F8" s="723"/>
      <c r="G8" s="724"/>
    </row>
    <row r="9" spans="1:9" ht="36" x14ac:dyDescent="0.25">
      <c r="A9" s="228">
        <v>4</v>
      </c>
      <c r="B9" s="388" t="str">
        <f>Suite</f>
        <v>G104</v>
      </c>
      <c r="C9" s="388" t="str">
        <f>zSelectedEquipment</f>
        <v>G104-Gen-B</v>
      </c>
      <c r="D9" s="224" t="s">
        <v>2243</v>
      </c>
      <c r="E9" s="388" t="s">
        <v>1464</v>
      </c>
      <c r="F9" s="189"/>
      <c r="G9" s="189"/>
    </row>
    <row r="10" spans="1:9" x14ac:dyDescent="0.25">
      <c r="A10" s="228">
        <v>5</v>
      </c>
      <c r="B10" s="717" t="s">
        <v>2244</v>
      </c>
      <c r="C10" s="718"/>
      <c r="D10" s="718"/>
      <c r="E10" s="718"/>
      <c r="F10" s="718"/>
      <c r="G10" s="719"/>
    </row>
    <row r="11" spans="1:9" ht="75" x14ac:dyDescent="0.25">
      <c r="A11" s="228">
        <v>6</v>
      </c>
      <c r="B11" s="475" t="str">
        <f>Location</f>
        <v>IAD35 Generator Yard</v>
      </c>
      <c r="C11" s="388" t="str">
        <f>zSelectedEquipment</f>
        <v>G104-Gen-B</v>
      </c>
      <c r="D11" s="195" t="s">
        <v>2245</v>
      </c>
      <c r="E11" s="388" t="s">
        <v>1529</v>
      </c>
      <c r="F11" s="189"/>
      <c r="G11" s="189"/>
    </row>
    <row r="12" spans="1:9" ht="75" x14ac:dyDescent="0.25">
      <c r="A12" s="228">
        <v>7</v>
      </c>
      <c r="B12" s="475" t="str">
        <f>Location</f>
        <v>IAD35 Generator Yard</v>
      </c>
      <c r="C12" s="388" t="str">
        <f>zSelectedEquipment</f>
        <v>G104-Gen-B</v>
      </c>
      <c r="D12" s="195" t="s">
        <v>2246</v>
      </c>
      <c r="E12" s="388" t="s">
        <v>1529</v>
      </c>
      <c r="F12" s="189"/>
      <c r="G12" s="189"/>
    </row>
    <row r="13" spans="1:9" ht="75" x14ac:dyDescent="0.25">
      <c r="A13" s="228">
        <v>8</v>
      </c>
      <c r="B13" s="475" t="str">
        <f>Location</f>
        <v>IAD35 Generator Yard</v>
      </c>
      <c r="C13" s="388" t="str">
        <f>zSelectedEquipment</f>
        <v>G104-Gen-B</v>
      </c>
      <c r="D13" s="195" t="s">
        <v>2247</v>
      </c>
      <c r="E13" s="388" t="s">
        <v>1529</v>
      </c>
      <c r="F13" s="189"/>
      <c r="G13" s="189"/>
    </row>
    <row r="14" spans="1:9" x14ac:dyDescent="0.25">
      <c r="A14" s="228">
        <v>9</v>
      </c>
      <c r="B14" s="717" t="s">
        <v>2248</v>
      </c>
      <c r="C14" s="718"/>
      <c r="D14" s="718"/>
      <c r="E14" s="718"/>
      <c r="F14" s="718"/>
      <c r="G14" s="719"/>
    </row>
    <row r="15" spans="1:9" ht="75" x14ac:dyDescent="0.25">
      <c r="A15" s="228">
        <v>10</v>
      </c>
      <c r="B15" s="475" t="str">
        <f>Location</f>
        <v>IAD35 Generator Yard</v>
      </c>
      <c r="C15" s="388" t="str">
        <f>zSelectedEquipment</f>
        <v>G104-Gen-B</v>
      </c>
      <c r="D15" s="195" t="s">
        <v>2249</v>
      </c>
      <c r="E15" s="388" t="s">
        <v>1529</v>
      </c>
      <c r="F15" s="189"/>
      <c r="G15" s="189"/>
    </row>
    <row r="16" spans="1:9" ht="75" x14ac:dyDescent="0.25">
      <c r="A16" s="228">
        <v>11</v>
      </c>
      <c r="B16" s="475" t="str">
        <f>Location</f>
        <v>IAD35 Generator Yard</v>
      </c>
      <c r="C16" s="388" t="str">
        <f>zSelectedEquipment</f>
        <v>G104-Gen-B</v>
      </c>
      <c r="D16" s="195" t="s">
        <v>2250</v>
      </c>
      <c r="E16" s="388" t="s">
        <v>1529</v>
      </c>
      <c r="F16" s="189"/>
      <c r="G16" s="189"/>
    </row>
    <row r="17" spans="1:7" ht="75" x14ac:dyDescent="0.25">
      <c r="A17" s="228">
        <v>12</v>
      </c>
      <c r="B17" s="475" t="str">
        <f>Location</f>
        <v>IAD35 Generator Yard</v>
      </c>
      <c r="C17" s="388" t="str">
        <f>zSelectedEquipment</f>
        <v>G104-Gen-B</v>
      </c>
      <c r="D17" s="195" t="s">
        <v>2251</v>
      </c>
      <c r="E17" s="388" t="s">
        <v>1529</v>
      </c>
      <c r="F17" s="189"/>
      <c r="G17" s="189"/>
    </row>
    <row r="18" spans="1:7" ht="75" x14ac:dyDescent="0.25">
      <c r="A18" s="228">
        <v>13</v>
      </c>
      <c r="B18" s="475" t="str">
        <f>Location</f>
        <v>IAD35 Generator Yard</v>
      </c>
      <c r="C18" s="388" t="str">
        <f>zSelectedEquipment</f>
        <v>G104-Gen-B</v>
      </c>
      <c r="D18" s="195" t="s">
        <v>2252</v>
      </c>
      <c r="E18" s="388" t="s">
        <v>1529</v>
      </c>
      <c r="F18" s="189"/>
      <c r="G18" s="189"/>
    </row>
    <row r="19" spans="1:7" x14ac:dyDescent="0.25">
      <c r="A19" s="228">
        <v>14</v>
      </c>
      <c r="B19" s="717" t="s">
        <v>2253</v>
      </c>
      <c r="C19" s="718"/>
      <c r="D19" s="718"/>
      <c r="E19" s="718"/>
      <c r="F19" s="718"/>
      <c r="G19" s="719"/>
    </row>
    <row r="20" spans="1:7" ht="75" x14ac:dyDescent="0.25">
      <c r="A20" s="228">
        <v>15</v>
      </c>
      <c r="B20" s="475" t="str">
        <f>Location</f>
        <v>IAD35 Generator Yard</v>
      </c>
      <c r="C20" s="388" t="str">
        <f>zSelectedEquipment</f>
        <v>G104-Gen-B</v>
      </c>
      <c r="D20" s="195" t="s">
        <v>2254</v>
      </c>
      <c r="E20" s="388" t="s">
        <v>1529</v>
      </c>
      <c r="F20" s="189"/>
      <c r="G20" s="189"/>
    </row>
    <row r="21" spans="1:7" ht="75" x14ac:dyDescent="0.25">
      <c r="A21" s="228">
        <v>16</v>
      </c>
      <c r="B21" s="475" t="str">
        <f>Location</f>
        <v>IAD35 Generator Yard</v>
      </c>
      <c r="C21" s="388" t="str">
        <f>zSelectedEquipment</f>
        <v>G104-Gen-B</v>
      </c>
      <c r="D21" s="195" t="s">
        <v>2255</v>
      </c>
      <c r="E21" s="388" t="s">
        <v>1529</v>
      </c>
      <c r="F21" s="189"/>
      <c r="G21" s="189"/>
    </row>
    <row r="22" spans="1:7" x14ac:dyDescent="0.25">
      <c r="A22" s="228">
        <v>17</v>
      </c>
      <c r="B22" s="717" t="s">
        <v>2256</v>
      </c>
      <c r="C22" s="718"/>
      <c r="D22" s="718"/>
      <c r="E22" s="718"/>
      <c r="F22" s="718"/>
      <c r="G22" s="719"/>
    </row>
    <row r="23" spans="1:7" ht="75" x14ac:dyDescent="0.25">
      <c r="A23" s="228">
        <v>18</v>
      </c>
      <c r="B23" s="475" t="str">
        <f>Location</f>
        <v>IAD35 Generator Yard</v>
      </c>
      <c r="C23" s="388" t="str">
        <f>zSelectedEquipment</f>
        <v>G104-Gen-B</v>
      </c>
      <c r="D23" s="194" t="s">
        <v>2257</v>
      </c>
      <c r="E23" s="388" t="s">
        <v>1529</v>
      </c>
      <c r="F23" s="189"/>
      <c r="G23" s="189"/>
    </row>
    <row r="24" spans="1:7" ht="75" x14ac:dyDescent="0.25">
      <c r="A24" s="228">
        <v>19</v>
      </c>
      <c r="B24" s="475" t="str">
        <f>Location</f>
        <v>IAD35 Generator Yard</v>
      </c>
      <c r="C24" s="388" t="str">
        <f>zSelectedEquipment</f>
        <v>G104-Gen-B</v>
      </c>
      <c r="D24" s="195" t="s">
        <v>2258</v>
      </c>
      <c r="E24" s="388" t="s">
        <v>1529</v>
      </c>
      <c r="F24" s="189"/>
      <c r="G24" s="189"/>
    </row>
    <row r="25" spans="1:7" ht="75" x14ac:dyDescent="0.25">
      <c r="A25" s="228">
        <v>20</v>
      </c>
      <c r="B25" s="475" t="str">
        <f>Location</f>
        <v>IAD35 Generator Yard</v>
      </c>
      <c r="C25" s="388" t="str">
        <f>zSelectedEquipment</f>
        <v>G104-Gen-B</v>
      </c>
      <c r="D25" s="195" t="s">
        <v>2259</v>
      </c>
      <c r="E25" s="388" t="s">
        <v>1529</v>
      </c>
      <c r="F25" s="189"/>
      <c r="G25" s="189"/>
    </row>
    <row r="26" spans="1:7" ht="75" x14ac:dyDescent="0.25">
      <c r="A26" s="228">
        <v>21</v>
      </c>
      <c r="B26" s="475" t="str">
        <f>Location</f>
        <v>IAD35 Generator Yard</v>
      </c>
      <c r="C26" s="388" t="str">
        <f>zSelectedEquipment</f>
        <v>G104-Gen-B</v>
      </c>
      <c r="D26" s="195" t="s">
        <v>2260</v>
      </c>
      <c r="E26" s="388" t="s">
        <v>1529</v>
      </c>
      <c r="F26" s="189"/>
      <c r="G26" s="189"/>
    </row>
    <row r="27" spans="1:7" ht="75" x14ac:dyDescent="0.25">
      <c r="A27" s="228">
        <v>22</v>
      </c>
      <c r="B27" s="475" t="str">
        <f>Location</f>
        <v>IAD35 Generator Yard</v>
      </c>
      <c r="C27" s="388" t="str">
        <f>zSelectedEquipment</f>
        <v>G104-Gen-B</v>
      </c>
      <c r="D27" s="195" t="s">
        <v>2261</v>
      </c>
      <c r="E27" s="388" t="s">
        <v>1529</v>
      </c>
      <c r="F27" s="189"/>
      <c r="G27" s="189"/>
    </row>
    <row r="28" spans="1:7" ht="75" x14ac:dyDescent="0.25">
      <c r="A28" s="228">
        <v>23</v>
      </c>
      <c r="B28" s="475" t="str">
        <f>Location</f>
        <v>IAD35 Generator Yard</v>
      </c>
      <c r="C28" s="388" t="str">
        <f>zSelectedEquipment</f>
        <v>G104-Gen-B</v>
      </c>
      <c r="D28" s="195" t="s">
        <v>2262</v>
      </c>
      <c r="E28" s="388" t="s">
        <v>1529</v>
      </c>
      <c r="F28" s="189"/>
      <c r="G28" s="189"/>
    </row>
    <row r="29" spans="1:7" ht="75" x14ac:dyDescent="0.25">
      <c r="A29" s="228">
        <v>24</v>
      </c>
      <c r="B29" s="475" t="str">
        <f>Location</f>
        <v>IAD35 Generator Yard</v>
      </c>
      <c r="C29" s="388" t="str">
        <f>zSelectedEquipment</f>
        <v>G104-Gen-B</v>
      </c>
      <c r="D29" s="195" t="s">
        <v>2263</v>
      </c>
      <c r="E29" s="388" t="s">
        <v>1529</v>
      </c>
      <c r="F29" s="189"/>
      <c r="G29" s="189"/>
    </row>
    <row r="30" spans="1:7" ht="75" x14ac:dyDescent="0.25">
      <c r="A30" s="228">
        <v>25</v>
      </c>
      <c r="B30" s="475" t="str">
        <f>Location</f>
        <v>IAD35 Generator Yard</v>
      </c>
      <c r="C30" s="388" t="str">
        <f>zSelectedEquipment</f>
        <v>G104-Gen-B</v>
      </c>
      <c r="D30" s="195" t="s">
        <v>2264</v>
      </c>
      <c r="E30" s="388" t="s">
        <v>1529</v>
      </c>
      <c r="F30" s="189"/>
      <c r="G30" s="189"/>
    </row>
    <row r="31" spans="1:7" x14ac:dyDescent="0.25">
      <c r="A31" s="228">
        <v>26</v>
      </c>
      <c r="B31" s="717" t="s">
        <v>2265</v>
      </c>
      <c r="C31" s="718"/>
      <c r="D31" s="718"/>
      <c r="E31" s="718"/>
      <c r="F31" s="718"/>
      <c r="G31" s="719"/>
    </row>
    <row r="32" spans="1:7" ht="75" x14ac:dyDescent="0.25">
      <c r="A32" s="228">
        <v>27</v>
      </c>
      <c r="B32" s="475" t="str">
        <f>Location</f>
        <v>IAD35 Generator Yard</v>
      </c>
      <c r="C32" s="388" t="str">
        <f>zSelectedEquipment</f>
        <v>G104-Gen-B</v>
      </c>
      <c r="D32" s="194" t="s">
        <v>2266</v>
      </c>
      <c r="E32" s="388" t="s">
        <v>1529</v>
      </c>
      <c r="F32" s="189"/>
      <c r="G32" s="189"/>
    </row>
    <row r="33" spans="1:7" ht="75" x14ac:dyDescent="0.25">
      <c r="A33" s="228">
        <v>28</v>
      </c>
      <c r="B33" s="475" t="str">
        <f>Location</f>
        <v>IAD35 Generator Yard</v>
      </c>
      <c r="C33" s="388" t="str">
        <f>zSelectedEquipment</f>
        <v>G104-Gen-B</v>
      </c>
      <c r="D33" s="195" t="s">
        <v>2267</v>
      </c>
      <c r="E33" s="388" t="s">
        <v>1529</v>
      </c>
      <c r="F33" s="189"/>
      <c r="G33" s="189"/>
    </row>
    <row r="34" spans="1:7" ht="75" x14ac:dyDescent="0.25">
      <c r="A34" s="228">
        <v>29</v>
      </c>
      <c r="B34" s="475" t="str">
        <f>Location</f>
        <v>IAD35 Generator Yard</v>
      </c>
      <c r="C34" s="388" t="str">
        <f>zSelectedEquipment</f>
        <v>G104-Gen-B</v>
      </c>
      <c r="D34" s="195" t="s">
        <v>2268</v>
      </c>
      <c r="E34" s="388" t="s">
        <v>1529</v>
      </c>
      <c r="F34" s="189"/>
      <c r="G34" s="189"/>
    </row>
    <row r="35" spans="1:7" ht="75" x14ac:dyDescent="0.25">
      <c r="A35" s="228">
        <v>30</v>
      </c>
      <c r="B35" s="475" t="str">
        <f>Location</f>
        <v>IAD35 Generator Yard</v>
      </c>
      <c r="C35" s="388" t="str">
        <f>zSelectedEquipment</f>
        <v>G104-Gen-B</v>
      </c>
      <c r="D35" s="195" t="s">
        <v>2269</v>
      </c>
      <c r="E35" s="388" t="s">
        <v>1529</v>
      </c>
      <c r="F35" s="189"/>
      <c r="G35" s="189"/>
    </row>
    <row r="36" spans="1:7" ht="75" x14ac:dyDescent="0.25">
      <c r="A36" s="228">
        <v>31</v>
      </c>
      <c r="B36" s="475" t="str">
        <f>Location</f>
        <v>IAD35 Generator Yard</v>
      </c>
      <c r="C36" s="388" t="str">
        <f>zSelectedEquipment</f>
        <v>G104-Gen-B</v>
      </c>
      <c r="D36" s="195" t="s">
        <v>2270</v>
      </c>
      <c r="E36" s="388" t="s">
        <v>1529</v>
      </c>
      <c r="F36" s="189"/>
      <c r="G36" s="189"/>
    </row>
    <row r="37" spans="1:7" ht="75" x14ac:dyDescent="0.25">
      <c r="A37" s="228">
        <v>32</v>
      </c>
      <c r="B37" s="475" t="str">
        <f>Location</f>
        <v>IAD35 Generator Yard</v>
      </c>
      <c r="C37" s="388" t="str">
        <f>zSelectedEquipment</f>
        <v>G104-Gen-B</v>
      </c>
      <c r="D37" s="195" t="s">
        <v>2271</v>
      </c>
      <c r="E37" s="388" t="s">
        <v>1529</v>
      </c>
      <c r="F37" s="189"/>
      <c r="G37" s="189"/>
    </row>
    <row r="38" spans="1:7" ht="75" x14ac:dyDescent="0.25">
      <c r="A38" s="228">
        <v>33</v>
      </c>
      <c r="B38" s="475" t="str">
        <f>Location</f>
        <v>IAD35 Generator Yard</v>
      </c>
      <c r="C38" s="388" t="str">
        <f>zSelectedEquipment</f>
        <v>G104-Gen-B</v>
      </c>
      <c r="D38" s="195" t="s">
        <v>2272</v>
      </c>
      <c r="E38" s="388" t="s">
        <v>1529</v>
      </c>
      <c r="F38" s="189"/>
      <c r="G38" s="189"/>
    </row>
    <row r="39" spans="1:7" x14ac:dyDescent="0.25">
      <c r="A39" s="228">
        <v>34</v>
      </c>
      <c r="B39" s="717" t="s">
        <v>2273</v>
      </c>
      <c r="C39" s="718"/>
      <c r="D39" s="718"/>
      <c r="E39" s="718"/>
      <c r="F39" s="718"/>
      <c r="G39" s="719"/>
    </row>
    <row r="40" spans="1:7" ht="75" x14ac:dyDescent="0.25">
      <c r="A40" s="228">
        <v>35</v>
      </c>
      <c r="B40" s="475" t="str">
        <f>Location</f>
        <v>IAD35 Generator Yard</v>
      </c>
      <c r="C40" s="388" t="str">
        <f>zSelectedEquipment</f>
        <v>G104-Gen-B</v>
      </c>
      <c r="D40" s="195" t="s">
        <v>2274</v>
      </c>
      <c r="E40" s="388" t="s">
        <v>1529</v>
      </c>
      <c r="F40" s="189"/>
      <c r="G40" s="189"/>
    </row>
    <row r="41" spans="1:7" ht="75" x14ac:dyDescent="0.25">
      <c r="A41" s="228">
        <v>36</v>
      </c>
      <c r="B41" s="475" t="str">
        <f>Location</f>
        <v>IAD35 Generator Yard</v>
      </c>
      <c r="C41" s="388" t="str">
        <f>zSelectedEquipment</f>
        <v>G104-Gen-B</v>
      </c>
      <c r="D41" s="195" t="s">
        <v>2275</v>
      </c>
      <c r="E41" s="388" t="s">
        <v>1529</v>
      </c>
      <c r="F41" s="189"/>
      <c r="G41" s="189"/>
    </row>
    <row r="42" spans="1:7" ht="75" x14ac:dyDescent="0.25">
      <c r="A42" s="228">
        <v>37</v>
      </c>
      <c r="B42" s="475" t="str">
        <f>Location</f>
        <v>IAD35 Generator Yard</v>
      </c>
      <c r="C42" s="388" t="str">
        <f>zSelectedEquipment</f>
        <v>G104-Gen-B</v>
      </c>
      <c r="D42" s="195" t="s">
        <v>2276</v>
      </c>
      <c r="E42" s="388" t="s">
        <v>1529</v>
      </c>
      <c r="F42" s="189"/>
      <c r="G42" s="189"/>
    </row>
    <row r="43" spans="1:7" ht="75" x14ac:dyDescent="0.25">
      <c r="A43" s="228">
        <v>38</v>
      </c>
      <c r="B43" s="475" t="str">
        <f>Location</f>
        <v>IAD35 Generator Yard</v>
      </c>
      <c r="C43" s="388" t="str">
        <f>zSelectedEquipment</f>
        <v>G104-Gen-B</v>
      </c>
      <c r="D43" s="195" t="s">
        <v>2277</v>
      </c>
      <c r="E43" s="388" t="s">
        <v>1529</v>
      </c>
      <c r="F43" s="189"/>
      <c r="G43" s="189"/>
    </row>
    <row r="44" spans="1:7" ht="75" x14ac:dyDescent="0.25">
      <c r="A44" s="228">
        <v>39</v>
      </c>
      <c r="B44" s="475" t="str">
        <f>Location</f>
        <v>IAD35 Generator Yard</v>
      </c>
      <c r="C44" s="388" t="str">
        <f>zSelectedEquipment</f>
        <v>G104-Gen-B</v>
      </c>
      <c r="D44" s="195" t="s">
        <v>2278</v>
      </c>
      <c r="E44" s="388" t="s">
        <v>1529</v>
      </c>
      <c r="F44" s="189"/>
      <c r="G44" s="189"/>
    </row>
    <row r="45" spans="1:7" ht="75" x14ac:dyDescent="0.25">
      <c r="A45" s="228">
        <v>40</v>
      </c>
      <c r="B45" s="475" t="str">
        <f>Location</f>
        <v>IAD35 Generator Yard</v>
      </c>
      <c r="C45" s="388" t="str">
        <f>zSelectedEquipment</f>
        <v>G104-Gen-B</v>
      </c>
      <c r="D45" s="195" t="s">
        <v>2279</v>
      </c>
      <c r="E45" s="388" t="s">
        <v>1529</v>
      </c>
      <c r="F45" s="189"/>
      <c r="G45" s="189"/>
    </row>
    <row r="46" spans="1:7" ht="75" x14ac:dyDescent="0.25">
      <c r="A46" s="228">
        <v>41</v>
      </c>
      <c r="B46" s="475" t="str">
        <f>Location</f>
        <v>IAD35 Generator Yard</v>
      </c>
      <c r="C46" s="388" t="str">
        <f>zSelectedEquipment</f>
        <v>G104-Gen-B</v>
      </c>
      <c r="D46" s="195" t="s">
        <v>2280</v>
      </c>
      <c r="E46" s="388" t="s">
        <v>1529</v>
      </c>
      <c r="F46" s="189"/>
      <c r="G46" s="189"/>
    </row>
    <row r="47" spans="1:7" ht="75" x14ac:dyDescent="0.25">
      <c r="A47" s="228">
        <v>42</v>
      </c>
      <c r="B47" s="475" t="str">
        <f>Location</f>
        <v>IAD35 Generator Yard</v>
      </c>
      <c r="C47" s="388" t="str">
        <f>zSelectedEquipment</f>
        <v>G104-Gen-B</v>
      </c>
      <c r="D47" s="195" t="s">
        <v>2281</v>
      </c>
      <c r="E47" s="388" t="s">
        <v>1529</v>
      </c>
      <c r="F47" s="189"/>
      <c r="G47" s="189"/>
    </row>
    <row r="48" spans="1:7" ht="75" x14ac:dyDescent="0.25">
      <c r="A48" s="228">
        <v>43</v>
      </c>
      <c r="B48" s="475" t="str">
        <f>Location</f>
        <v>IAD35 Generator Yard</v>
      </c>
      <c r="C48" s="388" t="str">
        <f>zSelectedEquipment</f>
        <v>G104-Gen-B</v>
      </c>
      <c r="D48" s="195" t="s">
        <v>2282</v>
      </c>
      <c r="E48" s="388" t="s">
        <v>1529</v>
      </c>
      <c r="F48" s="189"/>
      <c r="G48" s="189"/>
    </row>
    <row r="49" spans="1:7" x14ac:dyDescent="0.25">
      <c r="A49" s="228">
        <v>44</v>
      </c>
      <c r="B49" s="475" t="s">
        <v>1462</v>
      </c>
      <c r="C49" s="388" t="s">
        <v>84</v>
      </c>
      <c r="D49" s="195" t="s">
        <v>2283</v>
      </c>
      <c r="E49" s="388" t="s">
        <v>1529</v>
      </c>
      <c r="F49" s="189"/>
      <c r="G49" s="189"/>
    </row>
    <row r="50" spans="1:7" ht="75" x14ac:dyDescent="0.25">
      <c r="A50" s="228">
        <v>45</v>
      </c>
      <c r="B50" s="475" t="str">
        <f>Location</f>
        <v>IAD35 Generator Yard</v>
      </c>
      <c r="C50" s="388" t="str">
        <f>zSelectedEquipment</f>
        <v>G104-Gen-B</v>
      </c>
      <c r="D50" s="195" t="s">
        <v>2284</v>
      </c>
      <c r="E50" s="388" t="s">
        <v>1529</v>
      </c>
      <c r="F50" s="189"/>
      <c r="G50" s="189"/>
    </row>
    <row r="51" spans="1:7" x14ac:dyDescent="0.25">
      <c r="A51" s="228">
        <v>46</v>
      </c>
      <c r="B51" s="717" t="s">
        <v>2285</v>
      </c>
      <c r="C51" s="718"/>
      <c r="D51" s="721"/>
      <c r="E51" s="718"/>
      <c r="F51" s="718"/>
      <c r="G51" s="719"/>
    </row>
    <row r="52" spans="1:7" ht="75" x14ac:dyDescent="0.25">
      <c r="A52" s="228">
        <v>47</v>
      </c>
      <c r="B52" s="475" t="str">
        <f>Location</f>
        <v>IAD35 Generator Yard</v>
      </c>
      <c r="C52" s="388" t="str">
        <f>zSelectedEquipment</f>
        <v>G104-Gen-B</v>
      </c>
      <c r="D52" s="191" t="s">
        <v>2286</v>
      </c>
      <c r="E52" s="388" t="s">
        <v>1529</v>
      </c>
      <c r="F52" s="189"/>
      <c r="G52" s="189"/>
    </row>
    <row r="53" spans="1:7" ht="75" x14ac:dyDescent="0.25">
      <c r="A53" s="228">
        <v>48</v>
      </c>
      <c r="B53" s="475" t="str">
        <f>Location</f>
        <v>IAD35 Generator Yard</v>
      </c>
      <c r="C53" s="388" t="str">
        <f>zSelectedEquipment</f>
        <v>G104-Gen-B</v>
      </c>
      <c r="D53" s="191" t="s">
        <v>2287</v>
      </c>
      <c r="E53" s="388" t="s">
        <v>1529</v>
      </c>
      <c r="F53" s="189"/>
      <c r="G53" s="189"/>
    </row>
    <row r="54" spans="1:7" ht="75" x14ac:dyDescent="0.25">
      <c r="A54" s="228">
        <v>49</v>
      </c>
      <c r="B54" s="475" t="str">
        <f>Location</f>
        <v>IAD35 Generator Yard</v>
      </c>
      <c r="C54" s="388" t="str">
        <f>zSelectedEquipment</f>
        <v>G104-Gen-B</v>
      </c>
      <c r="D54" s="188" t="s">
        <v>2288</v>
      </c>
      <c r="E54" s="388" t="s">
        <v>1529</v>
      </c>
      <c r="F54" s="189"/>
      <c r="G54" s="189"/>
    </row>
    <row r="55" spans="1:7" ht="75" x14ac:dyDescent="0.25">
      <c r="A55" s="228">
        <v>50</v>
      </c>
      <c r="B55" s="475" t="str">
        <f>Location</f>
        <v>IAD35 Generator Yard</v>
      </c>
      <c r="C55" s="388" t="str">
        <f>zSelectedEquipment</f>
        <v>G104-Gen-B</v>
      </c>
      <c r="D55" s="188" t="s">
        <v>2289</v>
      </c>
      <c r="E55" s="388" t="s">
        <v>1529</v>
      </c>
      <c r="F55" s="189"/>
      <c r="G55" s="189"/>
    </row>
    <row r="56" spans="1:7" x14ac:dyDescent="0.3">
      <c r="A56" s="229"/>
    </row>
    <row r="57" spans="1:7" x14ac:dyDescent="0.3">
      <c r="A57" s="192"/>
    </row>
    <row r="58" spans="1:7" x14ac:dyDescent="0.3">
      <c r="A58" s="192"/>
    </row>
    <row r="59" spans="1:7" x14ac:dyDescent="0.3">
      <c r="A59" s="192"/>
    </row>
    <row r="60" spans="1:7" x14ac:dyDescent="0.3">
      <c r="A60" s="192"/>
    </row>
    <row r="61" spans="1:7" x14ac:dyDescent="0.3">
      <c r="A61" s="192"/>
    </row>
    <row r="62" spans="1:7" x14ac:dyDescent="0.3">
      <c r="A62" s="192"/>
    </row>
    <row r="63" spans="1:7" x14ac:dyDescent="0.3">
      <c r="A63" s="192"/>
    </row>
    <row r="64" spans="1:7" x14ac:dyDescent="0.3">
      <c r="A64" s="192"/>
    </row>
    <row r="65" spans="1:1" x14ac:dyDescent="0.3">
      <c r="A65" s="192"/>
    </row>
  </sheetData>
  <sheetProtection formatCells="0" formatColumns="0" formatRows="0" insertRows="0" deleteRows="0" sort="0" autoFilter="0"/>
  <mergeCells count="12">
    <mergeCell ref="A4:C4"/>
    <mergeCell ref="A2:B2"/>
    <mergeCell ref="C2:G2"/>
    <mergeCell ref="B51:G51"/>
    <mergeCell ref="B6:G6"/>
    <mergeCell ref="B8:G8"/>
    <mergeCell ref="B10:G10"/>
    <mergeCell ref="B14:G14"/>
    <mergeCell ref="B19:G19"/>
    <mergeCell ref="B22:G22"/>
    <mergeCell ref="B31:G31"/>
    <mergeCell ref="B39:G39"/>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A380F-9230-49C4-8ABB-4FFEA4888A92}">
  <sheetPr codeName="CRAC_SAPM">
    <pageSetUpPr fitToPage="1"/>
  </sheetPr>
  <dimension ref="A1:I105"/>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240" customWidth="1"/>
    <col min="3" max="3" width="15.42578125" style="240" customWidth="1"/>
    <col min="4" max="4" width="87.42578125" style="240" customWidth="1"/>
    <col min="5" max="5" width="22.140625" style="240" bestFit="1" customWidth="1"/>
    <col min="6" max="6" width="13.85546875" style="240" bestFit="1" customWidth="1"/>
    <col min="7" max="7" width="10.42578125" style="240" customWidth="1"/>
    <col min="8" max="8" width="12.140625" customWidth="1"/>
    <col min="9" max="9" width="10.7109375" customWidth="1"/>
    <col min="10" max="10" width="9.140625" customWidth="1"/>
    <col min="11" max="11" width="9.85546875" customWidth="1"/>
  </cols>
  <sheetData>
    <row r="1" spans="1:9" x14ac:dyDescent="0.25">
      <c r="A1" s="209" t="s">
        <v>1454</v>
      </c>
      <c r="B1" s="209"/>
      <c r="C1" s="210"/>
      <c r="D1" s="210"/>
      <c r="E1" s="210"/>
      <c r="F1" s="210"/>
      <c r="G1" s="210"/>
    </row>
    <row r="2" spans="1:9" ht="18.75" customHeight="1" x14ac:dyDescent="0.25">
      <c r="A2" s="705" t="s">
        <v>42</v>
      </c>
      <c r="B2" s="705"/>
      <c r="C2" s="731" t="str">
        <f>zTaskName</f>
        <v>Routine Generator run with no load transfer</v>
      </c>
      <c r="D2" s="730"/>
      <c r="E2" s="730"/>
      <c r="F2" s="730"/>
      <c r="G2" s="732"/>
    </row>
    <row r="3" spans="1:9" ht="9.9499999999999993" customHeight="1" x14ac:dyDescent="0.25">
      <c r="A3" s="728"/>
      <c r="B3" s="729"/>
      <c r="C3" s="730"/>
      <c r="D3" s="730"/>
      <c r="E3" s="380"/>
      <c r="F3" s="380"/>
      <c r="G3" s="381"/>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28">
        <v>1</v>
      </c>
      <c r="B6" s="712" t="str">
        <f>"PERFORM PRE-TESTING NOTIFICATION and CALLOUT – "&amp;Suite</f>
        <v>PERFORM PRE-TESTING NOTIFICATION and CALLOUT – G104</v>
      </c>
      <c r="C6" s="712"/>
      <c r="D6" s="712"/>
      <c r="E6" s="712"/>
      <c r="F6" s="712"/>
      <c r="G6" s="712"/>
    </row>
    <row r="7" spans="1:9" ht="37.5" x14ac:dyDescent="0.25">
      <c r="A7" s="228">
        <v>2</v>
      </c>
      <c r="B7" s="183" t="s">
        <v>1462</v>
      </c>
      <c r="C7" s="183" t="s">
        <v>84</v>
      </c>
      <c r="D7" s="230" t="s">
        <v>2290</v>
      </c>
      <c r="E7" s="183" t="s">
        <v>1464</v>
      </c>
      <c r="F7" s="193"/>
      <c r="G7" s="193" t="s">
        <v>1519</v>
      </c>
    </row>
    <row r="8" spans="1:9" ht="37.5" x14ac:dyDescent="0.25">
      <c r="A8" s="228">
        <v>3</v>
      </c>
      <c r="B8" s="183" t="s">
        <v>1462</v>
      </c>
      <c r="C8" s="183" t="s">
        <v>84</v>
      </c>
      <c r="D8" s="230" t="s">
        <v>2291</v>
      </c>
      <c r="E8" s="183" t="s">
        <v>1464</v>
      </c>
      <c r="F8" s="193"/>
      <c r="G8" s="193" t="s">
        <v>1519</v>
      </c>
    </row>
    <row r="9" spans="1:9" ht="37.5" x14ac:dyDescent="0.25">
      <c r="A9" s="228">
        <v>4</v>
      </c>
      <c r="B9" s="183" t="s">
        <v>1462</v>
      </c>
      <c r="C9" s="183" t="s">
        <v>84</v>
      </c>
      <c r="D9" s="230" t="s">
        <v>2025</v>
      </c>
      <c r="E9" s="183" t="s">
        <v>1464</v>
      </c>
      <c r="F9" s="193"/>
      <c r="G9" s="193" t="s">
        <v>1519</v>
      </c>
    </row>
    <row r="10" spans="1:9" x14ac:dyDescent="0.25">
      <c r="A10" s="228">
        <v>5</v>
      </c>
      <c r="B10" s="712" t="str">
        <f>"DISABLE SUITE CONTROLS AND DETECTORS – "&amp;Suite</f>
        <v>DISABLE SUITE CONTROLS AND DETECTORS – G104</v>
      </c>
      <c r="C10" s="712"/>
      <c r="D10" s="712"/>
      <c r="E10" s="712"/>
      <c r="F10" s="712"/>
      <c r="G10" s="712"/>
    </row>
    <row r="11" spans="1:9" ht="36.75" x14ac:dyDescent="0.25">
      <c r="A11" s="228">
        <v>6</v>
      </c>
      <c r="B11" s="183" t="str">
        <f t="shared" ref="B11:B12" si="0">Suite</f>
        <v>G104</v>
      </c>
      <c r="C11" s="183" t="s">
        <v>2058</v>
      </c>
      <c r="D11" s="230" t="s">
        <v>2292</v>
      </c>
      <c r="E11" s="183" t="s">
        <v>1464</v>
      </c>
      <c r="F11" s="193"/>
      <c r="G11" s="193"/>
    </row>
    <row r="12" spans="1:9" ht="36.75" x14ac:dyDescent="0.25">
      <c r="A12" s="228">
        <v>7</v>
      </c>
      <c r="B12" s="183" t="str">
        <f t="shared" si="0"/>
        <v>G104</v>
      </c>
      <c r="C12" s="183" t="s">
        <v>2058</v>
      </c>
      <c r="D12" s="230" t="s">
        <v>2293</v>
      </c>
      <c r="E12" s="183" t="s">
        <v>1464</v>
      </c>
      <c r="F12" s="193"/>
      <c r="G12" s="193"/>
    </row>
    <row r="13" spans="1:9" x14ac:dyDescent="0.25">
      <c r="A13" s="228">
        <v>8</v>
      </c>
      <c r="B13" s="725" t="s">
        <v>2242</v>
      </c>
      <c r="C13" s="726"/>
      <c r="D13" s="726"/>
      <c r="E13" s="726"/>
      <c r="F13" s="726"/>
      <c r="G13" s="727"/>
    </row>
    <row r="14" spans="1:9" x14ac:dyDescent="0.25">
      <c r="A14" s="228">
        <v>9</v>
      </c>
      <c r="B14" s="733" t="s">
        <v>2244</v>
      </c>
      <c r="C14" s="734"/>
      <c r="D14" s="734"/>
      <c r="E14" s="734"/>
      <c r="F14" s="734"/>
      <c r="G14" s="735"/>
    </row>
    <row r="15" spans="1:9" ht="108" x14ac:dyDescent="0.25">
      <c r="A15" s="228">
        <v>10</v>
      </c>
      <c r="B15" s="231" t="str">
        <f>Suite&amp;" CRAC Gallery"</f>
        <v>G104 CRAC Gallery</v>
      </c>
      <c r="C15" s="183" t="s">
        <v>2294</v>
      </c>
      <c r="D15" s="232" t="s">
        <v>2295</v>
      </c>
      <c r="E15" s="183" t="s">
        <v>1464</v>
      </c>
      <c r="F15" s="193"/>
      <c r="G15" s="193"/>
    </row>
    <row r="16" spans="1:9" ht="93.75" x14ac:dyDescent="0.25">
      <c r="A16" s="228">
        <v>11</v>
      </c>
      <c r="B16" s="231" t="str">
        <f>Suite&amp;" CRAC Gallery"</f>
        <v>G104 CRAC Gallery</v>
      </c>
      <c r="C16" s="183" t="s">
        <v>2294</v>
      </c>
      <c r="D16" s="186" t="s">
        <v>2296</v>
      </c>
      <c r="E16" s="183" t="s">
        <v>1529</v>
      </c>
      <c r="F16" s="193"/>
      <c r="G16" s="193"/>
    </row>
    <row r="17" spans="1:7" ht="37.5" x14ac:dyDescent="0.25">
      <c r="A17" s="228">
        <v>12</v>
      </c>
      <c r="B17" s="231" t="str">
        <f>Suite&amp;" CRAC Gallery"</f>
        <v>G104 CRAC Gallery</v>
      </c>
      <c r="C17" s="183" t="s">
        <v>2294</v>
      </c>
      <c r="D17" s="186" t="s">
        <v>2297</v>
      </c>
      <c r="E17" s="183" t="s">
        <v>1529</v>
      </c>
      <c r="F17" s="193"/>
      <c r="G17" s="193"/>
    </row>
    <row r="18" spans="1:7" ht="37.5" x14ac:dyDescent="0.25">
      <c r="A18" s="228">
        <v>13</v>
      </c>
      <c r="B18" s="231" t="str">
        <f>Suite&amp;" CRAC Gallery"</f>
        <v>G104 CRAC Gallery</v>
      </c>
      <c r="C18" s="183" t="s">
        <v>2294</v>
      </c>
      <c r="D18" s="186" t="s">
        <v>2298</v>
      </c>
      <c r="E18" s="183" t="s">
        <v>1529</v>
      </c>
      <c r="F18" s="193"/>
      <c r="G18" s="193"/>
    </row>
    <row r="19" spans="1:7" ht="37.5" x14ac:dyDescent="0.25">
      <c r="A19" s="228">
        <v>14</v>
      </c>
      <c r="B19" s="231" t="str">
        <f>Suite&amp;" CRAC Gallery"</f>
        <v>G104 CRAC Gallery</v>
      </c>
      <c r="C19" s="183" t="s">
        <v>2294</v>
      </c>
      <c r="D19" s="186" t="s">
        <v>2299</v>
      </c>
      <c r="E19" s="183" t="s">
        <v>1529</v>
      </c>
      <c r="F19" s="193"/>
      <c r="G19" s="193"/>
    </row>
    <row r="20" spans="1:7" x14ac:dyDescent="0.25">
      <c r="A20" s="228">
        <v>15</v>
      </c>
      <c r="B20" s="733" t="s">
        <v>2300</v>
      </c>
      <c r="C20" s="734"/>
      <c r="D20" s="734"/>
      <c r="E20" s="734"/>
      <c r="F20" s="734"/>
      <c r="G20" s="735"/>
    </row>
    <row r="21" spans="1:7" ht="37.5" x14ac:dyDescent="0.25">
      <c r="A21" s="228">
        <v>16</v>
      </c>
      <c r="B21" s="231" t="str">
        <f>Suite&amp;" CRAC Gallery"</f>
        <v>G104 CRAC Gallery</v>
      </c>
      <c r="C21" s="183" t="s">
        <v>2294</v>
      </c>
      <c r="D21" s="186" t="s">
        <v>2250</v>
      </c>
      <c r="E21" s="183" t="s">
        <v>1529</v>
      </c>
      <c r="F21" s="193"/>
      <c r="G21" s="193"/>
    </row>
    <row r="22" spans="1:7" ht="37.5" x14ac:dyDescent="0.25">
      <c r="A22" s="228">
        <v>17</v>
      </c>
      <c r="B22" s="231" t="str">
        <f>Suite&amp;" CRAC Gallery"</f>
        <v>G104 CRAC Gallery</v>
      </c>
      <c r="C22" s="183" t="s">
        <v>2294</v>
      </c>
      <c r="D22" s="186" t="s">
        <v>2251</v>
      </c>
      <c r="E22" s="183" t="s">
        <v>1529</v>
      </c>
      <c r="F22" s="193"/>
      <c r="G22" s="193"/>
    </row>
    <row r="23" spans="1:7" ht="37.5" x14ac:dyDescent="0.25">
      <c r="A23" s="228">
        <v>18</v>
      </c>
      <c r="B23" s="231" t="str">
        <f>Suite&amp;" CRAC Gallery"</f>
        <v>G104 CRAC Gallery</v>
      </c>
      <c r="C23" s="183" t="s">
        <v>2294</v>
      </c>
      <c r="D23" s="186" t="s">
        <v>2301</v>
      </c>
      <c r="E23" s="183" t="s">
        <v>1529</v>
      </c>
      <c r="F23" s="193"/>
      <c r="G23" s="193"/>
    </row>
    <row r="24" spans="1:7" x14ac:dyDescent="0.25">
      <c r="A24" s="228">
        <v>19</v>
      </c>
      <c r="B24" s="733" t="s">
        <v>2302</v>
      </c>
      <c r="C24" s="734"/>
      <c r="D24" s="734"/>
      <c r="E24" s="734"/>
      <c r="F24" s="734"/>
      <c r="G24" s="735"/>
    </row>
    <row r="25" spans="1:7" ht="37.5" x14ac:dyDescent="0.25">
      <c r="A25" s="228">
        <v>20</v>
      </c>
      <c r="B25" s="231" t="str">
        <f>Suite&amp;" CRAC Gallery"</f>
        <v>G104 CRAC Gallery</v>
      </c>
      <c r="C25" s="183" t="s">
        <v>2294</v>
      </c>
      <c r="D25" s="186" t="s">
        <v>2254</v>
      </c>
      <c r="E25" s="183" t="s">
        <v>1529</v>
      </c>
      <c r="F25" s="193"/>
      <c r="G25" s="193"/>
    </row>
    <row r="26" spans="1:7" ht="37.5" x14ac:dyDescent="0.25">
      <c r="A26" s="228">
        <v>21</v>
      </c>
      <c r="B26" s="231" t="str">
        <f>Suite&amp;" CRAC Gallery"</f>
        <v>G104 CRAC Gallery</v>
      </c>
      <c r="C26" s="183" t="s">
        <v>2294</v>
      </c>
      <c r="D26" s="186" t="s">
        <v>2303</v>
      </c>
      <c r="E26" s="183" t="s">
        <v>1529</v>
      </c>
      <c r="F26" s="193"/>
      <c r="G26" s="193"/>
    </row>
    <row r="27" spans="1:7" ht="37.5" x14ac:dyDescent="0.25">
      <c r="A27" s="228">
        <v>22</v>
      </c>
      <c r="B27" s="231" t="str">
        <f>Suite&amp;" CRAC Gallery"</f>
        <v>G104 CRAC Gallery</v>
      </c>
      <c r="C27" s="183" t="s">
        <v>2294</v>
      </c>
      <c r="D27" s="186" t="s">
        <v>2304</v>
      </c>
      <c r="E27" s="183" t="s">
        <v>1529</v>
      </c>
      <c r="F27" s="193"/>
      <c r="G27" s="193"/>
    </row>
    <row r="28" spans="1:7" x14ac:dyDescent="0.25">
      <c r="A28" s="228">
        <v>23</v>
      </c>
      <c r="B28" s="733" t="s">
        <v>2305</v>
      </c>
      <c r="C28" s="734"/>
      <c r="D28" s="734"/>
      <c r="E28" s="734"/>
      <c r="F28" s="734"/>
      <c r="G28" s="735"/>
    </row>
    <row r="29" spans="1:7" ht="37.5" x14ac:dyDescent="0.25">
      <c r="A29" s="228">
        <v>24</v>
      </c>
      <c r="B29" s="231" t="str">
        <f t="shared" ref="B29:B34" si="1">Suite&amp;" CRAC Gallery"</f>
        <v>G104 CRAC Gallery</v>
      </c>
      <c r="C29" s="183" t="s">
        <v>2294</v>
      </c>
      <c r="D29" s="186" t="s">
        <v>2306</v>
      </c>
      <c r="E29" s="183" t="s">
        <v>1529</v>
      </c>
      <c r="F29" s="193"/>
      <c r="G29" s="193"/>
    </row>
    <row r="30" spans="1:7" ht="37.5" x14ac:dyDescent="0.25">
      <c r="A30" s="228">
        <v>25</v>
      </c>
      <c r="B30" s="231" t="str">
        <f t="shared" si="1"/>
        <v>G104 CRAC Gallery</v>
      </c>
      <c r="C30" s="183" t="s">
        <v>2294</v>
      </c>
      <c r="D30" s="186" t="s">
        <v>2307</v>
      </c>
      <c r="E30" s="183" t="s">
        <v>1529</v>
      </c>
      <c r="F30" s="193"/>
      <c r="G30" s="193"/>
    </row>
    <row r="31" spans="1:7" ht="37.5" x14ac:dyDescent="0.25">
      <c r="A31" s="228">
        <v>26</v>
      </c>
      <c r="B31" s="231" t="str">
        <f t="shared" si="1"/>
        <v>G104 CRAC Gallery</v>
      </c>
      <c r="C31" s="183" t="s">
        <v>2294</v>
      </c>
      <c r="D31" s="186" t="s">
        <v>2308</v>
      </c>
      <c r="E31" s="183" t="s">
        <v>1529</v>
      </c>
      <c r="F31" s="193"/>
      <c r="G31" s="193"/>
    </row>
    <row r="32" spans="1:7" ht="37.5" x14ac:dyDescent="0.25">
      <c r="A32" s="228">
        <v>27</v>
      </c>
      <c r="B32" s="231" t="str">
        <f t="shared" si="1"/>
        <v>G104 CRAC Gallery</v>
      </c>
      <c r="C32" s="183" t="s">
        <v>2294</v>
      </c>
      <c r="D32" s="186" t="s">
        <v>2309</v>
      </c>
      <c r="E32" s="183" t="s">
        <v>1529</v>
      </c>
      <c r="F32" s="193"/>
      <c r="G32" s="193"/>
    </row>
    <row r="33" spans="1:7" ht="37.5" x14ac:dyDescent="0.25">
      <c r="A33" s="228">
        <v>28</v>
      </c>
      <c r="B33" s="231" t="str">
        <f t="shared" si="1"/>
        <v>G104 CRAC Gallery</v>
      </c>
      <c r="C33" s="183" t="s">
        <v>2294</v>
      </c>
      <c r="D33" s="186" t="s">
        <v>2310</v>
      </c>
      <c r="E33" s="183" t="s">
        <v>1529</v>
      </c>
      <c r="F33" s="193"/>
      <c r="G33" s="193"/>
    </row>
    <row r="34" spans="1:7" ht="37.5" x14ac:dyDescent="0.25">
      <c r="A34" s="228">
        <v>29</v>
      </c>
      <c r="B34" s="231" t="str">
        <f t="shared" si="1"/>
        <v>G104 CRAC Gallery</v>
      </c>
      <c r="C34" s="183" t="s">
        <v>2294</v>
      </c>
      <c r="D34" s="186" t="s">
        <v>2311</v>
      </c>
      <c r="E34" s="183" t="s">
        <v>1529</v>
      </c>
      <c r="F34" s="193"/>
      <c r="G34" s="193"/>
    </row>
    <row r="35" spans="1:7" x14ac:dyDescent="0.25">
      <c r="A35" s="228">
        <v>30</v>
      </c>
      <c r="B35" s="733" t="s">
        <v>2312</v>
      </c>
      <c r="C35" s="734"/>
      <c r="D35" s="734"/>
      <c r="E35" s="734"/>
      <c r="F35" s="734"/>
      <c r="G35" s="735"/>
    </row>
    <row r="36" spans="1:7" ht="37.5" x14ac:dyDescent="0.25">
      <c r="A36" s="228">
        <v>31</v>
      </c>
      <c r="B36" s="231" t="str">
        <f>Suite&amp;" CRAC Gallery"</f>
        <v>G104 CRAC Gallery</v>
      </c>
      <c r="C36" s="183" t="s">
        <v>2294</v>
      </c>
      <c r="D36" s="186" t="s">
        <v>2313</v>
      </c>
      <c r="E36" s="183" t="s">
        <v>1529</v>
      </c>
      <c r="F36" s="193"/>
      <c r="G36" s="193"/>
    </row>
    <row r="37" spans="1:7" ht="37.5" x14ac:dyDescent="0.25">
      <c r="A37" s="228">
        <v>32</v>
      </c>
      <c r="B37" s="231" t="str">
        <f>Suite&amp;" CRAC Gallery"</f>
        <v>G104 CRAC Gallery</v>
      </c>
      <c r="C37" s="183" t="s">
        <v>2294</v>
      </c>
      <c r="D37" s="186" t="s">
        <v>2314</v>
      </c>
      <c r="E37" s="183" t="s">
        <v>1529</v>
      </c>
      <c r="F37" s="193"/>
      <c r="G37" s="193"/>
    </row>
    <row r="38" spans="1:7" ht="37.5" x14ac:dyDescent="0.25">
      <c r="A38" s="228">
        <v>33</v>
      </c>
      <c r="B38" s="231" t="str">
        <f>Suite&amp;" CRAC Gallery"</f>
        <v>G104 CRAC Gallery</v>
      </c>
      <c r="C38" s="183" t="s">
        <v>2294</v>
      </c>
      <c r="D38" s="186" t="s">
        <v>2315</v>
      </c>
      <c r="E38" s="183" t="s">
        <v>1529</v>
      </c>
      <c r="F38" s="193"/>
      <c r="G38" s="193"/>
    </row>
    <row r="39" spans="1:7" x14ac:dyDescent="0.25">
      <c r="A39" s="228">
        <v>34</v>
      </c>
      <c r="B39" s="733" t="s">
        <v>2316</v>
      </c>
      <c r="C39" s="734"/>
      <c r="D39" s="734"/>
      <c r="E39" s="734"/>
      <c r="F39" s="734"/>
      <c r="G39" s="735"/>
    </row>
    <row r="40" spans="1:7" ht="37.5" x14ac:dyDescent="0.25">
      <c r="A40" s="228">
        <v>35</v>
      </c>
      <c r="B40" s="231" t="str">
        <f>Suite&amp;" CRAC Gallery"</f>
        <v>G104 CRAC Gallery</v>
      </c>
      <c r="C40" s="183" t="s">
        <v>2294</v>
      </c>
      <c r="D40" s="186" t="s">
        <v>2317</v>
      </c>
      <c r="E40" s="183" t="s">
        <v>1529</v>
      </c>
      <c r="F40" s="193"/>
      <c r="G40" s="193" t="s">
        <v>1519</v>
      </c>
    </row>
    <row r="41" spans="1:7" ht="37.5" x14ac:dyDescent="0.25">
      <c r="A41" s="228">
        <v>36</v>
      </c>
      <c r="B41" s="231" t="str">
        <f>Suite&amp;" CRAC Gallery"</f>
        <v>G104 CRAC Gallery</v>
      </c>
      <c r="C41" s="183" t="s">
        <v>2294</v>
      </c>
      <c r="D41" s="186" t="s">
        <v>2318</v>
      </c>
      <c r="E41" s="183" t="s">
        <v>1529</v>
      </c>
      <c r="F41" s="193"/>
      <c r="G41" s="193" t="s">
        <v>1519</v>
      </c>
    </row>
    <row r="42" spans="1:7" ht="37.5" x14ac:dyDescent="0.25">
      <c r="A42" s="228">
        <v>37</v>
      </c>
      <c r="B42" s="231" t="str">
        <f>Suite&amp;" CRAC Gallery"</f>
        <v>G104 CRAC Gallery</v>
      </c>
      <c r="C42" s="183" t="s">
        <v>2294</v>
      </c>
      <c r="D42" s="186" t="s">
        <v>2319</v>
      </c>
      <c r="E42" s="183" t="s">
        <v>1529</v>
      </c>
      <c r="F42" s="193"/>
      <c r="G42" s="193" t="s">
        <v>1519</v>
      </c>
    </row>
    <row r="43" spans="1:7" ht="37.5" x14ac:dyDescent="0.25">
      <c r="A43" s="228">
        <v>38</v>
      </c>
      <c r="B43" s="231" t="str">
        <f>Suite&amp;" CRAC Gallery"</f>
        <v>G104 CRAC Gallery</v>
      </c>
      <c r="C43" s="183" t="s">
        <v>2294</v>
      </c>
      <c r="D43" s="186" t="s">
        <v>2320</v>
      </c>
      <c r="E43" s="183" t="s">
        <v>1529</v>
      </c>
      <c r="F43" s="193"/>
      <c r="G43" s="193" t="s">
        <v>1519</v>
      </c>
    </row>
    <row r="44" spans="1:7" ht="37.5" x14ac:dyDescent="0.25">
      <c r="A44" s="228">
        <v>39</v>
      </c>
      <c r="B44" s="231" t="str">
        <f>Suite&amp;" CRAC Gallery"</f>
        <v>G104 CRAC Gallery</v>
      </c>
      <c r="C44" s="183" t="s">
        <v>2294</v>
      </c>
      <c r="D44" s="186" t="s">
        <v>2321</v>
      </c>
      <c r="E44" s="183" t="s">
        <v>1529</v>
      </c>
      <c r="F44" s="193"/>
      <c r="G44" s="193" t="s">
        <v>1519</v>
      </c>
    </row>
    <row r="45" spans="1:7" x14ac:dyDescent="0.25">
      <c r="A45" s="228">
        <v>40</v>
      </c>
      <c r="B45" s="733" t="s">
        <v>2322</v>
      </c>
      <c r="C45" s="734"/>
      <c r="D45" s="734"/>
      <c r="E45" s="734"/>
      <c r="F45" s="734"/>
      <c r="G45" s="735"/>
    </row>
    <row r="46" spans="1:7" ht="37.5" x14ac:dyDescent="0.25">
      <c r="A46" s="228">
        <v>41</v>
      </c>
      <c r="B46" s="231" t="str">
        <f t="shared" ref="B46:B51" si="2">Suite&amp;" CRAC Gallery"</f>
        <v>G104 CRAC Gallery</v>
      </c>
      <c r="C46" s="183" t="s">
        <v>2294</v>
      </c>
      <c r="D46" s="186" t="s">
        <v>2323</v>
      </c>
      <c r="E46" s="183" t="s">
        <v>1529</v>
      </c>
      <c r="F46" s="193"/>
      <c r="G46" s="193" t="s">
        <v>1519</v>
      </c>
    </row>
    <row r="47" spans="1:7" ht="37.5" x14ac:dyDescent="0.25">
      <c r="A47" s="228">
        <v>42</v>
      </c>
      <c r="B47" s="231" t="str">
        <f t="shared" si="2"/>
        <v>G104 CRAC Gallery</v>
      </c>
      <c r="C47" s="183" t="s">
        <v>2294</v>
      </c>
      <c r="D47" s="186" t="s">
        <v>2324</v>
      </c>
      <c r="E47" s="183" t="s">
        <v>1529</v>
      </c>
      <c r="F47" s="193"/>
      <c r="G47" s="193" t="s">
        <v>1519</v>
      </c>
    </row>
    <row r="48" spans="1:7" ht="37.5" x14ac:dyDescent="0.25">
      <c r="A48" s="228">
        <v>43</v>
      </c>
      <c r="B48" s="231" t="str">
        <f t="shared" si="2"/>
        <v>G104 CRAC Gallery</v>
      </c>
      <c r="C48" s="183" t="s">
        <v>2294</v>
      </c>
      <c r="D48" s="186" t="s">
        <v>2325</v>
      </c>
      <c r="E48" s="183" t="s">
        <v>1529</v>
      </c>
      <c r="F48" s="193"/>
      <c r="G48" s="193" t="s">
        <v>1519</v>
      </c>
    </row>
    <row r="49" spans="1:7" ht="37.5" x14ac:dyDescent="0.25">
      <c r="A49" s="228">
        <v>44</v>
      </c>
      <c r="B49" s="231" t="str">
        <f t="shared" si="2"/>
        <v>G104 CRAC Gallery</v>
      </c>
      <c r="C49" s="183" t="s">
        <v>2294</v>
      </c>
      <c r="D49" s="186" t="s">
        <v>2326</v>
      </c>
      <c r="E49" s="183" t="s">
        <v>1529</v>
      </c>
      <c r="F49" s="193"/>
      <c r="G49" s="193" t="s">
        <v>1519</v>
      </c>
    </row>
    <row r="50" spans="1:7" ht="37.5" x14ac:dyDescent="0.25">
      <c r="A50" s="228">
        <v>45</v>
      </c>
      <c r="B50" s="231" t="str">
        <f t="shared" si="2"/>
        <v>G104 CRAC Gallery</v>
      </c>
      <c r="C50" s="183" t="s">
        <v>2294</v>
      </c>
      <c r="D50" s="186" t="s">
        <v>2327</v>
      </c>
      <c r="E50" s="183" t="s">
        <v>1529</v>
      </c>
      <c r="F50" s="193"/>
      <c r="G50" s="193" t="s">
        <v>1519</v>
      </c>
    </row>
    <row r="51" spans="1:7" ht="37.5" x14ac:dyDescent="0.25">
      <c r="A51" s="228">
        <v>46</v>
      </c>
      <c r="B51" s="231" t="str">
        <f t="shared" si="2"/>
        <v>G104 CRAC Gallery</v>
      </c>
      <c r="C51" s="183" t="s">
        <v>2294</v>
      </c>
      <c r="D51" s="186" t="s">
        <v>2328</v>
      </c>
      <c r="E51" s="183" t="s">
        <v>1529</v>
      </c>
      <c r="F51" s="193"/>
      <c r="G51" s="193" t="s">
        <v>1519</v>
      </c>
    </row>
    <row r="52" spans="1:7" x14ac:dyDescent="0.25">
      <c r="A52" s="228">
        <v>47</v>
      </c>
      <c r="B52" s="733" t="s">
        <v>2329</v>
      </c>
      <c r="C52" s="734"/>
      <c r="D52" s="734"/>
      <c r="E52" s="734"/>
      <c r="F52" s="734"/>
      <c r="G52" s="735"/>
    </row>
    <row r="53" spans="1:7" ht="37.5" x14ac:dyDescent="0.25">
      <c r="A53" s="228">
        <v>48</v>
      </c>
      <c r="B53" s="231" t="str">
        <f>Building&amp;" Building Roof"</f>
        <v>G Building Roof</v>
      </c>
      <c r="C53" s="183" t="s">
        <v>2330</v>
      </c>
      <c r="D53" s="186" t="s">
        <v>2299</v>
      </c>
      <c r="E53" s="183" t="s">
        <v>1529</v>
      </c>
      <c r="F53" s="193"/>
      <c r="G53" s="193" t="s">
        <v>1519</v>
      </c>
    </row>
    <row r="54" spans="1:7" ht="37.5" x14ac:dyDescent="0.25">
      <c r="A54" s="228">
        <v>49</v>
      </c>
      <c r="B54" s="231" t="str">
        <f>Building&amp;" Building Roof"</f>
        <v>G Building Roof</v>
      </c>
      <c r="C54" s="183" t="s">
        <v>2330</v>
      </c>
      <c r="D54" s="186" t="s">
        <v>2331</v>
      </c>
      <c r="E54" s="183" t="s">
        <v>1529</v>
      </c>
      <c r="F54" s="193"/>
      <c r="G54" s="193" t="s">
        <v>1519</v>
      </c>
    </row>
    <row r="55" spans="1:7" ht="37.5" x14ac:dyDescent="0.25">
      <c r="A55" s="228">
        <v>50</v>
      </c>
      <c r="B55" s="231" t="str">
        <f>Building&amp;" Building Roof"</f>
        <v>G Building Roof</v>
      </c>
      <c r="C55" s="183" t="s">
        <v>2330</v>
      </c>
      <c r="D55" s="186" t="s">
        <v>2332</v>
      </c>
      <c r="E55" s="183" t="s">
        <v>1529</v>
      </c>
      <c r="F55" s="193"/>
      <c r="G55" s="193" t="s">
        <v>1519</v>
      </c>
    </row>
    <row r="56" spans="1:7" ht="37.5" x14ac:dyDescent="0.25">
      <c r="A56" s="228">
        <v>51</v>
      </c>
      <c r="B56" s="231" t="str">
        <f>Building&amp;" Building Roof"</f>
        <v>G Building Roof</v>
      </c>
      <c r="C56" s="183" t="s">
        <v>2330</v>
      </c>
      <c r="D56" s="186" t="s">
        <v>2333</v>
      </c>
      <c r="E56" s="183" t="s">
        <v>1529</v>
      </c>
      <c r="F56" s="193"/>
      <c r="G56" s="193" t="s">
        <v>1519</v>
      </c>
    </row>
    <row r="57" spans="1:7" ht="37.5" x14ac:dyDescent="0.25">
      <c r="A57" s="228">
        <v>52</v>
      </c>
      <c r="B57" s="231" t="str">
        <f>Building&amp;" Building Roof"</f>
        <v>G Building Roof</v>
      </c>
      <c r="C57" s="183" t="s">
        <v>2330</v>
      </c>
      <c r="D57" s="186" t="s">
        <v>2334</v>
      </c>
      <c r="E57" s="183" t="s">
        <v>1529</v>
      </c>
      <c r="F57" s="193"/>
      <c r="G57" s="193" t="s">
        <v>1519</v>
      </c>
    </row>
    <row r="58" spans="1:7" ht="37.5" x14ac:dyDescent="0.25">
      <c r="A58" s="228">
        <v>53</v>
      </c>
      <c r="B58" s="231" t="str">
        <f>Building&amp;" Building Roof"</f>
        <v>G Building Roof</v>
      </c>
      <c r="C58" s="183" t="s">
        <v>2330</v>
      </c>
      <c r="D58" s="186" t="s">
        <v>2335</v>
      </c>
      <c r="E58" s="183" t="s">
        <v>1529</v>
      </c>
      <c r="F58" s="193"/>
      <c r="G58" s="193" t="s">
        <v>1519</v>
      </c>
    </row>
    <row r="59" spans="1:7" ht="37.5" x14ac:dyDescent="0.25">
      <c r="A59" s="228">
        <v>54</v>
      </c>
      <c r="B59" s="231" t="str">
        <f>Building&amp;" Building Roof"</f>
        <v>G Building Roof</v>
      </c>
      <c r="C59" s="183" t="s">
        <v>2330</v>
      </c>
      <c r="D59" s="186" t="s">
        <v>2336</v>
      </c>
      <c r="E59" s="183" t="s">
        <v>1529</v>
      </c>
      <c r="F59" s="193"/>
      <c r="G59" s="193" t="s">
        <v>1519</v>
      </c>
    </row>
    <row r="60" spans="1:7" ht="37.5" x14ac:dyDescent="0.25">
      <c r="A60" s="228">
        <v>55</v>
      </c>
      <c r="B60" s="231" t="str">
        <f>Building&amp;" Building Roof"</f>
        <v>G Building Roof</v>
      </c>
      <c r="C60" s="183" t="s">
        <v>2330</v>
      </c>
      <c r="D60" s="186" t="s">
        <v>2337</v>
      </c>
      <c r="E60" s="183" t="s">
        <v>1529</v>
      </c>
      <c r="F60" s="193"/>
      <c r="G60" s="193" t="s">
        <v>1519</v>
      </c>
    </row>
    <row r="61" spans="1:7" ht="37.5" x14ac:dyDescent="0.25">
      <c r="A61" s="228">
        <v>56</v>
      </c>
      <c r="B61" s="231" t="str">
        <f>Building&amp;" Building Roof"</f>
        <v>G Building Roof</v>
      </c>
      <c r="C61" s="183" t="s">
        <v>2330</v>
      </c>
      <c r="D61" s="186" t="s">
        <v>2338</v>
      </c>
      <c r="E61" s="183" t="s">
        <v>1529</v>
      </c>
      <c r="F61" s="193"/>
      <c r="G61" s="193" t="s">
        <v>1519</v>
      </c>
    </row>
    <row r="62" spans="1:7" x14ac:dyDescent="0.25">
      <c r="A62" s="228">
        <v>57</v>
      </c>
      <c r="B62" s="733" t="s">
        <v>2273</v>
      </c>
      <c r="C62" s="734"/>
      <c r="D62" s="734"/>
      <c r="E62" s="734"/>
      <c r="F62" s="734"/>
      <c r="G62" s="735"/>
    </row>
    <row r="63" spans="1:7" ht="37.5" x14ac:dyDescent="0.25">
      <c r="A63" s="228">
        <v>58</v>
      </c>
      <c r="B63" s="231" t="str">
        <f t="shared" ref="B63:B77" si="3">Suite&amp;" CRAC Gallery"</f>
        <v>G104 CRAC Gallery</v>
      </c>
      <c r="C63" s="183" t="s">
        <v>2294</v>
      </c>
      <c r="D63" s="186" t="s">
        <v>2339</v>
      </c>
      <c r="E63" s="183" t="s">
        <v>1529</v>
      </c>
      <c r="F63" s="193"/>
      <c r="G63" s="193" t="s">
        <v>1519</v>
      </c>
    </row>
    <row r="64" spans="1:7" ht="37.5" x14ac:dyDescent="0.25">
      <c r="A64" s="228">
        <v>59</v>
      </c>
      <c r="B64" s="231" t="str">
        <f t="shared" si="3"/>
        <v>G104 CRAC Gallery</v>
      </c>
      <c r="C64" s="183" t="s">
        <v>2294</v>
      </c>
      <c r="D64" s="186" t="s">
        <v>2274</v>
      </c>
      <c r="E64" s="183" t="s">
        <v>1529</v>
      </c>
      <c r="F64" s="193"/>
      <c r="G64" s="193" t="s">
        <v>1519</v>
      </c>
    </row>
    <row r="65" spans="1:7" ht="37.5" x14ac:dyDescent="0.25">
      <c r="A65" s="228">
        <v>60</v>
      </c>
      <c r="B65" s="231" t="str">
        <f t="shared" si="3"/>
        <v>G104 CRAC Gallery</v>
      </c>
      <c r="C65" s="183" t="s">
        <v>2294</v>
      </c>
      <c r="D65" s="186" t="s">
        <v>2275</v>
      </c>
      <c r="E65" s="183" t="s">
        <v>1529</v>
      </c>
      <c r="F65" s="193"/>
      <c r="G65" s="193" t="s">
        <v>1519</v>
      </c>
    </row>
    <row r="66" spans="1:7" ht="37.5" x14ac:dyDescent="0.25">
      <c r="A66" s="228">
        <v>61</v>
      </c>
      <c r="B66" s="231" t="str">
        <f t="shared" si="3"/>
        <v>G104 CRAC Gallery</v>
      </c>
      <c r="C66" s="183" t="s">
        <v>2294</v>
      </c>
      <c r="D66" s="186" t="s">
        <v>2276</v>
      </c>
      <c r="E66" s="183" t="s">
        <v>1529</v>
      </c>
      <c r="F66" s="193"/>
      <c r="G66" s="193" t="s">
        <v>1519</v>
      </c>
    </row>
    <row r="67" spans="1:7" ht="37.5" x14ac:dyDescent="0.25">
      <c r="A67" s="228">
        <v>62</v>
      </c>
      <c r="B67" s="231" t="str">
        <f t="shared" si="3"/>
        <v>G104 CRAC Gallery</v>
      </c>
      <c r="C67" s="183" t="s">
        <v>2294</v>
      </c>
      <c r="D67" s="186" t="s">
        <v>2277</v>
      </c>
      <c r="E67" s="183" t="s">
        <v>1529</v>
      </c>
      <c r="F67" s="193"/>
      <c r="G67" s="193" t="s">
        <v>1519</v>
      </c>
    </row>
    <row r="68" spans="1:7" ht="37.5" x14ac:dyDescent="0.25">
      <c r="A68" s="228">
        <v>63</v>
      </c>
      <c r="B68" s="231" t="str">
        <f t="shared" si="3"/>
        <v>G104 CRAC Gallery</v>
      </c>
      <c r="C68" s="183" t="s">
        <v>2294</v>
      </c>
      <c r="D68" s="186" t="s">
        <v>2340</v>
      </c>
      <c r="E68" s="183" t="s">
        <v>1529</v>
      </c>
      <c r="F68" s="193"/>
      <c r="G68" s="193" t="s">
        <v>1519</v>
      </c>
    </row>
    <row r="69" spans="1:7" ht="37.5" x14ac:dyDescent="0.25">
      <c r="A69" s="228">
        <v>64</v>
      </c>
      <c r="B69" s="231" t="str">
        <f t="shared" si="3"/>
        <v>G104 CRAC Gallery</v>
      </c>
      <c r="C69" s="183" t="s">
        <v>2294</v>
      </c>
      <c r="D69" s="186" t="s">
        <v>2341</v>
      </c>
      <c r="E69" s="183" t="s">
        <v>1529</v>
      </c>
      <c r="F69" s="193"/>
      <c r="G69" s="193" t="s">
        <v>1519</v>
      </c>
    </row>
    <row r="70" spans="1:7" ht="37.5" x14ac:dyDescent="0.25">
      <c r="A70" s="228">
        <v>65</v>
      </c>
      <c r="B70" s="231" t="str">
        <f t="shared" si="3"/>
        <v>G104 CRAC Gallery</v>
      </c>
      <c r="C70" s="183" t="s">
        <v>2294</v>
      </c>
      <c r="D70" s="186" t="s">
        <v>2342</v>
      </c>
      <c r="E70" s="183" t="s">
        <v>1529</v>
      </c>
      <c r="F70" s="193"/>
      <c r="G70" s="193" t="s">
        <v>1519</v>
      </c>
    </row>
    <row r="71" spans="1:7" ht="37.5" x14ac:dyDescent="0.25">
      <c r="A71" s="228">
        <v>66</v>
      </c>
      <c r="B71" s="231" t="str">
        <f t="shared" si="3"/>
        <v>G104 CRAC Gallery</v>
      </c>
      <c r="C71" s="183" t="s">
        <v>2294</v>
      </c>
      <c r="D71" s="186" t="s">
        <v>2343</v>
      </c>
      <c r="E71" s="183" t="s">
        <v>1529</v>
      </c>
      <c r="F71" s="193"/>
      <c r="G71" s="193" t="s">
        <v>1519</v>
      </c>
    </row>
    <row r="72" spans="1:7" ht="37.5" x14ac:dyDescent="0.25">
      <c r="A72" s="228">
        <v>67</v>
      </c>
      <c r="B72" s="231" t="str">
        <f t="shared" si="3"/>
        <v>G104 CRAC Gallery</v>
      </c>
      <c r="C72" s="183" t="s">
        <v>2294</v>
      </c>
      <c r="D72" s="186" t="s">
        <v>2344</v>
      </c>
      <c r="E72" s="183" t="s">
        <v>1529</v>
      </c>
      <c r="F72" s="193"/>
      <c r="G72" s="193" t="s">
        <v>1519</v>
      </c>
    </row>
    <row r="73" spans="1:7" ht="37.5" x14ac:dyDescent="0.25">
      <c r="A73" s="228">
        <v>68</v>
      </c>
      <c r="B73" s="231" t="str">
        <f t="shared" si="3"/>
        <v>G104 CRAC Gallery</v>
      </c>
      <c r="C73" s="183" t="s">
        <v>2294</v>
      </c>
      <c r="D73" s="186" t="s">
        <v>2345</v>
      </c>
      <c r="E73" s="183" t="s">
        <v>1529</v>
      </c>
      <c r="F73" s="193"/>
      <c r="G73" s="193" t="s">
        <v>1519</v>
      </c>
    </row>
    <row r="74" spans="1:7" ht="37.5" x14ac:dyDescent="0.25">
      <c r="A74" s="228">
        <v>69</v>
      </c>
      <c r="B74" s="231" t="str">
        <f t="shared" si="3"/>
        <v>G104 CRAC Gallery</v>
      </c>
      <c r="C74" s="183" t="s">
        <v>2294</v>
      </c>
      <c r="D74" s="186" t="s">
        <v>2346</v>
      </c>
      <c r="E74" s="183" t="s">
        <v>1529</v>
      </c>
      <c r="F74" s="193"/>
      <c r="G74" s="193" t="s">
        <v>1519</v>
      </c>
    </row>
    <row r="75" spans="1:7" ht="37.5" x14ac:dyDescent="0.25">
      <c r="A75" s="228">
        <v>70</v>
      </c>
      <c r="B75" s="231" t="str">
        <f t="shared" si="3"/>
        <v>G104 CRAC Gallery</v>
      </c>
      <c r="C75" s="183" t="s">
        <v>2294</v>
      </c>
      <c r="D75" s="186" t="s">
        <v>2347</v>
      </c>
      <c r="E75" s="183" t="s">
        <v>1529</v>
      </c>
      <c r="F75" s="193"/>
      <c r="G75" s="193" t="s">
        <v>1519</v>
      </c>
    </row>
    <row r="76" spans="1:7" ht="37.5" x14ac:dyDescent="0.25">
      <c r="A76" s="228">
        <v>71</v>
      </c>
      <c r="B76" s="231" t="str">
        <f t="shared" si="3"/>
        <v>G104 CRAC Gallery</v>
      </c>
      <c r="C76" s="183" t="s">
        <v>2294</v>
      </c>
      <c r="D76" s="186" t="s">
        <v>2281</v>
      </c>
      <c r="E76" s="183" t="s">
        <v>1529</v>
      </c>
      <c r="F76" s="193"/>
      <c r="G76" s="193" t="s">
        <v>1519</v>
      </c>
    </row>
    <row r="77" spans="1:7" ht="37.5" x14ac:dyDescent="0.25">
      <c r="A77" s="228">
        <v>72</v>
      </c>
      <c r="B77" s="231" t="str">
        <f t="shared" si="3"/>
        <v>G104 CRAC Gallery</v>
      </c>
      <c r="C77" s="183" t="s">
        <v>2294</v>
      </c>
      <c r="D77" s="186" t="s">
        <v>2348</v>
      </c>
      <c r="E77" s="183" t="s">
        <v>1529</v>
      </c>
      <c r="F77" s="193"/>
      <c r="G77" s="193" t="s">
        <v>1519</v>
      </c>
    </row>
    <row r="78" spans="1:7" ht="37.5" x14ac:dyDescent="0.25">
      <c r="A78" s="228">
        <v>73</v>
      </c>
      <c r="B78" s="231" t="str">
        <f>Suite&amp;" Electrical Rooms"</f>
        <v>G104 Electrical Rooms</v>
      </c>
      <c r="C78" s="183" t="s">
        <v>2349</v>
      </c>
      <c r="D78" s="186" t="s">
        <v>2350</v>
      </c>
      <c r="E78" s="183" t="s">
        <v>1529</v>
      </c>
      <c r="F78" s="193"/>
      <c r="G78" s="193" t="s">
        <v>1519</v>
      </c>
    </row>
    <row r="79" spans="1:7" ht="37.5" x14ac:dyDescent="0.25">
      <c r="A79" s="228">
        <v>74</v>
      </c>
      <c r="B79" s="231" t="str">
        <f>Suite&amp;" CRAC Gallery"</f>
        <v>G104 CRAC Gallery</v>
      </c>
      <c r="C79" s="183" t="s">
        <v>2294</v>
      </c>
      <c r="D79" s="186" t="s">
        <v>2351</v>
      </c>
      <c r="E79" s="183" t="s">
        <v>1529</v>
      </c>
      <c r="F79" s="193"/>
      <c r="G79" s="193" t="s">
        <v>1519</v>
      </c>
    </row>
    <row r="80" spans="1:7" ht="37.5" x14ac:dyDescent="0.25">
      <c r="A80" s="228">
        <v>75</v>
      </c>
      <c r="B80" s="231" t="s">
        <v>1462</v>
      </c>
      <c r="C80" s="183" t="s">
        <v>2352</v>
      </c>
      <c r="D80" s="186" t="s">
        <v>2283</v>
      </c>
      <c r="E80" s="183" t="s">
        <v>1529</v>
      </c>
      <c r="F80" s="193"/>
      <c r="G80" s="193" t="s">
        <v>1519</v>
      </c>
    </row>
    <row r="81" spans="1:7" ht="37.5" x14ac:dyDescent="0.25">
      <c r="A81" s="228">
        <v>76</v>
      </c>
      <c r="B81" s="231" t="str">
        <f>Suite&amp;" CRAC Gallery"</f>
        <v>G104 CRAC Gallery</v>
      </c>
      <c r="C81" s="183" t="s">
        <v>2294</v>
      </c>
      <c r="D81" s="186" t="s">
        <v>2353</v>
      </c>
      <c r="E81" s="183" t="s">
        <v>1529</v>
      </c>
      <c r="F81" s="193"/>
      <c r="G81" s="193" t="s">
        <v>1519</v>
      </c>
    </row>
    <row r="82" spans="1:7" x14ac:dyDescent="0.25">
      <c r="A82" s="228">
        <v>77</v>
      </c>
      <c r="B82" s="733" t="s">
        <v>2285</v>
      </c>
      <c r="C82" s="734"/>
      <c r="D82" s="736"/>
      <c r="E82" s="734"/>
      <c r="F82" s="734"/>
      <c r="G82" s="735"/>
    </row>
    <row r="83" spans="1:7" ht="37.5" x14ac:dyDescent="0.3">
      <c r="A83" s="228">
        <v>78</v>
      </c>
      <c r="B83" s="231" t="str">
        <f>Suite&amp;" CRAC Gallery"</f>
        <v>G104 CRAC Gallery</v>
      </c>
      <c r="C83" s="183" t="s">
        <v>2294</v>
      </c>
      <c r="D83" s="233" t="s">
        <v>2354</v>
      </c>
      <c r="E83" s="183" t="s">
        <v>1529</v>
      </c>
      <c r="F83" s="193"/>
      <c r="G83" s="234" t="s">
        <v>1519</v>
      </c>
    </row>
    <row r="84" spans="1:7" ht="37.5" x14ac:dyDescent="0.3">
      <c r="A84" s="228">
        <v>79</v>
      </c>
      <c r="B84" s="231" t="str">
        <f>Suite&amp;" CRAC Gallery"</f>
        <v>G104 CRAC Gallery</v>
      </c>
      <c r="C84" s="183" t="s">
        <v>2294</v>
      </c>
      <c r="D84" s="233" t="s">
        <v>2287</v>
      </c>
      <c r="E84" s="183" t="s">
        <v>1529</v>
      </c>
      <c r="F84" s="193"/>
      <c r="G84" s="234" t="s">
        <v>1519</v>
      </c>
    </row>
    <row r="85" spans="1:7" ht="37.5" x14ac:dyDescent="0.3">
      <c r="A85" s="228">
        <v>80</v>
      </c>
      <c r="B85" s="231" t="str">
        <f>Suite&amp;" CRAC Gallery"</f>
        <v>G104 CRAC Gallery</v>
      </c>
      <c r="C85" s="183" t="s">
        <v>2294</v>
      </c>
      <c r="D85" s="235" t="s">
        <v>2355</v>
      </c>
      <c r="E85" s="183" t="s">
        <v>1529</v>
      </c>
      <c r="F85" s="193"/>
      <c r="G85" s="234" t="s">
        <v>1519</v>
      </c>
    </row>
    <row r="86" spans="1:7" ht="37.5" x14ac:dyDescent="0.3">
      <c r="A86" s="228">
        <v>81</v>
      </c>
      <c r="B86" s="231" t="str">
        <f>Suite&amp;" CRAC Gallery"</f>
        <v>G104 CRAC Gallery</v>
      </c>
      <c r="C86" s="183" t="s">
        <v>2294</v>
      </c>
      <c r="D86" s="235" t="s">
        <v>2356</v>
      </c>
      <c r="E86" s="183" t="s">
        <v>1529</v>
      </c>
      <c r="F86" s="193"/>
      <c r="G86" s="234" t="s">
        <v>1519</v>
      </c>
    </row>
    <row r="87" spans="1:7" x14ac:dyDescent="0.25">
      <c r="A87" s="228">
        <v>82</v>
      </c>
      <c r="B87" s="712" t="str">
        <f>"ENABLE SUITE CONTROLS AND DETECTORS – "&amp;Suite</f>
        <v>ENABLE SUITE CONTROLS AND DETECTORS – G104</v>
      </c>
      <c r="C87" s="712"/>
      <c r="D87" s="712"/>
      <c r="E87" s="712"/>
      <c r="F87" s="712"/>
      <c r="G87" s="712"/>
    </row>
    <row r="88" spans="1:7" ht="37.5" x14ac:dyDescent="0.3">
      <c r="A88" s="228">
        <v>83</v>
      </c>
      <c r="B88" s="231" t="str">
        <f>Suite&amp;" CRAC Gallery"</f>
        <v>G104 CRAC Gallery</v>
      </c>
      <c r="C88" s="236" t="s">
        <v>2357</v>
      </c>
      <c r="D88" s="237" t="s">
        <v>2358</v>
      </c>
      <c r="E88" s="238" t="s">
        <v>1464</v>
      </c>
      <c r="F88" s="234"/>
      <c r="G88" s="234" t="s">
        <v>1519</v>
      </c>
    </row>
    <row r="89" spans="1:7" ht="37.5" x14ac:dyDescent="0.3">
      <c r="A89" s="228">
        <v>84</v>
      </c>
      <c r="B89" s="231" t="str">
        <f t="shared" ref="B89:B92" si="4">Suite</f>
        <v>G104</v>
      </c>
      <c r="C89" s="239" t="s">
        <v>2058</v>
      </c>
      <c r="D89" s="230" t="s">
        <v>2359</v>
      </c>
      <c r="E89" s="183" t="s">
        <v>1464</v>
      </c>
      <c r="F89" s="196"/>
      <c r="G89" s="234" t="s">
        <v>1519</v>
      </c>
    </row>
    <row r="90" spans="1:7" ht="37.5" x14ac:dyDescent="0.3">
      <c r="A90" s="228">
        <v>85</v>
      </c>
      <c r="B90" s="231" t="str">
        <f t="shared" si="4"/>
        <v>G104</v>
      </c>
      <c r="C90" s="239" t="s">
        <v>2058</v>
      </c>
      <c r="D90" s="230" t="s">
        <v>2360</v>
      </c>
      <c r="E90" s="183" t="s">
        <v>1464</v>
      </c>
      <c r="F90" s="196"/>
      <c r="G90" s="234" t="s">
        <v>1519</v>
      </c>
    </row>
    <row r="91" spans="1:7" ht="37.5" x14ac:dyDescent="0.3">
      <c r="A91" s="228">
        <v>86</v>
      </c>
      <c r="B91" s="231" t="str">
        <f t="shared" si="4"/>
        <v>G104</v>
      </c>
      <c r="C91" s="239" t="s">
        <v>2058</v>
      </c>
      <c r="D91" s="230" t="s">
        <v>2361</v>
      </c>
      <c r="E91" s="183" t="s">
        <v>1464</v>
      </c>
      <c r="F91" s="196"/>
      <c r="G91" s="234" t="s">
        <v>1519</v>
      </c>
    </row>
    <row r="92" spans="1:7" ht="37.5" x14ac:dyDescent="0.3">
      <c r="A92" s="228">
        <v>87</v>
      </c>
      <c r="B92" s="231" t="str">
        <f t="shared" si="4"/>
        <v>G104</v>
      </c>
      <c r="C92" s="239" t="s">
        <v>2058</v>
      </c>
      <c r="D92" s="230" t="s">
        <v>2362</v>
      </c>
      <c r="E92" s="183" t="s">
        <v>1464</v>
      </c>
      <c r="F92" s="196"/>
      <c r="G92" s="234" t="s">
        <v>1519</v>
      </c>
    </row>
    <row r="93" spans="1:7" x14ac:dyDescent="0.25">
      <c r="A93" s="228">
        <v>88</v>
      </c>
      <c r="B93" s="712" t="s">
        <v>2363</v>
      </c>
      <c r="C93" s="712"/>
      <c r="D93" s="712"/>
      <c r="E93" s="712"/>
      <c r="F93" s="712"/>
      <c r="G93" s="712"/>
    </row>
    <row r="94" spans="1:7" ht="37.5" x14ac:dyDescent="0.3">
      <c r="A94" s="228">
        <v>89</v>
      </c>
      <c r="B94" s="183" t="s">
        <v>1462</v>
      </c>
      <c r="C94" s="183" t="s">
        <v>84</v>
      </c>
      <c r="D94" s="232" t="s">
        <v>2037</v>
      </c>
      <c r="E94" s="183" t="s">
        <v>1464</v>
      </c>
      <c r="F94" s="196"/>
      <c r="G94" s="234" t="s">
        <v>1519</v>
      </c>
    </row>
    <row r="95" spans="1:7" ht="37.5" x14ac:dyDescent="0.3">
      <c r="A95" s="228">
        <v>90</v>
      </c>
      <c r="B95" s="183" t="s">
        <v>1462</v>
      </c>
      <c r="C95" s="183" t="s">
        <v>84</v>
      </c>
      <c r="D95" s="230" t="s">
        <v>2025</v>
      </c>
      <c r="E95" s="183" t="s">
        <v>1464</v>
      </c>
      <c r="F95" s="196"/>
      <c r="G95" s="234" t="s">
        <v>1519</v>
      </c>
    </row>
    <row r="96" spans="1:7" x14ac:dyDescent="0.3">
      <c r="A96" s="229"/>
    </row>
    <row r="97" spans="1:1" x14ac:dyDescent="0.3">
      <c r="A97" s="192"/>
    </row>
    <row r="98" spans="1:1" x14ac:dyDescent="0.3">
      <c r="A98" s="192"/>
    </row>
    <row r="99" spans="1:1" x14ac:dyDescent="0.3">
      <c r="A99" s="192"/>
    </row>
    <row r="100" spans="1:1" x14ac:dyDescent="0.3">
      <c r="A100" s="192"/>
    </row>
    <row r="101" spans="1:1" x14ac:dyDescent="0.3">
      <c r="A101" s="192"/>
    </row>
    <row r="102" spans="1:1" x14ac:dyDescent="0.3">
      <c r="A102" s="192"/>
    </row>
    <row r="103" spans="1:1" x14ac:dyDescent="0.3">
      <c r="A103" s="192"/>
    </row>
    <row r="104" spans="1:1" x14ac:dyDescent="0.3">
      <c r="A104" s="192"/>
    </row>
    <row r="105" spans="1:1" x14ac:dyDescent="0.3">
      <c r="A105" s="192"/>
    </row>
  </sheetData>
  <sheetProtection formatCells="0" formatColumns="0" formatRows="0" insertRows="0" deleteRows="0" sort="0" autoFilter="0"/>
  <mergeCells count="20">
    <mergeCell ref="B93:G93"/>
    <mergeCell ref="B14:G14"/>
    <mergeCell ref="B20:G20"/>
    <mergeCell ref="B24:G24"/>
    <mergeCell ref="B28:G28"/>
    <mergeCell ref="B35:G35"/>
    <mergeCell ref="B39:G39"/>
    <mergeCell ref="B45:G45"/>
    <mergeCell ref="B52:G52"/>
    <mergeCell ref="B62:G62"/>
    <mergeCell ref="B82:G82"/>
    <mergeCell ref="B87:G87"/>
    <mergeCell ref="B13:G13"/>
    <mergeCell ref="B6:G6"/>
    <mergeCell ref="B10:G10"/>
    <mergeCell ref="A4:C4"/>
    <mergeCell ref="A2:B2"/>
    <mergeCell ref="A3:B3"/>
    <mergeCell ref="C3:D3"/>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369A2-24C2-4E55-AC40-6F6EFE707DF6}">
  <sheetPr codeName="Split_System_SAPM">
    <pageSetUpPr fitToPage="1"/>
  </sheetPr>
  <dimension ref="A1:I92"/>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customWidth="1"/>
    <col min="9" max="9" width="10.7109375" customWidth="1"/>
    <col min="10" max="10" width="9.140625" customWidth="1"/>
    <col min="11" max="11" width="9.85546875" customWidth="1"/>
  </cols>
  <sheetData>
    <row r="1" spans="1:9" x14ac:dyDescent="0.25">
      <c r="A1" s="209" t="s">
        <v>1454</v>
      </c>
      <c r="B1" s="209"/>
      <c r="C1" s="210"/>
      <c r="D1" s="210"/>
      <c r="E1" s="210"/>
      <c r="F1" s="210"/>
      <c r="G1" s="210"/>
    </row>
    <row r="2" spans="1:9" ht="18.75" customHeight="1" x14ac:dyDescent="0.25">
      <c r="A2" s="705" t="s">
        <v>42</v>
      </c>
      <c r="B2" s="705"/>
      <c r="C2" s="731" t="str">
        <f>zTaskName</f>
        <v>Routine Generator run with no load transfer</v>
      </c>
      <c r="D2" s="730"/>
      <c r="E2" s="730"/>
      <c r="F2" s="730"/>
      <c r="G2" s="732"/>
    </row>
    <row r="3" spans="1:9" ht="9.9499999999999993" customHeight="1" x14ac:dyDescent="0.25">
      <c r="A3" s="728"/>
      <c r="B3" s="729"/>
      <c r="C3" s="730"/>
      <c r="D3" s="730"/>
      <c r="E3" s="380"/>
      <c r="F3" s="380"/>
      <c r="G3" s="381"/>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28">
        <v>1</v>
      </c>
      <c r="B6" s="716" t="s">
        <v>1461</v>
      </c>
      <c r="C6" s="716"/>
      <c r="D6" s="716"/>
      <c r="E6" s="716"/>
      <c r="F6" s="716"/>
      <c r="G6" s="716"/>
    </row>
    <row r="7" spans="1:9" ht="37.5" x14ac:dyDescent="0.25">
      <c r="A7" s="228">
        <v>2</v>
      </c>
      <c r="B7" s="388" t="s">
        <v>1462</v>
      </c>
      <c r="C7" s="388" t="s">
        <v>84</v>
      </c>
      <c r="D7" s="224" t="s">
        <v>2241</v>
      </c>
      <c r="E7" s="388" t="s">
        <v>1464</v>
      </c>
      <c r="F7" s="189" t="s">
        <v>1519</v>
      </c>
      <c r="G7" s="189"/>
    </row>
    <row r="8" spans="1:9" x14ac:dyDescent="0.25">
      <c r="A8" s="228">
        <v>3</v>
      </c>
      <c r="B8" s="722" t="s">
        <v>2242</v>
      </c>
      <c r="C8" s="723"/>
      <c r="D8" s="723"/>
      <c r="E8" s="723"/>
      <c r="F8" s="723"/>
      <c r="G8" s="724"/>
    </row>
    <row r="9" spans="1:9" ht="37.5" x14ac:dyDescent="0.25">
      <c r="A9" s="228">
        <v>4</v>
      </c>
      <c r="B9" s="388" t="str">
        <f>IF(ISNUMBER(SEARCH("PBB", zSelectedEquipment))=TRUE, Suite, Suite&amp;" Battery Rooms")</f>
        <v>G104 Battery Rooms</v>
      </c>
      <c r="C9" s="388" t="str">
        <f>zSelectedEquipment</f>
        <v>G104-Gen-B</v>
      </c>
      <c r="D9" s="224" t="s">
        <v>2364</v>
      </c>
      <c r="E9" s="388" t="s">
        <v>1464</v>
      </c>
      <c r="F9" s="189"/>
      <c r="G9" s="189"/>
    </row>
    <row r="10" spans="1:9" x14ac:dyDescent="0.25">
      <c r="A10" s="228">
        <v>5</v>
      </c>
      <c r="B10" s="717" t="s">
        <v>2244</v>
      </c>
      <c r="C10" s="718"/>
      <c r="D10" s="718"/>
      <c r="E10" s="718"/>
      <c r="F10" s="718"/>
      <c r="G10" s="719"/>
    </row>
    <row r="11" spans="1:9" ht="37.5" x14ac:dyDescent="0.25">
      <c r="A11" s="228">
        <v>6</v>
      </c>
      <c r="B11" s="388" t="str">
        <f>IF(ISNUMBER(SEARCH("PBB", zSelectedEquipment))=TRUE, Suite, Suite&amp;" Battery Rooms")</f>
        <v>G104 Battery Rooms</v>
      </c>
      <c r="C11" s="388" t="str">
        <f>zSelectedEquipment</f>
        <v>G104-Gen-B</v>
      </c>
      <c r="D11" s="195" t="s">
        <v>2245</v>
      </c>
      <c r="E11" s="388" t="s">
        <v>1529</v>
      </c>
      <c r="F11" s="189"/>
      <c r="G11" s="189"/>
    </row>
    <row r="12" spans="1:9" ht="37.5" x14ac:dyDescent="0.25">
      <c r="A12" s="228">
        <v>7</v>
      </c>
      <c r="B12" s="388" t="str">
        <f>IF(ISNUMBER(SEARCH("PBB", zSelectedEquipment))=TRUE, Suite, Suite&amp;" Battery Rooms")</f>
        <v>G104 Battery Rooms</v>
      </c>
      <c r="C12" s="388" t="str">
        <f>zSelectedEquipment</f>
        <v>G104-Gen-B</v>
      </c>
      <c r="D12" s="195" t="s">
        <v>2365</v>
      </c>
      <c r="E12" s="388" t="s">
        <v>1529</v>
      </c>
      <c r="F12" s="189"/>
      <c r="G12" s="189"/>
    </row>
    <row r="13" spans="1:9" ht="37.5" x14ac:dyDescent="0.25">
      <c r="A13" s="228">
        <v>8</v>
      </c>
      <c r="B13" s="388" t="str">
        <f>IF(ISNUMBER(SEARCH("PBB", zSelectedEquipment))=TRUE, Suite, Suite&amp;" Battery Rooms")</f>
        <v>G104 Battery Rooms</v>
      </c>
      <c r="C13" s="388" t="str">
        <f>zSelectedEquipment</f>
        <v>G104-Gen-B</v>
      </c>
      <c r="D13" s="195" t="s">
        <v>2247</v>
      </c>
      <c r="E13" s="388" t="s">
        <v>1529</v>
      </c>
      <c r="F13" s="189"/>
      <c r="G13" s="189"/>
    </row>
    <row r="14" spans="1:9" x14ac:dyDescent="0.25">
      <c r="A14" s="228">
        <v>9</v>
      </c>
      <c r="B14" s="717" t="s">
        <v>2248</v>
      </c>
      <c r="C14" s="718"/>
      <c r="D14" s="718"/>
      <c r="E14" s="718"/>
      <c r="F14" s="718"/>
      <c r="G14" s="719"/>
    </row>
    <row r="15" spans="1:9" ht="37.5" x14ac:dyDescent="0.25">
      <c r="A15" s="228">
        <v>10</v>
      </c>
      <c r="B15" s="388" t="str">
        <f>IF(ISNUMBER(SEARCH("PBB", zSelectedEquipment))=TRUE, Suite, Suite&amp;" Battery Rooms")</f>
        <v>G104 Battery Rooms</v>
      </c>
      <c r="C15" s="388" t="str">
        <f>zSelectedEquipment</f>
        <v>G104-Gen-B</v>
      </c>
      <c r="D15" s="195" t="s">
        <v>2249</v>
      </c>
      <c r="E15" s="388" t="s">
        <v>1529</v>
      </c>
      <c r="F15" s="189"/>
      <c r="G15" s="189"/>
    </row>
    <row r="16" spans="1:9" ht="37.5" x14ac:dyDescent="0.25">
      <c r="A16" s="228">
        <v>11</v>
      </c>
      <c r="B16" s="388" t="str">
        <f>IF(ISNUMBER(SEARCH("PBB", zSelectedEquipment))=TRUE, Suite, Suite&amp;" Battery Rooms")</f>
        <v>G104 Battery Rooms</v>
      </c>
      <c r="C16" s="388" t="str">
        <f>zSelectedEquipment</f>
        <v>G104-Gen-B</v>
      </c>
      <c r="D16" s="195" t="s">
        <v>2250</v>
      </c>
      <c r="E16" s="388" t="s">
        <v>1529</v>
      </c>
      <c r="F16" s="189"/>
      <c r="G16" s="189"/>
    </row>
    <row r="17" spans="1:7" ht="37.5" x14ac:dyDescent="0.25">
      <c r="A17" s="228">
        <v>12</v>
      </c>
      <c r="B17" s="388" t="str">
        <f>IF(ISNUMBER(SEARCH("PBB", zSelectedEquipment))=TRUE, Suite, Suite&amp;" Battery Rooms")</f>
        <v>G104 Battery Rooms</v>
      </c>
      <c r="C17" s="388" t="str">
        <f>zSelectedEquipment</f>
        <v>G104-Gen-B</v>
      </c>
      <c r="D17" s="195" t="s">
        <v>2251</v>
      </c>
      <c r="E17" s="388" t="s">
        <v>1529</v>
      </c>
      <c r="F17" s="189"/>
      <c r="G17" s="189"/>
    </row>
    <row r="18" spans="1:7" ht="37.5" x14ac:dyDescent="0.25">
      <c r="A18" s="228">
        <v>13</v>
      </c>
      <c r="B18" s="388" t="str">
        <f>IF(ISNUMBER(SEARCH("PBB", zSelectedEquipment))=TRUE, Suite, Suite&amp;" Battery Rooms")</f>
        <v>G104 Battery Rooms</v>
      </c>
      <c r="C18" s="388" t="str">
        <f>zSelectedEquipment</f>
        <v>G104-Gen-B</v>
      </c>
      <c r="D18" s="195" t="s">
        <v>2252</v>
      </c>
      <c r="E18" s="388" t="s">
        <v>1529</v>
      </c>
      <c r="F18" s="189"/>
      <c r="G18" s="189"/>
    </row>
    <row r="19" spans="1:7" x14ac:dyDescent="0.25">
      <c r="A19" s="228">
        <v>14</v>
      </c>
      <c r="B19" s="717" t="s">
        <v>2253</v>
      </c>
      <c r="C19" s="718"/>
      <c r="D19" s="718"/>
      <c r="E19" s="718"/>
      <c r="F19" s="718"/>
      <c r="G19" s="719"/>
    </row>
    <row r="20" spans="1:7" ht="37.5" x14ac:dyDescent="0.25">
      <c r="A20" s="228">
        <v>15</v>
      </c>
      <c r="B20" s="388" t="str">
        <f>IF(ISNUMBER(SEARCH("PBB", zSelectedEquipment))=TRUE, Suite, Suite&amp;" Battery Rooms")</f>
        <v>G104 Battery Rooms</v>
      </c>
      <c r="C20" s="388" t="str">
        <f>zSelectedEquipment</f>
        <v>G104-Gen-B</v>
      </c>
      <c r="D20" s="195" t="s">
        <v>2254</v>
      </c>
      <c r="E20" s="388" t="s">
        <v>1529</v>
      </c>
      <c r="F20" s="189"/>
      <c r="G20" s="189"/>
    </row>
    <row r="21" spans="1:7" ht="37.5" x14ac:dyDescent="0.25">
      <c r="A21" s="228">
        <v>16</v>
      </c>
      <c r="B21" s="388" t="str">
        <f>IF(ISNUMBER(SEARCH("PBB", zSelectedEquipment))=TRUE, Suite, Suite&amp;" Battery Rooms")</f>
        <v>G104 Battery Rooms</v>
      </c>
      <c r="C21" s="388" t="str">
        <f>zSelectedEquipment</f>
        <v>G104-Gen-B</v>
      </c>
      <c r="D21" s="195" t="s">
        <v>2255</v>
      </c>
      <c r="E21" s="388" t="s">
        <v>1529</v>
      </c>
      <c r="F21" s="189"/>
      <c r="G21" s="189"/>
    </row>
    <row r="22" spans="1:7" x14ac:dyDescent="0.25">
      <c r="A22" s="228">
        <v>17</v>
      </c>
      <c r="B22" s="717" t="s">
        <v>2366</v>
      </c>
      <c r="C22" s="718"/>
      <c r="D22" s="718"/>
      <c r="E22" s="718"/>
      <c r="F22" s="718"/>
      <c r="G22" s="719"/>
    </row>
    <row r="23" spans="1:7" ht="37.5" x14ac:dyDescent="0.25">
      <c r="A23" s="228">
        <v>18</v>
      </c>
      <c r="B23" s="388" t="str">
        <f>IF(ISNUMBER(SEARCH("PBB", zSelectedEquipment))=TRUE, Suite, Suite&amp;" Battery Rooms")</f>
        <v>G104 Battery Rooms</v>
      </c>
      <c r="C23" s="388" t="str">
        <f>zSelectedEquipment</f>
        <v>G104-Gen-B</v>
      </c>
      <c r="D23" s="195" t="s">
        <v>2306</v>
      </c>
      <c r="E23" s="388" t="s">
        <v>1529</v>
      </c>
      <c r="F23" s="189"/>
      <c r="G23" s="189"/>
    </row>
    <row r="24" spans="1:7" ht="37.5" x14ac:dyDescent="0.25">
      <c r="A24" s="228">
        <v>19</v>
      </c>
      <c r="B24" s="388" t="str">
        <f>IF(ISNUMBER(SEARCH("PBB", zSelectedEquipment))=TRUE, Suite, Suite&amp;" Battery Rooms")</f>
        <v>G104 Battery Rooms</v>
      </c>
      <c r="C24" s="388" t="str">
        <f>zSelectedEquipment</f>
        <v>G104-Gen-B</v>
      </c>
      <c r="D24" s="195" t="s">
        <v>2367</v>
      </c>
      <c r="E24" s="388" t="s">
        <v>1529</v>
      </c>
      <c r="F24" s="189"/>
      <c r="G24" s="189"/>
    </row>
    <row r="25" spans="1:7" ht="37.5" x14ac:dyDescent="0.25">
      <c r="A25" s="228">
        <v>20</v>
      </c>
      <c r="B25" s="388" t="str">
        <f>IF(ISNUMBER(SEARCH("PBB", zSelectedEquipment))=TRUE, Suite, Suite&amp;" Battery Rooms")</f>
        <v>G104 Battery Rooms</v>
      </c>
      <c r="C25" s="388" t="str">
        <f>zSelectedEquipment</f>
        <v>G104-Gen-B</v>
      </c>
      <c r="D25" s="195" t="s">
        <v>2368</v>
      </c>
      <c r="E25" s="388" t="s">
        <v>1529</v>
      </c>
      <c r="F25" s="189"/>
      <c r="G25" s="189"/>
    </row>
    <row r="26" spans="1:7" ht="37.5" x14ac:dyDescent="0.25">
      <c r="A26" s="228">
        <v>21</v>
      </c>
      <c r="B26" s="388" t="str">
        <f>IF(ISNUMBER(SEARCH("PBB", zSelectedEquipment))=TRUE, Suite, Suite&amp;" Battery Rooms")</f>
        <v>G104 Battery Rooms</v>
      </c>
      <c r="C26" s="388" t="str">
        <f>zSelectedEquipment</f>
        <v>G104-Gen-B</v>
      </c>
      <c r="D26" s="195" t="s">
        <v>2309</v>
      </c>
      <c r="E26" s="388" t="s">
        <v>1529</v>
      </c>
      <c r="F26" s="189"/>
      <c r="G26" s="189"/>
    </row>
    <row r="27" spans="1:7" ht="37.5" x14ac:dyDescent="0.25">
      <c r="A27" s="228">
        <v>22</v>
      </c>
      <c r="B27" s="388" t="str">
        <f>IF(ISNUMBER(SEARCH("PBB", zSelectedEquipment))=TRUE, Suite, Suite&amp;" Battery Rooms")</f>
        <v>G104 Battery Rooms</v>
      </c>
      <c r="C27" s="388" t="str">
        <f>zSelectedEquipment</f>
        <v>G104-Gen-B</v>
      </c>
      <c r="D27" s="195" t="s">
        <v>2310</v>
      </c>
      <c r="E27" s="388" t="s">
        <v>1529</v>
      </c>
      <c r="F27" s="189"/>
      <c r="G27" s="189"/>
    </row>
    <row r="28" spans="1:7" ht="37.5" x14ac:dyDescent="0.25">
      <c r="A28" s="228">
        <v>23</v>
      </c>
      <c r="B28" s="388" t="str">
        <f>IF(ISNUMBER(SEARCH("PBB", zSelectedEquipment))=TRUE, Suite, Suite&amp;" Battery Rooms")</f>
        <v>G104 Battery Rooms</v>
      </c>
      <c r="C28" s="388" t="str">
        <f>zSelectedEquipment</f>
        <v>G104-Gen-B</v>
      </c>
      <c r="D28" s="195" t="s">
        <v>2311</v>
      </c>
      <c r="E28" s="388" t="s">
        <v>1529</v>
      </c>
      <c r="F28" s="189"/>
      <c r="G28" s="189"/>
    </row>
    <row r="29" spans="1:7" x14ac:dyDescent="0.25">
      <c r="A29" s="228">
        <v>24</v>
      </c>
      <c r="B29" s="717" t="s">
        <v>2312</v>
      </c>
      <c r="C29" s="718"/>
      <c r="D29" s="718"/>
      <c r="E29" s="718"/>
      <c r="F29" s="718"/>
      <c r="G29" s="719"/>
    </row>
    <row r="30" spans="1:7" x14ac:dyDescent="0.25">
      <c r="A30" s="228">
        <v>25</v>
      </c>
      <c r="B30" s="475" t="str">
        <f t="shared" ref="B30:B41" si="0">IADNumber&amp;" Roof"</f>
        <v>IAD35 Roof</v>
      </c>
      <c r="C30" s="388" t="str">
        <f>zSelectedEquipment</f>
        <v>G104-Gen-B</v>
      </c>
      <c r="D30" s="195" t="s">
        <v>2369</v>
      </c>
      <c r="E30" s="388" t="s">
        <v>1529</v>
      </c>
      <c r="F30" s="189"/>
      <c r="G30" s="189"/>
    </row>
    <row r="31" spans="1:7" x14ac:dyDescent="0.25">
      <c r="A31" s="228">
        <v>26</v>
      </c>
      <c r="B31" s="475" t="str">
        <f t="shared" si="0"/>
        <v>IAD35 Roof</v>
      </c>
      <c r="C31" s="388" t="str">
        <f>zSelectedEquipment</f>
        <v>G104-Gen-B</v>
      </c>
      <c r="D31" s="195" t="s">
        <v>2370</v>
      </c>
      <c r="E31" s="388" t="s">
        <v>1529</v>
      </c>
      <c r="F31" s="189"/>
      <c r="G31" s="189"/>
    </row>
    <row r="32" spans="1:7" x14ac:dyDescent="0.25">
      <c r="A32" s="228">
        <v>27</v>
      </c>
      <c r="B32" s="475" t="str">
        <f t="shared" si="0"/>
        <v>IAD35 Roof</v>
      </c>
      <c r="C32" s="388" t="str">
        <f>zSelectedEquipment</f>
        <v>G104-Gen-B</v>
      </c>
      <c r="D32" s="226" t="s">
        <v>2371</v>
      </c>
      <c r="E32" s="388" t="s">
        <v>1529</v>
      </c>
      <c r="F32" s="189"/>
      <c r="G32" s="189"/>
    </row>
    <row r="33" spans="1:7" x14ac:dyDescent="0.25">
      <c r="A33" s="228">
        <v>28</v>
      </c>
      <c r="B33" s="475" t="str">
        <f t="shared" si="0"/>
        <v>IAD35 Roof</v>
      </c>
      <c r="C33" s="388" t="str">
        <f>zSelectedEquipment</f>
        <v>G104-Gen-B</v>
      </c>
      <c r="D33" s="226" t="s">
        <v>2372</v>
      </c>
      <c r="E33" s="388" t="s">
        <v>1529</v>
      </c>
      <c r="F33" s="189"/>
      <c r="G33" s="189"/>
    </row>
    <row r="34" spans="1:7" x14ac:dyDescent="0.25">
      <c r="A34" s="228">
        <v>29</v>
      </c>
      <c r="B34" s="475" t="str">
        <f t="shared" si="0"/>
        <v>IAD35 Roof</v>
      </c>
      <c r="C34" s="388" t="str">
        <f>zSelectedEquipment</f>
        <v>G104-Gen-B</v>
      </c>
      <c r="D34" s="195" t="s">
        <v>2373</v>
      </c>
      <c r="E34" s="388" t="s">
        <v>1529</v>
      </c>
      <c r="F34" s="189"/>
      <c r="G34" s="189"/>
    </row>
    <row r="35" spans="1:7" x14ac:dyDescent="0.25">
      <c r="A35" s="228">
        <v>30</v>
      </c>
      <c r="B35" s="475" t="str">
        <f t="shared" si="0"/>
        <v>IAD35 Roof</v>
      </c>
      <c r="C35" s="388" t="str">
        <f>zSelectedEquipment</f>
        <v>G104-Gen-B</v>
      </c>
      <c r="D35" s="195" t="s">
        <v>2374</v>
      </c>
      <c r="E35" s="388" t="s">
        <v>1529</v>
      </c>
      <c r="F35" s="189"/>
      <c r="G35" s="189"/>
    </row>
    <row r="36" spans="1:7" x14ac:dyDescent="0.25">
      <c r="A36" s="228">
        <v>31</v>
      </c>
      <c r="B36" s="475" t="str">
        <f t="shared" si="0"/>
        <v>IAD35 Roof</v>
      </c>
      <c r="C36" s="388" t="str">
        <f>zSelectedEquipment</f>
        <v>G104-Gen-B</v>
      </c>
      <c r="D36" s="195" t="s">
        <v>2375</v>
      </c>
      <c r="E36" s="388" t="s">
        <v>1529</v>
      </c>
      <c r="F36" s="189"/>
      <c r="G36" s="189"/>
    </row>
    <row r="37" spans="1:7" x14ac:dyDescent="0.25">
      <c r="A37" s="228">
        <v>32</v>
      </c>
      <c r="B37" s="475" t="str">
        <f t="shared" si="0"/>
        <v>IAD35 Roof</v>
      </c>
      <c r="C37" s="388" t="str">
        <f>zSelectedEquipment</f>
        <v>G104-Gen-B</v>
      </c>
      <c r="D37" s="226" t="s">
        <v>2376</v>
      </c>
      <c r="E37" s="388" t="s">
        <v>1529</v>
      </c>
      <c r="F37" s="189"/>
      <c r="G37" s="189"/>
    </row>
    <row r="38" spans="1:7" x14ac:dyDescent="0.25">
      <c r="A38" s="228">
        <v>33</v>
      </c>
      <c r="B38" s="475" t="str">
        <f t="shared" si="0"/>
        <v>IAD35 Roof</v>
      </c>
      <c r="C38" s="388" t="str">
        <f>zSelectedEquipment</f>
        <v>G104-Gen-B</v>
      </c>
      <c r="D38" s="226" t="s">
        <v>2377</v>
      </c>
      <c r="E38" s="388" t="s">
        <v>1529</v>
      </c>
      <c r="F38" s="189"/>
      <c r="G38" s="189"/>
    </row>
    <row r="39" spans="1:7" x14ac:dyDescent="0.25">
      <c r="A39" s="228">
        <v>34</v>
      </c>
      <c r="B39" s="475" t="str">
        <f t="shared" si="0"/>
        <v>IAD35 Roof</v>
      </c>
      <c r="C39" s="388" t="str">
        <f>zSelectedEquipment</f>
        <v>G104-Gen-B</v>
      </c>
      <c r="D39" s="226" t="s">
        <v>2371</v>
      </c>
      <c r="E39" s="388" t="s">
        <v>1529</v>
      </c>
      <c r="F39" s="189"/>
      <c r="G39" s="189"/>
    </row>
    <row r="40" spans="1:7" x14ac:dyDescent="0.25">
      <c r="A40" s="228">
        <v>35</v>
      </c>
      <c r="B40" s="475" t="str">
        <f t="shared" si="0"/>
        <v>IAD35 Roof</v>
      </c>
      <c r="C40" s="388" t="str">
        <f>zSelectedEquipment</f>
        <v>G104-Gen-B</v>
      </c>
      <c r="D40" s="226" t="s">
        <v>2372</v>
      </c>
      <c r="E40" s="388" t="s">
        <v>1529</v>
      </c>
      <c r="F40" s="189"/>
      <c r="G40" s="189"/>
    </row>
    <row r="41" spans="1:7" x14ac:dyDescent="0.25">
      <c r="A41" s="228">
        <v>36</v>
      </c>
      <c r="B41" s="475" t="str">
        <f t="shared" si="0"/>
        <v>IAD35 Roof</v>
      </c>
      <c r="C41" s="388" t="str">
        <f>zSelectedEquipment</f>
        <v>G104-Gen-B</v>
      </c>
      <c r="D41" s="195" t="s">
        <v>2378</v>
      </c>
      <c r="E41" s="388" t="s">
        <v>1529</v>
      </c>
      <c r="F41" s="189"/>
      <c r="G41" s="189"/>
    </row>
    <row r="42" spans="1:7" x14ac:dyDescent="0.25">
      <c r="A42" s="228">
        <v>37</v>
      </c>
      <c r="B42" s="717" t="s">
        <v>2379</v>
      </c>
      <c r="C42" s="718"/>
      <c r="D42" s="718"/>
      <c r="E42" s="718"/>
      <c r="F42" s="718"/>
      <c r="G42" s="719"/>
    </row>
    <row r="43" spans="1:7" ht="37.5" x14ac:dyDescent="0.25">
      <c r="A43" s="228">
        <v>38</v>
      </c>
      <c r="B43" s="388" t="str">
        <f>IF(ISNUMBER(SEARCH("PBB", zSelectedEquipment))=TRUE, Suite, Suite&amp;" Battery Rooms")</f>
        <v>G104 Battery Rooms</v>
      </c>
      <c r="C43" s="388" t="str">
        <f>zSelectedEquipment</f>
        <v>G104-Gen-B</v>
      </c>
      <c r="D43" s="195" t="s">
        <v>2323</v>
      </c>
      <c r="E43" s="388" t="s">
        <v>1529</v>
      </c>
      <c r="F43" s="189"/>
      <c r="G43" s="189"/>
    </row>
    <row r="44" spans="1:7" ht="37.5" x14ac:dyDescent="0.25">
      <c r="A44" s="228">
        <v>39</v>
      </c>
      <c r="B44" s="388" t="str">
        <f>IF(ISNUMBER(SEARCH("PBB", zSelectedEquipment))=TRUE, Suite, Suite&amp;" Battery Rooms")</f>
        <v>G104 Battery Rooms</v>
      </c>
      <c r="C44" s="388" t="str">
        <f>zSelectedEquipment</f>
        <v>G104-Gen-B</v>
      </c>
      <c r="D44" s="195" t="s">
        <v>2324</v>
      </c>
      <c r="E44" s="388" t="s">
        <v>1529</v>
      </c>
      <c r="F44" s="189"/>
      <c r="G44" s="189"/>
    </row>
    <row r="45" spans="1:7" ht="37.5" x14ac:dyDescent="0.25">
      <c r="A45" s="228">
        <v>40</v>
      </c>
      <c r="B45" s="388" t="str">
        <f>IF(ISNUMBER(SEARCH("PBB", zSelectedEquipment))=TRUE, Suite, Suite&amp;" Battery Rooms")</f>
        <v>G104 Battery Rooms</v>
      </c>
      <c r="C45" s="388" t="str">
        <f>zSelectedEquipment</f>
        <v>G104-Gen-B</v>
      </c>
      <c r="D45" s="195" t="s">
        <v>2325</v>
      </c>
      <c r="E45" s="388" t="s">
        <v>1529</v>
      </c>
      <c r="F45" s="189"/>
      <c r="G45" s="189"/>
    </row>
    <row r="46" spans="1:7" ht="37.5" x14ac:dyDescent="0.25">
      <c r="A46" s="228">
        <v>41</v>
      </c>
      <c r="B46" s="388" t="str">
        <f>IF(ISNUMBER(SEARCH("PBB", zSelectedEquipment))=TRUE, Suite, Suite&amp;" Battery Rooms")</f>
        <v>G104 Battery Rooms</v>
      </c>
      <c r="C46" s="388" t="str">
        <f>zSelectedEquipment</f>
        <v>G104-Gen-B</v>
      </c>
      <c r="D46" s="195" t="s">
        <v>2326</v>
      </c>
      <c r="E46" s="388" t="s">
        <v>1529</v>
      </c>
      <c r="F46" s="189"/>
      <c r="G46" s="189"/>
    </row>
    <row r="47" spans="1:7" ht="37.5" x14ac:dyDescent="0.25">
      <c r="A47" s="228">
        <v>42</v>
      </c>
      <c r="B47" s="388" t="str">
        <f>IF(ISNUMBER(SEARCH("PBB", zSelectedEquipment))=TRUE, Suite, Suite&amp;" Battery Rooms")</f>
        <v>G104 Battery Rooms</v>
      </c>
      <c r="C47" s="388" t="str">
        <f>zSelectedEquipment</f>
        <v>G104-Gen-B</v>
      </c>
      <c r="D47" s="195" t="s">
        <v>2327</v>
      </c>
      <c r="E47" s="388" t="s">
        <v>1529</v>
      </c>
      <c r="F47" s="189"/>
      <c r="G47" s="189"/>
    </row>
    <row r="48" spans="1:7" ht="37.5" x14ac:dyDescent="0.25">
      <c r="A48" s="228">
        <v>43</v>
      </c>
      <c r="B48" s="388" t="str">
        <f>IF(ISNUMBER(SEARCH("PBB", zSelectedEquipment))=TRUE, Suite, Suite&amp;" Battery Rooms")</f>
        <v>G104 Battery Rooms</v>
      </c>
      <c r="C48" s="388" t="str">
        <f>zSelectedEquipment</f>
        <v>G104-Gen-B</v>
      </c>
      <c r="D48" s="195" t="s">
        <v>2380</v>
      </c>
      <c r="E48" s="388" t="s">
        <v>1529</v>
      </c>
      <c r="F48" s="189"/>
      <c r="G48" s="189"/>
    </row>
    <row r="49" spans="1:7" x14ac:dyDescent="0.25">
      <c r="A49" s="228">
        <v>44</v>
      </c>
      <c r="B49" s="717" t="s">
        <v>2329</v>
      </c>
      <c r="C49" s="718"/>
      <c r="D49" s="718"/>
      <c r="E49" s="718"/>
      <c r="F49" s="718"/>
      <c r="G49" s="719"/>
    </row>
    <row r="50" spans="1:7" ht="37.5" x14ac:dyDescent="0.25">
      <c r="A50" s="228">
        <v>45</v>
      </c>
      <c r="B50" s="475" t="str">
        <f t="shared" ref="B50:B56" si="1">IADNumber&amp;" Roof"</f>
        <v>IAD35 Roof</v>
      </c>
      <c r="C50" s="388" t="str">
        <f>zSelectedEquipment</f>
        <v>G104-Gen-B</v>
      </c>
      <c r="D50" s="195" t="s">
        <v>2299</v>
      </c>
      <c r="E50" s="388" t="s">
        <v>1529</v>
      </c>
      <c r="F50" s="189"/>
      <c r="G50" s="189"/>
    </row>
    <row r="51" spans="1:7" x14ac:dyDescent="0.25">
      <c r="A51" s="228">
        <v>46</v>
      </c>
      <c r="B51" s="475" t="str">
        <f t="shared" si="1"/>
        <v>IAD35 Roof</v>
      </c>
      <c r="C51" s="388" t="str">
        <f>zSelectedEquipment</f>
        <v>G104-Gen-B</v>
      </c>
      <c r="D51" s="195" t="s">
        <v>2381</v>
      </c>
      <c r="E51" s="388" t="s">
        <v>1529</v>
      </c>
      <c r="F51" s="189"/>
      <c r="G51" s="189"/>
    </row>
    <row r="52" spans="1:7" x14ac:dyDescent="0.25">
      <c r="A52" s="228">
        <v>47</v>
      </c>
      <c r="B52" s="475" t="str">
        <f t="shared" si="1"/>
        <v>IAD35 Roof</v>
      </c>
      <c r="C52" s="388" t="str">
        <f>zSelectedEquipment</f>
        <v>G104-Gen-B</v>
      </c>
      <c r="D52" s="195" t="s">
        <v>2332</v>
      </c>
      <c r="E52" s="388" t="s">
        <v>1529</v>
      </c>
      <c r="F52" s="189"/>
      <c r="G52" s="189"/>
    </row>
    <row r="53" spans="1:7" ht="37.5" x14ac:dyDescent="0.25">
      <c r="A53" s="228">
        <v>48</v>
      </c>
      <c r="B53" s="475" t="str">
        <f t="shared" si="1"/>
        <v>IAD35 Roof</v>
      </c>
      <c r="C53" s="388" t="str">
        <f>zSelectedEquipment</f>
        <v>G104-Gen-B</v>
      </c>
      <c r="D53" s="195" t="s">
        <v>2333</v>
      </c>
      <c r="E53" s="388" t="s">
        <v>1529</v>
      </c>
      <c r="F53" s="189"/>
      <c r="G53" s="189"/>
    </row>
    <row r="54" spans="1:7" ht="37.5" x14ac:dyDescent="0.25">
      <c r="A54" s="228">
        <v>49</v>
      </c>
      <c r="B54" s="475" t="str">
        <f t="shared" si="1"/>
        <v>IAD35 Roof</v>
      </c>
      <c r="C54" s="388" t="str">
        <f>zSelectedEquipment</f>
        <v>G104-Gen-B</v>
      </c>
      <c r="D54" s="195" t="s">
        <v>2334</v>
      </c>
      <c r="E54" s="388" t="s">
        <v>1529</v>
      </c>
      <c r="F54" s="189"/>
      <c r="G54" s="189"/>
    </row>
    <row r="55" spans="1:7" x14ac:dyDescent="0.25">
      <c r="A55" s="228">
        <v>50</v>
      </c>
      <c r="B55" s="475" t="str">
        <f t="shared" si="1"/>
        <v>IAD35 Roof</v>
      </c>
      <c r="C55" s="388" t="str">
        <f>zSelectedEquipment</f>
        <v>G104-Gen-B</v>
      </c>
      <c r="D55" s="195" t="s">
        <v>2335</v>
      </c>
      <c r="E55" s="388" t="s">
        <v>1529</v>
      </c>
      <c r="F55" s="189"/>
      <c r="G55" s="189"/>
    </row>
    <row r="56" spans="1:7" x14ac:dyDescent="0.25">
      <c r="A56" s="228">
        <v>51</v>
      </c>
      <c r="B56" s="475" t="str">
        <f t="shared" si="1"/>
        <v>IAD35 Roof</v>
      </c>
      <c r="C56" s="388" t="str">
        <f>zSelectedEquipment</f>
        <v>G104-Gen-B</v>
      </c>
      <c r="D56" s="195" t="s">
        <v>2382</v>
      </c>
      <c r="E56" s="388" t="s">
        <v>1529</v>
      </c>
      <c r="F56" s="189"/>
      <c r="G56" s="189"/>
    </row>
    <row r="57" spans="1:7" x14ac:dyDescent="0.25">
      <c r="A57" s="228">
        <v>52</v>
      </c>
      <c r="B57" s="717" t="s">
        <v>2383</v>
      </c>
      <c r="C57" s="718"/>
      <c r="D57" s="718"/>
      <c r="E57" s="718"/>
      <c r="F57" s="718"/>
      <c r="G57" s="719"/>
    </row>
    <row r="58" spans="1:7" x14ac:dyDescent="0.25">
      <c r="A58" s="228">
        <v>53</v>
      </c>
      <c r="B58" s="475" t="str">
        <f t="shared" ref="B58:B65" si="2">IADNumber&amp;" Roof"</f>
        <v>IAD35 Roof</v>
      </c>
      <c r="C58" s="388" t="str">
        <f>zSelectedEquipment</f>
        <v>G104-Gen-B</v>
      </c>
      <c r="D58" s="195" t="s">
        <v>2384</v>
      </c>
      <c r="E58" s="388" t="s">
        <v>1529</v>
      </c>
      <c r="F58" s="189"/>
      <c r="G58" s="189"/>
    </row>
    <row r="59" spans="1:7" x14ac:dyDescent="0.25">
      <c r="A59" s="228">
        <v>54</v>
      </c>
      <c r="B59" s="475" t="str">
        <f t="shared" si="2"/>
        <v>IAD35 Roof</v>
      </c>
      <c r="C59" s="388" t="str">
        <f>zSelectedEquipment</f>
        <v>G104-Gen-B</v>
      </c>
      <c r="D59" s="195" t="s">
        <v>2318</v>
      </c>
      <c r="E59" s="388" t="s">
        <v>1529</v>
      </c>
      <c r="F59" s="189"/>
      <c r="G59" s="189"/>
    </row>
    <row r="60" spans="1:7" x14ac:dyDescent="0.25">
      <c r="A60" s="228">
        <v>55</v>
      </c>
      <c r="B60" s="475" t="str">
        <f t="shared" si="2"/>
        <v>IAD35 Roof</v>
      </c>
      <c r="C60" s="388" t="str">
        <f>zSelectedEquipment</f>
        <v>G104-Gen-B</v>
      </c>
      <c r="D60" s="195" t="s">
        <v>2385</v>
      </c>
      <c r="E60" s="388" t="s">
        <v>1529</v>
      </c>
      <c r="F60" s="189"/>
      <c r="G60" s="189"/>
    </row>
    <row r="61" spans="1:7" x14ac:dyDescent="0.25">
      <c r="A61" s="228">
        <v>56</v>
      </c>
      <c r="B61" s="475" t="str">
        <f t="shared" si="2"/>
        <v>IAD35 Roof</v>
      </c>
      <c r="C61" s="388" t="str">
        <f>zSelectedEquipment</f>
        <v>G104-Gen-B</v>
      </c>
      <c r="D61" s="195" t="s">
        <v>2320</v>
      </c>
      <c r="E61" s="388" t="s">
        <v>1529</v>
      </c>
      <c r="F61" s="189"/>
      <c r="G61" s="189"/>
    </row>
    <row r="62" spans="1:7" x14ac:dyDescent="0.25">
      <c r="A62" s="228">
        <v>57</v>
      </c>
      <c r="B62" s="475" t="str">
        <f t="shared" si="2"/>
        <v>IAD35 Roof</v>
      </c>
      <c r="C62" s="388" t="str">
        <f>zSelectedEquipment</f>
        <v>G104-Gen-B</v>
      </c>
      <c r="D62" s="195" t="s">
        <v>2386</v>
      </c>
      <c r="E62" s="388" t="s">
        <v>1529</v>
      </c>
      <c r="F62" s="189"/>
      <c r="G62" s="189"/>
    </row>
    <row r="63" spans="1:7" x14ac:dyDescent="0.25">
      <c r="A63" s="228">
        <v>58</v>
      </c>
      <c r="B63" s="475" t="str">
        <f t="shared" si="2"/>
        <v>IAD35 Roof</v>
      </c>
      <c r="C63" s="388" t="str">
        <f>zSelectedEquipment</f>
        <v>G104-Gen-B</v>
      </c>
      <c r="D63" s="195" t="s">
        <v>2387</v>
      </c>
      <c r="E63" s="388" t="s">
        <v>1529</v>
      </c>
      <c r="F63" s="189"/>
      <c r="G63" s="189"/>
    </row>
    <row r="64" spans="1:7" ht="37.5" x14ac:dyDescent="0.25">
      <c r="A64" s="228">
        <v>59</v>
      </c>
      <c r="B64" s="475" t="str">
        <f t="shared" si="2"/>
        <v>IAD35 Roof</v>
      </c>
      <c r="C64" s="388" t="str">
        <f>zSelectedEquipment</f>
        <v>G104-Gen-B</v>
      </c>
      <c r="D64" s="195" t="s">
        <v>2388</v>
      </c>
      <c r="E64" s="388" t="s">
        <v>1529</v>
      </c>
      <c r="F64" s="189"/>
      <c r="G64" s="189"/>
    </row>
    <row r="65" spans="1:7" x14ac:dyDescent="0.25">
      <c r="A65" s="228">
        <v>60</v>
      </c>
      <c r="B65" s="475" t="str">
        <f t="shared" si="2"/>
        <v>IAD35 Roof</v>
      </c>
      <c r="C65" s="388" t="str">
        <f>zSelectedEquipment</f>
        <v>G104-Gen-B</v>
      </c>
      <c r="D65" s="195" t="s">
        <v>2389</v>
      </c>
      <c r="E65" s="388" t="s">
        <v>1529</v>
      </c>
      <c r="F65" s="189"/>
      <c r="G65" s="189"/>
    </row>
    <row r="66" spans="1:7" x14ac:dyDescent="0.25">
      <c r="A66" s="228">
        <v>61</v>
      </c>
      <c r="B66" s="717" t="s">
        <v>2273</v>
      </c>
      <c r="C66" s="718"/>
      <c r="D66" s="718"/>
      <c r="E66" s="718"/>
      <c r="F66" s="718"/>
      <c r="G66" s="719"/>
    </row>
    <row r="67" spans="1:7" x14ac:dyDescent="0.25">
      <c r="A67" s="228">
        <v>62</v>
      </c>
      <c r="B67" s="475" t="str">
        <f>IADNumber&amp;" Roof"</f>
        <v>IAD35 Roof</v>
      </c>
      <c r="C67" s="388" t="str">
        <f>zSelectedEquipment</f>
        <v>G104-Gen-B</v>
      </c>
      <c r="D67" s="195" t="s">
        <v>2274</v>
      </c>
      <c r="E67" s="388" t="s">
        <v>1529</v>
      </c>
      <c r="F67" s="189"/>
      <c r="G67" s="189"/>
    </row>
    <row r="68" spans="1:7" x14ac:dyDescent="0.25">
      <c r="A68" s="228">
        <v>63</v>
      </c>
      <c r="B68" s="475" t="str">
        <f>IADNumber&amp;" Roof"</f>
        <v>IAD35 Roof</v>
      </c>
      <c r="C68" s="388" t="str">
        <f>zSelectedEquipment</f>
        <v>G104-Gen-B</v>
      </c>
      <c r="D68" s="195" t="s">
        <v>2275</v>
      </c>
      <c r="E68" s="388" t="s">
        <v>1529</v>
      </c>
      <c r="F68" s="189"/>
      <c r="G68" s="189"/>
    </row>
    <row r="69" spans="1:7" ht="37.5" x14ac:dyDescent="0.25">
      <c r="A69" s="228">
        <v>64</v>
      </c>
      <c r="B69" s="388" t="str">
        <f>IF(ISNUMBER(SEARCH("PBB", zSelectedEquipment))=TRUE, Suite, Suite&amp;" Battery Rooms")</f>
        <v>G104 Battery Rooms</v>
      </c>
      <c r="C69" s="388" t="str">
        <f>zSelectedEquipment</f>
        <v>G104-Gen-B</v>
      </c>
      <c r="D69" s="195" t="s">
        <v>2276</v>
      </c>
      <c r="E69" s="388" t="s">
        <v>1529</v>
      </c>
      <c r="F69" s="189"/>
      <c r="G69" s="189"/>
    </row>
    <row r="70" spans="1:7" ht="37.5" x14ac:dyDescent="0.25">
      <c r="A70" s="228">
        <v>65</v>
      </c>
      <c r="B70" s="388" t="str">
        <f>IF(ISNUMBER(SEARCH("PBB", zSelectedEquipment))=TRUE, Suite, Suite&amp;" Battery Rooms")</f>
        <v>G104 Battery Rooms</v>
      </c>
      <c r="C70" s="388" t="str">
        <f>zSelectedEquipment</f>
        <v>G104-Gen-B</v>
      </c>
      <c r="D70" s="195" t="s">
        <v>2277</v>
      </c>
      <c r="E70" s="388" t="s">
        <v>1529</v>
      </c>
      <c r="F70" s="189"/>
      <c r="G70" s="189"/>
    </row>
    <row r="71" spans="1:7" ht="56.25" x14ac:dyDescent="0.25">
      <c r="A71" s="228">
        <v>66</v>
      </c>
      <c r="B71" s="475" t="str">
        <f>IADNumber&amp;" Roof"</f>
        <v>IAD35 Roof</v>
      </c>
      <c r="C71" s="388" t="str">
        <f>zSelectedEquipment</f>
        <v>G104-Gen-B</v>
      </c>
      <c r="D71" s="195" t="s">
        <v>2390</v>
      </c>
      <c r="E71" s="388" t="s">
        <v>1529</v>
      </c>
      <c r="F71" s="189"/>
      <c r="G71" s="189"/>
    </row>
    <row r="72" spans="1:7" ht="37.5" x14ac:dyDescent="0.25">
      <c r="A72" s="228">
        <v>67</v>
      </c>
      <c r="B72" s="388" t="str">
        <f>IF(ISNUMBER(SEARCH("PBB", zSelectedEquipment))=TRUE, Suite, Suite&amp;" Battery Rooms")</f>
        <v>G104 Battery Rooms</v>
      </c>
      <c r="C72" s="388" t="str">
        <f>zSelectedEquipment</f>
        <v>G104-Gen-B</v>
      </c>
      <c r="D72" s="195" t="s">
        <v>2391</v>
      </c>
      <c r="E72" s="388" t="s">
        <v>1529</v>
      </c>
      <c r="F72" s="189"/>
      <c r="G72" s="189"/>
    </row>
    <row r="73" spans="1:7" ht="37.5" x14ac:dyDescent="0.25">
      <c r="A73" s="228">
        <v>68</v>
      </c>
      <c r="B73" s="388" t="str">
        <f>IF(ISNUMBER(SEARCH("PBB", zSelectedEquipment))=TRUE, Suite, Suite&amp;" Battery Rooms")</f>
        <v>G104 Battery Rooms</v>
      </c>
      <c r="C73" s="388" t="str">
        <f>zSelectedEquipment</f>
        <v>G104-Gen-B</v>
      </c>
      <c r="D73" s="195" t="s">
        <v>2392</v>
      </c>
      <c r="E73" s="388" t="s">
        <v>1529</v>
      </c>
      <c r="F73" s="189"/>
      <c r="G73" s="189"/>
    </row>
    <row r="74" spans="1:7" ht="37.5" x14ac:dyDescent="0.25">
      <c r="A74" s="228">
        <v>69</v>
      </c>
      <c r="B74" s="388" t="str">
        <f>IF(ISNUMBER(SEARCH("PBB", zSelectedEquipment))=TRUE, Suite, Suite&amp;" Battery Rooms")</f>
        <v>G104 Battery Rooms</v>
      </c>
      <c r="C74" s="388" t="str">
        <f>zSelectedEquipment</f>
        <v>G104-Gen-B</v>
      </c>
      <c r="D74" s="195" t="s">
        <v>2281</v>
      </c>
      <c r="E74" s="388" t="s">
        <v>1529</v>
      </c>
      <c r="F74" s="189"/>
      <c r="G74" s="189"/>
    </row>
    <row r="75" spans="1:7" ht="37.5" x14ac:dyDescent="0.25">
      <c r="A75" s="228">
        <v>70</v>
      </c>
      <c r="B75" s="388" t="str">
        <f>IF(ISNUMBER(SEARCH("PBB", zSelectedEquipment))=TRUE, Suite, Suite&amp;" Battery Rooms")</f>
        <v>G104 Battery Rooms</v>
      </c>
      <c r="C75" s="388" t="str">
        <f>zSelectedEquipment</f>
        <v>G104-Gen-B</v>
      </c>
      <c r="D75" s="195" t="s">
        <v>2282</v>
      </c>
      <c r="E75" s="388" t="s">
        <v>1529</v>
      </c>
      <c r="F75" s="189"/>
      <c r="G75" s="189"/>
    </row>
    <row r="76" spans="1:7" ht="37.5" x14ac:dyDescent="0.25">
      <c r="A76" s="228">
        <v>71</v>
      </c>
      <c r="B76" s="475" t="s">
        <v>1462</v>
      </c>
      <c r="C76" s="388" t="s">
        <v>84</v>
      </c>
      <c r="D76" s="195" t="s">
        <v>2283</v>
      </c>
      <c r="E76" s="388" t="s">
        <v>1529</v>
      </c>
      <c r="F76" s="189" t="s">
        <v>1519</v>
      </c>
      <c r="G76" s="189"/>
    </row>
    <row r="77" spans="1:7" ht="37.5" x14ac:dyDescent="0.25">
      <c r="A77" s="228">
        <v>72</v>
      </c>
      <c r="B77" s="388" t="str">
        <f>IF(ISNUMBER(SEARCH("PBB", zSelectedEquipment))=TRUE, Suite, Suite&amp;" Battery Rooms")</f>
        <v>G104 Battery Rooms</v>
      </c>
      <c r="C77" s="388" t="str">
        <f>zSelectedEquipment</f>
        <v>G104-Gen-B</v>
      </c>
      <c r="D77" s="195" t="s">
        <v>2284</v>
      </c>
      <c r="E77" s="388" t="s">
        <v>1529</v>
      </c>
      <c r="F77" s="189"/>
      <c r="G77" s="189"/>
    </row>
    <row r="78" spans="1:7" x14ac:dyDescent="0.25">
      <c r="A78" s="228">
        <v>73</v>
      </c>
      <c r="B78" s="717" t="s">
        <v>2285</v>
      </c>
      <c r="C78" s="718"/>
      <c r="D78" s="721"/>
      <c r="E78" s="718"/>
      <c r="F78" s="718"/>
      <c r="G78" s="719"/>
    </row>
    <row r="79" spans="1:7" ht="37.5" x14ac:dyDescent="0.25">
      <c r="A79" s="228">
        <v>74</v>
      </c>
      <c r="B79" s="388" t="str">
        <f>IF(ISNUMBER(SEARCH("PBB", zSelectedEquipment))=TRUE, Suite, Suite&amp;" Battery Rooms")</f>
        <v>G104 Battery Rooms</v>
      </c>
      <c r="C79" s="388" t="str">
        <f>zSelectedEquipment</f>
        <v>G104-Gen-B</v>
      </c>
      <c r="D79" s="191" t="s">
        <v>2286</v>
      </c>
      <c r="E79" s="388" t="s">
        <v>1529</v>
      </c>
      <c r="F79" s="189"/>
      <c r="G79" s="189"/>
    </row>
    <row r="80" spans="1:7" ht="37.5" x14ac:dyDescent="0.25">
      <c r="A80" s="228">
        <v>75</v>
      </c>
      <c r="B80" s="388" t="str">
        <f>IF(ISNUMBER(SEARCH("PBB", zSelectedEquipment))=TRUE, Suite, Suite&amp;" Battery Rooms")</f>
        <v>G104 Battery Rooms</v>
      </c>
      <c r="C80" s="388" t="str">
        <f>zSelectedEquipment</f>
        <v>G104-Gen-B</v>
      </c>
      <c r="D80" s="191" t="s">
        <v>2287</v>
      </c>
      <c r="E80" s="388" t="s">
        <v>1529</v>
      </c>
      <c r="F80" s="189"/>
      <c r="G80" s="189"/>
    </row>
    <row r="81" spans="1:7" ht="37.5" x14ac:dyDescent="0.25">
      <c r="A81" s="228">
        <v>76</v>
      </c>
      <c r="B81" s="388" t="str">
        <f>IF(ISNUMBER(SEARCH("PBB", zSelectedEquipment))=TRUE, Suite, Suite&amp;" Battery Rooms")</f>
        <v>G104 Battery Rooms</v>
      </c>
      <c r="C81" s="388" t="str">
        <f>zSelectedEquipment</f>
        <v>G104-Gen-B</v>
      </c>
      <c r="D81" s="188" t="s">
        <v>2288</v>
      </c>
      <c r="E81" s="388" t="s">
        <v>1529</v>
      </c>
      <c r="F81" s="189"/>
      <c r="G81" s="189"/>
    </row>
    <row r="82" spans="1:7" ht="37.5" x14ac:dyDescent="0.25">
      <c r="A82" s="228">
        <v>77</v>
      </c>
      <c r="B82" s="388" t="str">
        <f>IF(ISNUMBER(SEARCH("PBB", zSelectedEquipment))=TRUE, Suite, Suite&amp;" Battery Rooms")</f>
        <v>G104 Battery Rooms</v>
      </c>
      <c r="C82" s="388" t="str">
        <f>zSelectedEquipment</f>
        <v>G104-Gen-B</v>
      </c>
      <c r="D82" s="188" t="s">
        <v>2289</v>
      </c>
      <c r="E82" s="388" t="s">
        <v>1529</v>
      </c>
      <c r="F82" s="189"/>
      <c r="G82" s="189"/>
    </row>
    <row r="83" spans="1:7" x14ac:dyDescent="0.3">
      <c r="A83" s="229"/>
    </row>
    <row r="84" spans="1:7" x14ac:dyDescent="0.3">
      <c r="A84" s="192"/>
    </row>
    <row r="85" spans="1:7" x14ac:dyDescent="0.3">
      <c r="A85" s="192"/>
    </row>
    <row r="86" spans="1:7" x14ac:dyDescent="0.3">
      <c r="A86" s="192"/>
    </row>
    <row r="87" spans="1:7" x14ac:dyDescent="0.3">
      <c r="A87" s="192"/>
    </row>
    <row r="88" spans="1:7" x14ac:dyDescent="0.3">
      <c r="A88" s="192"/>
    </row>
    <row r="89" spans="1:7" x14ac:dyDescent="0.3">
      <c r="A89" s="192"/>
    </row>
    <row r="90" spans="1:7" x14ac:dyDescent="0.3">
      <c r="A90" s="192"/>
    </row>
    <row r="91" spans="1:7" x14ac:dyDescent="0.3">
      <c r="A91" s="192"/>
    </row>
    <row r="92" spans="1:7" x14ac:dyDescent="0.3">
      <c r="A92" s="192"/>
    </row>
  </sheetData>
  <sheetProtection formatCells="0" formatColumns="0" formatRows="0" insertRows="0" deleteRows="0" sort="0" autoFilter="0"/>
  <mergeCells count="17">
    <mergeCell ref="B57:G57"/>
    <mergeCell ref="B66:G66"/>
    <mergeCell ref="B78:G78"/>
    <mergeCell ref="B14:G14"/>
    <mergeCell ref="B19:G19"/>
    <mergeCell ref="B22:G22"/>
    <mergeCell ref="B29:G29"/>
    <mergeCell ref="B42:G42"/>
    <mergeCell ref="B49:G49"/>
    <mergeCell ref="A2:B2"/>
    <mergeCell ref="A3:B3"/>
    <mergeCell ref="C3:D3"/>
    <mergeCell ref="C2:G2"/>
    <mergeCell ref="B10:G10"/>
    <mergeCell ref="A4:C4"/>
    <mergeCell ref="B6:G6"/>
    <mergeCell ref="B8:G8"/>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ignoredErrors>
    <ignoredError sqref="B71" formula="1"/>
  </ignoredErrors>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71287-3611-4F20-B09A-47412FA633F7}">
  <sheetPr codeName="Chiller_SAPMV2">
    <pageSetUpPr fitToPage="1"/>
  </sheetPr>
  <dimension ref="A1:I63"/>
  <sheetViews>
    <sheetView workbookViewId="0"/>
  </sheetViews>
  <sheetFormatPr defaultColWidth="8.7109375" defaultRowHeight="18.75" x14ac:dyDescent="0.25"/>
  <cols>
    <col min="1" max="1" width="6.85546875" style="173" customWidth="1"/>
    <col min="2" max="2" width="19.5703125" style="404" customWidth="1"/>
    <col min="3" max="3" width="15.42578125" style="404" customWidth="1"/>
    <col min="4" max="4" width="87.42578125" style="404" customWidth="1"/>
    <col min="5" max="5" width="22.140625" style="404" bestFit="1" customWidth="1"/>
    <col min="6" max="6" width="13.85546875" style="404" bestFit="1" customWidth="1"/>
    <col min="7" max="7" width="10.42578125" style="404" customWidth="1"/>
    <col min="8" max="8" width="12.140625" style="173" customWidth="1"/>
    <col min="9" max="9" width="10.7109375" style="173" customWidth="1"/>
    <col min="10" max="10" width="9.140625" style="173" customWidth="1"/>
    <col min="11" max="11" width="9.85546875" style="173" customWidth="1"/>
    <col min="12" max="16384" width="8.7109375" style="173"/>
  </cols>
  <sheetData>
    <row r="1" spans="1:9" s="163" customFormat="1" x14ac:dyDescent="0.25">
      <c r="A1" s="382" t="s">
        <v>1454</v>
      </c>
      <c r="B1" s="382"/>
      <c r="C1" s="210"/>
      <c r="D1" s="210"/>
      <c r="E1" s="210"/>
      <c r="F1" s="210"/>
      <c r="G1" s="210"/>
    </row>
    <row r="2" spans="1:9" s="163" customFormat="1" ht="18.75" customHeight="1" x14ac:dyDescent="0.25">
      <c r="A2" s="743" t="s">
        <v>42</v>
      </c>
      <c r="B2" s="743"/>
      <c r="C2" s="731" t="str">
        <f>zTaskName</f>
        <v>Routine Generator run with no load transfer</v>
      </c>
      <c r="D2" s="730"/>
      <c r="E2" s="730"/>
      <c r="F2" s="730"/>
      <c r="G2" s="732"/>
    </row>
    <row r="3" spans="1:9" s="163" customFormat="1" ht="9.9499999999999993" customHeight="1" x14ac:dyDescent="0.25">
      <c r="A3" s="744"/>
      <c r="B3" s="745"/>
      <c r="C3" s="730"/>
      <c r="D3" s="730"/>
      <c r="E3" s="395"/>
      <c r="F3" s="395"/>
      <c r="G3" s="396"/>
    </row>
    <row r="4" spans="1:9" s="163" customFormat="1" ht="9.9499999999999993" customHeight="1" x14ac:dyDescent="0.25">
      <c r="A4" s="746"/>
      <c r="B4" s="747"/>
      <c r="C4" s="747"/>
      <c r="D4" s="382"/>
      <c r="E4" s="382"/>
      <c r="F4" s="382"/>
      <c r="G4" s="383"/>
      <c r="H4" s="78"/>
      <c r="I4" s="78"/>
    </row>
    <row r="5" spans="1:9" ht="37.5" x14ac:dyDescent="0.25">
      <c r="A5" s="397" t="s">
        <v>1455</v>
      </c>
      <c r="B5" s="398" t="s">
        <v>8</v>
      </c>
      <c r="C5" s="398" t="s">
        <v>1456</v>
      </c>
      <c r="D5" s="397" t="s">
        <v>1457</v>
      </c>
      <c r="E5" s="398" t="s">
        <v>1458</v>
      </c>
      <c r="F5" s="398" t="s">
        <v>1459</v>
      </c>
      <c r="G5" s="397" t="s">
        <v>1460</v>
      </c>
    </row>
    <row r="6" spans="1:9" s="399" customFormat="1" ht="37.5" x14ac:dyDescent="0.25">
      <c r="A6" s="389">
        <v>1</v>
      </c>
      <c r="B6" s="389" t="s">
        <v>2393</v>
      </c>
      <c r="C6" s="389" t="s">
        <v>84</v>
      </c>
      <c r="D6" s="390" t="s">
        <v>2394</v>
      </c>
      <c r="E6" s="174" t="s">
        <v>1464</v>
      </c>
      <c r="F6" s="392"/>
      <c r="G6" s="389" t="s">
        <v>1519</v>
      </c>
    </row>
    <row r="7" spans="1:9" s="400" customFormat="1" ht="37.5" x14ac:dyDescent="0.25">
      <c r="A7" s="389">
        <f>A6+1</f>
        <v>2</v>
      </c>
      <c r="B7" s="391" t="s">
        <v>1462</v>
      </c>
      <c r="C7" s="389" t="s">
        <v>84</v>
      </c>
      <c r="D7" s="194" t="s">
        <v>2023</v>
      </c>
      <c r="E7" s="174" t="s">
        <v>1464</v>
      </c>
      <c r="F7" s="392"/>
      <c r="G7" s="389" t="s">
        <v>1519</v>
      </c>
    </row>
    <row r="8" spans="1:9" s="400" customFormat="1" ht="37.5" x14ac:dyDescent="0.25">
      <c r="A8" s="389">
        <f>A7+1</f>
        <v>3</v>
      </c>
      <c r="B8" s="391" t="s">
        <v>1462</v>
      </c>
      <c r="C8" s="389" t="s">
        <v>84</v>
      </c>
      <c r="D8" s="390" t="s">
        <v>2395</v>
      </c>
      <c r="E8" s="174" t="s">
        <v>1464</v>
      </c>
      <c r="F8" s="392"/>
      <c r="G8" s="389" t="s">
        <v>1519</v>
      </c>
    </row>
    <row r="9" spans="1:9" s="401" customFormat="1" x14ac:dyDescent="0.25">
      <c r="A9" s="389">
        <f>A8+1</f>
        <v>4</v>
      </c>
      <c r="B9" s="737" t="e" cm="1">
        <f t="array" ref="B9">"Perform " &amp; zTaskName &amp; " on " &amp; VLOOKUP(Suite, 'Config-Chiller'!$A$3:$F$17, 2, FALSE)</f>
        <v>#N/A</v>
      </c>
      <c r="C9" s="738"/>
      <c r="D9" s="738"/>
      <c r="E9" s="738"/>
      <c r="F9" s="738"/>
      <c r="G9" s="739"/>
    </row>
    <row r="10" spans="1:9" s="163" customFormat="1" ht="56.25" x14ac:dyDescent="0.25">
      <c r="A10" s="389">
        <f t="shared" ref="A10:A42" si="0">A9+1</f>
        <v>5</v>
      </c>
      <c r="B10" s="391" t="s">
        <v>1462</v>
      </c>
      <c r="C10" s="388" t="s">
        <v>2352</v>
      </c>
      <c r="D10" s="256" t="s">
        <v>2396</v>
      </c>
      <c r="E10" s="174" t="s">
        <v>1464</v>
      </c>
      <c r="F10" s="475"/>
      <c r="G10" s="225"/>
    </row>
    <row r="11" spans="1:9" s="163" customFormat="1" ht="37.5" x14ac:dyDescent="0.25">
      <c r="A11" s="389">
        <f t="shared" si="0"/>
        <v>6</v>
      </c>
      <c r="B11" s="391" t="s">
        <v>1462</v>
      </c>
      <c r="C11" s="388" t="s">
        <v>2352</v>
      </c>
      <c r="D11" s="256" t="s">
        <v>2397</v>
      </c>
      <c r="E11" s="174" t="s">
        <v>1464</v>
      </c>
      <c r="F11" s="475"/>
      <c r="G11" s="225"/>
    </row>
    <row r="12" spans="1:9" s="163" customFormat="1" ht="37.5" x14ac:dyDescent="0.25">
      <c r="A12" s="389">
        <f t="shared" si="0"/>
        <v>7</v>
      </c>
      <c r="B12" s="391" t="s">
        <v>1462</v>
      </c>
      <c r="C12" s="388" t="s">
        <v>2352</v>
      </c>
      <c r="D12" s="256" t="s">
        <v>2398</v>
      </c>
      <c r="E12" s="174" t="s">
        <v>1464</v>
      </c>
      <c r="F12" s="475"/>
      <c r="G12" s="475" t="s">
        <v>1519</v>
      </c>
    </row>
    <row r="13" spans="1:9" s="163" customFormat="1" ht="37.5" x14ac:dyDescent="0.25">
      <c r="A13" s="389">
        <f t="shared" si="0"/>
        <v>8</v>
      </c>
      <c r="B13" s="388" t="e" cm="1">
        <f t="array" ref="B13">VLOOKUP(Suite,'Config-Chiller'!$A$3:$F$17, 6, FALSE)</f>
        <v>#N/A</v>
      </c>
      <c r="C13" s="388" t="str">
        <f>zSelectedEquipment</f>
        <v>G104-Gen-B</v>
      </c>
      <c r="D13" s="256" t="s">
        <v>2399</v>
      </c>
      <c r="E13" s="174" t="s">
        <v>1529</v>
      </c>
      <c r="F13" s="475"/>
      <c r="G13" s="475" t="s">
        <v>1519</v>
      </c>
    </row>
    <row r="14" spans="1:9" s="163" customFormat="1" ht="37.5" x14ac:dyDescent="0.25">
      <c r="A14" s="389">
        <f t="shared" si="0"/>
        <v>9</v>
      </c>
      <c r="B14" s="388" t="e" cm="1">
        <f t="array" ref="B14">VLOOKUP(Suite,'Config-Chiller'!$A$3:$F$17, 6, FALSE)</f>
        <v>#N/A</v>
      </c>
      <c r="C14" s="388" t="str">
        <f>zSelectedEquipment</f>
        <v>G104-Gen-B</v>
      </c>
      <c r="D14" s="256" t="s">
        <v>2400</v>
      </c>
      <c r="E14" s="174" t="s">
        <v>1529</v>
      </c>
      <c r="F14" s="475"/>
      <c r="G14" s="475" t="s">
        <v>1519</v>
      </c>
    </row>
    <row r="15" spans="1:9" s="163" customFormat="1" ht="37.5" x14ac:dyDescent="0.25">
      <c r="A15" s="389">
        <f t="shared" si="0"/>
        <v>10</v>
      </c>
      <c r="B15" s="388" t="e" cm="1">
        <f t="array" ref="B15">VLOOKUP(Suite,'Config-Chiller'!$A$3:$F$17, 6, FALSE)</f>
        <v>#N/A</v>
      </c>
      <c r="C15" s="388" t="str">
        <f>zSelectedEquipment</f>
        <v>G104-Gen-B</v>
      </c>
      <c r="D15" s="256" t="s">
        <v>2401</v>
      </c>
      <c r="E15" s="174" t="s">
        <v>1529</v>
      </c>
      <c r="F15" s="475"/>
      <c r="G15" s="475" t="s">
        <v>1519</v>
      </c>
    </row>
    <row r="16" spans="1:9" s="163" customFormat="1" ht="37.5" x14ac:dyDescent="0.25">
      <c r="A16" s="389">
        <f t="shared" si="0"/>
        <v>11</v>
      </c>
      <c r="B16" s="388" t="e" cm="1">
        <f t="array" ref="B16">VLOOKUP(Suite,'Config-Chiller'!$A$3:$F$17, 6, FALSE)</f>
        <v>#N/A</v>
      </c>
      <c r="C16" s="388" t="str">
        <f>zSelectedEquipment</f>
        <v>G104-Gen-B</v>
      </c>
      <c r="D16" s="256" t="s">
        <v>2402</v>
      </c>
      <c r="E16" s="174" t="s">
        <v>1529</v>
      </c>
      <c r="F16" s="475"/>
      <c r="G16" s="475" t="s">
        <v>1519</v>
      </c>
    </row>
    <row r="17" spans="1:7" s="163" customFormat="1" ht="37.5" x14ac:dyDescent="0.25">
      <c r="A17" s="389">
        <f>A16+1</f>
        <v>12</v>
      </c>
      <c r="B17" s="388" t="e" cm="1">
        <f t="array" ref="B17">VLOOKUP(Suite,'Config-Chiller'!$A$3:$F$17, 6, FALSE)</f>
        <v>#N/A</v>
      </c>
      <c r="C17" s="388" t="str">
        <f>zSelectedEquipment</f>
        <v>G104-Gen-B</v>
      </c>
      <c r="D17" s="256" t="s">
        <v>2403</v>
      </c>
      <c r="E17" s="174" t="s">
        <v>1529</v>
      </c>
      <c r="F17" s="475"/>
      <c r="G17" s="475" t="s">
        <v>1519</v>
      </c>
    </row>
    <row r="18" spans="1:7" s="163" customFormat="1" ht="37.5" x14ac:dyDescent="0.25">
      <c r="A18" s="389">
        <f t="shared" si="0"/>
        <v>13</v>
      </c>
      <c r="B18" s="388" t="e" cm="1">
        <f t="array" ref="B18">VLOOKUP(Suite,'Config-Chiller'!$A$3:$F$17, 6, FALSE)</f>
        <v>#N/A</v>
      </c>
      <c r="C18" s="388" t="str">
        <f>zSelectedEquipment</f>
        <v>G104-Gen-B</v>
      </c>
      <c r="D18" s="245" t="s">
        <v>2404</v>
      </c>
      <c r="E18" s="174" t="s">
        <v>1529</v>
      </c>
      <c r="F18" s="475"/>
      <c r="G18" s="475" t="s">
        <v>1519</v>
      </c>
    </row>
    <row r="19" spans="1:7" s="163" customFormat="1" ht="37.5" x14ac:dyDescent="0.25">
      <c r="A19" s="389">
        <f t="shared" si="0"/>
        <v>14</v>
      </c>
      <c r="B19" s="388" t="e" cm="1">
        <f t="array" ref="B19">VLOOKUP(Suite,'Config-Chiller'!$A$3:$F$17, 6, FALSE)</f>
        <v>#N/A</v>
      </c>
      <c r="C19" s="388" t="str">
        <f>zSelectedEquipment</f>
        <v>G104-Gen-B</v>
      </c>
      <c r="D19" s="245" t="s">
        <v>2405</v>
      </c>
      <c r="E19" s="174" t="s">
        <v>1529</v>
      </c>
      <c r="F19" s="475"/>
      <c r="G19" s="475" t="s">
        <v>1519</v>
      </c>
    </row>
    <row r="20" spans="1:7" s="163" customFormat="1" ht="37.5" x14ac:dyDescent="0.25">
      <c r="A20" s="389">
        <f t="shared" si="0"/>
        <v>15</v>
      </c>
      <c r="B20" s="388" t="e" cm="1">
        <f t="array" ref="B20">VLOOKUP(Suite,'Config-Chiller'!$A$3:$F$17, 6, FALSE)</f>
        <v>#N/A</v>
      </c>
      <c r="C20" s="388" t="str">
        <f>zSelectedEquipment</f>
        <v>G104-Gen-B</v>
      </c>
      <c r="D20" s="245" t="s">
        <v>2406</v>
      </c>
      <c r="E20" s="174" t="s">
        <v>1529</v>
      </c>
      <c r="F20" s="475"/>
      <c r="G20" s="475" t="s">
        <v>1519</v>
      </c>
    </row>
    <row r="21" spans="1:7" s="163" customFormat="1" ht="37.5" x14ac:dyDescent="0.25">
      <c r="A21" s="389">
        <f t="shared" si="0"/>
        <v>16</v>
      </c>
      <c r="B21" s="388" t="e" cm="1">
        <f t="array" ref="B21">VLOOKUP(Suite,'Config-Chiller'!$A$3:$F$17, 6, FALSE)</f>
        <v>#N/A</v>
      </c>
      <c r="C21" s="388" t="str">
        <f>zSelectedEquipment</f>
        <v>G104-Gen-B</v>
      </c>
      <c r="D21" s="256" t="s">
        <v>2407</v>
      </c>
      <c r="E21" s="174" t="s">
        <v>1529</v>
      </c>
      <c r="F21" s="177"/>
      <c r="G21" s="475" t="s">
        <v>1519</v>
      </c>
    </row>
    <row r="22" spans="1:7" s="163" customFormat="1" ht="37.5" x14ac:dyDescent="0.25">
      <c r="A22" s="389">
        <f t="shared" si="0"/>
        <v>17</v>
      </c>
      <c r="B22" s="388" t="e" cm="1">
        <f t="array" ref="B22">VLOOKUP(Suite,'Config-Chiller'!$A$3:$F$17, 6, FALSE)</f>
        <v>#N/A</v>
      </c>
      <c r="C22" s="388" t="str">
        <f>zSelectedEquipment</f>
        <v>G104-Gen-B</v>
      </c>
      <c r="D22" s="256" t="s">
        <v>2408</v>
      </c>
      <c r="E22" s="174" t="s">
        <v>1529</v>
      </c>
      <c r="F22" s="177"/>
      <c r="G22" s="475" t="s">
        <v>1519</v>
      </c>
    </row>
    <row r="23" spans="1:7" s="163" customFormat="1" ht="37.5" x14ac:dyDescent="0.25">
      <c r="A23" s="389">
        <f t="shared" si="0"/>
        <v>18</v>
      </c>
      <c r="B23" s="388" t="e" cm="1">
        <f t="array" ref="B23">VLOOKUP(Suite,'Config-Chiller'!$A$3:$F$17, 6, FALSE)</f>
        <v>#N/A</v>
      </c>
      <c r="C23" s="388" t="str">
        <f>zSelectedEquipment</f>
        <v>G104-Gen-B</v>
      </c>
      <c r="D23" s="256" t="s">
        <v>2409</v>
      </c>
      <c r="E23" s="174" t="s">
        <v>1529</v>
      </c>
      <c r="F23" s="177"/>
      <c r="G23" s="475" t="s">
        <v>1519</v>
      </c>
    </row>
    <row r="24" spans="1:7" s="163" customFormat="1" ht="37.5" x14ac:dyDescent="0.25">
      <c r="A24" s="389">
        <f t="shared" si="0"/>
        <v>19</v>
      </c>
      <c r="B24" s="388" t="e" cm="1">
        <f t="array" ref="B24">VLOOKUP(Suite,'Config-Chiller'!$A$3:$F$17, 6, FALSE)</f>
        <v>#N/A</v>
      </c>
      <c r="C24" s="388" t="str">
        <f>zSelectedEquipment</f>
        <v>G104-Gen-B</v>
      </c>
      <c r="D24" s="256" t="s">
        <v>2410</v>
      </c>
      <c r="E24" s="174" t="s">
        <v>1529</v>
      </c>
      <c r="F24" s="177"/>
      <c r="G24" s="475" t="s">
        <v>1519</v>
      </c>
    </row>
    <row r="25" spans="1:7" s="163" customFormat="1" ht="150.75" customHeight="1" x14ac:dyDescent="0.25">
      <c r="A25" s="389">
        <f t="shared" si="0"/>
        <v>20</v>
      </c>
      <c r="B25" s="388" t="s">
        <v>1983</v>
      </c>
      <c r="C25" s="388" t="s">
        <v>2411</v>
      </c>
      <c r="D25" s="256" t="s">
        <v>2412</v>
      </c>
      <c r="E25" s="174" t="s">
        <v>1529</v>
      </c>
      <c r="F25" s="177"/>
      <c r="G25" s="177"/>
    </row>
    <row r="26" spans="1:7" s="163" customFormat="1" ht="18" customHeight="1" x14ac:dyDescent="0.25">
      <c r="A26" s="389">
        <f t="shared" si="0"/>
        <v>21</v>
      </c>
      <c r="B26" s="737" t="e" cm="1">
        <f t="array" ref="B26">"Perform " &amp; zTaskName &amp; " on " &amp; VLOOKUP(Suite, 'Config-Chiller'!$A$3:$F$17, 3, FALSE)</f>
        <v>#N/A</v>
      </c>
      <c r="C26" s="738"/>
      <c r="D26" s="738"/>
      <c r="E26" s="738"/>
      <c r="F26" s="738"/>
      <c r="G26" s="739"/>
    </row>
    <row r="27" spans="1:7" s="163" customFormat="1" ht="56.25" x14ac:dyDescent="0.25">
      <c r="A27" s="389">
        <f t="shared" si="0"/>
        <v>22</v>
      </c>
      <c r="B27" s="391" t="s">
        <v>1462</v>
      </c>
      <c r="C27" s="388" t="s">
        <v>2352</v>
      </c>
      <c r="D27" s="256" t="s">
        <v>2396</v>
      </c>
      <c r="E27" s="174" t="s">
        <v>1464</v>
      </c>
      <c r="F27" s="475"/>
      <c r="G27" s="225"/>
    </row>
    <row r="28" spans="1:7" s="163" customFormat="1" ht="37.5" x14ac:dyDescent="0.25">
      <c r="A28" s="389">
        <f t="shared" si="0"/>
        <v>23</v>
      </c>
      <c r="B28" s="391" t="s">
        <v>1462</v>
      </c>
      <c r="C28" s="388" t="s">
        <v>2352</v>
      </c>
      <c r="D28" s="256" t="s">
        <v>2397</v>
      </c>
      <c r="E28" s="174" t="s">
        <v>1464</v>
      </c>
      <c r="F28" s="475"/>
      <c r="G28" s="225"/>
    </row>
    <row r="29" spans="1:7" s="163" customFormat="1" ht="37.5" x14ac:dyDescent="0.25">
      <c r="A29" s="389">
        <f t="shared" si="0"/>
        <v>24</v>
      </c>
      <c r="B29" s="391" t="s">
        <v>1462</v>
      </c>
      <c r="C29" s="388" t="s">
        <v>2352</v>
      </c>
      <c r="D29" s="256" t="s">
        <v>2398</v>
      </c>
      <c r="E29" s="174" t="s">
        <v>1464</v>
      </c>
      <c r="F29" s="475"/>
      <c r="G29" s="475" t="s">
        <v>1519</v>
      </c>
    </row>
    <row r="30" spans="1:7" s="163" customFormat="1" ht="37.5" x14ac:dyDescent="0.25">
      <c r="A30" s="389">
        <f t="shared" si="0"/>
        <v>25</v>
      </c>
      <c r="B30" s="388" t="e" cm="1">
        <f t="array" ref="B30">VLOOKUP(Suite,'Config-Chiller'!$A$3:$F$17, 6, FALSE)</f>
        <v>#N/A</v>
      </c>
      <c r="C30" s="388" t="str">
        <f>zSelectedEquipment</f>
        <v>G104-Gen-B</v>
      </c>
      <c r="D30" s="256" t="s">
        <v>2399</v>
      </c>
      <c r="E30" s="174" t="s">
        <v>1529</v>
      </c>
      <c r="F30" s="475"/>
      <c r="G30" s="475" t="s">
        <v>1519</v>
      </c>
    </row>
    <row r="31" spans="1:7" s="163" customFormat="1" ht="37.5" x14ac:dyDescent="0.25">
      <c r="A31" s="389">
        <f t="shared" si="0"/>
        <v>26</v>
      </c>
      <c r="B31" s="388" t="e" cm="1">
        <f t="array" ref="B31">VLOOKUP(Suite,'Config-Chiller'!$A$3:$F$17, 6, FALSE)</f>
        <v>#N/A</v>
      </c>
      <c r="C31" s="388" t="str">
        <f>zSelectedEquipment</f>
        <v>G104-Gen-B</v>
      </c>
      <c r="D31" s="256" t="s">
        <v>2400</v>
      </c>
      <c r="E31" s="174" t="s">
        <v>1529</v>
      </c>
      <c r="F31" s="475"/>
      <c r="G31" s="475" t="s">
        <v>1519</v>
      </c>
    </row>
    <row r="32" spans="1:7" s="163" customFormat="1" ht="37.5" x14ac:dyDescent="0.25">
      <c r="A32" s="389">
        <f t="shared" si="0"/>
        <v>27</v>
      </c>
      <c r="B32" s="388" t="e" cm="1">
        <f t="array" ref="B32">VLOOKUP(Suite,'Config-Chiller'!$A$3:$F$17, 6, FALSE)</f>
        <v>#N/A</v>
      </c>
      <c r="C32" s="388" t="str">
        <f>zSelectedEquipment</f>
        <v>G104-Gen-B</v>
      </c>
      <c r="D32" s="256" t="s">
        <v>2401</v>
      </c>
      <c r="E32" s="174" t="s">
        <v>1529</v>
      </c>
      <c r="F32" s="475"/>
      <c r="G32" s="475" t="s">
        <v>1519</v>
      </c>
    </row>
    <row r="33" spans="1:7" s="163" customFormat="1" ht="37.5" x14ac:dyDescent="0.25">
      <c r="A33" s="389">
        <f t="shared" si="0"/>
        <v>28</v>
      </c>
      <c r="B33" s="388" t="e" cm="1">
        <f t="array" ref="B33">VLOOKUP(Suite,'Config-Chiller'!$A$3:$F$17, 6, FALSE)</f>
        <v>#N/A</v>
      </c>
      <c r="C33" s="388" t="str">
        <f>zSelectedEquipment</f>
        <v>G104-Gen-B</v>
      </c>
      <c r="D33" s="256" t="s">
        <v>2402</v>
      </c>
      <c r="E33" s="174" t="s">
        <v>1529</v>
      </c>
      <c r="F33" s="475"/>
      <c r="G33" s="475" t="s">
        <v>1519</v>
      </c>
    </row>
    <row r="34" spans="1:7" s="163" customFormat="1" ht="37.5" x14ac:dyDescent="0.25">
      <c r="A34" s="389">
        <f t="shared" si="0"/>
        <v>29</v>
      </c>
      <c r="B34" s="388" t="e" cm="1">
        <f t="array" ref="B34">VLOOKUP(Suite,'Config-Chiller'!$A$3:$F$17, 6, FALSE)</f>
        <v>#N/A</v>
      </c>
      <c r="C34" s="388" t="str">
        <f>zSelectedEquipment</f>
        <v>G104-Gen-B</v>
      </c>
      <c r="D34" s="256" t="s">
        <v>2403</v>
      </c>
      <c r="E34" s="174" t="s">
        <v>1529</v>
      </c>
      <c r="F34" s="475"/>
      <c r="G34" s="475" t="s">
        <v>1519</v>
      </c>
    </row>
    <row r="35" spans="1:7" s="163" customFormat="1" ht="37.5" x14ac:dyDescent="0.25">
      <c r="A35" s="389">
        <f t="shared" si="0"/>
        <v>30</v>
      </c>
      <c r="B35" s="388" t="e" cm="1">
        <f t="array" ref="B35">VLOOKUP(Suite,'Config-Chiller'!$A$3:$F$17, 6, FALSE)</f>
        <v>#N/A</v>
      </c>
      <c r="C35" s="388" t="str">
        <f>zSelectedEquipment</f>
        <v>G104-Gen-B</v>
      </c>
      <c r="D35" s="245" t="s">
        <v>2404</v>
      </c>
      <c r="E35" s="174" t="s">
        <v>1529</v>
      </c>
      <c r="F35" s="475"/>
      <c r="G35" s="475" t="s">
        <v>1519</v>
      </c>
    </row>
    <row r="36" spans="1:7" s="163" customFormat="1" ht="37.5" x14ac:dyDescent="0.25">
      <c r="A36" s="389">
        <f t="shared" si="0"/>
        <v>31</v>
      </c>
      <c r="B36" s="388" t="e" cm="1">
        <f t="array" ref="B36">VLOOKUP(Suite,'Config-Chiller'!$A$3:$F$17, 6, FALSE)</f>
        <v>#N/A</v>
      </c>
      <c r="C36" s="388" t="str">
        <f>zSelectedEquipment</f>
        <v>G104-Gen-B</v>
      </c>
      <c r="D36" s="245" t="s">
        <v>2405</v>
      </c>
      <c r="E36" s="174" t="s">
        <v>1529</v>
      </c>
      <c r="F36" s="475"/>
      <c r="G36" s="475" t="s">
        <v>1519</v>
      </c>
    </row>
    <row r="37" spans="1:7" s="163" customFormat="1" ht="37.5" x14ac:dyDescent="0.25">
      <c r="A37" s="389">
        <f t="shared" si="0"/>
        <v>32</v>
      </c>
      <c r="B37" s="388" t="e" cm="1">
        <f t="array" ref="B37">VLOOKUP(Suite,'Config-Chiller'!$A$3:$F$17, 6, FALSE)</f>
        <v>#N/A</v>
      </c>
      <c r="C37" s="388" t="str">
        <f>zSelectedEquipment</f>
        <v>G104-Gen-B</v>
      </c>
      <c r="D37" s="245" t="s">
        <v>2406</v>
      </c>
      <c r="E37" s="174" t="s">
        <v>1529</v>
      </c>
      <c r="F37" s="475"/>
      <c r="G37" s="475" t="s">
        <v>1519</v>
      </c>
    </row>
    <row r="38" spans="1:7" s="163" customFormat="1" ht="37.5" x14ac:dyDescent="0.25">
      <c r="A38" s="389">
        <f t="shared" si="0"/>
        <v>33</v>
      </c>
      <c r="B38" s="388" t="e" cm="1">
        <f t="array" ref="B38">VLOOKUP(Suite,'Config-Chiller'!$A$3:$F$17, 6, FALSE)</f>
        <v>#N/A</v>
      </c>
      <c r="C38" s="388" t="str">
        <f>zSelectedEquipment</f>
        <v>G104-Gen-B</v>
      </c>
      <c r="D38" s="256" t="s">
        <v>2407</v>
      </c>
      <c r="E38" s="174" t="s">
        <v>1529</v>
      </c>
      <c r="F38" s="475"/>
      <c r="G38" s="475" t="s">
        <v>1519</v>
      </c>
    </row>
    <row r="39" spans="1:7" s="163" customFormat="1" ht="37.5" x14ac:dyDescent="0.25">
      <c r="A39" s="389">
        <f t="shared" si="0"/>
        <v>34</v>
      </c>
      <c r="B39" s="388" t="e" cm="1">
        <f t="array" ref="B39">VLOOKUP(Suite,'Config-Chiller'!$A$3:$F$17, 6, FALSE)</f>
        <v>#N/A</v>
      </c>
      <c r="C39" s="388" t="str">
        <f>zSelectedEquipment</f>
        <v>G104-Gen-B</v>
      </c>
      <c r="D39" s="256" t="s">
        <v>2408</v>
      </c>
      <c r="E39" s="174" t="s">
        <v>1529</v>
      </c>
      <c r="F39" s="475"/>
      <c r="G39" s="475" t="s">
        <v>1519</v>
      </c>
    </row>
    <row r="40" spans="1:7" s="163" customFormat="1" ht="37.5" x14ac:dyDescent="0.25">
      <c r="A40" s="389">
        <f t="shared" si="0"/>
        <v>35</v>
      </c>
      <c r="B40" s="388" t="e" cm="1">
        <f t="array" ref="B40">VLOOKUP(Suite,'Config-Chiller'!$A$3:$F$17, 6, FALSE)</f>
        <v>#N/A</v>
      </c>
      <c r="C40" s="388" t="str">
        <f>zSelectedEquipment</f>
        <v>G104-Gen-B</v>
      </c>
      <c r="D40" s="256" t="s">
        <v>2409</v>
      </c>
      <c r="E40" s="174" t="s">
        <v>1529</v>
      </c>
      <c r="F40" s="475"/>
      <c r="G40" s="475" t="s">
        <v>1519</v>
      </c>
    </row>
    <row r="41" spans="1:7" s="163" customFormat="1" ht="37.5" x14ac:dyDescent="0.25">
      <c r="A41" s="389">
        <f t="shared" si="0"/>
        <v>36</v>
      </c>
      <c r="B41" s="388" t="e" cm="1">
        <f t="array" ref="B41">VLOOKUP(Suite,'Config-Chiller'!$A$3:$F$17, 6, FALSE)</f>
        <v>#N/A</v>
      </c>
      <c r="C41" s="388" t="str">
        <f>zSelectedEquipment</f>
        <v>G104-Gen-B</v>
      </c>
      <c r="D41" s="256" t="s">
        <v>2410</v>
      </c>
      <c r="E41" s="174" t="s">
        <v>1529</v>
      </c>
      <c r="F41" s="475"/>
      <c r="G41" s="475" t="s">
        <v>1519</v>
      </c>
    </row>
    <row r="42" spans="1:7" s="163" customFormat="1" ht="150.75" customHeight="1" x14ac:dyDescent="0.25">
      <c r="A42" s="389">
        <f t="shared" si="0"/>
        <v>37</v>
      </c>
      <c r="B42" s="388" t="s">
        <v>1983</v>
      </c>
      <c r="C42" s="388" t="s">
        <v>2411</v>
      </c>
      <c r="D42" s="256" t="s">
        <v>2412</v>
      </c>
      <c r="E42" s="174" t="s">
        <v>1529</v>
      </c>
      <c r="F42" s="177"/>
      <c r="G42" s="177"/>
    </row>
    <row r="43" spans="1:7" s="163" customFormat="1" ht="18" customHeight="1" x14ac:dyDescent="0.25">
      <c r="A43" s="389">
        <f t="shared" ref="A43:A59" si="1">A42+1</f>
        <v>38</v>
      </c>
      <c r="B43" s="737" t="e" cm="1">
        <f t="array" ref="B43">"Perform " &amp; zTaskName &amp; " on " &amp; VLOOKUP(Suite, 'Config-Chiller'!$A$3:$F$17, 4, FALSE)</f>
        <v>#N/A</v>
      </c>
      <c r="C43" s="738"/>
      <c r="D43" s="738"/>
      <c r="E43" s="738"/>
      <c r="F43" s="738"/>
      <c r="G43" s="739"/>
    </row>
    <row r="44" spans="1:7" s="163" customFormat="1" ht="56.25" x14ac:dyDescent="0.25">
      <c r="A44" s="389">
        <f t="shared" si="1"/>
        <v>39</v>
      </c>
      <c r="B44" s="391" t="s">
        <v>1462</v>
      </c>
      <c r="C44" s="388" t="s">
        <v>2352</v>
      </c>
      <c r="D44" s="256" t="s">
        <v>2396</v>
      </c>
      <c r="E44" s="174" t="s">
        <v>1464</v>
      </c>
      <c r="F44" s="475"/>
      <c r="G44" s="225"/>
    </row>
    <row r="45" spans="1:7" s="163" customFormat="1" ht="37.5" x14ac:dyDescent="0.25">
      <c r="A45" s="389">
        <f t="shared" si="1"/>
        <v>40</v>
      </c>
      <c r="B45" s="391" t="s">
        <v>1462</v>
      </c>
      <c r="C45" s="388" t="s">
        <v>2352</v>
      </c>
      <c r="D45" s="256" t="s">
        <v>2397</v>
      </c>
      <c r="E45" s="174" t="s">
        <v>1464</v>
      </c>
      <c r="F45" s="475"/>
      <c r="G45" s="225"/>
    </row>
    <row r="46" spans="1:7" s="163" customFormat="1" ht="37.5" x14ac:dyDescent="0.25">
      <c r="A46" s="389">
        <f t="shared" si="1"/>
        <v>41</v>
      </c>
      <c r="B46" s="391" t="s">
        <v>1462</v>
      </c>
      <c r="C46" s="388" t="s">
        <v>2352</v>
      </c>
      <c r="D46" s="256" t="s">
        <v>2398</v>
      </c>
      <c r="E46" s="174" t="s">
        <v>1464</v>
      </c>
      <c r="F46" s="475"/>
      <c r="G46" s="475" t="s">
        <v>1519</v>
      </c>
    </row>
    <row r="47" spans="1:7" s="163" customFormat="1" ht="37.5" x14ac:dyDescent="0.25">
      <c r="A47" s="389">
        <f t="shared" si="1"/>
        <v>42</v>
      </c>
      <c r="B47" s="388" t="e" cm="1">
        <f t="array" ref="B47">VLOOKUP(Suite,'Config-Chiller'!$A$3:$F$17, 6, FALSE)</f>
        <v>#N/A</v>
      </c>
      <c r="C47" s="388" t="str">
        <f>zSelectedEquipment</f>
        <v>G104-Gen-B</v>
      </c>
      <c r="D47" s="256" t="s">
        <v>2399</v>
      </c>
      <c r="E47" s="174" t="s">
        <v>1529</v>
      </c>
      <c r="F47" s="475"/>
      <c r="G47" s="475" t="s">
        <v>1519</v>
      </c>
    </row>
    <row r="48" spans="1:7" s="163" customFormat="1" ht="37.5" x14ac:dyDescent="0.25">
      <c r="A48" s="389">
        <f t="shared" si="1"/>
        <v>43</v>
      </c>
      <c r="B48" s="388" t="e" cm="1">
        <f t="array" ref="B48">VLOOKUP(Suite,'Config-Chiller'!$A$3:$F$17, 6, FALSE)</f>
        <v>#N/A</v>
      </c>
      <c r="C48" s="388" t="str">
        <f>zSelectedEquipment</f>
        <v>G104-Gen-B</v>
      </c>
      <c r="D48" s="256" t="s">
        <v>2400</v>
      </c>
      <c r="E48" s="174" t="s">
        <v>1529</v>
      </c>
      <c r="F48" s="475"/>
      <c r="G48" s="475" t="s">
        <v>1519</v>
      </c>
    </row>
    <row r="49" spans="1:7" s="163" customFormat="1" ht="37.5" x14ac:dyDescent="0.25">
      <c r="A49" s="389">
        <f t="shared" si="1"/>
        <v>44</v>
      </c>
      <c r="B49" s="388" t="e" cm="1">
        <f t="array" ref="B49">VLOOKUP(Suite,'Config-Chiller'!$A$3:$F$17, 6, FALSE)</f>
        <v>#N/A</v>
      </c>
      <c r="C49" s="388" t="str">
        <f>zSelectedEquipment</f>
        <v>G104-Gen-B</v>
      </c>
      <c r="D49" s="256" t="s">
        <v>2401</v>
      </c>
      <c r="E49" s="174" t="s">
        <v>1529</v>
      </c>
      <c r="F49" s="475"/>
      <c r="G49" s="475" t="s">
        <v>1519</v>
      </c>
    </row>
    <row r="50" spans="1:7" s="163" customFormat="1" ht="37.5" x14ac:dyDescent="0.25">
      <c r="A50" s="389">
        <f t="shared" si="1"/>
        <v>45</v>
      </c>
      <c r="B50" s="388" t="e" cm="1">
        <f t="array" ref="B50">VLOOKUP(Suite,'Config-Chiller'!$A$3:$F$17, 6, FALSE)</f>
        <v>#N/A</v>
      </c>
      <c r="C50" s="388" t="str">
        <f>zSelectedEquipment</f>
        <v>G104-Gen-B</v>
      </c>
      <c r="D50" s="256" t="s">
        <v>2402</v>
      </c>
      <c r="E50" s="174" t="s">
        <v>1529</v>
      </c>
      <c r="F50" s="475"/>
      <c r="G50" s="475" t="s">
        <v>1519</v>
      </c>
    </row>
    <row r="51" spans="1:7" s="163" customFormat="1" ht="37.5" x14ac:dyDescent="0.25">
      <c r="A51" s="389">
        <f t="shared" si="1"/>
        <v>46</v>
      </c>
      <c r="B51" s="388" t="e" cm="1">
        <f t="array" ref="B51">VLOOKUP(Suite,'Config-Chiller'!$A$3:$F$17, 6, FALSE)</f>
        <v>#N/A</v>
      </c>
      <c r="C51" s="388" t="str">
        <f>zSelectedEquipment</f>
        <v>G104-Gen-B</v>
      </c>
      <c r="D51" s="256" t="s">
        <v>2403</v>
      </c>
      <c r="E51" s="174" t="s">
        <v>1529</v>
      </c>
      <c r="F51" s="475"/>
      <c r="G51" s="475" t="s">
        <v>1519</v>
      </c>
    </row>
    <row r="52" spans="1:7" s="163" customFormat="1" ht="37.5" x14ac:dyDescent="0.25">
      <c r="A52" s="389">
        <f t="shared" si="1"/>
        <v>47</v>
      </c>
      <c r="B52" s="388" t="e" cm="1">
        <f t="array" ref="B52">VLOOKUP(Suite,'Config-Chiller'!$A$3:$F$17, 6, FALSE)</f>
        <v>#N/A</v>
      </c>
      <c r="C52" s="388" t="str">
        <f>zSelectedEquipment</f>
        <v>G104-Gen-B</v>
      </c>
      <c r="D52" s="245" t="s">
        <v>2404</v>
      </c>
      <c r="E52" s="174" t="s">
        <v>1529</v>
      </c>
      <c r="F52" s="475"/>
      <c r="G52" s="475" t="s">
        <v>1519</v>
      </c>
    </row>
    <row r="53" spans="1:7" s="163" customFormat="1" ht="37.5" x14ac:dyDescent="0.25">
      <c r="A53" s="389">
        <f t="shared" si="1"/>
        <v>48</v>
      </c>
      <c r="B53" s="388" t="e" cm="1">
        <f t="array" ref="B53">VLOOKUP(Suite,'Config-Chiller'!$A$3:$F$17, 6, FALSE)</f>
        <v>#N/A</v>
      </c>
      <c r="C53" s="388" t="str">
        <f>zSelectedEquipment</f>
        <v>G104-Gen-B</v>
      </c>
      <c r="D53" s="245" t="s">
        <v>2405</v>
      </c>
      <c r="E53" s="174" t="s">
        <v>1529</v>
      </c>
      <c r="F53" s="475"/>
      <c r="G53" s="475" t="s">
        <v>1519</v>
      </c>
    </row>
    <row r="54" spans="1:7" s="163" customFormat="1" ht="37.5" x14ac:dyDescent="0.25">
      <c r="A54" s="389">
        <f t="shared" si="1"/>
        <v>49</v>
      </c>
      <c r="B54" s="388" t="e" cm="1">
        <f t="array" ref="B54">VLOOKUP(Suite,'Config-Chiller'!$A$3:$F$17, 6, FALSE)</f>
        <v>#N/A</v>
      </c>
      <c r="C54" s="388" t="str">
        <f>zSelectedEquipment</f>
        <v>G104-Gen-B</v>
      </c>
      <c r="D54" s="245" t="s">
        <v>2406</v>
      </c>
      <c r="E54" s="174" t="s">
        <v>1529</v>
      </c>
      <c r="F54" s="475"/>
      <c r="G54" s="475" t="s">
        <v>1519</v>
      </c>
    </row>
    <row r="55" spans="1:7" s="163" customFormat="1" ht="37.5" x14ac:dyDescent="0.25">
      <c r="A55" s="389">
        <f t="shared" si="1"/>
        <v>50</v>
      </c>
      <c r="B55" s="388" t="e" cm="1">
        <f t="array" ref="B55">VLOOKUP(Suite,'Config-Chiller'!$A$3:$F$17, 6, FALSE)</f>
        <v>#N/A</v>
      </c>
      <c r="C55" s="388" t="str">
        <f>zSelectedEquipment</f>
        <v>G104-Gen-B</v>
      </c>
      <c r="D55" s="256" t="s">
        <v>2407</v>
      </c>
      <c r="E55" s="174" t="s">
        <v>1529</v>
      </c>
      <c r="F55" s="475"/>
      <c r="G55" s="475" t="s">
        <v>1519</v>
      </c>
    </row>
    <row r="56" spans="1:7" s="163" customFormat="1" ht="37.5" x14ac:dyDescent="0.25">
      <c r="A56" s="389">
        <f t="shared" si="1"/>
        <v>51</v>
      </c>
      <c r="B56" s="388" t="e" cm="1">
        <f t="array" ref="B56">VLOOKUP(Suite,'Config-Chiller'!$A$3:$F$17, 6, FALSE)</f>
        <v>#N/A</v>
      </c>
      <c r="C56" s="388" t="str">
        <f>zSelectedEquipment</f>
        <v>G104-Gen-B</v>
      </c>
      <c r="D56" s="256" t="s">
        <v>2408</v>
      </c>
      <c r="E56" s="174" t="s">
        <v>1529</v>
      </c>
      <c r="F56" s="475"/>
      <c r="G56" s="475" t="s">
        <v>1519</v>
      </c>
    </row>
    <row r="57" spans="1:7" s="163" customFormat="1" ht="37.5" x14ac:dyDescent="0.25">
      <c r="A57" s="389">
        <f t="shared" si="1"/>
        <v>52</v>
      </c>
      <c r="B57" s="388" t="e" cm="1">
        <f t="array" ref="B57">VLOOKUP(Suite,'Config-Chiller'!$A$3:$F$17, 6, FALSE)</f>
        <v>#N/A</v>
      </c>
      <c r="C57" s="388" t="str">
        <f>zSelectedEquipment</f>
        <v>G104-Gen-B</v>
      </c>
      <c r="D57" s="256" t="s">
        <v>2409</v>
      </c>
      <c r="E57" s="174" t="s">
        <v>1529</v>
      </c>
      <c r="F57" s="475"/>
      <c r="G57" s="475" t="s">
        <v>1519</v>
      </c>
    </row>
    <row r="58" spans="1:7" s="163" customFormat="1" ht="37.5" x14ac:dyDescent="0.25">
      <c r="A58" s="389">
        <f t="shared" si="1"/>
        <v>53</v>
      </c>
      <c r="B58" s="388" t="e" cm="1">
        <f t="array" ref="B58">VLOOKUP(Suite,'Config-Chiller'!$A$3:$F$17, 6, FALSE)</f>
        <v>#N/A</v>
      </c>
      <c r="C58" s="388" t="str">
        <f>zSelectedEquipment</f>
        <v>G104-Gen-B</v>
      </c>
      <c r="D58" s="256" t="s">
        <v>2410</v>
      </c>
      <c r="E58" s="174" t="s">
        <v>1529</v>
      </c>
      <c r="F58" s="475"/>
      <c r="G58" s="475" t="s">
        <v>1519</v>
      </c>
    </row>
    <row r="59" spans="1:7" s="163" customFormat="1" ht="150.75" customHeight="1" x14ac:dyDescent="0.25">
      <c r="A59" s="389">
        <f t="shared" si="1"/>
        <v>54</v>
      </c>
      <c r="B59" s="388" t="s">
        <v>1983</v>
      </c>
      <c r="C59" s="388" t="s">
        <v>2411</v>
      </c>
      <c r="D59" s="256" t="s">
        <v>2412</v>
      </c>
      <c r="E59" s="174" t="s">
        <v>1529</v>
      </c>
      <c r="F59" s="177"/>
      <c r="G59" s="177"/>
    </row>
    <row r="60" spans="1:7" x14ac:dyDescent="0.25">
      <c r="A60" s="389" cm="1">
        <f t="array" ref="A60">IF(OR(Suite="A130",Suite="A140",Suite="D110",Suite="F130",Suite="F140"),A42+1,A59+1)</f>
        <v>55</v>
      </c>
      <c r="B60" s="740" t="s">
        <v>2413</v>
      </c>
      <c r="C60" s="741"/>
      <c r="D60" s="741"/>
      <c r="E60" s="741"/>
      <c r="F60" s="741"/>
      <c r="G60" s="742"/>
    </row>
    <row r="61" spans="1:7" ht="37.5" x14ac:dyDescent="0.25">
      <c r="A61" s="389">
        <f>A60+1</f>
        <v>56</v>
      </c>
      <c r="B61" s="394" t="s">
        <v>1462</v>
      </c>
      <c r="C61" s="394" t="s">
        <v>2352</v>
      </c>
      <c r="D61" s="177" t="s">
        <v>2414</v>
      </c>
      <c r="E61" s="174" t="s">
        <v>1464</v>
      </c>
      <c r="F61" s="402"/>
      <c r="G61" s="403" t="s">
        <v>1519</v>
      </c>
    </row>
    <row r="62" spans="1:7" ht="37.5" x14ac:dyDescent="0.25">
      <c r="A62" s="389">
        <f t="shared" ref="A62:A63" si="2">A61+1</f>
        <v>57</v>
      </c>
      <c r="B62" s="394" t="s">
        <v>1462</v>
      </c>
      <c r="C62" s="394" t="s">
        <v>2352</v>
      </c>
      <c r="D62" s="194" t="s">
        <v>2023</v>
      </c>
      <c r="E62" s="174" t="s">
        <v>1464</v>
      </c>
      <c r="F62" s="177"/>
      <c r="G62" s="403" t="s">
        <v>1519</v>
      </c>
    </row>
    <row r="63" spans="1:7" s="163" customFormat="1" ht="37.5" x14ac:dyDescent="0.25">
      <c r="A63" s="389">
        <f t="shared" si="2"/>
        <v>58</v>
      </c>
      <c r="B63" s="225" t="s">
        <v>1462</v>
      </c>
      <c r="C63" s="225" t="s">
        <v>2352</v>
      </c>
      <c r="D63" s="177" t="s">
        <v>2415</v>
      </c>
      <c r="E63" s="174" t="s">
        <v>1464</v>
      </c>
      <c r="F63" s="177"/>
      <c r="G63" s="175" t="s">
        <v>1519</v>
      </c>
    </row>
  </sheetData>
  <mergeCells count="9">
    <mergeCell ref="B26:G26"/>
    <mergeCell ref="B43:G43"/>
    <mergeCell ref="B60:G60"/>
    <mergeCell ref="A2:B2"/>
    <mergeCell ref="C2:G2"/>
    <mergeCell ref="A3:B3"/>
    <mergeCell ref="C3:D3"/>
    <mergeCell ref="A4:C4"/>
    <mergeCell ref="B9:G9"/>
  </mergeCells>
  <printOptions horizontalCentered="1"/>
  <pageMargins left="0.2" right="0.2" top="0.45" bottom="0.25" header="0.05" footer="0.05"/>
  <pageSetup scale="58"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B7766-188E-4864-B8AC-6B663B1FEF38}">
  <sheetPr codeName="Chiller_SAPM">
    <pageSetUpPr fitToPage="1"/>
  </sheetPr>
  <dimension ref="A1:I117"/>
  <sheetViews>
    <sheetView topLeftCell="A73" workbookViewId="0"/>
  </sheetViews>
  <sheetFormatPr defaultColWidth="8.7109375" defaultRowHeight="18.75" x14ac:dyDescent="0.25"/>
  <cols>
    <col min="1" max="1" width="6.85546875" style="173" customWidth="1"/>
    <col min="2" max="2" width="19.5703125" style="404" customWidth="1"/>
    <col min="3" max="3" width="15.42578125" style="404" customWidth="1"/>
    <col min="4" max="4" width="87.42578125" style="404" customWidth="1"/>
    <col min="5" max="5" width="22.140625" style="404" bestFit="1" customWidth="1"/>
    <col min="6" max="6" width="13.85546875" style="404" bestFit="1" customWidth="1"/>
    <col min="7" max="7" width="10.42578125" style="404" customWidth="1"/>
    <col min="8" max="8" width="12.140625" style="173" customWidth="1"/>
    <col min="9" max="9" width="10.7109375" style="173" customWidth="1"/>
    <col min="10" max="10" width="9.140625" style="173" customWidth="1"/>
    <col min="11" max="11" width="9.85546875" style="173" customWidth="1"/>
    <col min="12" max="16384" width="8.7109375" style="173"/>
  </cols>
  <sheetData>
    <row r="1" spans="1:9" s="163" customFormat="1" x14ac:dyDescent="0.25">
      <c r="A1" s="382" t="s">
        <v>1454</v>
      </c>
      <c r="B1" s="382"/>
      <c r="C1" s="210"/>
      <c r="D1" s="210"/>
      <c r="E1" s="210"/>
      <c r="F1" s="210"/>
      <c r="G1" s="210"/>
    </row>
    <row r="2" spans="1:9" s="163" customFormat="1" ht="18.75" customHeight="1" x14ac:dyDescent="0.25">
      <c r="A2" s="743" t="s">
        <v>42</v>
      </c>
      <c r="B2" s="743"/>
      <c r="C2" s="731" t="str">
        <f>zTaskName</f>
        <v>Routine Generator run with no load transfer</v>
      </c>
      <c r="D2" s="730"/>
      <c r="E2" s="730"/>
      <c r="F2" s="730"/>
      <c r="G2" s="732"/>
    </row>
    <row r="3" spans="1:9" s="163" customFormat="1" ht="9.9499999999999993" customHeight="1" x14ac:dyDescent="0.25">
      <c r="A3" s="744"/>
      <c r="B3" s="745"/>
      <c r="C3" s="730"/>
      <c r="D3" s="730"/>
      <c r="E3" s="395"/>
      <c r="F3" s="395"/>
      <c r="G3" s="396"/>
    </row>
    <row r="4" spans="1:9" s="163" customFormat="1" ht="9.9499999999999993" customHeight="1" x14ac:dyDescent="0.25">
      <c r="A4" s="746"/>
      <c r="B4" s="747"/>
      <c r="C4" s="747"/>
      <c r="D4" s="382"/>
      <c r="E4" s="382"/>
      <c r="F4" s="382"/>
      <c r="G4" s="383"/>
      <c r="H4" s="78"/>
      <c r="I4" s="78"/>
    </row>
    <row r="5" spans="1:9" ht="37.5" x14ac:dyDescent="0.25">
      <c r="A5" s="397" t="s">
        <v>1455</v>
      </c>
      <c r="B5" s="398" t="s">
        <v>8</v>
      </c>
      <c r="C5" s="398" t="s">
        <v>1456</v>
      </c>
      <c r="D5" s="397" t="s">
        <v>1457</v>
      </c>
      <c r="E5" s="398" t="s">
        <v>1458</v>
      </c>
      <c r="F5" s="398" t="s">
        <v>1459</v>
      </c>
      <c r="G5" s="397" t="s">
        <v>1460</v>
      </c>
    </row>
    <row r="6" spans="1:9" s="399" customFormat="1" ht="37.5" x14ac:dyDescent="0.25">
      <c r="A6" s="389">
        <v>1</v>
      </c>
      <c r="B6" s="391" t="s">
        <v>1462</v>
      </c>
      <c r="C6" s="389" t="s">
        <v>84</v>
      </c>
      <c r="D6" s="390" t="s">
        <v>2394</v>
      </c>
      <c r="E6" s="174" t="s">
        <v>1464</v>
      </c>
      <c r="F6" s="392"/>
      <c r="G6" s="389" t="s">
        <v>1519</v>
      </c>
    </row>
    <row r="7" spans="1:9" s="400" customFormat="1" ht="37.5" x14ac:dyDescent="0.25">
      <c r="A7" s="389">
        <f>A6+1</f>
        <v>2</v>
      </c>
      <c r="B7" s="391" t="s">
        <v>1462</v>
      </c>
      <c r="C7" s="389" t="s">
        <v>84</v>
      </c>
      <c r="D7" s="194" t="s">
        <v>2023</v>
      </c>
      <c r="E7" s="174" t="s">
        <v>1464</v>
      </c>
      <c r="F7" s="392"/>
      <c r="G7" s="389" t="s">
        <v>1519</v>
      </c>
    </row>
    <row r="8" spans="1:9" s="400" customFormat="1" ht="37.5" x14ac:dyDescent="0.25">
      <c r="A8" s="389">
        <f>A7+1</f>
        <v>3</v>
      </c>
      <c r="B8" s="391" t="s">
        <v>1462</v>
      </c>
      <c r="C8" s="389" t="s">
        <v>84</v>
      </c>
      <c r="D8" s="390" t="s">
        <v>2395</v>
      </c>
      <c r="E8" s="174" t="s">
        <v>1464</v>
      </c>
      <c r="F8" s="392"/>
      <c r="G8" s="389" t="s">
        <v>1519</v>
      </c>
    </row>
    <row r="9" spans="1:9" s="401" customFormat="1" x14ac:dyDescent="0.25">
      <c r="A9" s="389">
        <f>A8+1</f>
        <v>4</v>
      </c>
      <c r="B9" s="737" t="str" cm="1">
        <f t="array" ref="B9">"Perform " &amp; zTaskName &amp; " on " &amp; Suite &amp; "-" &amp; Chiller1</f>
        <v>Perform Routine Generator run with no load transfer on G104-ERROR</v>
      </c>
      <c r="C9" s="738"/>
      <c r="D9" s="738"/>
      <c r="E9" s="738"/>
      <c r="F9" s="738"/>
      <c r="G9" s="739"/>
    </row>
    <row r="10" spans="1:9" s="163" customFormat="1" ht="56.25" x14ac:dyDescent="0.25">
      <c r="A10" s="389">
        <f t="shared" ref="A10:A69" si="0">A9+1</f>
        <v>5</v>
      </c>
      <c r="B10" s="391" t="s">
        <v>1462</v>
      </c>
      <c r="C10" s="388" t="s">
        <v>2352</v>
      </c>
      <c r="D10" s="256" t="s">
        <v>2396</v>
      </c>
      <c r="E10" s="174" t="s">
        <v>1464</v>
      </c>
      <c r="F10" s="475"/>
      <c r="G10" s="225"/>
    </row>
    <row r="11" spans="1:9" s="163" customFormat="1" ht="37.5" x14ac:dyDescent="0.25">
      <c r="A11" s="389">
        <f t="shared" si="0"/>
        <v>6</v>
      </c>
      <c r="B11" s="391" t="s">
        <v>1462</v>
      </c>
      <c r="C11" s="388" t="s">
        <v>2352</v>
      </c>
      <c r="D11" s="256" t="s">
        <v>2397</v>
      </c>
      <c r="E11" s="174" t="s">
        <v>1464</v>
      </c>
      <c r="F11" s="475"/>
      <c r="G11" s="225"/>
    </row>
    <row r="12" spans="1:9" s="163" customFormat="1" ht="37.5" x14ac:dyDescent="0.25">
      <c r="A12" s="389">
        <f t="shared" si="0"/>
        <v>7</v>
      </c>
      <c r="B12" s="391" t="s">
        <v>1462</v>
      </c>
      <c r="C12" s="388" t="s">
        <v>2352</v>
      </c>
      <c r="D12" s="256" t="s">
        <v>2398</v>
      </c>
      <c r="E12" s="174" t="s">
        <v>1464</v>
      </c>
      <c r="F12" s="475"/>
      <c r="G12" s="475" t="s">
        <v>1519</v>
      </c>
    </row>
    <row r="13" spans="1:9" s="163" customFormat="1" ht="75" x14ac:dyDescent="0.25">
      <c r="A13" s="389">
        <f t="shared" si="0"/>
        <v>8</v>
      </c>
      <c r="B13" s="388" t="str" cm="1">
        <f t="array" ref="B13">Location</f>
        <v>IAD35 Generator Yard</v>
      </c>
      <c r="C13" s="388" t="str" cm="1">
        <f t="array" ref="C13">"Chiller " &amp; Suite &amp; "-" &amp; Chiller1</f>
        <v>Chiller G104-ERROR</v>
      </c>
      <c r="D13" s="256" t="s">
        <v>2416</v>
      </c>
      <c r="E13" s="174" t="s">
        <v>1529</v>
      </c>
      <c r="F13" s="475"/>
      <c r="G13" s="475" t="s">
        <v>1519</v>
      </c>
    </row>
    <row r="14" spans="1:9" s="163" customFormat="1" ht="75" x14ac:dyDescent="0.25">
      <c r="A14" s="389">
        <f t="shared" si="0"/>
        <v>9</v>
      </c>
      <c r="B14" s="388" t="str" cm="1">
        <f t="array" ref="B14">Location</f>
        <v>IAD35 Generator Yard</v>
      </c>
      <c r="C14" s="388" t="str" cm="1">
        <f t="array" ref="C14">"Chiller " &amp; Suite &amp; "-" &amp; Chiller1</f>
        <v>Chiller G104-ERROR</v>
      </c>
      <c r="D14" s="256" t="s">
        <v>2417</v>
      </c>
      <c r="E14" s="174" t="s">
        <v>1529</v>
      </c>
      <c r="F14" s="475"/>
      <c r="G14" s="475" t="s">
        <v>1519</v>
      </c>
    </row>
    <row r="15" spans="1:9" s="163" customFormat="1" ht="75" x14ac:dyDescent="0.25">
      <c r="A15" s="389">
        <f t="shared" si="0"/>
        <v>10</v>
      </c>
      <c r="B15" s="388" t="str" cm="1">
        <f t="array" ref="B15">Location</f>
        <v>IAD35 Generator Yard</v>
      </c>
      <c r="C15" s="388" t="str" cm="1">
        <f t="array" ref="C15">"Chiller " &amp; Suite &amp; "-" &amp; Chiller1</f>
        <v>Chiller G104-ERROR</v>
      </c>
      <c r="D15" s="393" t="s">
        <v>2418</v>
      </c>
      <c r="E15" s="174" t="s">
        <v>1529</v>
      </c>
      <c r="F15" s="475"/>
      <c r="G15" s="475" t="s">
        <v>1519</v>
      </c>
    </row>
    <row r="16" spans="1:9" s="163" customFormat="1" ht="75" x14ac:dyDescent="0.25">
      <c r="A16" s="389">
        <f t="shared" si="0"/>
        <v>11</v>
      </c>
      <c r="B16" s="388" t="str" cm="1">
        <f t="array" ref="B16">Location</f>
        <v>IAD35 Generator Yard</v>
      </c>
      <c r="C16" s="388" t="str" cm="1">
        <f t="array" ref="C16">"Chiller " &amp; Suite &amp; "-" &amp; Chiller1</f>
        <v>Chiller G104-ERROR</v>
      </c>
      <c r="D16" s="393" t="s">
        <v>2419</v>
      </c>
      <c r="E16" s="174" t="s">
        <v>1529</v>
      </c>
      <c r="F16" s="475"/>
      <c r="G16" s="475" t="s">
        <v>1519</v>
      </c>
    </row>
    <row r="17" spans="1:7" s="163" customFormat="1" ht="75" x14ac:dyDescent="0.25">
      <c r="A17" s="389">
        <f t="shared" si="0"/>
        <v>12</v>
      </c>
      <c r="B17" s="388" t="str" cm="1">
        <f t="array" ref="B17">Location</f>
        <v>IAD35 Generator Yard</v>
      </c>
      <c r="C17" s="388" t="str" cm="1">
        <f t="array" ref="C17">"Chiller " &amp; Suite &amp; "-" &amp; Chiller1</f>
        <v>Chiller G104-ERROR</v>
      </c>
      <c r="D17" s="245" t="s">
        <v>2420</v>
      </c>
      <c r="E17" s="174" t="s">
        <v>1529</v>
      </c>
      <c r="F17" s="475"/>
      <c r="G17" s="475" t="s">
        <v>1519</v>
      </c>
    </row>
    <row r="18" spans="1:7" s="163" customFormat="1" ht="75" x14ac:dyDescent="0.25">
      <c r="A18" s="389">
        <f t="shared" si="0"/>
        <v>13</v>
      </c>
      <c r="B18" s="388" t="str" cm="1">
        <f t="array" ref="B18">Location</f>
        <v>IAD35 Generator Yard</v>
      </c>
      <c r="C18" s="388" t="str" cm="1">
        <f t="array" ref="C18">"Chiller " &amp; Suite &amp; "-" &amp; Chiller1</f>
        <v>Chiller G104-ERROR</v>
      </c>
      <c r="D18" s="245" t="s">
        <v>2421</v>
      </c>
      <c r="E18" s="174" t="s">
        <v>1529</v>
      </c>
      <c r="F18" s="475"/>
      <c r="G18" s="475" t="s">
        <v>1519</v>
      </c>
    </row>
    <row r="19" spans="1:7" s="163" customFormat="1" ht="75" x14ac:dyDescent="0.25">
      <c r="A19" s="389">
        <f t="shared" si="0"/>
        <v>14</v>
      </c>
      <c r="B19" s="388" t="str" cm="1">
        <f t="array" ref="B19">Location</f>
        <v>IAD35 Generator Yard</v>
      </c>
      <c r="C19" s="388" t="str" cm="1">
        <f t="array" ref="C19">"Chiller " &amp; Suite &amp; "-" &amp; Chiller1</f>
        <v>Chiller G104-ERROR</v>
      </c>
      <c r="D19" s="245" t="s">
        <v>2422</v>
      </c>
      <c r="E19" s="174" t="s">
        <v>1529</v>
      </c>
      <c r="F19" s="475"/>
      <c r="G19" s="475" t="s">
        <v>1519</v>
      </c>
    </row>
    <row r="20" spans="1:7" s="163" customFormat="1" ht="75" x14ac:dyDescent="0.25">
      <c r="A20" s="389">
        <f t="shared" si="0"/>
        <v>15</v>
      </c>
      <c r="B20" s="388" t="str" cm="1">
        <f t="array" ref="B20">Location</f>
        <v>IAD35 Generator Yard</v>
      </c>
      <c r="C20" s="388" t="str" cm="1">
        <f t="array" ref="C20">"Chiller " &amp; Suite &amp; "-" &amp; Chiller1</f>
        <v>Chiller G104-ERROR</v>
      </c>
      <c r="D20" s="245" t="s">
        <v>2423</v>
      </c>
      <c r="E20" s="174" t="s">
        <v>1529</v>
      </c>
      <c r="F20" s="475"/>
      <c r="G20" s="475" t="s">
        <v>1519</v>
      </c>
    </row>
    <row r="21" spans="1:7" s="163" customFormat="1" ht="75" x14ac:dyDescent="0.25">
      <c r="A21" s="389">
        <f t="shared" si="0"/>
        <v>16</v>
      </c>
      <c r="B21" s="388" t="str" cm="1">
        <f t="array" ref="B21">Location</f>
        <v>IAD35 Generator Yard</v>
      </c>
      <c r="C21" s="388" t="str" cm="1">
        <f t="array" ref="C21">"Chiller " &amp; Suite &amp; "-" &amp; Chiller1</f>
        <v>Chiller G104-ERROR</v>
      </c>
      <c r="D21" s="245" t="s">
        <v>2424</v>
      </c>
      <c r="E21" s="174" t="s">
        <v>1529</v>
      </c>
      <c r="F21" s="475"/>
      <c r="G21" s="475" t="s">
        <v>1519</v>
      </c>
    </row>
    <row r="22" spans="1:7" s="163" customFormat="1" ht="75" x14ac:dyDescent="0.25">
      <c r="A22" s="389">
        <f t="shared" si="0"/>
        <v>17</v>
      </c>
      <c r="B22" s="388" t="str" cm="1">
        <f t="array" ref="B22">Location</f>
        <v>IAD35 Generator Yard</v>
      </c>
      <c r="C22" s="388" t="str" cm="1">
        <f t="array" ref="C22">"Chiller " &amp; Suite &amp; "-" &amp; Chiller1</f>
        <v>Chiller G104-ERROR</v>
      </c>
      <c r="D22" s="245" t="s">
        <v>2425</v>
      </c>
      <c r="E22" s="174" t="s">
        <v>1529</v>
      </c>
      <c r="F22" s="475"/>
      <c r="G22" s="475" t="s">
        <v>1519</v>
      </c>
    </row>
    <row r="23" spans="1:7" s="163" customFormat="1" ht="75" x14ac:dyDescent="0.25">
      <c r="A23" s="389">
        <f t="shared" si="0"/>
        <v>18</v>
      </c>
      <c r="B23" s="388" t="str" cm="1">
        <f t="array" ref="B23">Location</f>
        <v>IAD35 Generator Yard</v>
      </c>
      <c r="C23" s="388" t="str" cm="1">
        <f t="array" ref="C23">"Chiller " &amp; Suite &amp; "-" &amp; Chiller1</f>
        <v>Chiller G104-ERROR</v>
      </c>
      <c r="D23" s="245" t="s">
        <v>2426</v>
      </c>
      <c r="E23" s="174" t="s">
        <v>1529</v>
      </c>
      <c r="F23" s="475"/>
      <c r="G23" s="475" t="s">
        <v>1519</v>
      </c>
    </row>
    <row r="24" spans="1:7" s="163" customFormat="1" ht="75" x14ac:dyDescent="0.25">
      <c r="A24" s="389">
        <f t="shared" si="0"/>
        <v>19</v>
      </c>
      <c r="B24" s="388" t="str" cm="1">
        <f t="array" ref="B24">Location</f>
        <v>IAD35 Generator Yard</v>
      </c>
      <c r="C24" s="388" t="str" cm="1">
        <f t="array" ref="C24">"Chiller " &amp; Suite &amp; "-" &amp; Chiller1</f>
        <v>Chiller G104-ERROR</v>
      </c>
      <c r="D24" s="256" t="s">
        <v>2427</v>
      </c>
      <c r="E24" s="174" t="s">
        <v>1529</v>
      </c>
      <c r="F24" s="475"/>
      <c r="G24" s="475" t="s">
        <v>1519</v>
      </c>
    </row>
    <row r="25" spans="1:7" s="163" customFormat="1" ht="75" x14ac:dyDescent="0.25">
      <c r="A25" s="389">
        <f t="shared" si="0"/>
        <v>20</v>
      </c>
      <c r="B25" s="388" t="str" cm="1">
        <f t="array" ref="B25">Location</f>
        <v>IAD35 Generator Yard</v>
      </c>
      <c r="C25" s="388" t="str" cm="1">
        <f t="array" ref="C25">"Chiller " &amp; Suite &amp; "-" &amp; Chiller1</f>
        <v>Chiller G104-ERROR</v>
      </c>
      <c r="D25" s="195" t="s">
        <v>2428</v>
      </c>
      <c r="E25" s="174" t="s">
        <v>1529</v>
      </c>
      <c r="F25" s="475"/>
      <c r="G25" s="475" t="s">
        <v>1519</v>
      </c>
    </row>
    <row r="26" spans="1:7" s="163" customFormat="1" ht="75" x14ac:dyDescent="0.25">
      <c r="A26" s="389">
        <f t="shared" si="0"/>
        <v>21</v>
      </c>
      <c r="B26" s="388" t="str" cm="1">
        <f t="array" ref="B26">Location</f>
        <v>IAD35 Generator Yard</v>
      </c>
      <c r="C26" s="388" t="str" cm="1">
        <f t="array" ref="C26">"Chiller " &amp; Suite &amp; "-" &amp; Chiller1</f>
        <v>Chiller G104-ERROR</v>
      </c>
      <c r="D26" s="256" t="s">
        <v>2429</v>
      </c>
      <c r="E26" s="174" t="s">
        <v>1529</v>
      </c>
      <c r="F26" s="475"/>
      <c r="G26" s="475" t="s">
        <v>1519</v>
      </c>
    </row>
    <row r="27" spans="1:7" s="163" customFormat="1" ht="75" x14ac:dyDescent="0.25">
      <c r="A27" s="389">
        <f t="shared" si="0"/>
        <v>22</v>
      </c>
      <c r="B27" s="388" t="str" cm="1">
        <f t="array" ref="B27">Location</f>
        <v>IAD35 Generator Yard</v>
      </c>
      <c r="C27" s="388" t="str" cm="1">
        <f t="array" ref="C27">"Chiller " &amp; Suite &amp; "-" &amp; Chiller1</f>
        <v>Chiller G104-ERROR</v>
      </c>
      <c r="D27" s="195" t="s">
        <v>2430</v>
      </c>
      <c r="E27" s="174" t="s">
        <v>1529</v>
      </c>
      <c r="F27" s="475"/>
      <c r="G27" s="475" t="s">
        <v>1519</v>
      </c>
    </row>
    <row r="28" spans="1:7" s="163" customFormat="1" ht="75" x14ac:dyDescent="0.25">
      <c r="A28" s="389">
        <f t="shared" si="0"/>
        <v>23</v>
      </c>
      <c r="B28" s="388" t="str" cm="1">
        <f t="array" ref="B28">Location</f>
        <v>IAD35 Generator Yard</v>
      </c>
      <c r="C28" s="388" t="str" cm="1">
        <f t="array" ref="C28">"Chiller " &amp; Suite &amp; "-" &amp; Chiller1</f>
        <v>Chiller G104-ERROR</v>
      </c>
      <c r="D28" s="256" t="s">
        <v>2431</v>
      </c>
      <c r="E28" s="174" t="s">
        <v>1529</v>
      </c>
      <c r="F28" s="475"/>
      <c r="G28" s="475" t="s">
        <v>1519</v>
      </c>
    </row>
    <row r="29" spans="1:7" s="163" customFormat="1" ht="75" x14ac:dyDescent="0.25">
      <c r="A29" s="389">
        <f t="shared" si="0"/>
        <v>24</v>
      </c>
      <c r="B29" s="388" t="str" cm="1">
        <f t="array" ref="B29">Location</f>
        <v>IAD35 Generator Yard</v>
      </c>
      <c r="C29" s="388" t="str" cm="1">
        <f t="array" ref="C29">"Chiller " &amp; Suite &amp; "-" &amp; Chiller1</f>
        <v>Chiller G104-ERROR</v>
      </c>
      <c r="D29" s="256" t="s">
        <v>2400</v>
      </c>
      <c r="E29" s="174" t="s">
        <v>1529</v>
      </c>
      <c r="F29" s="475"/>
      <c r="G29" s="475" t="s">
        <v>1519</v>
      </c>
    </row>
    <row r="30" spans="1:7" s="163" customFormat="1" ht="75" x14ac:dyDescent="0.25">
      <c r="A30" s="389">
        <f t="shared" si="0"/>
        <v>25</v>
      </c>
      <c r="B30" s="388" t="str" cm="1">
        <f t="array" ref="B30">Location</f>
        <v>IAD35 Generator Yard</v>
      </c>
      <c r="C30" s="388" t="str" cm="1">
        <f t="array" ref="C30">"Chiller " &amp; Suite &amp; "-" &amp; Chiller1</f>
        <v>Chiller G104-ERROR</v>
      </c>
      <c r="D30" s="256" t="s">
        <v>2432</v>
      </c>
      <c r="E30" s="174" t="s">
        <v>1529</v>
      </c>
      <c r="F30" s="475"/>
      <c r="G30" s="475" t="s">
        <v>1519</v>
      </c>
    </row>
    <row r="31" spans="1:7" s="163" customFormat="1" ht="75" x14ac:dyDescent="0.25">
      <c r="A31" s="389">
        <f t="shared" si="0"/>
        <v>26</v>
      </c>
      <c r="B31" s="388" t="str" cm="1">
        <f t="array" ref="B31">Location</f>
        <v>IAD35 Generator Yard</v>
      </c>
      <c r="C31" s="388" t="str" cm="1">
        <f t="array" ref="C31">"Chiller " &amp; Suite &amp; "-" &amp; Chiller1</f>
        <v>Chiller G104-ERROR</v>
      </c>
      <c r="D31" s="256" t="s">
        <v>2401</v>
      </c>
      <c r="E31" s="174" t="s">
        <v>1529</v>
      </c>
      <c r="F31" s="475"/>
      <c r="G31" s="475" t="s">
        <v>1519</v>
      </c>
    </row>
    <row r="32" spans="1:7" s="163" customFormat="1" ht="75" x14ac:dyDescent="0.25">
      <c r="A32" s="389">
        <f t="shared" si="0"/>
        <v>27</v>
      </c>
      <c r="B32" s="388" t="str" cm="1">
        <f t="array" ref="B32">Location</f>
        <v>IAD35 Generator Yard</v>
      </c>
      <c r="C32" s="388" t="str" cm="1">
        <f t="array" ref="C32">"Chiller " &amp; Suite &amp; "-" &amp; Chiller1</f>
        <v>Chiller G104-ERROR</v>
      </c>
      <c r="D32" s="256" t="s">
        <v>2402</v>
      </c>
      <c r="E32" s="174" t="s">
        <v>1529</v>
      </c>
      <c r="F32" s="475"/>
      <c r="G32" s="475" t="s">
        <v>1519</v>
      </c>
    </row>
    <row r="33" spans="1:7" s="163" customFormat="1" ht="75" x14ac:dyDescent="0.25">
      <c r="A33" s="389">
        <f t="shared" si="0"/>
        <v>28</v>
      </c>
      <c r="B33" s="388" t="str" cm="1">
        <f t="array" ref="B33">Location</f>
        <v>IAD35 Generator Yard</v>
      </c>
      <c r="C33" s="388" t="str" cm="1">
        <f t="array" ref="C33">"Chiller " &amp; Suite &amp; "-" &amp; Chiller1</f>
        <v>Chiller G104-ERROR</v>
      </c>
      <c r="D33" s="256" t="s">
        <v>2403</v>
      </c>
      <c r="E33" s="174" t="s">
        <v>1529</v>
      </c>
      <c r="F33" s="475"/>
      <c r="G33" s="475" t="s">
        <v>1519</v>
      </c>
    </row>
    <row r="34" spans="1:7" s="163" customFormat="1" ht="75" x14ac:dyDescent="0.25">
      <c r="A34" s="389">
        <f t="shared" si="0"/>
        <v>29</v>
      </c>
      <c r="B34" s="388" t="str" cm="1">
        <f t="array" ref="B34">Location</f>
        <v>IAD35 Generator Yard</v>
      </c>
      <c r="C34" s="388" t="str" cm="1">
        <f t="array" ref="C34">"Chiller " &amp; Suite &amp; "-" &amp; Chiller1</f>
        <v>Chiller G104-ERROR</v>
      </c>
      <c r="D34" s="245" t="s">
        <v>2404</v>
      </c>
      <c r="E34" s="174" t="s">
        <v>1529</v>
      </c>
      <c r="F34" s="475"/>
      <c r="G34" s="475" t="s">
        <v>1519</v>
      </c>
    </row>
    <row r="35" spans="1:7" s="163" customFormat="1" ht="75" x14ac:dyDescent="0.25">
      <c r="A35" s="389">
        <f t="shared" si="0"/>
        <v>30</v>
      </c>
      <c r="B35" s="388" t="str" cm="1">
        <f t="array" ref="B35">Location</f>
        <v>IAD35 Generator Yard</v>
      </c>
      <c r="C35" s="388" t="str" cm="1">
        <f t="array" ref="C35">"Chiller " &amp; Suite &amp; "-" &amp; Chiller1</f>
        <v>Chiller G104-ERROR</v>
      </c>
      <c r="D35" s="245" t="s">
        <v>2405</v>
      </c>
      <c r="E35" s="174" t="s">
        <v>1529</v>
      </c>
      <c r="F35" s="475"/>
      <c r="G35" s="475" t="s">
        <v>1519</v>
      </c>
    </row>
    <row r="36" spans="1:7" s="163" customFormat="1" ht="75" x14ac:dyDescent="0.25">
      <c r="A36" s="389">
        <f t="shared" si="0"/>
        <v>31</v>
      </c>
      <c r="B36" s="388" t="str" cm="1">
        <f t="array" ref="B36">Location</f>
        <v>IAD35 Generator Yard</v>
      </c>
      <c r="C36" s="388" t="str" cm="1">
        <f t="array" ref="C36">"Chiller " &amp; Suite &amp; "-" &amp; Chiller1</f>
        <v>Chiller G104-ERROR</v>
      </c>
      <c r="D36" s="245" t="s">
        <v>2406</v>
      </c>
      <c r="E36" s="174" t="s">
        <v>1529</v>
      </c>
      <c r="F36" s="475"/>
      <c r="G36" s="475" t="s">
        <v>1519</v>
      </c>
    </row>
    <row r="37" spans="1:7" s="163" customFormat="1" ht="75" x14ac:dyDescent="0.25">
      <c r="A37" s="389">
        <f t="shared" si="0"/>
        <v>32</v>
      </c>
      <c r="B37" s="388" t="str" cm="1">
        <f t="array" ref="B37">Location</f>
        <v>IAD35 Generator Yard</v>
      </c>
      <c r="C37" s="388" t="str" cm="1">
        <f t="array" ref="C37">"Chiller " &amp; Suite &amp; "-" &amp; Chiller1</f>
        <v>Chiller G104-ERROR</v>
      </c>
      <c r="D37" s="256" t="s">
        <v>2433</v>
      </c>
      <c r="E37" s="174" t="s">
        <v>1529</v>
      </c>
      <c r="F37" s="475"/>
      <c r="G37" s="475" t="s">
        <v>1519</v>
      </c>
    </row>
    <row r="38" spans="1:7" s="163" customFormat="1" ht="75" x14ac:dyDescent="0.25">
      <c r="A38" s="389">
        <f t="shared" si="0"/>
        <v>33</v>
      </c>
      <c r="B38" s="388" t="str" cm="1">
        <f t="array" ref="B38">Location</f>
        <v>IAD35 Generator Yard</v>
      </c>
      <c r="C38" s="388" t="str" cm="1">
        <f t="array" ref="C38">"Chiller " &amp; Suite &amp; "-" &amp; Chiller1</f>
        <v>Chiller G104-ERROR</v>
      </c>
      <c r="D38" s="256" t="s">
        <v>2407</v>
      </c>
      <c r="E38" s="174" t="s">
        <v>1529</v>
      </c>
      <c r="F38" s="177"/>
      <c r="G38" s="475" t="s">
        <v>1519</v>
      </c>
    </row>
    <row r="39" spans="1:7" s="163" customFormat="1" ht="75" x14ac:dyDescent="0.25">
      <c r="A39" s="389">
        <f t="shared" si="0"/>
        <v>34</v>
      </c>
      <c r="B39" s="388" t="str" cm="1">
        <f t="array" ref="B39">Location</f>
        <v>IAD35 Generator Yard</v>
      </c>
      <c r="C39" s="388" t="str" cm="1">
        <f t="array" ref="C39">"Chiller " &amp; Suite &amp; "-" &amp; Chiller1</f>
        <v>Chiller G104-ERROR</v>
      </c>
      <c r="D39" s="256" t="s">
        <v>2408</v>
      </c>
      <c r="E39" s="174" t="s">
        <v>1529</v>
      </c>
      <c r="F39" s="177"/>
      <c r="G39" s="475" t="s">
        <v>1519</v>
      </c>
    </row>
    <row r="40" spans="1:7" s="163" customFormat="1" ht="75" x14ac:dyDescent="0.25">
      <c r="A40" s="389">
        <f t="shared" si="0"/>
        <v>35</v>
      </c>
      <c r="B40" s="388" t="str" cm="1">
        <f t="array" ref="B40">Location</f>
        <v>IAD35 Generator Yard</v>
      </c>
      <c r="C40" s="388" t="str" cm="1">
        <f t="array" ref="C40">"Chiller " &amp; Suite &amp; "-" &amp; Chiller1</f>
        <v>Chiller G104-ERROR</v>
      </c>
      <c r="D40" s="256" t="s">
        <v>2434</v>
      </c>
      <c r="E40" s="174" t="s">
        <v>1529</v>
      </c>
      <c r="F40" s="177"/>
      <c r="G40" s="475" t="s">
        <v>1519</v>
      </c>
    </row>
    <row r="41" spans="1:7" s="163" customFormat="1" ht="75" x14ac:dyDescent="0.25">
      <c r="A41" s="389">
        <f t="shared" si="0"/>
        <v>36</v>
      </c>
      <c r="B41" s="388" t="str" cm="1">
        <f t="array" ref="B41">Location</f>
        <v>IAD35 Generator Yard</v>
      </c>
      <c r="C41" s="388" t="str" cm="1">
        <f t="array" ref="C41">"Chiller " &amp; Suite &amp; "-" &amp; Chiller1</f>
        <v>Chiller G104-ERROR</v>
      </c>
      <c r="D41" s="256" t="s">
        <v>2435</v>
      </c>
      <c r="E41" s="174" t="s">
        <v>1529</v>
      </c>
      <c r="F41" s="177"/>
      <c r="G41" s="475" t="s">
        <v>1519</v>
      </c>
    </row>
    <row r="42" spans="1:7" s="163" customFormat="1" ht="75" x14ac:dyDescent="0.25">
      <c r="A42" s="389">
        <f t="shared" si="0"/>
        <v>37</v>
      </c>
      <c r="B42" s="388" t="str" cm="1">
        <f t="array" ref="B42">Location</f>
        <v>IAD35 Generator Yard</v>
      </c>
      <c r="C42" s="388" t="str" cm="1">
        <f t="array" ref="C42">"Chiller " &amp; Suite &amp; "-" &amp; Chiller1</f>
        <v>Chiller G104-ERROR</v>
      </c>
      <c r="D42" s="256" t="s">
        <v>2410</v>
      </c>
      <c r="E42" s="174" t="s">
        <v>1529</v>
      </c>
      <c r="F42" s="177"/>
      <c r="G42" s="475" t="s">
        <v>1519</v>
      </c>
    </row>
    <row r="43" spans="1:7" s="163" customFormat="1" ht="150.75" customHeight="1" x14ac:dyDescent="0.25">
      <c r="A43" s="389">
        <f t="shared" si="0"/>
        <v>38</v>
      </c>
      <c r="B43" s="388" t="s">
        <v>1983</v>
      </c>
      <c r="C43" s="388" t="s">
        <v>2411</v>
      </c>
      <c r="D43" s="418" t="s">
        <v>2412</v>
      </c>
      <c r="E43" s="174" t="s">
        <v>1529</v>
      </c>
      <c r="F43" s="177"/>
      <c r="G43" s="177"/>
    </row>
    <row r="44" spans="1:7" s="163" customFormat="1" ht="18" customHeight="1" x14ac:dyDescent="0.25">
      <c r="A44" s="389">
        <f t="shared" si="0"/>
        <v>39</v>
      </c>
      <c r="B44" s="737" t="str" cm="1">
        <f t="array" ref="B44">"Perform " &amp; zTaskName &amp; " on "&amp; Suite &amp; "-" &amp; Chiller2</f>
        <v>Perform Routine Generator run with no load transfer on G104-ERROR</v>
      </c>
      <c r="C44" s="738"/>
      <c r="D44" s="738"/>
      <c r="E44" s="738"/>
      <c r="F44" s="738"/>
      <c r="G44" s="739"/>
    </row>
    <row r="45" spans="1:7" s="163" customFormat="1" ht="56.25" x14ac:dyDescent="0.25">
      <c r="A45" s="389">
        <f t="shared" si="0"/>
        <v>40</v>
      </c>
      <c r="B45" s="391" t="s">
        <v>1462</v>
      </c>
      <c r="C45" s="388" t="s">
        <v>2352</v>
      </c>
      <c r="D45" s="256" t="s">
        <v>2396</v>
      </c>
      <c r="E45" s="174" t="s">
        <v>1464</v>
      </c>
      <c r="F45" s="475"/>
      <c r="G45" s="225"/>
    </row>
    <row r="46" spans="1:7" s="163" customFormat="1" ht="37.5" x14ac:dyDescent="0.25">
      <c r="A46" s="389">
        <f t="shared" si="0"/>
        <v>41</v>
      </c>
      <c r="B46" s="391" t="s">
        <v>1462</v>
      </c>
      <c r="C46" s="388" t="s">
        <v>2352</v>
      </c>
      <c r="D46" s="256" t="s">
        <v>2397</v>
      </c>
      <c r="E46" s="174" t="s">
        <v>1464</v>
      </c>
      <c r="F46" s="475"/>
      <c r="G46" s="225"/>
    </row>
    <row r="47" spans="1:7" s="163" customFormat="1" ht="37.5" x14ac:dyDescent="0.25">
      <c r="A47" s="389">
        <f t="shared" si="0"/>
        <v>42</v>
      </c>
      <c r="B47" s="391" t="s">
        <v>1462</v>
      </c>
      <c r="C47" s="388" t="s">
        <v>2352</v>
      </c>
      <c r="D47" s="256" t="s">
        <v>2398</v>
      </c>
      <c r="E47" s="174" t="s">
        <v>1464</v>
      </c>
      <c r="F47" s="475"/>
      <c r="G47" s="475" t="s">
        <v>1519</v>
      </c>
    </row>
    <row r="48" spans="1:7" s="163" customFormat="1" ht="75" x14ac:dyDescent="0.25">
      <c r="A48" s="389">
        <f t="shared" si="0"/>
        <v>43</v>
      </c>
      <c r="B48" s="388" t="str" cm="1">
        <f t="array" ref="B48">Location</f>
        <v>IAD35 Generator Yard</v>
      </c>
      <c r="C48" s="388" t="str" cm="1">
        <f t="array" ref="C48">"Chiller " &amp; Suite &amp; "-" &amp; Chiller2</f>
        <v>Chiller G104-ERROR</v>
      </c>
      <c r="D48" s="256" t="s">
        <v>2416</v>
      </c>
      <c r="E48" s="174" t="s">
        <v>1529</v>
      </c>
      <c r="F48" s="475"/>
      <c r="G48" s="475" t="s">
        <v>1519</v>
      </c>
    </row>
    <row r="49" spans="1:7" s="163" customFormat="1" ht="75" x14ac:dyDescent="0.25">
      <c r="A49" s="389">
        <f t="shared" si="0"/>
        <v>44</v>
      </c>
      <c r="B49" s="388" t="str" cm="1">
        <f t="array" ref="B49">Location</f>
        <v>IAD35 Generator Yard</v>
      </c>
      <c r="C49" s="388" t="str" cm="1">
        <f t="array" ref="C49">"Chiller " &amp; Suite &amp; "-" &amp; Chiller2</f>
        <v>Chiller G104-ERROR</v>
      </c>
      <c r="D49" s="256" t="s">
        <v>2417</v>
      </c>
      <c r="E49" s="174" t="s">
        <v>1529</v>
      </c>
      <c r="F49" s="475"/>
      <c r="G49" s="475" t="s">
        <v>1519</v>
      </c>
    </row>
    <row r="50" spans="1:7" s="163" customFormat="1" ht="75" x14ac:dyDescent="0.25">
      <c r="A50" s="389">
        <f t="shared" si="0"/>
        <v>45</v>
      </c>
      <c r="B50" s="388" t="str" cm="1">
        <f t="array" ref="B50">Location</f>
        <v>IAD35 Generator Yard</v>
      </c>
      <c r="C50" s="388" t="str" cm="1">
        <f t="array" ref="C50">"Chiller " &amp; Suite &amp; "-" &amp; Chiller2</f>
        <v>Chiller G104-ERROR</v>
      </c>
      <c r="D50" s="393" t="s">
        <v>2418</v>
      </c>
      <c r="E50" s="174" t="s">
        <v>1529</v>
      </c>
      <c r="F50" s="475"/>
      <c r="G50" s="475" t="s">
        <v>1519</v>
      </c>
    </row>
    <row r="51" spans="1:7" s="163" customFormat="1" ht="75" x14ac:dyDescent="0.25">
      <c r="A51" s="389">
        <f t="shared" si="0"/>
        <v>46</v>
      </c>
      <c r="B51" s="388" t="str" cm="1">
        <f t="array" ref="B51">Location</f>
        <v>IAD35 Generator Yard</v>
      </c>
      <c r="C51" s="388" t="str" cm="1">
        <f t="array" ref="C51">"Chiller " &amp; Suite &amp; "-" &amp; Chiller2</f>
        <v>Chiller G104-ERROR</v>
      </c>
      <c r="D51" s="393" t="s">
        <v>2419</v>
      </c>
      <c r="E51" s="174" t="s">
        <v>1529</v>
      </c>
      <c r="F51" s="475"/>
      <c r="G51" s="475" t="s">
        <v>1519</v>
      </c>
    </row>
    <row r="52" spans="1:7" s="163" customFormat="1" ht="75" x14ac:dyDescent="0.25">
      <c r="A52" s="389">
        <f t="shared" si="0"/>
        <v>47</v>
      </c>
      <c r="B52" s="388" t="str" cm="1">
        <f t="array" ref="B52">Location</f>
        <v>IAD35 Generator Yard</v>
      </c>
      <c r="C52" s="388" t="str" cm="1">
        <f t="array" ref="C52">"Chiller " &amp; Suite &amp; "-" &amp; Chiller2</f>
        <v>Chiller G104-ERROR</v>
      </c>
      <c r="D52" s="245" t="s">
        <v>2420</v>
      </c>
      <c r="E52" s="174" t="s">
        <v>1529</v>
      </c>
      <c r="F52" s="475"/>
      <c r="G52" s="475" t="s">
        <v>1519</v>
      </c>
    </row>
    <row r="53" spans="1:7" s="163" customFormat="1" ht="75" x14ac:dyDescent="0.25">
      <c r="A53" s="389">
        <f t="shared" si="0"/>
        <v>48</v>
      </c>
      <c r="B53" s="388" t="str" cm="1">
        <f t="array" ref="B53">Location</f>
        <v>IAD35 Generator Yard</v>
      </c>
      <c r="C53" s="388" t="str" cm="1">
        <f t="array" ref="C53">"Chiller " &amp; Suite &amp; "-" &amp; Chiller2</f>
        <v>Chiller G104-ERROR</v>
      </c>
      <c r="D53" s="245" t="s">
        <v>2421</v>
      </c>
      <c r="E53" s="174" t="s">
        <v>1529</v>
      </c>
      <c r="F53" s="475"/>
      <c r="G53" s="475" t="s">
        <v>1519</v>
      </c>
    </row>
    <row r="54" spans="1:7" s="163" customFormat="1" ht="75" x14ac:dyDescent="0.25">
      <c r="A54" s="389">
        <f t="shared" si="0"/>
        <v>49</v>
      </c>
      <c r="B54" s="388" t="str" cm="1">
        <f t="array" ref="B54">Location</f>
        <v>IAD35 Generator Yard</v>
      </c>
      <c r="C54" s="388" t="str" cm="1">
        <f t="array" ref="C54">"Chiller " &amp; Suite &amp; "-" &amp; Chiller2</f>
        <v>Chiller G104-ERROR</v>
      </c>
      <c r="D54" s="245" t="s">
        <v>2422</v>
      </c>
      <c r="E54" s="174" t="s">
        <v>1529</v>
      </c>
      <c r="F54" s="475"/>
      <c r="G54" s="475" t="s">
        <v>1519</v>
      </c>
    </row>
    <row r="55" spans="1:7" s="163" customFormat="1" ht="75" x14ac:dyDescent="0.25">
      <c r="A55" s="389">
        <f t="shared" si="0"/>
        <v>50</v>
      </c>
      <c r="B55" s="388" t="str" cm="1">
        <f t="array" ref="B55">Location</f>
        <v>IAD35 Generator Yard</v>
      </c>
      <c r="C55" s="388" t="str" cm="1">
        <f t="array" ref="C55">"Chiller " &amp; Suite &amp; "-" &amp; Chiller2</f>
        <v>Chiller G104-ERROR</v>
      </c>
      <c r="D55" s="245" t="s">
        <v>2423</v>
      </c>
      <c r="E55" s="174" t="s">
        <v>1529</v>
      </c>
      <c r="F55" s="475"/>
      <c r="G55" s="475" t="s">
        <v>1519</v>
      </c>
    </row>
    <row r="56" spans="1:7" s="163" customFormat="1" ht="75" x14ac:dyDescent="0.25">
      <c r="A56" s="389">
        <f t="shared" si="0"/>
        <v>51</v>
      </c>
      <c r="B56" s="388" t="str" cm="1">
        <f t="array" ref="B56">Location</f>
        <v>IAD35 Generator Yard</v>
      </c>
      <c r="C56" s="388" t="str" cm="1">
        <f t="array" ref="C56">"Chiller " &amp; Suite &amp; "-" &amp; Chiller2</f>
        <v>Chiller G104-ERROR</v>
      </c>
      <c r="D56" s="245" t="s">
        <v>2424</v>
      </c>
      <c r="E56" s="174" t="s">
        <v>1529</v>
      </c>
      <c r="F56" s="475"/>
      <c r="G56" s="475" t="s">
        <v>1519</v>
      </c>
    </row>
    <row r="57" spans="1:7" s="163" customFormat="1" ht="75" x14ac:dyDescent="0.25">
      <c r="A57" s="389">
        <f t="shared" si="0"/>
        <v>52</v>
      </c>
      <c r="B57" s="388" t="str" cm="1">
        <f t="array" ref="B57">Location</f>
        <v>IAD35 Generator Yard</v>
      </c>
      <c r="C57" s="388" t="str" cm="1">
        <f t="array" ref="C57">"Chiller " &amp; Suite &amp; "-" &amp; Chiller2</f>
        <v>Chiller G104-ERROR</v>
      </c>
      <c r="D57" s="245" t="s">
        <v>2425</v>
      </c>
      <c r="E57" s="174" t="s">
        <v>1529</v>
      </c>
      <c r="F57" s="475"/>
      <c r="G57" s="475" t="s">
        <v>1519</v>
      </c>
    </row>
    <row r="58" spans="1:7" s="163" customFormat="1" ht="75" x14ac:dyDescent="0.25">
      <c r="A58" s="389">
        <f t="shared" si="0"/>
        <v>53</v>
      </c>
      <c r="B58" s="388" t="str" cm="1">
        <f t="array" ref="B58">Location</f>
        <v>IAD35 Generator Yard</v>
      </c>
      <c r="C58" s="388" t="str" cm="1">
        <f t="array" ref="C58">"Chiller " &amp; Suite &amp; "-" &amp; Chiller2</f>
        <v>Chiller G104-ERROR</v>
      </c>
      <c r="D58" s="245" t="s">
        <v>2426</v>
      </c>
      <c r="E58" s="174" t="s">
        <v>1529</v>
      </c>
      <c r="F58" s="475"/>
      <c r="G58" s="475" t="s">
        <v>1519</v>
      </c>
    </row>
    <row r="59" spans="1:7" s="163" customFormat="1" ht="75" x14ac:dyDescent="0.25">
      <c r="A59" s="389">
        <f t="shared" si="0"/>
        <v>54</v>
      </c>
      <c r="B59" s="388" t="str" cm="1">
        <f t="array" ref="B59">Location</f>
        <v>IAD35 Generator Yard</v>
      </c>
      <c r="C59" s="388" t="str" cm="1">
        <f t="array" ref="C59">"Chiller " &amp; Suite &amp; "-" &amp; Chiller2</f>
        <v>Chiller G104-ERROR</v>
      </c>
      <c r="D59" s="256" t="s">
        <v>2427</v>
      </c>
      <c r="E59" s="174" t="s">
        <v>1529</v>
      </c>
      <c r="F59" s="475"/>
      <c r="G59" s="475" t="s">
        <v>1519</v>
      </c>
    </row>
    <row r="60" spans="1:7" s="163" customFormat="1" ht="75" x14ac:dyDescent="0.25">
      <c r="A60" s="389">
        <f t="shared" si="0"/>
        <v>55</v>
      </c>
      <c r="B60" s="388" t="str" cm="1">
        <f t="array" ref="B60">Location</f>
        <v>IAD35 Generator Yard</v>
      </c>
      <c r="C60" s="388" t="str" cm="1">
        <f t="array" ref="C60">"Chiller " &amp; Suite &amp; "-" &amp; Chiller2</f>
        <v>Chiller G104-ERROR</v>
      </c>
      <c r="D60" s="195" t="s">
        <v>2428</v>
      </c>
      <c r="E60" s="174" t="s">
        <v>1529</v>
      </c>
      <c r="F60" s="475"/>
      <c r="G60" s="475" t="s">
        <v>1519</v>
      </c>
    </row>
    <row r="61" spans="1:7" s="163" customFormat="1" ht="75" x14ac:dyDescent="0.25">
      <c r="A61" s="389">
        <f t="shared" si="0"/>
        <v>56</v>
      </c>
      <c r="B61" s="388" t="str" cm="1">
        <f t="array" ref="B61">Location</f>
        <v>IAD35 Generator Yard</v>
      </c>
      <c r="C61" s="388" t="str" cm="1">
        <f t="array" ref="C61">"Chiller " &amp; Suite &amp; "-" &amp; Chiller2</f>
        <v>Chiller G104-ERROR</v>
      </c>
      <c r="D61" s="256" t="s">
        <v>2429</v>
      </c>
      <c r="E61" s="174" t="s">
        <v>1529</v>
      </c>
      <c r="F61" s="475"/>
      <c r="G61" s="475" t="s">
        <v>1519</v>
      </c>
    </row>
    <row r="62" spans="1:7" s="163" customFormat="1" ht="75" x14ac:dyDescent="0.25">
      <c r="A62" s="389">
        <f t="shared" si="0"/>
        <v>57</v>
      </c>
      <c r="B62" s="388" t="str" cm="1">
        <f t="array" ref="B62">Location</f>
        <v>IAD35 Generator Yard</v>
      </c>
      <c r="C62" s="388" t="str" cm="1">
        <f t="array" ref="C62">"Chiller " &amp; Suite &amp; "-" &amp; Chiller2</f>
        <v>Chiller G104-ERROR</v>
      </c>
      <c r="D62" s="195" t="s">
        <v>2430</v>
      </c>
      <c r="E62" s="174" t="s">
        <v>1529</v>
      </c>
      <c r="F62" s="475"/>
      <c r="G62" s="475" t="s">
        <v>1519</v>
      </c>
    </row>
    <row r="63" spans="1:7" s="163" customFormat="1" ht="75" x14ac:dyDescent="0.25">
      <c r="A63" s="389">
        <f t="shared" si="0"/>
        <v>58</v>
      </c>
      <c r="B63" s="388" t="str" cm="1">
        <f t="array" ref="B63">Location</f>
        <v>IAD35 Generator Yard</v>
      </c>
      <c r="C63" s="388" t="str" cm="1">
        <f t="array" ref="C63">"Chiller " &amp; Suite &amp; "-" &amp; Chiller2</f>
        <v>Chiller G104-ERROR</v>
      </c>
      <c r="D63" s="256" t="s">
        <v>2431</v>
      </c>
      <c r="E63" s="174" t="s">
        <v>1529</v>
      </c>
      <c r="F63" s="475"/>
      <c r="G63" s="475" t="s">
        <v>1519</v>
      </c>
    </row>
    <row r="64" spans="1:7" s="163" customFormat="1" ht="75" x14ac:dyDescent="0.25">
      <c r="A64" s="389">
        <f t="shared" si="0"/>
        <v>59</v>
      </c>
      <c r="B64" s="388" t="str" cm="1">
        <f t="array" ref="B64">Location</f>
        <v>IAD35 Generator Yard</v>
      </c>
      <c r="C64" s="388" t="str" cm="1">
        <f t="array" ref="C64">"Chiller " &amp; Suite &amp; "-" &amp; Chiller2</f>
        <v>Chiller G104-ERROR</v>
      </c>
      <c r="D64" s="256" t="s">
        <v>2400</v>
      </c>
      <c r="E64" s="174" t="s">
        <v>1529</v>
      </c>
      <c r="F64" s="475"/>
      <c r="G64" s="475" t="s">
        <v>1519</v>
      </c>
    </row>
    <row r="65" spans="1:7" s="163" customFormat="1" ht="75" x14ac:dyDescent="0.25">
      <c r="A65" s="389">
        <f t="shared" si="0"/>
        <v>60</v>
      </c>
      <c r="B65" s="388" t="str" cm="1">
        <f t="array" ref="B65">Location</f>
        <v>IAD35 Generator Yard</v>
      </c>
      <c r="C65" s="388" t="str" cm="1">
        <f t="array" ref="C65">"Chiller " &amp; Suite &amp; "-" &amp; Chiller2</f>
        <v>Chiller G104-ERROR</v>
      </c>
      <c r="D65" s="256" t="s">
        <v>2432</v>
      </c>
      <c r="E65" s="174" t="s">
        <v>1529</v>
      </c>
      <c r="F65" s="475"/>
      <c r="G65" s="475" t="s">
        <v>1519</v>
      </c>
    </row>
    <row r="66" spans="1:7" s="163" customFormat="1" ht="75" x14ac:dyDescent="0.25">
      <c r="A66" s="389">
        <f t="shared" si="0"/>
        <v>61</v>
      </c>
      <c r="B66" s="388" t="str" cm="1">
        <f t="array" ref="B66">Location</f>
        <v>IAD35 Generator Yard</v>
      </c>
      <c r="C66" s="388" t="str" cm="1">
        <f t="array" ref="C66">"Chiller " &amp; Suite &amp; "-" &amp; Chiller2</f>
        <v>Chiller G104-ERROR</v>
      </c>
      <c r="D66" s="256" t="s">
        <v>2401</v>
      </c>
      <c r="E66" s="174" t="s">
        <v>1529</v>
      </c>
      <c r="F66" s="475"/>
      <c r="G66" s="475" t="s">
        <v>1519</v>
      </c>
    </row>
    <row r="67" spans="1:7" s="163" customFormat="1" ht="75" x14ac:dyDescent="0.25">
      <c r="A67" s="389">
        <f t="shared" si="0"/>
        <v>62</v>
      </c>
      <c r="B67" s="388" t="str" cm="1">
        <f t="array" ref="B67">Location</f>
        <v>IAD35 Generator Yard</v>
      </c>
      <c r="C67" s="388" t="str" cm="1">
        <f t="array" ref="C67">"Chiller " &amp; Suite &amp; "-" &amp; Chiller2</f>
        <v>Chiller G104-ERROR</v>
      </c>
      <c r="D67" s="256" t="s">
        <v>2402</v>
      </c>
      <c r="E67" s="174" t="s">
        <v>1529</v>
      </c>
      <c r="F67" s="475"/>
      <c r="G67" s="475" t="s">
        <v>1519</v>
      </c>
    </row>
    <row r="68" spans="1:7" s="163" customFormat="1" ht="75" x14ac:dyDescent="0.25">
      <c r="A68" s="389">
        <f t="shared" si="0"/>
        <v>63</v>
      </c>
      <c r="B68" s="388" t="str" cm="1">
        <f t="array" ref="B68">Location</f>
        <v>IAD35 Generator Yard</v>
      </c>
      <c r="C68" s="388" t="str" cm="1">
        <f t="array" ref="C68">"Chiller " &amp; Suite &amp; "-" &amp; Chiller2</f>
        <v>Chiller G104-ERROR</v>
      </c>
      <c r="D68" s="256" t="s">
        <v>2403</v>
      </c>
      <c r="E68" s="174" t="s">
        <v>1529</v>
      </c>
      <c r="F68" s="475"/>
      <c r="G68" s="475" t="s">
        <v>1519</v>
      </c>
    </row>
    <row r="69" spans="1:7" s="163" customFormat="1" ht="75" x14ac:dyDescent="0.25">
      <c r="A69" s="389">
        <f t="shared" si="0"/>
        <v>64</v>
      </c>
      <c r="B69" s="388" t="str" cm="1">
        <f t="array" ref="B69">Location</f>
        <v>IAD35 Generator Yard</v>
      </c>
      <c r="C69" s="388" t="str" cm="1">
        <f t="array" ref="C69">"Chiller " &amp; Suite &amp; "-" &amp; Chiller2</f>
        <v>Chiller G104-ERROR</v>
      </c>
      <c r="D69" s="245" t="s">
        <v>2404</v>
      </c>
      <c r="E69" s="174" t="s">
        <v>1529</v>
      </c>
      <c r="F69" s="475"/>
      <c r="G69" s="475" t="s">
        <v>1519</v>
      </c>
    </row>
    <row r="70" spans="1:7" s="163" customFormat="1" ht="75" x14ac:dyDescent="0.25">
      <c r="A70" s="389">
        <f t="shared" ref="A70:A117" si="1">A69+1</f>
        <v>65</v>
      </c>
      <c r="B70" s="388" t="str" cm="1">
        <f t="array" ref="B70">Location</f>
        <v>IAD35 Generator Yard</v>
      </c>
      <c r="C70" s="388" t="str" cm="1">
        <f t="array" ref="C70">"Chiller " &amp; Suite &amp; "-" &amp; Chiller2</f>
        <v>Chiller G104-ERROR</v>
      </c>
      <c r="D70" s="245" t="s">
        <v>2405</v>
      </c>
      <c r="E70" s="174" t="s">
        <v>1529</v>
      </c>
      <c r="F70" s="475"/>
      <c r="G70" s="475" t="s">
        <v>1519</v>
      </c>
    </row>
    <row r="71" spans="1:7" s="163" customFormat="1" ht="75" x14ac:dyDescent="0.25">
      <c r="A71" s="389">
        <f t="shared" si="1"/>
        <v>66</v>
      </c>
      <c r="B71" s="388" t="str" cm="1">
        <f t="array" ref="B71">Location</f>
        <v>IAD35 Generator Yard</v>
      </c>
      <c r="C71" s="388" t="str" cm="1">
        <f t="array" ref="C71">"Chiller " &amp; Suite &amp; "-" &amp; Chiller2</f>
        <v>Chiller G104-ERROR</v>
      </c>
      <c r="D71" s="245" t="s">
        <v>2406</v>
      </c>
      <c r="E71" s="174" t="s">
        <v>1529</v>
      </c>
      <c r="F71" s="475"/>
      <c r="G71" s="475" t="s">
        <v>1519</v>
      </c>
    </row>
    <row r="72" spans="1:7" s="163" customFormat="1" ht="75" x14ac:dyDescent="0.25">
      <c r="A72" s="389">
        <f t="shared" si="1"/>
        <v>67</v>
      </c>
      <c r="B72" s="388" t="str" cm="1">
        <f t="array" ref="B72">Location</f>
        <v>IAD35 Generator Yard</v>
      </c>
      <c r="C72" s="388" t="str" cm="1">
        <f t="array" ref="C72">"Chiller " &amp; Suite &amp; "-" &amp; Chiller2</f>
        <v>Chiller G104-ERROR</v>
      </c>
      <c r="D72" s="256" t="s">
        <v>2433</v>
      </c>
      <c r="E72" s="174" t="s">
        <v>1529</v>
      </c>
      <c r="F72" s="475"/>
      <c r="G72" s="475" t="s">
        <v>1519</v>
      </c>
    </row>
    <row r="73" spans="1:7" s="163" customFormat="1" ht="75" x14ac:dyDescent="0.25">
      <c r="A73" s="389">
        <f t="shared" si="1"/>
        <v>68</v>
      </c>
      <c r="B73" s="388" t="str" cm="1">
        <f t="array" ref="B73">Location</f>
        <v>IAD35 Generator Yard</v>
      </c>
      <c r="C73" s="388" t="str" cm="1">
        <f t="array" ref="C73">"Chiller " &amp; Suite &amp; "-" &amp; Chiller2</f>
        <v>Chiller G104-ERROR</v>
      </c>
      <c r="D73" s="256" t="s">
        <v>2407</v>
      </c>
      <c r="E73" s="174" t="s">
        <v>1529</v>
      </c>
      <c r="F73" s="177"/>
      <c r="G73" s="475" t="s">
        <v>1519</v>
      </c>
    </row>
    <row r="74" spans="1:7" s="163" customFormat="1" ht="75" x14ac:dyDescent="0.25">
      <c r="A74" s="389">
        <f t="shared" si="1"/>
        <v>69</v>
      </c>
      <c r="B74" s="388" t="str" cm="1">
        <f t="array" ref="B74">Location</f>
        <v>IAD35 Generator Yard</v>
      </c>
      <c r="C74" s="388" t="str" cm="1">
        <f t="array" ref="C74">"Chiller " &amp; Suite &amp; "-" &amp; Chiller2</f>
        <v>Chiller G104-ERROR</v>
      </c>
      <c r="D74" s="256" t="s">
        <v>2408</v>
      </c>
      <c r="E74" s="174" t="s">
        <v>1529</v>
      </c>
      <c r="F74" s="177"/>
      <c r="G74" s="475" t="s">
        <v>1519</v>
      </c>
    </row>
    <row r="75" spans="1:7" s="163" customFormat="1" ht="75" x14ac:dyDescent="0.25">
      <c r="A75" s="389">
        <f t="shared" si="1"/>
        <v>70</v>
      </c>
      <c r="B75" s="388" t="str" cm="1">
        <f t="array" ref="B75">Location</f>
        <v>IAD35 Generator Yard</v>
      </c>
      <c r="C75" s="388" t="str" cm="1">
        <f t="array" ref="C75">"Chiller " &amp; Suite &amp; "-" &amp; Chiller2</f>
        <v>Chiller G104-ERROR</v>
      </c>
      <c r="D75" s="256" t="s">
        <v>2434</v>
      </c>
      <c r="E75" s="174" t="s">
        <v>1529</v>
      </c>
      <c r="F75" s="177"/>
      <c r="G75" s="475" t="s">
        <v>1519</v>
      </c>
    </row>
    <row r="76" spans="1:7" s="163" customFormat="1" ht="75" x14ac:dyDescent="0.25">
      <c r="A76" s="389">
        <f t="shared" si="1"/>
        <v>71</v>
      </c>
      <c r="B76" s="388" t="str" cm="1">
        <f t="array" ref="B76">Location</f>
        <v>IAD35 Generator Yard</v>
      </c>
      <c r="C76" s="388" t="str" cm="1">
        <f t="array" ref="C76">"Chiller " &amp; Suite &amp; "-" &amp; Chiller2</f>
        <v>Chiller G104-ERROR</v>
      </c>
      <c r="D76" s="256" t="s">
        <v>2435</v>
      </c>
      <c r="E76" s="174" t="s">
        <v>1529</v>
      </c>
      <c r="F76" s="177"/>
      <c r="G76" s="475" t="s">
        <v>1519</v>
      </c>
    </row>
    <row r="77" spans="1:7" s="163" customFormat="1" ht="75" x14ac:dyDescent="0.25">
      <c r="A77" s="389">
        <f t="shared" si="1"/>
        <v>72</v>
      </c>
      <c r="B77" s="388" t="str" cm="1">
        <f t="array" ref="B77">Location</f>
        <v>IAD35 Generator Yard</v>
      </c>
      <c r="C77" s="388" t="str" cm="1">
        <f t="array" ref="C77">"Chiller " &amp; Suite &amp; "-" &amp; Chiller2</f>
        <v>Chiller G104-ERROR</v>
      </c>
      <c r="D77" s="256" t="s">
        <v>2410</v>
      </c>
      <c r="E77" s="174" t="s">
        <v>1529</v>
      </c>
      <c r="F77" s="177"/>
      <c r="G77" s="475" t="s">
        <v>1519</v>
      </c>
    </row>
    <row r="78" spans="1:7" s="163" customFormat="1" ht="150.75" customHeight="1" x14ac:dyDescent="0.25">
      <c r="A78" s="389">
        <f t="shared" si="1"/>
        <v>73</v>
      </c>
      <c r="B78" s="388" t="s">
        <v>1983</v>
      </c>
      <c r="C78" s="388" t="s">
        <v>2411</v>
      </c>
      <c r="D78" s="418" t="s">
        <v>2412</v>
      </c>
      <c r="E78" s="174" t="s">
        <v>1529</v>
      </c>
      <c r="F78" s="177"/>
      <c r="G78" s="177"/>
    </row>
    <row r="79" spans="1:7" s="163" customFormat="1" ht="18" customHeight="1" x14ac:dyDescent="0.25">
      <c r="A79" s="389">
        <f t="shared" si="1"/>
        <v>74</v>
      </c>
      <c r="B79" s="737" t="str" cm="1">
        <f t="array" ref="B79">"Perform " &amp; zTaskName &amp; " on " &amp; Suite &amp; "-" &amp; Chiller3</f>
        <v>Perform Routine Generator run with no load transfer on G104-ERROR</v>
      </c>
      <c r="C79" s="738"/>
      <c r="D79" s="738"/>
      <c r="E79" s="738"/>
      <c r="F79" s="738"/>
      <c r="G79" s="739"/>
    </row>
    <row r="80" spans="1:7" s="163" customFormat="1" ht="56.25" x14ac:dyDescent="0.25">
      <c r="A80" s="389">
        <f t="shared" si="1"/>
        <v>75</v>
      </c>
      <c r="B80" s="391" t="s">
        <v>1462</v>
      </c>
      <c r="C80" s="388" t="s">
        <v>2352</v>
      </c>
      <c r="D80" s="256" t="s">
        <v>2396</v>
      </c>
      <c r="E80" s="174" t="s">
        <v>1464</v>
      </c>
      <c r="F80" s="475"/>
      <c r="G80" s="225"/>
    </row>
    <row r="81" spans="1:7" s="163" customFormat="1" ht="37.5" x14ac:dyDescent="0.25">
      <c r="A81" s="389">
        <f t="shared" si="1"/>
        <v>76</v>
      </c>
      <c r="B81" s="391" t="s">
        <v>1462</v>
      </c>
      <c r="C81" s="388" t="s">
        <v>2352</v>
      </c>
      <c r="D81" s="256" t="s">
        <v>2397</v>
      </c>
      <c r="E81" s="174" t="s">
        <v>1464</v>
      </c>
      <c r="F81" s="475"/>
      <c r="G81" s="225"/>
    </row>
    <row r="82" spans="1:7" s="163" customFormat="1" ht="37.5" x14ac:dyDescent="0.25">
      <c r="A82" s="389">
        <f t="shared" si="1"/>
        <v>77</v>
      </c>
      <c r="B82" s="391" t="s">
        <v>1462</v>
      </c>
      <c r="C82" s="388" t="s">
        <v>2352</v>
      </c>
      <c r="D82" s="256" t="s">
        <v>2398</v>
      </c>
      <c r="E82" s="174" t="s">
        <v>1464</v>
      </c>
      <c r="F82" s="475"/>
      <c r="G82" s="475" t="s">
        <v>1519</v>
      </c>
    </row>
    <row r="83" spans="1:7" s="163" customFormat="1" ht="75" x14ac:dyDescent="0.25">
      <c r="A83" s="389">
        <f t="shared" si="1"/>
        <v>78</v>
      </c>
      <c r="B83" s="388" t="str" cm="1">
        <f t="array" ref="B83">Location</f>
        <v>IAD35 Generator Yard</v>
      </c>
      <c r="C83" s="388" t="str" cm="1">
        <f t="array" ref="C83">"Chiller " &amp; Suite &amp; "-" &amp; Chiller3</f>
        <v>Chiller G104-ERROR</v>
      </c>
      <c r="D83" s="256" t="s">
        <v>2416</v>
      </c>
      <c r="E83" s="174" t="s">
        <v>1529</v>
      </c>
      <c r="F83" s="475"/>
      <c r="G83" s="475" t="s">
        <v>1519</v>
      </c>
    </row>
    <row r="84" spans="1:7" s="163" customFormat="1" ht="75" x14ac:dyDescent="0.25">
      <c r="A84" s="389">
        <f t="shared" si="1"/>
        <v>79</v>
      </c>
      <c r="B84" s="388" t="str" cm="1">
        <f t="array" ref="B84">Location</f>
        <v>IAD35 Generator Yard</v>
      </c>
      <c r="C84" s="388" t="str" cm="1">
        <f t="array" ref="C84">"Chiller " &amp; Suite &amp; "-" &amp; Chiller3</f>
        <v>Chiller G104-ERROR</v>
      </c>
      <c r="D84" s="256" t="s">
        <v>2417</v>
      </c>
      <c r="E84" s="174" t="s">
        <v>1529</v>
      </c>
      <c r="F84" s="475"/>
      <c r="G84" s="475" t="s">
        <v>1519</v>
      </c>
    </row>
    <row r="85" spans="1:7" s="163" customFormat="1" ht="75" x14ac:dyDescent="0.25">
      <c r="A85" s="389">
        <f t="shared" si="1"/>
        <v>80</v>
      </c>
      <c r="B85" s="388" t="str" cm="1">
        <f t="array" ref="B85">Location</f>
        <v>IAD35 Generator Yard</v>
      </c>
      <c r="C85" s="388" t="str" cm="1">
        <f t="array" ref="C85">"Chiller " &amp; Suite &amp; "-" &amp; Chiller3</f>
        <v>Chiller G104-ERROR</v>
      </c>
      <c r="D85" s="393" t="s">
        <v>2418</v>
      </c>
      <c r="E85" s="174" t="s">
        <v>1529</v>
      </c>
      <c r="F85" s="475"/>
      <c r="G85" s="475" t="s">
        <v>1519</v>
      </c>
    </row>
    <row r="86" spans="1:7" s="163" customFormat="1" ht="75" x14ac:dyDescent="0.25">
      <c r="A86" s="389">
        <f t="shared" si="1"/>
        <v>81</v>
      </c>
      <c r="B86" s="388" t="str" cm="1">
        <f t="array" ref="B86">Location</f>
        <v>IAD35 Generator Yard</v>
      </c>
      <c r="C86" s="388" t="str" cm="1">
        <f t="array" ref="C86">"Chiller " &amp; Suite &amp; "-" &amp; Chiller3</f>
        <v>Chiller G104-ERROR</v>
      </c>
      <c r="D86" s="393" t="s">
        <v>2419</v>
      </c>
      <c r="E86" s="174" t="s">
        <v>1529</v>
      </c>
      <c r="F86" s="475"/>
      <c r="G86" s="475" t="s">
        <v>1519</v>
      </c>
    </row>
    <row r="87" spans="1:7" s="163" customFormat="1" ht="75" x14ac:dyDescent="0.25">
      <c r="A87" s="389">
        <f t="shared" si="1"/>
        <v>82</v>
      </c>
      <c r="B87" s="388" t="str" cm="1">
        <f t="array" ref="B87">Location</f>
        <v>IAD35 Generator Yard</v>
      </c>
      <c r="C87" s="388" t="str" cm="1">
        <f t="array" ref="C87">"Chiller " &amp; Suite &amp; "-" &amp; Chiller3</f>
        <v>Chiller G104-ERROR</v>
      </c>
      <c r="D87" s="245" t="s">
        <v>2420</v>
      </c>
      <c r="E87" s="174" t="s">
        <v>1529</v>
      </c>
      <c r="F87" s="475"/>
      <c r="G87" s="475" t="s">
        <v>1519</v>
      </c>
    </row>
    <row r="88" spans="1:7" s="163" customFormat="1" ht="75" x14ac:dyDescent="0.25">
      <c r="A88" s="389">
        <f t="shared" si="1"/>
        <v>83</v>
      </c>
      <c r="B88" s="388" t="str" cm="1">
        <f t="array" ref="B88">Location</f>
        <v>IAD35 Generator Yard</v>
      </c>
      <c r="C88" s="388" t="str" cm="1">
        <f t="array" ref="C88">"Chiller " &amp; Suite &amp; "-" &amp; Chiller3</f>
        <v>Chiller G104-ERROR</v>
      </c>
      <c r="D88" s="245" t="s">
        <v>2421</v>
      </c>
      <c r="E88" s="174" t="s">
        <v>1529</v>
      </c>
      <c r="F88" s="475"/>
      <c r="G88" s="475" t="s">
        <v>1519</v>
      </c>
    </row>
    <row r="89" spans="1:7" s="163" customFormat="1" ht="75" x14ac:dyDescent="0.25">
      <c r="A89" s="389">
        <f t="shared" si="1"/>
        <v>84</v>
      </c>
      <c r="B89" s="388" t="str" cm="1">
        <f t="array" ref="B89">Location</f>
        <v>IAD35 Generator Yard</v>
      </c>
      <c r="C89" s="388" t="str" cm="1">
        <f t="array" ref="C89">"Chiller " &amp; Suite &amp; "-" &amp; Chiller3</f>
        <v>Chiller G104-ERROR</v>
      </c>
      <c r="D89" s="245" t="s">
        <v>2422</v>
      </c>
      <c r="E89" s="174" t="s">
        <v>1529</v>
      </c>
      <c r="F89" s="475"/>
      <c r="G89" s="475" t="s">
        <v>1519</v>
      </c>
    </row>
    <row r="90" spans="1:7" s="163" customFormat="1" ht="75" x14ac:dyDescent="0.25">
      <c r="A90" s="389">
        <f t="shared" si="1"/>
        <v>85</v>
      </c>
      <c r="B90" s="388" t="str" cm="1">
        <f t="array" ref="B90">Location</f>
        <v>IAD35 Generator Yard</v>
      </c>
      <c r="C90" s="388" t="str" cm="1">
        <f t="array" ref="C90">"Chiller " &amp; Suite &amp; "-" &amp; Chiller3</f>
        <v>Chiller G104-ERROR</v>
      </c>
      <c r="D90" s="245" t="s">
        <v>2423</v>
      </c>
      <c r="E90" s="174" t="s">
        <v>1529</v>
      </c>
      <c r="F90" s="475"/>
      <c r="G90" s="475" t="s">
        <v>1519</v>
      </c>
    </row>
    <row r="91" spans="1:7" s="163" customFormat="1" ht="75" x14ac:dyDescent="0.25">
      <c r="A91" s="389">
        <f t="shared" si="1"/>
        <v>86</v>
      </c>
      <c r="B91" s="388" t="str" cm="1">
        <f t="array" ref="B91">Location</f>
        <v>IAD35 Generator Yard</v>
      </c>
      <c r="C91" s="388" t="str" cm="1">
        <f t="array" ref="C91">"Chiller " &amp; Suite &amp; "-" &amp; Chiller3</f>
        <v>Chiller G104-ERROR</v>
      </c>
      <c r="D91" s="245" t="s">
        <v>2424</v>
      </c>
      <c r="E91" s="174" t="s">
        <v>1529</v>
      </c>
      <c r="F91" s="475"/>
      <c r="G91" s="475" t="s">
        <v>1519</v>
      </c>
    </row>
    <row r="92" spans="1:7" s="163" customFormat="1" ht="75" x14ac:dyDescent="0.25">
      <c r="A92" s="389">
        <f t="shared" si="1"/>
        <v>87</v>
      </c>
      <c r="B92" s="388" t="str" cm="1">
        <f t="array" ref="B92">Location</f>
        <v>IAD35 Generator Yard</v>
      </c>
      <c r="C92" s="388" t="str" cm="1">
        <f t="array" ref="C92">"Chiller " &amp; Suite &amp; "-" &amp; Chiller3</f>
        <v>Chiller G104-ERROR</v>
      </c>
      <c r="D92" s="245" t="s">
        <v>2425</v>
      </c>
      <c r="E92" s="174" t="s">
        <v>1529</v>
      </c>
      <c r="F92" s="475"/>
      <c r="G92" s="475" t="s">
        <v>1519</v>
      </c>
    </row>
    <row r="93" spans="1:7" s="163" customFormat="1" ht="75" x14ac:dyDescent="0.25">
      <c r="A93" s="389">
        <f t="shared" si="1"/>
        <v>88</v>
      </c>
      <c r="B93" s="388" t="str" cm="1">
        <f t="array" ref="B93">Location</f>
        <v>IAD35 Generator Yard</v>
      </c>
      <c r="C93" s="388" t="str" cm="1">
        <f t="array" ref="C93">"Chiller " &amp; Suite &amp; "-" &amp; Chiller3</f>
        <v>Chiller G104-ERROR</v>
      </c>
      <c r="D93" s="245" t="s">
        <v>2426</v>
      </c>
      <c r="E93" s="174" t="s">
        <v>1529</v>
      </c>
      <c r="F93" s="475"/>
      <c r="G93" s="475" t="s">
        <v>1519</v>
      </c>
    </row>
    <row r="94" spans="1:7" s="163" customFormat="1" ht="75" x14ac:dyDescent="0.25">
      <c r="A94" s="389">
        <f t="shared" si="1"/>
        <v>89</v>
      </c>
      <c r="B94" s="388" t="str" cm="1">
        <f t="array" ref="B94">Location</f>
        <v>IAD35 Generator Yard</v>
      </c>
      <c r="C94" s="388" t="str" cm="1">
        <f t="array" ref="C94">"Chiller " &amp; Suite &amp; "-" &amp; Chiller3</f>
        <v>Chiller G104-ERROR</v>
      </c>
      <c r="D94" s="256" t="s">
        <v>2427</v>
      </c>
      <c r="E94" s="174" t="s">
        <v>1529</v>
      </c>
      <c r="F94" s="475"/>
      <c r="G94" s="475" t="s">
        <v>1519</v>
      </c>
    </row>
    <row r="95" spans="1:7" s="163" customFormat="1" ht="75" x14ac:dyDescent="0.25">
      <c r="A95" s="389">
        <f t="shared" si="1"/>
        <v>90</v>
      </c>
      <c r="B95" s="388" t="str" cm="1">
        <f t="array" ref="B95">Location</f>
        <v>IAD35 Generator Yard</v>
      </c>
      <c r="C95" s="388" t="str" cm="1">
        <f t="array" ref="C95">"Chiller " &amp; Suite &amp; "-" &amp; Chiller3</f>
        <v>Chiller G104-ERROR</v>
      </c>
      <c r="D95" s="195" t="s">
        <v>2428</v>
      </c>
      <c r="E95" s="174" t="s">
        <v>1529</v>
      </c>
      <c r="F95" s="475"/>
      <c r="G95" s="475" t="s">
        <v>1519</v>
      </c>
    </row>
    <row r="96" spans="1:7" s="163" customFormat="1" ht="75" x14ac:dyDescent="0.25">
      <c r="A96" s="389">
        <f t="shared" si="1"/>
        <v>91</v>
      </c>
      <c r="B96" s="388" t="str" cm="1">
        <f t="array" ref="B96">Location</f>
        <v>IAD35 Generator Yard</v>
      </c>
      <c r="C96" s="388" t="str" cm="1">
        <f t="array" ref="C96">"Chiller " &amp; Suite &amp; "-" &amp; Chiller3</f>
        <v>Chiller G104-ERROR</v>
      </c>
      <c r="D96" s="256" t="s">
        <v>2429</v>
      </c>
      <c r="E96" s="174" t="s">
        <v>1529</v>
      </c>
      <c r="F96" s="475"/>
      <c r="G96" s="475" t="s">
        <v>1519</v>
      </c>
    </row>
    <row r="97" spans="1:7" s="163" customFormat="1" ht="75" x14ac:dyDescent="0.25">
      <c r="A97" s="389">
        <f t="shared" si="1"/>
        <v>92</v>
      </c>
      <c r="B97" s="388" t="str" cm="1">
        <f t="array" ref="B97">Location</f>
        <v>IAD35 Generator Yard</v>
      </c>
      <c r="C97" s="388" t="str" cm="1">
        <f t="array" ref="C97">"Chiller " &amp; Suite &amp; "-" &amp; Chiller3</f>
        <v>Chiller G104-ERROR</v>
      </c>
      <c r="D97" s="195" t="s">
        <v>2430</v>
      </c>
      <c r="E97" s="174" t="s">
        <v>1529</v>
      </c>
      <c r="F97" s="475"/>
      <c r="G97" s="475" t="s">
        <v>1519</v>
      </c>
    </row>
    <row r="98" spans="1:7" s="163" customFormat="1" ht="75" x14ac:dyDescent="0.25">
      <c r="A98" s="389">
        <f t="shared" si="1"/>
        <v>93</v>
      </c>
      <c r="B98" s="388" t="str" cm="1">
        <f t="array" ref="B98">Location</f>
        <v>IAD35 Generator Yard</v>
      </c>
      <c r="C98" s="388" t="str" cm="1">
        <f t="array" ref="C98">"Chiller " &amp; Suite &amp; "-" &amp; Chiller3</f>
        <v>Chiller G104-ERROR</v>
      </c>
      <c r="D98" s="256" t="s">
        <v>2431</v>
      </c>
      <c r="E98" s="174" t="s">
        <v>1529</v>
      </c>
      <c r="F98" s="475"/>
      <c r="G98" s="475" t="s">
        <v>1519</v>
      </c>
    </row>
    <row r="99" spans="1:7" s="163" customFormat="1" ht="75" x14ac:dyDescent="0.25">
      <c r="A99" s="389">
        <f t="shared" si="1"/>
        <v>94</v>
      </c>
      <c r="B99" s="388" t="str" cm="1">
        <f t="array" ref="B99">Location</f>
        <v>IAD35 Generator Yard</v>
      </c>
      <c r="C99" s="388" t="str" cm="1">
        <f t="array" ref="C99">"Chiller " &amp; Suite &amp; "-" &amp; Chiller3</f>
        <v>Chiller G104-ERROR</v>
      </c>
      <c r="D99" s="256" t="s">
        <v>2400</v>
      </c>
      <c r="E99" s="174" t="s">
        <v>1529</v>
      </c>
      <c r="F99" s="475"/>
      <c r="G99" s="475" t="s">
        <v>1519</v>
      </c>
    </row>
    <row r="100" spans="1:7" s="163" customFormat="1" ht="75" x14ac:dyDescent="0.25">
      <c r="A100" s="389">
        <f t="shared" si="1"/>
        <v>95</v>
      </c>
      <c r="B100" s="388" t="str" cm="1">
        <f t="array" ref="B100">Location</f>
        <v>IAD35 Generator Yard</v>
      </c>
      <c r="C100" s="388" t="str" cm="1">
        <f t="array" ref="C100">"Chiller " &amp; Suite &amp; "-" &amp; Chiller3</f>
        <v>Chiller G104-ERROR</v>
      </c>
      <c r="D100" s="256" t="s">
        <v>2432</v>
      </c>
      <c r="E100" s="174" t="s">
        <v>1529</v>
      </c>
      <c r="F100" s="475"/>
      <c r="G100" s="475" t="s">
        <v>1519</v>
      </c>
    </row>
    <row r="101" spans="1:7" s="163" customFormat="1" ht="75" x14ac:dyDescent="0.25">
      <c r="A101" s="389">
        <f t="shared" si="1"/>
        <v>96</v>
      </c>
      <c r="B101" s="388" t="str" cm="1">
        <f t="array" ref="B101">Location</f>
        <v>IAD35 Generator Yard</v>
      </c>
      <c r="C101" s="388" t="str" cm="1">
        <f t="array" ref="C101">"Chiller " &amp; Suite &amp; "-" &amp; Chiller3</f>
        <v>Chiller G104-ERROR</v>
      </c>
      <c r="D101" s="256" t="s">
        <v>2401</v>
      </c>
      <c r="E101" s="174" t="s">
        <v>1529</v>
      </c>
      <c r="F101" s="475"/>
      <c r="G101" s="475" t="s">
        <v>1519</v>
      </c>
    </row>
    <row r="102" spans="1:7" s="163" customFormat="1" ht="75" x14ac:dyDescent="0.25">
      <c r="A102" s="389">
        <f t="shared" si="1"/>
        <v>97</v>
      </c>
      <c r="B102" s="388" t="str" cm="1">
        <f t="array" ref="B102">Location</f>
        <v>IAD35 Generator Yard</v>
      </c>
      <c r="C102" s="388" t="str" cm="1">
        <f t="array" ref="C102">"Chiller " &amp; Suite &amp; "-" &amp; Chiller3</f>
        <v>Chiller G104-ERROR</v>
      </c>
      <c r="D102" s="256" t="s">
        <v>2402</v>
      </c>
      <c r="E102" s="174" t="s">
        <v>1529</v>
      </c>
      <c r="F102" s="475"/>
      <c r="G102" s="475" t="s">
        <v>1519</v>
      </c>
    </row>
    <row r="103" spans="1:7" s="163" customFormat="1" ht="75" x14ac:dyDescent="0.25">
      <c r="A103" s="389">
        <f t="shared" si="1"/>
        <v>98</v>
      </c>
      <c r="B103" s="388" t="str" cm="1">
        <f t="array" ref="B103">Location</f>
        <v>IAD35 Generator Yard</v>
      </c>
      <c r="C103" s="388" t="str" cm="1">
        <f t="array" ref="C103">"Chiller " &amp; Suite &amp; "-" &amp; Chiller3</f>
        <v>Chiller G104-ERROR</v>
      </c>
      <c r="D103" s="256" t="s">
        <v>2403</v>
      </c>
      <c r="E103" s="174" t="s">
        <v>1529</v>
      </c>
      <c r="F103" s="475"/>
      <c r="G103" s="475" t="s">
        <v>1519</v>
      </c>
    </row>
    <row r="104" spans="1:7" s="163" customFormat="1" ht="75" x14ac:dyDescent="0.25">
      <c r="A104" s="389">
        <f t="shared" si="1"/>
        <v>99</v>
      </c>
      <c r="B104" s="388" t="str" cm="1">
        <f t="array" ref="B104">Location</f>
        <v>IAD35 Generator Yard</v>
      </c>
      <c r="C104" s="388" t="str" cm="1">
        <f t="array" ref="C104">"Chiller " &amp; Suite &amp; "-" &amp; Chiller3</f>
        <v>Chiller G104-ERROR</v>
      </c>
      <c r="D104" s="245" t="s">
        <v>2404</v>
      </c>
      <c r="E104" s="174" t="s">
        <v>1529</v>
      </c>
      <c r="F104" s="475"/>
      <c r="G104" s="475" t="s">
        <v>1519</v>
      </c>
    </row>
    <row r="105" spans="1:7" s="163" customFormat="1" ht="75" x14ac:dyDescent="0.25">
      <c r="A105" s="389">
        <f t="shared" si="1"/>
        <v>100</v>
      </c>
      <c r="B105" s="388" t="str" cm="1">
        <f t="array" ref="B105">Location</f>
        <v>IAD35 Generator Yard</v>
      </c>
      <c r="C105" s="388" t="str" cm="1">
        <f t="array" ref="C105">"Chiller " &amp; Suite &amp; "-" &amp; Chiller3</f>
        <v>Chiller G104-ERROR</v>
      </c>
      <c r="D105" s="245" t="s">
        <v>2405</v>
      </c>
      <c r="E105" s="174" t="s">
        <v>1529</v>
      </c>
      <c r="F105" s="475"/>
      <c r="G105" s="475" t="s">
        <v>1519</v>
      </c>
    </row>
    <row r="106" spans="1:7" s="163" customFormat="1" ht="75" x14ac:dyDescent="0.25">
      <c r="A106" s="389">
        <f t="shared" si="1"/>
        <v>101</v>
      </c>
      <c r="B106" s="388" t="str" cm="1">
        <f t="array" ref="B106">Location</f>
        <v>IAD35 Generator Yard</v>
      </c>
      <c r="C106" s="388" t="str" cm="1">
        <f t="array" ref="C106">"Chiller " &amp; Suite &amp; "-" &amp; Chiller3</f>
        <v>Chiller G104-ERROR</v>
      </c>
      <c r="D106" s="245" t="s">
        <v>2406</v>
      </c>
      <c r="E106" s="174" t="s">
        <v>1529</v>
      </c>
      <c r="F106" s="177"/>
      <c r="G106" s="475" t="s">
        <v>1519</v>
      </c>
    </row>
    <row r="107" spans="1:7" s="163" customFormat="1" ht="75" x14ac:dyDescent="0.25">
      <c r="A107" s="389">
        <f t="shared" si="1"/>
        <v>102</v>
      </c>
      <c r="B107" s="388" t="str" cm="1">
        <f t="array" ref="B107">Location</f>
        <v>IAD35 Generator Yard</v>
      </c>
      <c r="C107" s="388" t="str" cm="1">
        <f t="array" ref="C107">"Chiller " &amp; Suite &amp; "-" &amp; Chiller3</f>
        <v>Chiller G104-ERROR</v>
      </c>
      <c r="D107" s="256" t="s">
        <v>2433</v>
      </c>
      <c r="E107" s="174" t="s">
        <v>1529</v>
      </c>
      <c r="F107" s="177"/>
      <c r="G107" s="475" t="s">
        <v>1519</v>
      </c>
    </row>
    <row r="108" spans="1:7" s="163" customFormat="1" ht="75" x14ac:dyDescent="0.25">
      <c r="A108" s="389">
        <f t="shared" si="1"/>
        <v>103</v>
      </c>
      <c r="B108" s="388" t="str" cm="1">
        <f t="array" ref="B108">Location</f>
        <v>IAD35 Generator Yard</v>
      </c>
      <c r="C108" s="388" t="str" cm="1">
        <f t="array" ref="C108">"Chiller " &amp; Suite &amp; "-" &amp; Chiller3</f>
        <v>Chiller G104-ERROR</v>
      </c>
      <c r="D108" s="256" t="s">
        <v>2407</v>
      </c>
      <c r="E108" s="174" t="s">
        <v>1529</v>
      </c>
      <c r="F108" s="177"/>
      <c r="G108" s="475" t="s">
        <v>1519</v>
      </c>
    </row>
    <row r="109" spans="1:7" s="163" customFormat="1" ht="75" x14ac:dyDescent="0.25">
      <c r="A109" s="389">
        <f t="shared" si="1"/>
        <v>104</v>
      </c>
      <c r="B109" s="388" t="str" cm="1">
        <f t="array" ref="B109">Location</f>
        <v>IAD35 Generator Yard</v>
      </c>
      <c r="C109" s="388" t="str" cm="1">
        <f t="array" ref="C109">"Chiller " &amp; Suite &amp; "-" &amp; Chiller3</f>
        <v>Chiller G104-ERROR</v>
      </c>
      <c r="D109" s="256" t="s">
        <v>2408</v>
      </c>
      <c r="E109" s="174" t="s">
        <v>1529</v>
      </c>
      <c r="F109" s="177"/>
      <c r="G109" s="475" t="s">
        <v>1519</v>
      </c>
    </row>
    <row r="110" spans="1:7" s="163" customFormat="1" ht="75" x14ac:dyDescent="0.25">
      <c r="A110" s="389">
        <f t="shared" si="1"/>
        <v>105</v>
      </c>
      <c r="B110" s="388" t="str" cm="1">
        <f t="array" ref="B110">Location</f>
        <v>IAD35 Generator Yard</v>
      </c>
      <c r="C110" s="388" t="str" cm="1">
        <f t="array" ref="C110">"Chiller " &amp; Suite &amp; "-" &amp; Chiller3</f>
        <v>Chiller G104-ERROR</v>
      </c>
      <c r="D110" s="256" t="s">
        <v>2434</v>
      </c>
      <c r="E110" s="174" t="s">
        <v>1529</v>
      </c>
      <c r="F110" s="177"/>
      <c r="G110" s="475" t="s">
        <v>1519</v>
      </c>
    </row>
    <row r="111" spans="1:7" s="163" customFormat="1" ht="75" x14ac:dyDescent="0.25">
      <c r="A111" s="389">
        <f t="shared" si="1"/>
        <v>106</v>
      </c>
      <c r="B111" s="388" t="str" cm="1">
        <f t="array" ref="B111">Location</f>
        <v>IAD35 Generator Yard</v>
      </c>
      <c r="C111" s="388" t="str" cm="1">
        <f t="array" ref="C111">"Chiller " &amp; Suite &amp; "-" &amp; Chiller3</f>
        <v>Chiller G104-ERROR</v>
      </c>
      <c r="D111" s="256" t="s">
        <v>2435</v>
      </c>
      <c r="E111" s="174" t="s">
        <v>1529</v>
      </c>
      <c r="F111" s="177"/>
      <c r="G111" s="475" t="s">
        <v>1519</v>
      </c>
    </row>
    <row r="112" spans="1:7" s="163" customFormat="1" ht="75" x14ac:dyDescent="0.25">
      <c r="A112" s="389">
        <f t="shared" si="1"/>
        <v>107</v>
      </c>
      <c r="B112" s="388" t="str" cm="1">
        <f t="array" ref="B112">Location</f>
        <v>IAD35 Generator Yard</v>
      </c>
      <c r="C112" s="388" t="str" cm="1">
        <f t="array" ref="C112">"Chiller " &amp; Suite &amp; "-" &amp; Chiller3</f>
        <v>Chiller G104-ERROR</v>
      </c>
      <c r="D112" s="256" t="s">
        <v>2410</v>
      </c>
      <c r="E112" s="174" t="s">
        <v>1529</v>
      </c>
      <c r="F112" s="177"/>
      <c r="G112" s="475" t="s">
        <v>1519</v>
      </c>
    </row>
    <row r="113" spans="1:7" s="163" customFormat="1" ht="150.75" customHeight="1" x14ac:dyDescent="0.25">
      <c r="A113" s="389">
        <f t="shared" si="1"/>
        <v>108</v>
      </c>
      <c r="B113" s="388" t="s">
        <v>1983</v>
      </c>
      <c r="C113" s="388" t="s">
        <v>2411</v>
      </c>
      <c r="D113" s="418" t="s">
        <v>2412</v>
      </c>
      <c r="E113" s="174" t="s">
        <v>1529</v>
      </c>
      <c r="F113" s="177"/>
      <c r="G113" s="177"/>
    </row>
    <row r="114" spans="1:7" x14ac:dyDescent="0.25">
      <c r="A114" s="389" cm="1">
        <f t="array" ref="A114">IF(NumberOfChillers=2,A78+1,A113+1)</f>
        <v>109</v>
      </c>
      <c r="B114" s="740" t="s">
        <v>2413</v>
      </c>
      <c r="C114" s="741"/>
      <c r="D114" s="741"/>
      <c r="E114" s="741"/>
      <c r="F114" s="741"/>
      <c r="G114" s="742"/>
    </row>
    <row r="115" spans="1:7" ht="37.5" x14ac:dyDescent="0.25">
      <c r="A115" s="389">
        <f>A114+1</f>
        <v>110</v>
      </c>
      <c r="B115" s="394" t="s">
        <v>1462</v>
      </c>
      <c r="C115" s="394" t="s">
        <v>2352</v>
      </c>
      <c r="D115" s="177" t="s">
        <v>2414</v>
      </c>
      <c r="E115" s="174" t="s">
        <v>1464</v>
      </c>
      <c r="F115" s="402"/>
      <c r="G115" s="403" t="s">
        <v>1519</v>
      </c>
    </row>
    <row r="116" spans="1:7" ht="37.5" x14ac:dyDescent="0.25">
      <c r="A116" s="389">
        <f t="shared" si="1"/>
        <v>111</v>
      </c>
      <c r="B116" s="394" t="s">
        <v>1462</v>
      </c>
      <c r="C116" s="394" t="s">
        <v>2352</v>
      </c>
      <c r="D116" s="194" t="s">
        <v>2023</v>
      </c>
      <c r="E116" s="174" t="s">
        <v>1464</v>
      </c>
      <c r="F116" s="177"/>
      <c r="G116" s="403" t="s">
        <v>1519</v>
      </c>
    </row>
    <row r="117" spans="1:7" s="163" customFormat="1" ht="37.5" x14ac:dyDescent="0.25">
      <c r="A117" s="389">
        <f t="shared" si="1"/>
        <v>112</v>
      </c>
      <c r="B117" s="225" t="s">
        <v>1462</v>
      </c>
      <c r="C117" s="225" t="s">
        <v>2352</v>
      </c>
      <c r="D117" s="177" t="s">
        <v>2415</v>
      </c>
      <c r="E117" s="174" t="s">
        <v>1464</v>
      </c>
      <c r="F117" s="177"/>
      <c r="G117" s="175" t="s">
        <v>1519</v>
      </c>
    </row>
  </sheetData>
  <mergeCells count="9">
    <mergeCell ref="B44:G44"/>
    <mergeCell ref="B79:G79"/>
    <mergeCell ref="B114:G114"/>
    <mergeCell ref="A2:B2"/>
    <mergeCell ref="A3:B3"/>
    <mergeCell ref="C3:D3"/>
    <mergeCell ref="A4:C4"/>
    <mergeCell ref="B9:G9"/>
    <mergeCell ref="C2:G2"/>
  </mergeCells>
  <printOptions horizontalCentered="1"/>
  <pageMargins left="0.2" right="0.2" top="0.45" bottom="0.25" header="0.05" footer="0.05"/>
  <pageSetup scale="58"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D99F-1960-4732-9436-639ED82EBE01}">
  <sheetPr codeName="CRAC_TSR">
    <pageSetUpPr fitToPage="1"/>
  </sheetPr>
  <dimension ref="A1:I112"/>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240" customWidth="1"/>
    <col min="3" max="3" width="15.42578125" style="240" customWidth="1"/>
    <col min="4" max="4" width="87.42578125" style="240" customWidth="1"/>
    <col min="5" max="5" width="22.140625" style="240" bestFit="1" customWidth="1"/>
    <col min="6" max="6" width="13.85546875" style="240" bestFit="1" customWidth="1"/>
    <col min="7" max="7" width="10.42578125" style="240" customWidth="1"/>
    <col min="8" max="8" width="12.140625" style="185" customWidth="1"/>
    <col min="9" max="9" width="10.7109375" style="185" customWidth="1"/>
    <col min="10" max="10" width="9.140625" style="185" customWidth="1"/>
    <col min="11" max="11" width="9.85546875" style="185" customWidth="1"/>
    <col min="12" max="16384" width="8.7109375" style="185"/>
  </cols>
  <sheetData>
    <row r="1" spans="1:9" customFormat="1" x14ac:dyDescent="0.25">
      <c r="A1" s="209" t="s">
        <v>1454</v>
      </c>
      <c r="B1" s="209"/>
      <c r="C1" s="210"/>
      <c r="D1" s="210"/>
      <c r="E1" s="210"/>
      <c r="F1" s="210"/>
      <c r="G1" s="210"/>
    </row>
    <row r="2" spans="1:9" customFormat="1" ht="18.75" customHeight="1" x14ac:dyDescent="0.25">
      <c r="A2" s="705" t="s">
        <v>42</v>
      </c>
      <c r="B2" s="705"/>
      <c r="C2" s="731" t="str">
        <f>zTaskName</f>
        <v>Routine Generator run with no load transfer</v>
      </c>
      <c r="D2" s="730"/>
      <c r="E2" s="730"/>
      <c r="F2" s="730"/>
      <c r="G2" s="732"/>
    </row>
    <row r="3" spans="1:9" customFormat="1" ht="9.9499999999999993" customHeight="1" x14ac:dyDescent="0.25">
      <c r="A3" s="728"/>
      <c r="B3" s="729"/>
      <c r="C3" s="730"/>
      <c r="D3" s="730"/>
      <c r="E3" s="380"/>
      <c r="F3" s="380"/>
      <c r="G3" s="381"/>
    </row>
    <row r="4" spans="1:9" customFormat="1" ht="9.9499999999999993" customHeight="1" x14ac:dyDescent="0.25">
      <c r="A4" s="706"/>
      <c r="B4" s="707"/>
      <c r="C4" s="707"/>
      <c r="D4" s="382"/>
      <c r="E4" s="382"/>
      <c r="F4" s="382"/>
      <c r="G4" s="383"/>
      <c r="H4" s="3"/>
      <c r="I4" s="3"/>
    </row>
    <row r="5" spans="1:9" ht="37.5" x14ac:dyDescent="0.3">
      <c r="A5" s="378" t="s">
        <v>1455</v>
      </c>
      <c r="B5" s="379" t="s">
        <v>8</v>
      </c>
      <c r="C5" s="379" t="s">
        <v>1456</v>
      </c>
      <c r="D5" s="378" t="s">
        <v>1457</v>
      </c>
      <c r="E5" s="379" t="s">
        <v>1458</v>
      </c>
      <c r="F5" s="379" t="s">
        <v>1459</v>
      </c>
      <c r="G5" s="378" t="s">
        <v>1460</v>
      </c>
    </row>
    <row r="6" spans="1:9" x14ac:dyDescent="0.3">
      <c r="A6" s="211">
        <v>1</v>
      </c>
      <c r="B6" s="714" t="s">
        <v>2436</v>
      </c>
      <c r="C6" s="714"/>
      <c r="D6" s="714"/>
      <c r="E6" s="714"/>
      <c r="F6" s="714"/>
      <c r="G6" s="714"/>
    </row>
    <row r="7" spans="1:9" ht="37.5" x14ac:dyDescent="0.3">
      <c r="A7" s="174">
        <v>2</v>
      </c>
      <c r="B7" s="183" t="str">
        <f>Suite &amp; " CRAC Gallery"</f>
        <v>G104 CRAC Gallery</v>
      </c>
      <c r="C7" s="212" t="s">
        <v>84</v>
      </c>
      <c r="D7" s="223" t="s">
        <v>2437</v>
      </c>
      <c r="E7" s="212" t="s">
        <v>2438</v>
      </c>
      <c r="F7" s="193" t="s">
        <v>1519</v>
      </c>
      <c r="G7" s="193"/>
    </row>
    <row r="8" spans="1:9" ht="37.5" x14ac:dyDescent="0.3">
      <c r="A8" s="174">
        <v>3</v>
      </c>
      <c r="B8" s="212" t="s">
        <v>1462</v>
      </c>
      <c r="C8" s="212" t="s">
        <v>84</v>
      </c>
      <c r="D8" s="377" t="str">
        <f>"Using the BMS, record the data required in steps " &amp; A9 &amp; " through " &amp; A11 &amp; "."</f>
        <v>Using the BMS, record the data required in steps 4 through 6.</v>
      </c>
      <c r="E8" s="212" t="s">
        <v>2438</v>
      </c>
      <c r="F8" s="193" t="s">
        <v>1519</v>
      </c>
      <c r="G8" s="193"/>
    </row>
    <row r="9" spans="1:9" ht="37.5" x14ac:dyDescent="0.3">
      <c r="A9" s="211">
        <v>4</v>
      </c>
      <c r="B9" s="212" t="s">
        <v>1462</v>
      </c>
      <c r="C9" s="212" t="s">
        <v>84</v>
      </c>
      <c r="D9" s="223" t="s">
        <v>2439</v>
      </c>
      <c r="E9" s="212" t="s">
        <v>2438</v>
      </c>
      <c r="F9" s="193" t="s">
        <v>1519</v>
      </c>
      <c r="G9" s="193"/>
    </row>
    <row r="10" spans="1:9" ht="75" x14ac:dyDescent="0.3">
      <c r="A10" s="211">
        <v>5</v>
      </c>
      <c r="B10" s="212" t="s">
        <v>1462</v>
      </c>
      <c r="C10" s="212" t="s">
        <v>84</v>
      </c>
      <c r="D10" s="223" t="str">
        <f>"Calculate Data Center CRAC demand.
Divide the suite IT load from step #" &amp; A9 &amp; " by 165: _______ CRACs for N cooling.
(Note: Each data center CRAC cooling capacity is 165 kW; round up the CRAC number)."</f>
        <v>Calculate Data Center CRAC demand.
Divide the suite IT load from step #4 by 165: _______ CRACs for N cooling.
(Note: Each data center CRAC cooling capacity is 165 kW; round up the CRAC number).</v>
      </c>
      <c r="E10" s="212" t="s">
        <v>2438</v>
      </c>
      <c r="F10" s="193" t="s">
        <v>1519</v>
      </c>
      <c r="G10" s="193"/>
    </row>
    <row r="11" spans="1:9" ht="37.5" x14ac:dyDescent="0.3">
      <c r="A11" s="211">
        <v>6</v>
      </c>
      <c r="B11" s="212" t="s">
        <v>1462</v>
      </c>
      <c r="C11" s="212" t="s">
        <v>84</v>
      </c>
      <c r="D11" s="223" t="s">
        <v>2440</v>
      </c>
      <c r="E11" s="212" t="s">
        <v>2438</v>
      </c>
      <c r="F11" s="193" t="s">
        <v>1519</v>
      </c>
      <c r="G11" s="193"/>
    </row>
    <row r="12" spans="1:9" ht="56.25" x14ac:dyDescent="0.3">
      <c r="A12" s="174">
        <v>7</v>
      </c>
      <c r="B12" s="212" t="s">
        <v>1462</v>
      </c>
      <c r="C12" s="212" t="s">
        <v>84</v>
      </c>
      <c r="D12" s="223" t="str" cm="1">
        <f t="array" ref="D12">"Verify the number of CRACs recorded in step "&amp;A11&amp;" is at least one greater than the number recorded in step "&amp;A10&amp;". If it isn't, stop work and inform the Lead Engineer and MFE of Building "&amp;Building&amp;"."""</f>
        <v>Verify the number of CRACs recorded in step 6 is at least one greater than the number recorded in step 5. If it isn't, stop work and inform the Lead Engineer and MFE of Building G."</v>
      </c>
      <c r="E12" s="212" t="s">
        <v>2438</v>
      </c>
      <c r="F12" s="193" t="s">
        <v>1519</v>
      </c>
      <c r="G12" s="193"/>
    </row>
    <row r="13" spans="1:9" x14ac:dyDescent="0.3">
      <c r="A13" s="174">
        <v>8</v>
      </c>
      <c r="B13" s="712" t="str">
        <f>"PERFORM PRE-TESTING NOTIFICATION and CALLOUT – "&amp;Suite</f>
        <v>PERFORM PRE-TESTING NOTIFICATION and CALLOUT – G104</v>
      </c>
      <c r="C13" s="712"/>
      <c r="D13" s="712"/>
      <c r="E13" s="712"/>
      <c r="F13" s="712"/>
      <c r="G13" s="712"/>
    </row>
    <row r="14" spans="1:9" ht="37.5" x14ac:dyDescent="0.3">
      <c r="A14" s="211">
        <v>9</v>
      </c>
      <c r="B14" s="212" t="s">
        <v>1462</v>
      </c>
      <c r="C14" s="212" t="s">
        <v>84</v>
      </c>
      <c r="D14" s="213" t="s">
        <v>2441</v>
      </c>
      <c r="E14" s="212" t="s">
        <v>2438</v>
      </c>
      <c r="F14" s="214" t="s">
        <v>1519</v>
      </c>
      <c r="G14" s="214"/>
    </row>
    <row r="15" spans="1:9" ht="37.5" x14ac:dyDescent="0.3">
      <c r="A15" s="211">
        <v>10</v>
      </c>
      <c r="B15" s="212" t="s">
        <v>1462</v>
      </c>
      <c r="C15" s="212" t="s">
        <v>84</v>
      </c>
      <c r="D15" s="213" t="s">
        <v>2442</v>
      </c>
      <c r="E15" s="212" t="s">
        <v>2438</v>
      </c>
      <c r="F15" s="212" t="str">
        <f>IF(zTaskNameIdentifier="zzCRACTSRLow", "N/A", "
 ")</f>
        <v xml:space="preserve">
 </v>
      </c>
      <c r="G15" s="212" t="str">
        <f>IF(zTaskNameIdentifier="zzCRACTSRLow", "N/A", "
 ")</f>
        <v xml:space="preserve">
 </v>
      </c>
    </row>
    <row r="16" spans="1:9" ht="37.5" x14ac:dyDescent="0.3">
      <c r="A16" s="211">
        <v>11</v>
      </c>
      <c r="B16" s="212" t="s">
        <v>1462</v>
      </c>
      <c r="C16" s="212" t="s">
        <v>84</v>
      </c>
      <c r="D16" s="213" t="s">
        <v>2025</v>
      </c>
      <c r="E16" s="212" t="s">
        <v>2438</v>
      </c>
      <c r="F16" s="212" t="str">
        <f>IF(zTaskNameIdentifier="zzCRACTSRLow", "N/A", "
 ")</f>
        <v xml:space="preserve">
 </v>
      </c>
      <c r="G16" s="212" t="str">
        <f>IF(zTaskNameIdentifier="zzCRACTSRLow", "N/A", "
 ")</f>
        <v xml:space="preserve">
 </v>
      </c>
    </row>
    <row r="17" spans="1:7" ht="37.5" x14ac:dyDescent="0.3">
      <c r="A17" s="174">
        <v>12</v>
      </c>
      <c r="B17" s="212" t="s">
        <v>1462</v>
      </c>
      <c r="C17" s="212" t="s">
        <v>84</v>
      </c>
      <c r="D17" s="213" t="s">
        <v>2443</v>
      </c>
      <c r="E17" s="212" t="s">
        <v>2438</v>
      </c>
      <c r="F17" s="212" t="str">
        <f>IF(zTaskNameIdentifier="zzCRACTSRLow", "N/A", "
 ")</f>
        <v xml:space="preserve">
 </v>
      </c>
      <c r="G17" s="212" t="str">
        <f>IF(zTaskNameIdentifier="zzCRACTSRLow", "N/A", "
 ")</f>
        <v xml:space="preserve">
 </v>
      </c>
    </row>
    <row r="18" spans="1:7" ht="37.5" x14ac:dyDescent="0.3">
      <c r="A18" s="174">
        <v>13</v>
      </c>
      <c r="B18" s="212" t="s">
        <v>1462</v>
      </c>
      <c r="C18" s="212" t="s">
        <v>84</v>
      </c>
      <c r="D18" s="213" t="str">
        <f>"Building "&amp;Building&amp;" address: "&amp;Address</f>
        <v>Building G address: 43940 Digital Loudoun Plaza</v>
      </c>
      <c r="E18" s="212" t="s">
        <v>2438</v>
      </c>
      <c r="F18" s="212" t="str">
        <f>IF(zTaskNameIdentifier="zzCRACTSRLow", "N/A", "
 ")</f>
        <v xml:space="preserve">
 </v>
      </c>
      <c r="G18" s="212" t="str">
        <f>IF(zTaskNameIdentifier="zzCRACTSRLow", "N/A", "
 ")</f>
        <v xml:space="preserve">
 </v>
      </c>
    </row>
    <row r="19" spans="1:7" ht="37.5" x14ac:dyDescent="0.3">
      <c r="A19" s="211">
        <v>14</v>
      </c>
      <c r="B19" s="212" t="s">
        <v>1462</v>
      </c>
      <c r="C19" s="212" t="s">
        <v>84</v>
      </c>
      <c r="D19" s="213" t="s">
        <v>2444</v>
      </c>
      <c r="E19" s="212" t="s">
        <v>2438</v>
      </c>
      <c r="F19" s="212" t="str">
        <f>IF(zTaskNameIdentifier="zzCRACTSRLow", "N/A", "
 ")</f>
        <v xml:space="preserve">
 </v>
      </c>
      <c r="G19" s="212" t="str">
        <f>IF(zTaskNameIdentifier="zzCRACTSRLow", "N/A", "
 ")</f>
        <v xml:space="preserve">
 </v>
      </c>
    </row>
    <row r="20" spans="1:7" ht="75" x14ac:dyDescent="0.3">
      <c r="A20" s="211">
        <v>15</v>
      </c>
      <c r="B20" s="212" t="s">
        <v>1462</v>
      </c>
      <c r="C20" s="212" t="s">
        <v>84</v>
      </c>
      <c r="D20" s="215" t="s">
        <v>2445</v>
      </c>
      <c r="E20" s="212" t="s">
        <v>2438</v>
      </c>
      <c r="F20" s="212" t="str">
        <f>IF(zTaskNameIdentifier="zzCRACTSRLow", "N/A", "
 ")</f>
        <v xml:space="preserve">
 </v>
      </c>
      <c r="G20" s="212" t="str">
        <f>IF(zTaskNameIdentifier="zzCRACTSRLow", "N/A", "
 ")</f>
        <v xml:space="preserve">
 </v>
      </c>
    </row>
    <row r="21" spans="1:7" ht="56.25" x14ac:dyDescent="0.3">
      <c r="A21" s="211">
        <v>16</v>
      </c>
      <c r="B21" s="212" t="s">
        <v>1462</v>
      </c>
      <c r="C21" s="212" t="s">
        <v>84</v>
      </c>
      <c r="D21" s="215" t="s">
        <v>2446</v>
      </c>
      <c r="E21" s="212" t="s">
        <v>2438</v>
      </c>
      <c r="F21" s="212" t="str">
        <f>IF(zTaskNameIdentifier="zzCRACTSRLow", "N/A", "
 ")</f>
        <v xml:space="preserve">
 </v>
      </c>
      <c r="G21" s="212" t="str">
        <f>IF(zTaskNameIdentifier="zzCRACTSRLow", "N/A", "
 ")</f>
        <v xml:space="preserve">
 </v>
      </c>
    </row>
    <row r="22" spans="1:7" ht="37.5" x14ac:dyDescent="0.3">
      <c r="A22" s="174">
        <v>17</v>
      </c>
      <c r="B22" s="212" t="str">
        <f>IADNumber&amp;" Lobby"</f>
        <v>IAD35 Lobby</v>
      </c>
      <c r="C22" s="212" t="s">
        <v>2447</v>
      </c>
      <c r="D22" s="213" t="s">
        <v>2448</v>
      </c>
      <c r="E22" s="212" t="s">
        <v>2438</v>
      </c>
      <c r="F22" s="212" t="str">
        <f>IF(zTaskNameIdentifier="zzCRACTSRLow", "N/A", "
 ")</f>
        <v xml:space="preserve">
 </v>
      </c>
      <c r="G22" s="212" t="str">
        <f>IF(zTaskNameIdentifier="zzCRACTSRLow", "N/A", "
 ")</f>
        <v xml:space="preserve">
 </v>
      </c>
    </row>
    <row r="23" spans="1:7" ht="93.75" x14ac:dyDescent="0.3">
      <c r="A23" s="174">
        <v>18</v>
      </c>
      <c r="B23" s="212" t="str">
        <f>IADNumber&amp;" Lobby"</f>
        <v>IAD35 Lobby</v>
      </c>
      <c r="C23" s="212" t="s">
        <v>2447</v>
      </c>
      <c r="D23" s="223" t="s">
        <v>2449</v>
      </c>
      <c r="E23" s="212" t="s">
        <v>2438</v>
      </c>
      <c r="F23" s="212" t="str">
        <f>IF(zTaskNameIdentifier="zzCRACTSRLow", "N/A", "
 ")</f>
        <v xml:space="preserve">
 </v>
      </c>
      <c r="G23" s="212" t="str">
        <f>IF(zTaskNameIdentifier="zzCRACTSRLow", "N/A", "
 ")</f>
        <v xml:space="preserve">
 </v>
      </c>
    </row>
    <row r="24" spans="1:7" x14ac:dyDescent="0.3">
      <c r="A24" s="211">
        <v>19</v>
      </c>
      <c r="B24" s="712" t="str">
        <f>"DISABLE SUITE CONTROLS AND DETECTORS – "&amp;Suite</f>
        <v>DISABLE SUITE CONTROLS AND DETECTORS – G104</v>
      </c>
      <c r="C24" s="712"/>
      <c r="D24" s="712"/>
      <c r="E24" s="712"/>
      <c r="F24" s="712"/>
      <c r="G24" s="712"/>
    </row>
    <row r="25" spans="1:7" ht="37.5" x14ac:dyDescent="0.3">
      <c r="A25" s="211">
        <v>20</v>
      </c>
      <c r="B25" s="183" t="str">
        <f t="shared" ref="B25" si="0">Suite</f>
        <v>G104</v>
      </c>
      <c r="C25" s="183" t="s">
        <v>2058</v>
      </c>
      <c r="D25" s="186" t="s">
        <v>2450</v>
      </c>
      <c r="E25" s="183" t="s">
        <v>2438</v>
      </c>
      <c r="F25" s="212" t="str">
        <f>IF(zTaskNameIdentifier="zzCRACTSRLow", "N/A", "
 ")</f>
        <v xml:space="preserve">
 </v>
      </c>
      <c r="G25" s="212" t="str">
        <f>IF(zTaskNameIdentifier="zzCRACTSRLow", "N/A", "
 ")</f>
        <v xml:space="preserve">
 </v>
      </c>
    </row>
    <row r="26" spans="1:7" ht="37.5" x14ac:dyDescent="0.3">
      <c r="A26" s="211">
        <v>21</v>
      </c>
      <c r="B26" s="183" t="str">
        <f t="shared" ref="B26:B30" si="1">Suite</f>
        <v>G104</v>
      </c>
      <c r="C26" s="183" t="s">
        <v>2058</v>
      </c>
      <c r="D26" s="186" t="s">
        <v>2451</v>
      </c>
      <c r="E26" s="183" t="s">
        <v>2438</v>
      </c>
      <c r="F26" s="212" t="str">
        <f>IF(zTaskNameIdentifier="zzCRACTSRLow", "N/A", "
 ")</f>
        <v xml:space="preserve">
 </v>
      </c>
      <c r="G26" s="212" t="str">
        <f>IF(zTaskNameIdentifier="zzCRACTSRLow", "N/A", "
 ")</f>
        <v xml:space="preserve">
 </v>
      </c>
    </row>
    <row r="27" spans="1:7" ht="37.5" x14ac:dyDescent="0.3">
      <c r="A27" s="174">
        <v>22</v>
      </c>
      <c r="B27" s="183" t="str">
        <f t="shared" si="1"/>
        <v>G104</v>
      </c>
      <c r="C27" s="183" t="s">
        <v>2058</v>
      </c>
      <c r="D27" s="186" t="s">
        <v>2452</v>
      </c>
      <c r="E27" s="183" t="s">
        <v>2438</v>
      </c>
      <c r="F27" s="212" t="str">
        <f>IF(zTaskNameIdentifier="zzCRACTSRLow", "N/A", "
 ")</f>
        <v xml:space="preserve">
 </v>
      </c>
      <c r="G27" s="212" t="str">
        <f>IF(zTaskNameIdentifier="zzCRACTSRLow", "N/A", "
 ")</f>
        <v xml:space="preserve">
 </v>
      </c>
    </row>
    <row r="28" spans="1:7" ht="37.5" x14ac:dyDescent="0.3">
      <c r="A28" s="174">
        <v>23</v>
      </c>
      <c r="B28" s="183" t="str">
        <f t="shared" si="1"/>
        <v>G104</v>
      </c>
      <c r="C28" s="183" t="s">
        <v>2058</v>
      </c>
      <c r="D28" s="186" t="s">
        <v>2453</v>
      </c>
      <c r="E28" s="183" t="s">
        <v>2438</v>
      </c>
      <c r="F28" s="212" t="str">
        <f>IF(zTaskNameIdentifier="zzCRACTSRLow", "N/A", "
 ")</f>
        <v xml:space="preserve">
 </v>
      </c>
      <c r="G28" s="212" t="str">
        <f>IF(zTaskNameIdentifier="zzCRACTSRLow", "N/A", "
 ")</f>
        <v xml:space="preserve">
 </v>
      </c>
    </row>
    <row r="29" spans="1:7" x14ac:dyDescent="0.3">
      <c r="A29" s="211">
        <v>24</v>
      </c>
      <c r="B29" s="712" t="s">
        <v>2454</v>
      </c>
      <c r="C29" s="712"/>
      <c r="D29" s="712"/>
      <c r="E29" s="712"/>
      <c r="F29" s="712"/>
      <c r="G29" s="712"/>
    </row>
    <row r="30" spans="1:7" ht="37.5" x14ac:dyDescent="0.3">
      <c r="A30" s="211">
        <v>25</v>
      </c>
      <c r="B30" s="183" t="str">
        <f t="shared" si="1"/>
        <v>G104</v>
      </c>
      <c r="C30" s="183" t="s">
        <v>2455</v>
      </c>
      <c r="D30" s="186" t="s">
        <v>2456</v>
      </c>
      <c r="E30" s="183" t="s">
        <v>2438</v>
      </c>
      <c r="F30" s="212" t="str">
        <f>IF(zTaskNameIdentifier="zzCRACTSRLow", "N/A", "
 ")</f>
        <v xml:space="preserve">
 </v>
      </c>
      <c r="G30" s="212" t="str">
        <f>IF(zTaskNameIdentifier="zzCRACTSRLow", "N/A", "
 ")</f>
        <v xml:space="preserve">
 </v>
      </c>
    </row>
    <row r="31" spans="1:7" x14ac:dyDescent="0.3">
      <c r="A31" s="211">
        <v>26</v>
      </c>
      <c r="B31" s="714" t="s">
        <v>2457</v>
      </c>
      <c r="C31" s="714"/>
      <c r="D31" s="714"/>
      <c r="E31" s="714"/>
      <c r="F31" s="714"/>
      <c r="G31" s="714"/>
    </row>
    <row r="32" spans="1:7" ht="37.5" x14ac:dyDescent="0.3">
      <c r="A32" s="174">
        <v>27</v>
      </c>
      <c r="B32" s="183" t="str">
        <f>Suite &amp; " CRAC Gallery"</f>
        <v>G104 CRAC Gallery</v>
      </c>
      <c r="C32" s="212" t="str">
        <f>zSelectedEquipment</f>
        <v>G104-Gen-B</v>
      </c>
      <c r="D32" s="175" t="s">
        <v>2458</v>
      </c>
      <c r="E32" s="212" t="s">
        <v>2438</v>
      </c>
      <c r="F32" s="186"/>
      <c r="G32" s="186"/>
    </row>
    <row r="33" spans="1:7" ht="93.75" x14ac:dyDescent="0.3">
      <c r="A33" s="174">
        <v>28</v>
      </c>
      <c r="B33" s="183" t="str">
        <f>Suite &amp; " CRAC Gallery"</f>
        <v>G104 CRAC Gallery</v>
      </c>
      <c r="C33" s="212" t="str">
        <f>zSelectedEquipment</f>
        <v>G104-Gen-B</v>
      </c>
      <c r="D33" s="175" t="s">
        <v>2296</v>
      </c>
      <c r="E33" s="212" t="s">
        <v>2438</v>
      </c>
      <c r="F33" s="186"/>
      <c r="G33" s="186"/>
    </row>
    <row r="34" spans="1:7" ht="37.5" x14ac:dyDescent="0.3">
      <c r="A34" s="211">
        <v>29</v>
      </c>
      <c r="B34" s="183" t="str">
        <f>Suite &amp; " CRAC Gallery"</f>
        <v>G104 CRAC Gallery</v>
      </c>
      <c r="C34" s="212" t="str">
        <f>zSelectedEquipment</f>
        <v>G104-Gen-B</v>
      </c>
      <c r="D34" s="175" t="s">
        <v>2459</v>
      </c>
      <c r="E34" s="212" t="s">
        <v>2438</v>
      </c>
      <c r="F34" s="186"/>
      <c r="G34" s="186"/>
    </row>
    <row r="35" spans="1:7" ht="37.5" x14ac:dyDescent="0.3">
      <c r="A35" s="211">
        <v>30</v>
      </c>
      <c r="B35" s="183" t="str">
        <f>Suite &amp; " CRAC Gallery"</f>
        <v>G104 CRAC Gallery</v>
      </c>
      <c r="C35" s="212" t="str">
        <f>zSelectedEquipment</f>
        <v>G104-Gen-B</v>
      </c>
      <c r="D35" s="175" t="s">
        <v>2460</v>
      </c>
      <c r="E35" s="212" t="s">
        <v>2438</v>
      </c>
      <c r="F35" s="186"/>
      <c r="G35" s="186"/>
    </row>
    <row r="36" spans="1:7" ht="37.5" x14ac:dyDescent="0.3">
      <c r="A36" s="174">
        <v>31</v>
      </c>
      <c r="B36" s="183" t="str">
        <f>Suite &amp; " CRAC Gallery"</f>
        <v>G104 CRAC Gallery</v>
      </c>
      <c r="C36" s="212" t="str">
        <f>zSelectedEquipment</f>
        <v>G104-Gen-B</v>
      </c>
      <c r="D36" s="194" t="s">
        <v>2461</v>
      </c>
      <c r="E36" s="212" t="s">
        <v>2438</v>
      </c>
      <c r="F36" s="186"/>
      <c r="G36" s="186"/>
    </row>
    <row r="37" spans="1:7" ht="37.5" x14ac:dyDescent="0.3">
      <c r="A37" s="174">
        <v>32</v>
      </c>
      <c r="B37" s="183" t="str">
        <f>Suite &amp; " CRAC Gallery"</f>
        <v>G104 CRAC Gallery</v>
      </c>
      <c r="C37" s="212" t="str">
        <f>zSelectedEquipment</f>
        <v>G104-Gen-B</v>
      </c>
      <c r="D37" s="194" t="s">
        <v>2462</v>
      </c>
      <c r="E37" s="212" t="s">
        <v>2438</v>
      </c>
      <c r="F37" s="186"/>
      <c r="G37" s="186"/>
    </row>
    <row r="38" spans="1:7" ht="37.5" x14ac:dyDescent="0.3">
      <c r="A38" s="211">
        <v>33</v>
      </c>
      <c r="B38" s="183" t="str">
        <f>Suite &amp; " Electrical Rooms"</f>
        <v>G104 Electrical Rooms</v>
      </c>
      <c r="C38" s="212" t="s">
        <v>2463</v>
      </c>
      <c r="D38" s="194" t="s">
        <v>2464</v>
      </c>
      <c r="E38" s="212" t="s">
        <v>2438</v>
      </c>
      <c r="F38" s="186"/>
      <c r="G38" s="186"/>
    </row>
    <row r="39" spans="1:7" ht="37.5" x14ac:dyDescent="0.3">
      <c r="A39" s="211">
        <v>34</v>
      </c>
      <c r="B39" s="183" t="str">
        <f>Suite &amp; " Electrical Rooms"</f>
        <v>G104 Electrical Rooms</v>
      </c>
      <c r="C39" s="212" t="s">
        <v>2463</v>
      </c>
      <c r="D39" s="194" t="s">
        <v>2465</v>
      </c>
      <c r="E39" s="212" t="s">
        <v>2438</v>
      </c>
      <c r="F39" s="186"/>
      <c r="G39" s="186"/>
    </row>
    <row r="40" spans="1:7" ht="37.5" x14ac:dyDescent="0.3">
      <c r="A40" s="211">
        <v>35</v>
      </c>
      <c r="B40" s="183" t="str">
        <f>Suite &amp; " Electrical Rooms"</f>
        <v>G104 Electrical Rooms</v>
      </c>
      <c r="C40" s="212" t="s">
        <v>84</v>
      </c>
      <c r="D40" s="186" t="s">
        <v>1518</v>
      </c>
      <c r="E40" s="212" t="s">
        <v>2438</v>
      </c>
      <c r="F40" s="186"/>
      <c r="G40" s="186"/>
    </row>
    <row r="41" spans="1:7" ht="37.5" x14ac:dyDescent="0.3">
      <c r="A41" s="174">
        <v>36</v>
      </c>
      <c r="B41" s="183" t="str">
        <f>Suite &amp; " Electrical Rooms"</f>
        <v>G104 Electrical Rooms</v>
      </c>
      <c r="C41" s="212" t="s">
        <v>2463</v>
      </c>
      <c r="D41" s="194" t="s">
        <v>2466</v>
      </c>
      <c r="E41" s="212" t="s">
        <v>2438</v>
      </c>
      <c r="F41" s="186"/>
      <c r="G41" s="186"/>
    </row>
    <row r="42" spans="1:7" ht="37.5" x14ac:dyDescent="0.3">
      <c r="A42" s="174">
        <v>37</v>
      </c>
      <c r="B42" s="183" t="str">
        <f>Suite &amp; " Electrical Rooms"</f>
        <v>G104 Electrical Rooms</v>
      </c>
      <c r="C42" s="212" t="s">
        <v>2463</v>
      </c>
      <c r="D42" s="194" t="s">
        <v>2467</v>
      </c>
      <c r="E42" s="212" t="s">
        <v>2438</v>
      </c>
      <c r="F42" s="186"/>
      <c r="G42" s="186"/>
    </row>
    <row r="43" spans="1:7" ht="37.5" x14ac:dyDescent="0.3">
      <c r="A43" s="211">
        <v>38</v>
      </c>
      <c r="B43" s="183" t="str">
        <f>Suite &amp; " Electrical Rooms"</f>
        <v>G104 Electrical Rooms</v>
      </c>
      <c r="C43" s="212" t="s">
        <v>84</v>
      </c>
      <c r="D43" s="186" t="s">
        <v>1518</v>
      </c>
      <c r="E43" s="212" t="s">
        <v>2438</v>
      </c>
      <c r="F43" s="186"/>
      <c r="G43" s="186"/>
    </row>
    <row r="44" spans="1:7" ht="37.5" x14ac:dyDescent="0.3">
      <c r="A44" s="211">
        <v>39</v>
      </c>
      <c r="B44" s="183" t="str">
        <f>Suite &amp; " CRAC Gallery"</f>
        <v>G104 CRAC Gallery</v>
      </c>
      <c r="C44" s="212" t="str">
        <f>zSelectedEquipment</f>
        <v>G104-Gen-B</v>
      </c>
      <c r="D44" s="175" t="s">
        <v>2468</v>
      </c>
      <c r="E44" s="231" t="s">
        <v>1529</v>
      </c>
      <c r="F44" s="186"/>
      <c r="G44" s="186"/>
    </row>
    <row r="45" spans="1:7" x14ac:dyDescent="0.3">
      <c r="A45" s="174">
        <v>40</v>
      </c>
      <c r="B45" s="714" t="s">
        <v>2469</v>
      </c>
      <c r="C45" s="714"/>
      <c r="D45" s="714"/>
      <c r="E45" s="714"/>
      <c r="F45" s="714"/>
      <c r="G45" s="714"/>
    </row>
    <row r="46" spans="1:7" ht="37.5" x14ac:dyDescent="0.3">
      <c r="A46" s="174">
        <v>41</v>
      </c>
      <c r="B46" s="183" t="str">
        <f>Suite &amp; " CRAC Gallery"</f>
        <v>G104 CRAC Gallery</v>
      </c>
      <c r="C46" s="212" t="str">
        <f>zSelectedEquipment</f>
        <v>G104-Gen-B</v>
      </c>
      <c r="D46" s="175" t="s">
        <v>2470</v>
      </c>
      <c r="E46" s="231" t="s">
        <v>1529</v>
      </c>
      <c r="F46" s="186"/>
      <c r="G46" s="186"/>
    </row>
    <row r="47" spans="1:7" ht="37.5" x14ac:dyDescent="0.3">
      <c r="A47" s="211">
        <v>42</v>
      </c>
      <c r="B47" s="183" t="str">
        <f>Suite &amp; " CRAC Gallery"</f>
        <v>G104 CRAC Gallery</v>
      </c>
      <c r="C47" s="212" t="str">
        <f>zSelectedEquipment</f>
        <v>G104-Gen-B</v>
      </c>
      <c r="D47" s="175" t="s">
        <v>2471</v>
      </c>
      <c r="E47" s="231" t="s">
        <v>1529</v>
      </c>
      <c r="F47" s="186"/>
      <c r="G47" s="186"/>
    </row>
    <row r="48" spans="1:7" ht="37.5" x14ac:dyDescent="0.3">
      <c r="A48" s="211">
        <v>43</v>
      </c>
      <c r="B48" s="183" t="str">
        <f>Suite &amp; " CRAC Gallery"</f>
        <v>G104 CRAC Gallery</v>
      </c>
      <c r="C48" s="212" t="str">
        <f>zSelectedEquipment</f>
        <v>G104-Gen-B</v>
      </c>
      <c r="D48" s="175" t="s">
        <v>2472</v>
      </c>
      <c r="E48" s="231" t="s">
        <v>1529</v>
      </c>
      <c r="F48" s="212" t="str">
        <f>IF(zTaskNameIdentifier="zzCRACTSRLow", "N/A", "
 ")</f>
        <v xml:space="preserve">
 </v>
      </c>
      <c r="G48" s="212" t="str">
        <f>IF(zTaskNameIdentifier="zzCRACTSRLow", "N/A", "
 ")</f>
        <v xml:space="preserve">
 </v>
      </c>
    </row>
    <row r="49" spans="1:7" ht="37.5" x14ac:dyDescent="0.3">
      <c r="A49" s="211">
        <v>44</v>
      </c>
      <c r="B49" s="183" t="str">
        <f>Suite &amp; " CRAC Gallery"</f>
        <v>G104 CRAC Gallery</v>
      </c>
      <c r="C49" s="212" t="str">
        <f>zSelectedEquipment</f>
        <v>G104-Gen-B</v>
      </c>
      <c r="D49" s="175" t="s">
        <v>2473</v>
      </c>
      <c r="E49" s="231" t="s">
        <v>1529</v>
      </c>
      <c r="F49" s="212" t="str">
        <f>IF(zTaskNameIdentifier="zzCRACTSRLow", "N/A", "
 ")</f>
        <v xml:space="preserve">
 </v>
      </c>
      <c r="G49" s="212" t="str">
        <f>IF(zTaskNameIdentifier="zzCRACTSRLow", "N/A", "
 ")</f>
        <v xml:space="preserve">
 </v>
      </c>
    </row>
    <row r="50" spans="1:7" ht="37.5" x14ac:dyDescent="0.3">
      <c r="A50" s="174">
        <v>45</v>
      </c>
      <c r="B50" s="183" t="str">
        <f>Suite &amp; " CRAC Gallery"</f>
        <v>G104 CRAC Gallery</v>
      </c>
      <c r="C50" s="212" t="str">
        <f>zSelectedEquipment</f>
        <v>G104-Gen-B</v>
      </c>
      <c r="D50" s="175" t="s">
        <v>2474</v>
      </c>
      <c r="E50" s="231" t="s">
        <v>1529</v>
      </c>
      <c r="F50" s="212" t="str">
        <f>IF(zTaskNameIdentifier="zzCRACTSRLow", "N/A", "
 ")</f>
        <v xml:space="preserve">
 </v>
      </c>
      <c r="G50" s="212" t="str">
        <f>IF(zTaskNameIdentifier="zzCRACTSRLow", "N/A", "
 ")</f>
        <v xml:space="preserve">
 </v>
      </c>
    </row>
    <row r="51" spans="1:7" ht="37.5" x14ac:dyDescent="0.3">
      <c r="A51" s="174">
        <v>46</v>
      </c>
      <c r="B51" s="183" t="str">
        <f>Suite &amp; " CRAC Gallery"</f>
        <v>G104 CRAC Gallery</v>
      </c>
      <c r="C51" s="212" t="str">
        <f>zSelectedEquipment</f>
        <v>G104-Gen-B</v>
      </c>
      <c r="D51" s="175" t="s">
        <v>2475</v>
      </c>
      <c r="E51" s="231" t="s">
        <v>1529</v>
      </c>
      <c r="F51" s="212" t="str">
        <f>IF(zTaskNameIdentifier="zzCRACTSRLow", "N/A", "
 ")</f>
        <v xml:space="preserve">
 </v>
      </c>
      <c r="G51" s="212" t="str">
        <f>IF(zTaskNameIdentifier="zzCRACTSRLow", "N/A", "
 ")</f>
        <v xml:space="preserve">
 </v>
      </c>
    </row>
    <row r="52" spans="1:7" ht="37.5" x14ac:dyDescent="0.3">
      <c r="A52" s="211">
        <v>47</v>
      </c>
      <c r="B52" s="183" t="str">
        <f>Suite &amp; " CRAC Gallery"</f>
        <v>G104 CRAC Gallery</v>
      </c>
      <c r="C52" s="212" t="str">
        <f>zSelectedEquipment</f>
        <v>G104-Gen-B</v>
      </c>
      <c r="D52" s="175" t="s">
        <v>2476</v>
      </c>
      <c r="E52" s="231" t="s">
        <v>1529</v>
      </c>
      <c r="F52" s="212" t="str">
        <f>IF(zTaskNameIdentifier="zzCRACTSRLow", "N/A", "
 ")</f>
        <v xml:space="preserve">
 </v>
      </c>
      <c r="G52" s="212" t="str">
        <f>IF(zTaskNameIdentifier="zzCRACTSRLow", "N/A", "
 ")</f>
        <v xml:space="preserve">
 </v>
      </c>
    </row>
    <row r="53" spans="1:7" ht="37.5" x14ac:dyDescent="0.3">
      <c r="A53" s="211">
        <v>48</v>
      </c>
      <c r="B53" s="183" t="str">
        <f>Suite &amp; " CRAC Gallery"</f>
        <v>G104 CRAC Gallery</v>
      </c>
      <c r="C53" s="212" t="str">
        <f>zSelectedEquipment</f>
        <v>G104-Gen-B</v>
      </c>
      <c r="D53" s="175" t="s">
        <v>2477</v>
      </c>
      <c r="E53" s="231" t="s">
        <v>1529</v>
      </c>
      <c r="F53" s="212" t="str">
        <f>IF(zTaskNameIdentifier="zzCRACTSRLow", "N/A", "
 ")</f>
        <v xml:space="preserve">
 </v>
      </c>
      <c r="G53" s="212" t="str">
        <f>IF(zTaskNameIdentifier="zzCRACTSRLow", "N/A", "
 ")</f>
        <v xml:space="preserve">
 </v>
      </c>
    </row>
    <row r="54" spans="1:7" ht="37.5" x14ac:dyDescent="0.3">
      <c r="A54" s="174">
        <v>49</v>
      </c>
      <c r="B54" s="183" t="str">
        <f>Suite &amp; " CRAC Gallery"</f>
        <v>G104 CRAC Gallery</v>
      </c>
      <c r="C54" s="212" t="str">
        <f>zSelectedEquipment</f>
        <v>G104-Gen-B</v>
      </c>
      <c r="D54" s="175" t="s">
        <v>2478</v>
      </c>
      <c r="E54" s="231" t="s">
        <v>1529</v>
      </c>
      <c r="F54" s="212" t="str">
        <f>IF(zTaskNameIdentifier="zzCRACTSRLow", "N/A", "
 ")</f>
        <v xml:space="preserve">
 </v>
      </c>
      <c r="G54" s="212" t="str">
        <f>IF(zTaskNameIdentifier="zzCRACTSRLow", "N/A", "
 ")</f>
        <v xml:space="preserve">
 </v>
      </c>
    </row>
    <row r="55" spans="1:7" ht="37.5" x14ac:dyDescent="0.3">
      <c r="A55" s="174">
        <v>50</v>
      </c>
      <c r="B55" s="183" t="str">
        <f>Suite &amp; " CRAC Gallery"</f>
        <v>G104 CRAC Gallery</v>
      </c>
      <c r="C55" s="212" t="str">
        <f>zSelectedEquipment</f>
        <v>G104-Gen-B</v>
      </c>
      <c r="D55" s="175" t="s">
        <v>2479</v>
      </c>
      <c r="E55" s="231" t="s">
        <v>1529</v>
      </c>
      <c r="F55" s="186"/>
      <c r="G55" s="186"/>
    </row>
    <row r="56" spans="1:7" ht="37.5" x14ac:dyDescent="0.3">
      <c r="A56" s="211">
        <v>51</v>
      </c>
      <c r="B56" s="183" t="str">
        <f>Suite &amp; " CRAC Gallery"</f>
        <v>G104 CRAC Gallery</v>
      </c>
      <c r="C56" s="212" t="str">
        <f>zSelectedEquipment</f>
        <v>G104-Gen-B</v>
      </c>
      <c r="D56" s="175" t="s">
        <v>2480</v>
      </c>
      <c r="E56" s="231" t="s">
        <v>1529</v>
      </c>
      <c r="F56" s="186"/>
      <c r="G56" s="186"/>
    </row>
    <row r="57" spans="1:7" ht="37.5" x14ac:dyDescent="0.3">
      <c r="A57" s="211">
        <v>52</v>
      </c>
      <c r="B57" s="183" t="str">
        <f>Suite &amp; " CRAC Gallery"</f>
        <v>G104 CRAC Gallery</v>
      </c>
      <c r="C57" s="212" t="str">
        <f>zSelectedEquipment</f>
        <v>G104-Gen-B</v>
      </c>
      <c r="D57" s="175" t="s">
        <v>2481</v>
      </c>
      <c r="E57" s="231" t="s">
        <v>1529</v>
      </c>
      <c r="F57" s="186"/>
      <c r="G57" s="186"/>
    </row>
    <row r="58" spans="1:7" ht="56.25" x14ac:dyDescent="0.3">
      <c r="A58" s="211">
        <v>53</v>
      </c>
      <c r="B58" s="183" t="str">
        <f>Suite &amp; " CRAC Gallery"</f>
        <v>G104 CRAC Gallery</v>
      </c>
      <c r="C58" s="212" t="str">
        <f>zSelectedEquipment</f>
        <v>G104-Gen-B</v>
      </c>
      <c r="D58" s="175" t="s">
        <v>2482</v>
      </c>
      <c r="E58" s="231" t="s">
        <v>2483</v>
      </c>
      <c r="F58" s="186"/>
      <c r="G58" s="186"/>
    </row>
    <row r="59" spans="1:7" ht="37.5" x14ac:dyDescent="0.3">
      <c r="A59" s="174">
        <v>54</v>
      </c>
      <c r="B59" s="183" t="str">
        <f>Suite &amp; " CRAC Gallery"</f>
        <v>G104 CRAC Gallery</v>
      </c>
      <c r="C59" s="212" t="str">
        <f>zSelectedEquipment</f>
        <v>G104-Gen-B</v>
      </c>
      <c r="D59" s="175" t="s">
        <v>2275</v>
      </c>
      <c r="E59" s="231" t="s">
        <v>2483</v>
      </c>
      <c r="F59" s="186"/>
      <c r="G59" s="186"/>
    </row>
    <row r="60" spans="1:7" ht="37.5" x14ac:dyDescent="0.3">
      <c r="A60" s="174">
        <v>55</v>
      </c>
      <c r="B60" s="183" t="str">
        <f>Suite &amp; " CRAC Gallery"</f>
        <v>G104 CRAC Gallery</v>
      </c>
      <c r="C60" s="212" t="str">
        <f>zSelectedEquipment</f>
        <v>G104-Gen-B</v>
      </c>
      <c r="D60" s="175" t="s">
        <v>2484</v>
      </c>
      <c r="E60" s="231" t="s">
        <v>1529</v>
      </c>
      <c r="F60" s="186"/>
      <c r="G60" s="186"/>
    </row>
    <row r="61" spans="1:7" ht="37.5" x14ac:dyDescent="0.3">
      <c r="A61" s="211">
        <v>56</v>
      </c>
      <c r="B61" s="183" t="str">
        <f>Suite &amp; " CRAC Gallery"</f>
        <v>G104 CRAC Gallery</v>
      </c>
      <c r="C61" s="212" t="str">
        <f>zSelectedEquipment</f>
        <v>G104-Gen-B</v>
      </c>
      <c r="D61" s="175" t="s">
        <v>2485</v>
      </c>
      <c r="E61" s="231" t="s">
        <v>1529</v>
      </c>
      <c r="F61" s="186"/>
      <c r="G61" s="186"/>
    </row>
    <row r="62" spans="1:7" ht="37.5" x14ac:dyDescent="0.3">
      <c r="A62" s="211">
        <v>57</v>
      </c>
      <c r="B62" s="183" t="str">
        <f>Suite &amp; " CRAC Gallery"</f>
        <v>G104 CRAC Gallery</v>
      </c>
      <c r="C62" s="212" t="str">
        <f>zSelectedEquipment</f>
        <v>G104-Gen-B</v>
      </c>
      <c r="D62" s="175" t="s">
        <v>2486</v>
      </c>
      <c r="E62" s="231" t="s">
        <v>1529</v>
      </c>
      <c r="F62" s="186"/>
      <c r="G62" s="186"/>
    </row>
    <row r="63" spans="1:7" ht="37.5" x14ac:dyDescent="0.3">
      <c r="A63" s="174">
        <v>58</v>
      </c>
      <c r="B63" s="183" t="str">
        <f>Suite &amp; " CRAC Gallery"</f>
        <v>G104 CRAC Gallery</v>
      </c>
      <c r="C63" s="212" t="str">
        <f>zSelectedEquipment</f>
        <v>G104-Gen-B</v>
      </c>
      <c r="D63" s="175" t="s">
        <v>2487</v>
      </c>
      <c r="E63" s="231" t="s">
        <v>1529</v>
      </c>
      <c r="F63" s="186"/>
      <c r="G63" s="186"/>
    </row>
    <row r="64" spans="1:7" ht="37.5" x14ac:dyDescent="0.3">
      <c r="A64" s="174">
        <v>59</v>
      </c>
      <c r="B64" s="183" t="str">
        <f>Suite &amp; " CRAC Gallery"</f>
        <v>G104 CRAC Gallery</v>
      </c>
      <c r="C64" s="212" t="str">
        <f>zSelectedEquipment</f>
        <v>G104-Gen-B</v>
      </c>
      <c r="D64" s="175" t="s">
        <v>2488</v>
      </c>
      <c r="E64" s="231" t="s">
        <v>1529</v>
      </c>
      <c r="F64" s="186"/>
      <c r="G64" s="186"/>
    </row>
    <row r="65" spans="1:7" ht="75" x14ac:dyDescent="0.3">
      <c r="A65" s="211">
        <v>60</v>
      </c>
      <c r="B65" s="183" t="str">
        <f>Suite &amp; " CRAC Gallery"</f>
        <v>G104 CRAC Gallery</v>
      </c>
      <c r="C65" s="212" t="str">
        <f>zSelectedEquipment</f>
        <v>G104-Gen-B</v>
      </c>
      <c r="D65" s="175" t="s">
        <v>2489</v>
      </c>
      <c r="E65" s="231" t="s">
        <v>1529</v>
      </c>
      <c r="F65" s="212" t="str">
        <f>IF(zTaskNameIdentifier="zzCRACTSRLow", "N/A", "
 ")</f>
        <v xml:space="preserve">
 </v>
      </c>
      <c r="G65" s="212" t="str">
        <f>IF(zTaskNameIdentifier="zzCRACTSRLow", "N/A", "
 ")</f>
        <v xml:space="preserve">
 </v>
      </c>
    </row>
    <row r="66" spans="1:7" ht="75" x14ac:dyDescent="0.3">
      <c r="A66" s="211">
        <v>61</v>
      </c>
      <c r="B66" s="183" t="str">
        <f>Suite &amp; " CRAC Gallery"</f>
        <v>G104 CRAC Gallery</v>
      </c>
      <c r="C66" s="212" t="str">
        <f>zSelectedEquipment</f>
        <v>G104-Gen-B</v>
      </c>
      <c r="D66" s="175" t="s">
        <v>2490</v>
      </c>
      <c r="E66" s="231" t="s">
        <v>1529</v>
      </c>
      <c r="F66" s="212" t="str">
        <f>IF(zTaskNameIdentifier="zzCRACTSRLow", "N/A", "
 ")</f>
        <v xml:space="preserve">
 </v>
      </c>
      <c r="G66" s="212" t="str">
        <f>IF(zTaskNameIdentifier="zzCRACTSRLow", "N/A", "
 ")</f>
        <v xml:space="preserve">
 </v>
      </c>
    </row>
    <row r="67" spans="1:7" ht="75" x14ac:dyDescent="0.3">
      <c r="A67" s="211">
        <v>62</v>
      </c>
      <c r="B67" s="183" t="str">
        <f>Suite &amp; " CRAC Gallery"</f>
        <v>G104 CRAC Gallery</v>
      </c>
      <c r="C67" s="212" t="str">
        <f>zSelectedEquipment</f>
        <v>G104-Gen-B</v>
      </c>
      <c r="D67" s="175" t="s">
        <v>2491</v>
      </c>
      <c r="E67" s="231" t="s">
        <v>1529</v>
      </c>
      <c r="F67" s="212" t="str">
        <f>IF(zTaskNameIdentifier="zzCRACTSRLow", "N/A", "
 ")</f>
        <v xml:space="preserve">
 </v>
      </c>
      <c r="G67" s="212" t="str">
        <f>IF(zTaskNameIdentifier="zzCRACTSRLow", "N/A", "
 ")</f>
        <v xml:space="preserve">
 </v>
      </c>
    </row>
    <row r="68" spans="1:7" ht="75" x14ac:dyDescent="0.3">
      <c r="A68" s="174">
        <v>63</v>
      </c>
      <c r="B68" s="183" t="str">
        <f>Suite &amp; " CRAC Gallery"</f>
        <v>G104 CRAC Gallery</v>
      </c>
      <c r="C68" s="212" t="str">
        <f>zSelectedEquipment</f>
        <v>G104-Gen-B</v>
      </c>
      <c r="D68" s="175" t="s">
        <v>2492</v>
      </c>
      <c r="E68" s="231" t="s">
        <v>1529</v>
      </c>
      <c r="F68" s="212" t="str">
        <f>IF(zTaskNameIdentifier="zzCRACTSRLow", "N/A", "
 ")</f>
        <v xml:space="preserve">
 </v>
      </c>
      <c r="G68" s="212" t="str">
        <f>IF(zTaskNameIdentifier="zzCRACTSRLow", "N/A", "
 ")</f>
        <v xml:space="preserve">
 </v>
      </c>
    </row>
    <row r="69" spans="1:7" ht="37.5" x14ac:dyDescent="0.3">
      <c r="A69" s="174">
        <v>64</v>
      </c>
      <c r="B69" s="183" t="str">
        <f>Suite &amp; " CRAC Gallery"</f>
        <v>G104 CRAC Gallery</v>
      </c>
      <c r="C69" s="212" t="s">
        <v>84</v>
      </c>
      <c r="D69" s="186" t="s">
        <v>2493</v>
      </c>
      <c r="E69" s="183" t="s">
        <v>2438</v>
      </c>
      <c r="F69" s="186"/>
      <c r="G69" s="186"/>
    </row>
    <row r="70" spans="1:7" x14ac:dyDescent="0.3">
      <c r="A70" s="211">
        <v>65</v>
      </c>
      <c r="B70" s="748" t="s">
        <v>2285</v>
      </c>
      <c r="C70" s="748"/>
      <c r="D70" s="748"/>
      <c r="E70" s="748"/>
      <c r="F70" s="748"/>
      <c r="G70" s="748"/>
    </row>
    <row r="71" spans="1:7" ht="37.5" x14ac:dyDescent="0.3">
      <c r="A71" s="211">
        <v>66</v>
      </c>
      <c r="B71" s="183" t="str">
        <f>Suite &amp; " Electrical Rooms"</f>
        <v>G104 Electrical Rooms</v>
      </c>
      <c r="C71" s="212" t="s">
        <v>2463</v>
      </c>
      <c r="D71" s="194" t="s">
        <v>2494</v>
      </c>
      <c r="E71" s="212" t="s">
        <v>2438</v>
      </c>
      <c r="F71" s="186"/>
      <c r="G71" s="186"/>
    </row>
    <row r="72" spans="1:7" ht="37.5" x14ac:dyDescent="0.3">
      <c r="A72" s="174">
        <v>67</v>
      </c>
      <c r="B72" s="183" t="str">
        <f>Suite &amp; " Electrical Rooms"</f>
        <v>G104 Electrical Rooms</v>
      </c>
      <c r="C72" s="212" t="s">
        <v>84</v>
      </c>
      <c r="D72" s="186" t="s">
        <v>1518</v>
      </c>
      <c r="E72" s="212" t="s">
        <v>2438</v>
      </c>
      <c r="F72" s="186"/>
      <c r="G72" s="186"/>
    </row>
    <row r="73" spans="1:7" ht="37.5" x14ac:dyDescent="0.3">
      <c r="A73" s="174">
        <v>68</v>
      </c>
      <c r="B73" s="183" t="str">
        <f>Suite &amp; " Electrical Rooms"</f>
        <v>G104 Electrical Rooms</v>
      </c>
      <c r="C73" s="212" t="s">
        <v>2463</v>
      </c>
      <c r="D73" s="194" t="s">
        <v>2495</v>
      </c>
      <c r="E73" s="212" t="s">
        <v>2438</v>
      </c>
      <c r="F73" s="186"/>
      <c r="G73" s="186"/>
    </row>
    <row r="74" spans="1:7" ht="37.5" x14ac:dyDescent="0.3">
      <c r="A74" s="211">
        <v>69</v>
      </c>
      <c r="B74" s="183" t="str">
        <f>Suite &amp; " Electrical Rooms"</f>
        <v>G104 Electrical Rooms</v>
      </c>
      <c r="C74" s="212" t="s">
        <v>2463</v>
      </c>
      <c r="D74" s="194" t="s">
        <v>2496</v>
      </c>
      <c r="E74" s="212" t="s">
        <v>2438</v>
      </c>
      <c r="F74" s="186"/>
      <c r="G74" s="186"/>
    </row>
    <row r="75" spans="1:7" ht="37.5" x14ac:dyDescent="0.3">
      <c r="A75" s="211">
        <v>70</v>
      </c>
      <c r="B75" s="183" t="str">
        <f>Suite &amp; " Electrical Rooms"</f>
        <v>G104 Electrical Rooms</v>
      </c>
      <c r="C75" s="212" t="s">
        <v>84</v>
      </c>
      <c r="D75" s="186" t="s">
        <v>1518</v>
      </c>
      <c r="E75" s="212" t="s">
        <v>2438</v>
      </c>
      <c r="F75" s="186"/>
      <c r="G75" s="186"/>
    </row>
    <row r="76" spans="1:7" ht="37.5" x14ac:dyDescent="0.3">
      <c r="A76" s="211">
        <v>71</v>
      </c>
      <c r="B76" s="183" t="str">
        <f>Suite &amp; " Electrical Rooms"</f>
        <v>G104 Electrical Rooms</v>
      </c>
      <c r="C76" s="212" t="s">
        <v>2463</v>
      </c>
      <c r="D76" s="194" t="s">
        <v>2497</v>
      </c>
      <c r="E76" s="212" t="s">
        <v>2438</v>
      </c>
      <c r="F76" s="186"/>
      <c r="G76" s="186"/>
    </row>
    <row r="77" spans="1:7" ht="37.5" x14ac:dyDescent="0.3">
      <c r="A77" s="174">
        <v>72</v>
      </c>
      <c r="B77" s="183" t="str">
        <f>Suite &amp; " CRAC Gallery"</f>
        <v>G104 CRAC Gallery</v>
      </c>
      <c r="C77" s="212" t="str">
        <f>zSelectedEquipment</f>
        <v>G104-Gen-B</v>
      </c>
      <c r="D77" s="194" t="s">
        <v>2498</v>
      </c>
      <c r="E77" s="212" t="s">
        <v>2438</v>
      </c>
      <c r="F77" s="186"/>
      <c r="G77" s="186"/>
    </row>
    <row r="78" spans="1:7" ht="37.5" x14ac:dyDescent="0.3">
      <c r="A78" s="174">
        <v>73</v>
      </c>
      <c r="B78" s="183" t="str">
        <f>Suite &amp; " CRAC Gallery"</f>
        <v>G104 CRAC Gallery</v>
      </c>
      <c r="C78" s="212" t="str">
        <f>zSelectedEquipment</f>
        <v>G104-Gen-B</v>
      </c>
      <c r="D78" s="194" t="s">
        <v>2499</v>
      </c>
      <c r="E78" s="212" t="s">
        <v>2438</v>
      </c>
      <c r="F78" s="186"/>
      <c r="G78" s="186"/>
    </row>
    <row r="79" spans="1:7" ht="37.5" x14ac:dyDescent="0.3">
      <c r="A79" s="211">
        <v>74</v>
      </c>
      <c r="B79" s="183" t="str">
        <f>Suite &amp; " CRAC Gallery"</f>
        <v>G104 CRAC Gallery</v>
      </c>
      <c r="C79" s="212" t="str">
        <f>zSelectedEquipment</f>
        <v>G104-Gen-B</v>
      </c>
      <c r="D79" s="175" t="s">
        <v>2340</v>
      </c>
      <c r="E79" s="231" t="s">
        <v>1529</v>
      </c>
      <c r="F79" s="186"/>
      <c r="G79" s="186"/>
    </row>
    <row r="80" spans="1:7" ht="37.5" x14ac:dyDescent="0.3">
      <c r="A80" s="211">
        <v>75</v>
      </c>
      <c r="B80" s="183" t="str">
        <f>Suite &amp; " CRAC Gallery"</f>
        <v>G104 CRAC Gallery</v>
      </c>
      <c r="C80" s="212" t="str">
        <f>zSelectedEquipment</f>
        <v>G104-Gen-B</v>
      </c>
      <c r="D80" s="175" t="s">
        <v>2500</v>
      </c>
      <c r="E80" s="231" t="s">
        <v>1529</v>
      </c>
      <c r="F80" s="186"/>
      <c r="G80" s="186"/>
    </row>
    <row r="81" spans="1:7" ht="56.25" x14ac:dyDescent="0.3">
      <c r="A81" s="174">
        <v>76</v>
      </c>
      <c r="B81" s="183" t="str">
        <f>Suite &amp; " CRAC Gallery"</f>
        <v>G104 CRAC Gallery</v>
      </c>
      <c r="C81" s="212" t="str">
        <f>zSelectedEquipment</f>
        <v>G104-Gen-B</v>
      </c>
      <c r="D81" s="175" t="s">
        <v>2501</v>
      </c>
      <c r="E81" s="231" t="s">
        <v>1529</v>
      </c>
      <c r="F81" s="186"/>
      <c r="G81" s="186"/>
    </row>
    <row r="82" spans="1:7" ht="37.5" x14ac:dyDescent="0.3">
      <c r="A82" s="174">
        <v>77</v>
      </c>
      <c r="B82" s="183" t="str">
        <f>Suite &amp; " CRAC Gallery"</f>
        <v>G104 CRAC Gallery</v>
      </c>
      <c r="C82" s="212" t="str">
        <f>zSelectedEquipment</f>
        <v>G104-Gen-B</v>
      </c>
      <c r="D82" s="175" t="s">
        <v>2283</v>
      </c>
      <c r="E82" s="183" t="s">
        <v>2438</v>
      </c>
      <c r="F82" s="186"/>
      <c r="G82" s="186"/>
    </row>
    <row r="83" spans="1:7" ht="37.5" x14ac:dyDescent="0.3">
      <c r="A83" s="211">
        <v>78</v>
      </c>
      <c r="B83" s="183" t="str">
        <f>Suite &amp; " CRAC Gallery"</f>
        <v>G104 CRAC Gallery</v>
      </c>
      <c r="C83" s="212" t="str">
        <f>zSelectedEquipment</f>
        <v>G104-Gen-B</v>
      </c>
      <c r="D83" s="175" t="s">
        <v>2502</v>
      </c>
      <c r="E83" s="183" t="s">
        <v>2438</v>
      </c>
      <c r="F83" s="186"/>
      <c r="G83" s="186"/>
    </row>
    <row r="84" spans="1:7" ht="37.5" x14ac:dyDescent="0.3">
      <c r="A84" s="211">
        <v>79</v>
      </c>
      <c r="B84" s="183" t="str">
        <f>Suite &amp; " CRAC Gallery"</f>
        <v>G104 CRAC Gallery</v>
      </c>
      <c r="C84" s="212" t="str">
        <f>zSelectedEquipment</f>
        <v>G104-Gen-B</v>
      </c>
      <c r="D84" s="175" t="s">
        <v>2503</v>
      </c>
      <c r="E84" s="183" t="s">
        <v>2438</v>
      </c>
      <c r="F84" s="186"/>
      <c r="G84" s="186"/>
    </row>
    <row r="85" spans="1:7" x14ac:dyDescent="0.3">
      <c r="A85" s="174">
        <v>80</v>
      </c>
      <c r="B85" s="712" t="str">
        <f>"ENABLE SUITE CONTROLS AND DETECTORS – "&amp;Suite</f>
        <v>ENABLE SUITE CONTROLS AND DETECTORS – G104</v>
      </c>
      <c r="C85" s="712"/>
      <c r="D85" s="712"/>
      <c r="E85" s="712"/>
      <c r="F85" s="712"/>
      <c r="G85" s="712"/>
    </row>
    <row r="86" spans="1:7" ht="37.5" x14ac:dyDescent="0.3">
      <c r="A86" s="174">
        <v>81</v>
      </c>
      <c r="B86" s="231" t="str">
        <f t="shared" ref="B86:B90" si="2">Suite</f>
        <v>G104</v>
      </c>
      <c r="C86" s="231" t="s">
        <v>2058</v>
      </c>
      <c r="D86" s="186" t="s">
        <v>2504</v>
      </c>
      <c r="E86" s="183" t="s">
        <v>2438</v>
      </c>
      <c r="F86" s="212" t="str">
        <f>IF(zTaskNameIdentifier="zzCRACTSRLow", "N/A", "
 ")</f>
        <v xml:space="preserve">
 </v>
      </c>
      <c r="G86" s="212" t="str">
        <f>IF(zTaskNameIdentifier="zzCRACTSRLow", "N/A", "
 ")</f>
        <v xml:space="preserve">
 </v>
      </c>
    </row>
    <row r="87" spans="1:7" ht="37.5" x14ac:dyDescent="0.3">
      <c r="A87" s="174">
        <v>82</v>
      </c>
      <c r="B87" s="183" t="str">
        <f t="shared" si="2"/>
        <v>G104</v>
      </c>
      <c r="C87" s="183" t="s">
        <v>2058</v>
      </c>
      <c r="D87" s="186" t="s">
        <v>2505</v>
      </c>
      <c r="E87" s="183" t="s">
        <v>2438</v>
      </c>
      <c r="F87" s="212" t="str">
        <f>IF(zTaskNameIdentifier="zzCRACTSRLow", "N/A", "
 ")</f>
        <v xml:space="preserve">
 </v>
      </c>
      <c r="G87" s="212" t="str">
        <f>IF(zTaskNameIdentifier="zzCRACTSRLow", "N/A", "
 ")</f>
        <v xml:space="preserve">
 </v>
      </c>
    </row>
    <row r="88" spans="1:7" ht="37.5" x14ac:dyDescent="0.3">
      <c r="A88" s="211">
        <v>83</v>
      </c>
      <c r="B88" s="183" t="str">
        <f t="shared" si="2"/>
        <v>G104</v>
      </c>
      <c r="C88" s="183" t="s">
        <v>2058</v>
      </c>
      <c r="D88" s="186" t="s">
        <v>2506</v>
      </c>
      <c r="E88" s="183" t="s">
        <v>2438</v>
      </c>
      <c r="F88" s="212" t="str">
        <f>IF(zTaskNameIdentifier="zzCRACTSRLow", "N/A", "
 ")</f>
        <v xml:space="preserve">
 </v>
      </c>
      <c r="G88" s="212" t="str">
        <f>IF(zTaskNameIdentifier="zzCRACTSRLow", "N/A", "
 ")</f>
        <v xml:space="preserve">
 </v>
      </c>
    </row>
    <row r="89" spans="1:7" ht="37.5" x14ac:dyDescent="0.3">
      <c r="A89" s="211">
        <v>84</v>
      </c>
      <c r="B89" s="183" t="str">
        <f t="shared" si="2"/>
        <v>G104</v>
      </c>
      <c r="C89" s="183" t="s">
        <v>2058</v>
      </c>
      <c r="D89" s="186" t="s">
        <v>2507</v>
      </c>
      <c r="E89" s="183" t="s">
        <v>2438</v>
      </c>
      <c r="F89" s="212" t="str">
        <f>IF(zTaskNameIdentifier="zzCRACTSRLow", "N/A", "
 ")</f>
        <v xml:space="preserve">
 </v>
      </c>
      <c r="G89" s="212" t="str">
        <f>IF(zTaskNameIdentifier="zzCRACTSRLow", "N/A", "
 ")</f>
        <v xml:space="preserve">
 </v>
      </c>
    </row>
    <row r="90" spans="1:7" ht="37.5" x14ac:dyDescent="0.3">
      <c r="A90" s="174">
        <v>85</v>
      </c>
      <c r="B90" s="183" t="str">
        <f t="shared" si="2"/>
        <v>G104</v>
      </c>
      <c r="C90" s="183" t="s">
        <v>2058</v>
      </c>
      <c r="D90" s="186" t="s">
        <v>2508</v>
      </c>
      <c r="E90" s="183" t="s">
        <v>2438</v>
      </c>
      <c r="F90" s="212" t="str">
        <f>IF(zTaskNameIdentifier="zzCRACTSRLow", "N/A", "
 ")</f>
        <v xml:space="preserve">
 </v>
      </c>
      <c r="G90" s="212" t="str">
        <f>IF(zTaskNameIdentifier="zzCRACTSRLow", "N/A", "
 ")</f>
        <v xml:space="preserve">
 </v>
      </c>
    </row>
    <row r="91" spans="1:7" x14ac:dyDescent="0.3">
      <c r="A91" s="174">
        <v>86</v>
      </c>
      <c r="B91" s="712" t="str">
        <f>"RE-ENABLE HVAC SHUTDOWN SWITCH – "&amp;Suite</f>
        <v>RE-ENABLE HVAC SHUTDOWN SWITCH – G104</v>
      </c>
      <c r="C91" s="712"/>
      <c r="D91" s="712"/>
      <c r="E91" s="712"/>
      <c r="F91" s="712"/>
      <c r="G91" s="712"/>
    </row>
    <row r="92" spans="1:7" ht="37.5" x14ac:dyDescent="0.3">
      <c r="A92" s="211">
        <v>87</v>
      </c>
      <c r="B92" s="212" t="str">
        <f>Suite &amp; " Data Center"</f>
        <v>G104 Data Center</v>
      </c>
      <c r="C92" s="212" t="s">
        <v>2058</v>
      </c>
      <c r="D92" s="213" t="s">
        <v>2509</v>
      </c>
      <c r="E92" s="212" t="s">
        <v>2438</v>
      </c>
      <c r="F92" s="212" t="str">
        <f>IF(zTaskNameIdentifier="zzCRACTSRLow", "N/A", "
 ")</f>
        <v xml:space="preserve">
 </v>
      </c>
      <c r="G92" s="212" t="str">
        <f>IF(zTaskNameIdentifier="zzCRACTSRLow", "N/A", "
 ")</f>
        <v xml:space="preserve">
 </v>
      </c>
    </row>
    <row r="93" spans="1:7" ht="37.5" x14ac:dyDescent="0.3">
      <c r="A93" s="211">
        <v>88</v>
      </c>
      <c r="B93" s="212" t="str">
        <f>Suite &amp; " Data Center"</f>
        <v>G104 Data Center</v>
      </c>
      <c r="C93" s="212" t="s">
        <v>2510</v>
      </c>
      <c r="D93" s="213" t="s">
        <v>2511</v>
      </c>
      <c r="E93" s="212" t="s">
        <v>2438</v>
      </c>
      <c r="F93" s="212" t="str">
        <f>IF(zTaskNameIdentifier="zzCRACTSRLow", "N/A", "
 ")</f>
        <v xml:space="preserve">
 </v>
      </c>
      <c r="G93" s="212" t="str">
        <f>IF(zTaskNameIdentifier="zzCRACTSRLow", "N/A", "
 ")</f>
        <v xml:space="preserve">
 </v>
      </c>
    </row>
    <row r="94" spans="1:7" ht="37.5" x14ac:dyDescent="0.3">
      <c r="A94" s="174">
        <v>89</v>
      </c>
      <c r="B94" s="212" t="str">
        <f>Suite &amp; " Data Center"</f>
        <v>G104 Data Center</v>
      </c>
      <c r="C94" s="212" t="s">
        <v>2510</v>
      </c>
      <c r="D94" s="215" t="s">
        <v>2512</v>
      </c>
      <c r="E94" s="212" t="s">
        <v>2438</v>
      </c>
      <c r="F94" s="212" t="str">
        <f>IF(zTaskNameIdentifier="zzCRACTSRLow", "N/A", "
 ")</f>
        <v xml:space="preserve">
 </v>
      </c>
      <c r="G94" s="212" t="str">
        <f>IF(zTaskNameIdentifier="zzCRACTSRLow", "N/A", "
 ")</f>
        <v xml:space="preserve">
 </v>
      </c>
    </row>
    <row r="95" spans="1:7" ht="37.5" x14ac:dyDescent="0.3">
      <c r="A95" s="174">
        <v>90</v>
      </c>
      <c r="B95" s="212" t="str">
        <f>Suite &amp; " Data Center"</f>
        <v>G104 Data Center</v>
      </c>
      <c r="C95" s="212" t="s">
        <v>2058</v>
      </c>
      <c r="D95" s="213" t="s">
        <v>2513</v>
      </c>
      <c r="E95" s="212" t="s">
        <v>2438</v>
      </c>
      <c r="F95" s="212" t="str">
        <f>IF(zTaskNameIdentifier="zzCRACTSRLow", "N/A", "
 ")</f>
        <v xml:space="preserve">
 </v>
      </c>
      <c r="G95" s="212" t="str">
        <f>IF(zTaskNameIdentifier="zzCRACTSRLow", "N/A", "
 ")</f>
        <v xml:space="preserve">
 </v>
      </c>
    </row>
    <row r="96" spans="1:7" ht="37.5" x14ac:dyDescent="0.3">
      <c r="A96" s="174">
        <v>91</v>
      </c>
      <c r="B96" s="212" t="str">
        <f>Suite &amp; " Data Center"</f>
        <v>G104 Data Center</v>
      </c>
      <c r="C96" s="212" t="s">
        <v>2058</v>
      </c>
      <c r="D96" s="213" t="s">
        <v>2509</v>
      </c>
      <c r="E96" s="212" t="s">
        <v>2438</v>
      </c>
      <c r="F96" s="212" t="str">
        <f>IF(zTaskNameIdentifier="zzCRACTSRLow", "N/A", "
 ")</f>
        <v xml:space="preserve">
 </v>
      </c>
      <c r="G96" s="212" t="str">
        <f>IF(zTaskNameIdentifier="zzCRACTSRLow", "N/A", "
 ")</f>
        <v xml:space="preserve">
 </v>
      </c>
    </row>
    <row r="97" spans="1:9" x14ac:dyDescent="0.3">
      <c r="A97" s="211">
        <v>92</v>
      </c>
      <c r="B97" s="712" t="s">
        <v>2363</v>
      </c>
      <c r="C97" s="712"/>
      <c r="D97" s="712"/>
      <c r="E97" s="712"/>
      <c r="F97" s="712"/>
      <c r="G97" s="712"/>
    </row>
    <row r="98" spans="1:9" ht="37.5" x14ac:dyDescent="0.3">
      <c r="A98" s="211">
        <v>93</v>
      </c>
      <c r="B98" s="212" t="s">
        <v>1462</v>
      </c>
      <c r="C98" s="212" t="s">
        <v>84</v>
      </c>
      <c r="D98" s="215" t="s">
        <v>2037</v>
      </c>
      <c r="E98" s="212" t="s">
        <v>2438</v>
      </c>
      <c r="F98" s="212" t="str">
        <f>IF(zTaskNameIdentifier="zzCRACTSRLow", "N/A", "
 ")</f>
        <v xml:space="preserve">
 </v>
      </c>
      <c r="G98" s="212" t="str">
        <f>IF(zTaskNameIdentifier="zzCRACTSRLow", "N/A", "
 ")</f>
        <v xml:space="preserve">
 </v>
      </c>
    </row>
    <row r="99" spans="1:9" ht="37.5" x14ac:dyDescent="0.3">
      <c r="A99" s="174">
        <v>94</v>
      </c>
      <c r="B99" s="212" t="s">
        <v>1462</v>
      </c>
      <c r="C99" s="212" t="s">
        <v>84</v>
      </c>
      <c r="D99" s="213" t="s">
        <v>2025</v>
      </c>
      <c r="E99" s="212" t="s">
        <v>2438</v>
      </c>
      <c r="F99" s="212" t="str">
        <f>IF(zTaskNameIdentifier="zzCRACTSRLow", "N/A", "
 ")</f>
        <v xml:space="preserve">
 </v>
      </c>
      <c r="G99" s="212" t="str">
        <f>IF(zTaskNameIdentifier="zzCRACTSRLow", "N/A", "
 ")</f>
        <v xml:space="preserve">
 </v>
      </c>
    </row>
    <row r="100" spans="1:9" ht="37.5" x14ac:dyDescent="0.3">
      <c r="A100" s="174">
        <v>95</v>
      </c>
      <c r="B100" s="212" t="s">
        <v>1462</v>
      </c>
      <c r="C100" s="212" t="s">
        <v>84</v>
      </c>
      <c r="D100" s="213" t="s">
        <v>2514</v>
      </c>
      <c r="E100" s="212" t="s">
        <v>2438</v>
      </c>
      <c r="F100" s="212" t="str">
        <f>IF(zTaskNameIdentifier="zzCRACTSRLow", "N/A", "
 ")</f>
        <v xml:space="preserve">
 </v>
      </c>
      <c r="G100" s="212" t="str">
        <f>IF(zTaskNameIdentifier="zzCRACTSRLow", "N/A", "
 ")</f>
        <v xml:space="preserve">
 </v>
      </c>
    </row>
    <row r="101" spans="1:9" ht="37.5" x14ac:dyDescent="0.3">
      <c r="A101" s="211">
        <v>96</v>
      </c>
      <c r="B101" s="212" t="s">
        <v>1462</v>
      </c>
      <c r="C101" s="212" t="s">
        <v>84</v>
      </c>
      <c r="D101" s="213" t="str">
        <f>"Building "&amp;Building&amp;" address: "&amp;Address</f>
        <v>Building G address: 43940 Digital Loudoun Plaza</v>
      </c>
      <c r="E101" s="212" t="s">
        <v>2438</v>
      </c>
      <c r="F101" s="212" t="str">
        <f>IF(zTaskNameIdentifier="zzCRACTSRLow", "N/A", "
 ")</f>
        <v xml:space="preserve">
 </v>
      </c>
      <c r="G101" s="212" t="str">
        <f>IF(zTaskNameIdentifier="zzCRACTSRLow", "N/A", "
 ")</f>
        <v xml:space="preserve">
 </v>
      </c>
    </row>
    <row r="102" spans="1:9" ht="37.5" x14ac:dyDescent="0.3">
      <c r="A102" s="211">
        <v>97</v>
      </c>
      <c r="B102" s="212" t="s">
        <v>1462</v>
      </c>
      <c r="C102" s="212" t="s">
        <v>84</v>
      </c>
      <c r="D102" s="213" t="s">
        <v>2444</v>
      </c>
      <c r="E102" s="212" t="s">
        <v>2438</v>
      </c>
      <c r="F102" s="212" t="str">
        <f>IF(zTaskNameIdentifier="zzCRACTSRLow", "N/A", "
 ")</f>
        <v xml:space="preserve">
 </v>
      </c>
      <c r="G102" s="212" t="str">
        <f>IF(zTaskNameIdentifier="zzCRACTSRLow", "N/A", "
 ")</f>
        <v xml:space="preserve">
 </v>
      </c>
    </row>
    <row r="103" spans="1:9" ht="37.5" x14ac:dyDescent="0.3">
      <c r="A103" s="174">
        <v>98</v>
      </c>
      <c r="B103" s="212" t="str">
        <f t="shared" ref="B103" si="3">IADNumber&amp;" Lobby"</f>
        <v>IAD35 Lobby</v>
      </c>
      <c r="C103" s="212" t="s">
        <v>2447</v>
      </c>
      <c r="D103" s="215" t="s">
        <v>2515</v>
      </c>
      <c r="E103" s="212" t="s">
        <v>2438</v>
      </c>
      <c r="F103" s="212" t="str">
        <f>IF(zTaskNameIdentifier="zzCRACTSRLow", "N/A", "
 ")</f>
        <v xml:space="preserve">
 </v>
      </c>
      <c r="G103" s="212" t="str">
        <f>IF(zTaskNameIdentifier="zzCRACTSRLow", "N/A", "
 ")</f>
        <v xml:space="preserve">
 </v>
      </c>
    </row>
    <row r="104" spans="1:9" s="240" customFormat="1" ht="37.5" x14ac:dyDescent="0.3">
      <c r="A104" s="174">
        <v>99</v>
      </c>
      <c r="B104" s="212" t="s">
        <v>1462</v>
      </c>
      <c r="C104" s="212" t="s">
        <v>84</v>
      </c>
      <c r="D104" s="215" t="str" cm="1">
        <f t="array" ref="D104">"Contact the Engineer stationed on base and the Lead Engineer for Building " &amp; Building &amp; " to inform them that maintenance is complete."</f>
        <v>Contact the Engineer stationed on base and the Lead Engineer for Building G to inform them that maintenance is complete.</v>
      </c>
      <c r="E104" s="212" t="s">
        <v>2438</v>
      </c>
      <c r="F104" s="212"/>
      <c r="G104" s="212"/>
      <c r="H104" s="185"/>
      <c r="I104" s="185"/>
    </row>
    <row r="105" spans="1:9" s="240" customFormat="1" x14ac:dyDescent="0.3">
      <c r="A105" s="192"/>
      <c r="H105" s="185"/>
      <c r="I105" s="185"/>
    </row>
    <row r="106" spans="1:9" s="240" customFormat="1" x14ac:dyDescent="0.3">
      <c r="A106" s="192"/>
      <c r="H106" s="185"/>
      <c r="I106" s="185"/>
    </row>
    <row r="107" spans="1:9" s="240" customFormat="1" x14ac:dyDescent="0.3">
      <c r="A107" s="192"/>
      <c r="H107" s="185"/>
      <c r="I107" s="185"/>
    </row>
    <row r="108" spans="1:9" s="240" customFormat="1" x14ac:dyDescent="0.3">
      <c r="A108" s="192"/>
      <c r="H108" s="185"/>
      <c r="I108" s="185"/>
    </row>
    <row r="109" spans="1:9" s="240" customFormat="1" x14ac:dyDescent="0.3">
      <c r="A109" s="192"/>
      <c r="H109" s="185"/>
      <c r="I109" s="185"/>
    </row>
    <row r="110" spans="1:9" s="240" customFormat="1" x14ac:dyDescent="0.3">
      <c r="A110" s="192"/>
      <c r="H110" s="185"/>
      <c r="I110" s="185"/>
    </row>
    <row r="111" spans="1:9" s="240" customFormat="1" x14ac:dyDescent="0.3">
      <c r="A111" s="192"/>
      <c r="H111" s="185"/>
      <c r="I111" s="185"/>
    </row>
    <row r="112" spans="1:9" s="240" customFormat="1" x14ac:dyDescent="0.3">
      <c r="A112" s="192"/>
      <c r="H112" s="185"/>
      <c r="I112" s="185"/>
    </row>
  </sheetData>
  <sheetProtection formatCells="0" formatColumns="0" formatRows="0" insertRows="0" deleteRows="0" sort="0" autoFilter="0"/>
  <mergeCells count="15">
    <mergeCell ref="B13:G13"/>
    <mergeCell ref="B24:G24"/>
    <mergeCell ref="B29:G29"/>
    <mergeCell ref="B6:G6"/>
    <mergeCell ref="A2:B2"/>
    <mergeCell ref="A3:B3"/>
    <mergeCell ref="C3:D3"/>
    <mergeCell ref="A4:C4"/>
    <mergeCell ref="C2:G2"/>
    <mergeCell ref="B31:G31"/>
    <mergeCell ref="B45:G45"/>
    <mergeCell ref="B85:G85"/>
    <mergeCell ref="B91:G91"/>
    <mergeCell ref="B97:G97"/>
    <mergeCell ref="B70:G70"/>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B0E97-EF07-4BFA-A18F-185ADF04C1BF}">
  <sheetPr codeName="Fire_Alarm_APM_PBB">
    <pageSetUpPr fitToPage="1"/>
  </sheetPr>
  <dimension ref="A1:I57"/>
  <sheetViews>
    <sheetView view="pageBreakPreview" zoomScale="90" zoomScaleNormal="100" zoomScaleSheetLayoutView="90" workbookViewId="0">
      <selection activeCell="K12" sqref="K12"/>
    </sheetView>
  </sheetViews>
  <sheetFormatPr defaultColWidth="8.7109375" defaultRowHeight="18" customHeight="1"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customWidth="1"/>
    <col min="9" max="9" width="10.7109375" customWidth="1"/>
    <col min="10" max="10" width="9.140625" customWidth="1"/>
    <col min="11" max="11" width="9.85546875" customWidth="1"/>
  </cols>
  <sheetData>
    <row r="1" spans="1:9" ht="18.75" x14ac:dyDescent="0.25">
      <c r="A1" s="209" t="s">
        <v>1454</v>
      </c>
      <c r="B1" s="209"/>
      <c r="C1" s="210"/>
      <c r="D1" s="210"/>
      <c r="E1" s="210"/>
      <c r="F1" s="210"/>
      <c r="G1" s="210"/>
    </row>
    <row r="2" spans="1:9" ht="18.75" customHeight="1" x14ac:dyDescent="0.25">
      <c r="A2" s="705" t="s">
        <v>42</v>
      </c>
      <c r="B2" s="705"/>
      <c r="C2" s="731" t="str">
        <f>zTaskName</f>
        <v>Routine Generator run with no load transfer</v>
      </c>
      <c r="D2" s="730"/>
      <c r="E2" s="730"/>
      <c r="F2" s="730"/>
      <c r="G2" s="732"/>
    </row>
    <row r="3" spans="1:9" ht="9.9499999999999993" customHeight="1" x14ac:dyDescent="0.25">
      <c r="A3" s="728"/>
      <c r="B3" s="729"/>
      <c r="C3" s="730"/>
      <c r="D3" s="730"/>
      <c r="E3" s="380"/>
      <c r="F3" s="380"/>
      <c r="G3" s="381"/>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ht="18.75" x14ac:dyDescent="0.25">
      <c r="A6" s="219">
        <v>1</v>
      </c>
      <c r="B6" s="713" t="s">
        <v>2516</v>
      </c>
      <c r="C6" s="713"/>
      <c r="D6" s="713"/>
      <c r="E6" s="713"/>
      <c r="F6" s="713"/>
      <c r="G6" s="713"/>
    </row>
    <row r="7" spans="1:9" ht="37.5" x14ac:dyDescent="0.25">
      <c r="A7" s="219">
        <f>A6+1</f>
        <v>2</v>
      </c>
      <c r="B7" s="212" t="s">
        <v>1462</v>
      </c>
      <c r="C7" s="212" t="s">
        <v>84</v>
      </c>
      <c r="D7" s="215" t="s">
        <v>2077</v>
      </c>
      <c r="E7" s="212" t="s">
        <v>1464</v>
      </c>
      <c r="F7" s="214" t="s">
        <v>1519</v>
      </c>
      <c r="G7" s="214"/>
    </row>
    <row r="8" spans="1:9" ht="37.5" x14ac:dyDescent="0.25">
      <c r="A8" s="219">
        <f t="shared" ref="A8:A53" si="0">A7+1</f>
        <v>3</v>
      </c>
      <c r="B8" s="212" t="s">
        <v>1462</v>
      </c>
      <c r="C8" s="212" t="s">
        <v>84</v>
      </c>
      <c r="D8" s="215" t="s">
        <v>2517</v>
      </c>
      <c r="E8" s="212" t="s">
        <v>1464</v>
      </c>
      <c r="F8" s="214" t="s">
        <v>1519</v>
      </c>
      <c r="G8" s="214"/>
    </row>
    <row r="9" spans="1:9" ht="37.5" x14ac:dyDescent="0.25">
      <c r="A9" s="219">
        <f t="shared" si="0"/>
        <v>4</v>
      </c>
      <c r="B9" s="212" t="s">
        <v>1462</v>
      </c>
      <c r="C9" s="212" t="s">
        <v>84</v>
      </c>
      <c r="D9" s="215" t="s">
        <v>2025</v>
      </c>
      <c r="E9" s="212" t="s">
        <v>1464</v>
      </c>
      <c r="F9" s="214" t="s">
        <v>1519</v>
      </c>
      <c r="G9" s="214"/>
    </row>
    <row r="10" spans="1:9" ht="37.5" x14ac:dyDescent="0.25">
      <c r="A10" s="219">
        <f t="shared" si="0"/>
        <v>5</v>
      </c>
      <c r="B10" s="212" t="s">
        <v>1462</v>
      </c>
      <c r="C10" s="212" t="s">
        <v>84</v>
      </c>
      <c r="D10" s="215" t="s">
        <v>2518</v>
      </c>
      <c r="E10" s="212" t="s">
        <v>1464</v>
      </c>
      <c r="F10" s="214" t="s">
        <v>1519</v>
      </c>
      <c r="G10" s="214"/>
    </row>
    <row r="11" spans="1:9" ht="37.5" x14ac:dyDescent="0.25">
      <c r="A11" s="219">
        <f t="shared" si="0"/>
        <v>6</v>
      </c>
      <c r="B11" s="212" t="s">
        <v>1462</v>
      </c>
      <c r="C11" s="212" t="s">
        <v>84</v>
      </c>
      <c r="D11" s="215" t="str">
        <f>"Building "&amp;Building&amp;" address: "&amp;Address</f>
        <v>Building G address: 43940 Digital Loudoun Plaza</v>
      </c>
      <c r="E11" s="212" t="s">
        <v>1464</v>
      </c>
      <c r="F11" s="214" t="s">
        <v>1519</v>
      </c>
      <c r="G11" s="214"/>
    </row>
    <row r="12" spans="1:9" ht="37.5" x14ac:dyDescent="0.25">
      <c r="A12" s="219">
        <f t="shared" si="0"/>
        <v>7</v>
      </c>
      <c r="B12" s="212" t="s">
        <v>1462</v>
      </c>
      <c r="C12" s="212" t="s">
        <v>84</v>
      </c>
      <c r="D12" s="215" t="s">
        <v>2444</v>
      </c>
      <c r="E12" s="212" t="s">
        <v>1464</v>
      </c>
      <c r="F12" s="214" t="s">
        <v>1519</v>
      </c>
      <c r="G12" s="214"/>
    </row>
    <row r="13" spans="1:9" ht="75" x14ac:dyDescent="0.25">
      <c r="A13" s="219">
        <f t="shared" si="0"/>
        <v>8</v>
      </c>
      <c r="B13" s="212" t="s">
        <v>1462</v>
      </c>
      <c r="C13" s="212" t="s">
        <v>84</v>
      </c>
      <c r="D13" s="215" t="s">
        <v>2519</v>
      </c>
      <c r="E13" s="212" t="s">
        <v>1464</v>
      </c>
      <c r="F13" s="214" t="s">
        <v>1519</v>
      </c>
      <c r="G13" s="214"/>
    </row>
    <row r="14" spans="1:9" ht="56.25" x14ac:dyDescent="0.25">
      <c r="A14" s="219">
        <f t="shared" si="0"/>
        <v>9</v>
      </c>
      <c r="B14" s="212" t="s">
        <v>1462</v>
      </c>
      <c r="C14" s="212" t="s">
        <v>84</v>
      </c>
      <c r="D14" s="215" t="s">
        <v>2446</v>
      </c>
      <c r="E14" s="212" t="s">
        <v>1464</v>
      </c>
      <c r="F14" s="214"/>
      <c r="G14" s="214" t="s">
        <v>1519</v>
      </c>
    </row>
    <row r="15" spans="1:9" ht="37.5" x14ac:dyDescent="0.25">
      <c r="A15" s="219">
        <f t="shared" si="0"/>
        <v>10</v>
      </c>
      <c r="B15" s="212" t="str">
        <f>IADNumber&amp;" Lobby"</f>
        <v>IAD35 Lobby</v>
      </c>
      <c r="C15" s="212" t="s">
        <v>2447</v>
      </c>
      <c r="D15" s="215" t="s">
        <v>2520</v>
      </c>
      <c r="E15" s="212" t="s">
        <v>1464</v>
      </c>
      <c r="F15" s="214" t="s">
        <v>1519</v>
      </c>
      <c r="G15" s="214"/>
    </row>
    <row r="16" spans="1:9" ht="93.75" x14ac:dyDescent="0.25">
      <c r="A16" s="219">
        <f t="shared" si="0"/>
        <v>11</v>
      </c>
      <c r="B16" s="212" t="str">
        <f>IADNumber&amp;" Lobby"</f>
        <v>IAD35 Lobby</v>
      </c>
      <c r="C16" s="212" t="s">
        <v>2447</v>
      </c>
      <c r="D16" s="220" t="s">
        <v>2521</v>
      </c>
      <c r="E16" s="212" t="s">
        <v>1464</v>
      </c>
      <c r="F16" s="214"/>
      <c r="G16" s="214"/>
    </row>
    <row r="17" spans="1:7" ht="93.75" x14ac:dyDescent="0.25">
      <c r="A17" s="219">
        <f t="shared" si="0"/>
        <v>12</v>
      </c>
      <c r="B17" s="212" t="str">
        <f>IF('Config-Fire'!$B$1="POP", "PBB",_xlfn.SINGLE(Suite)) &amp; " Pre-Action Closet"</f>
        <v>G104 Pre-Action Closet</v>
      </c>
      <c r="C17" s="221" t="str">
        <f>"Pre-Action Cabinet " &amp; PreActCab2Zones</f>
        <v>Pre-Action Cabinet B</v>
      </c>
      <c r="D17" s="223" t="str" cm="1">
        <f t="array" ref="D17">"Record all existing deficiencies or abnormal conditions on the " &amp; Building &amp; " PBB fire systems.
________________________________________________________________________________________________________________________________________________________________________________________________"</f>
        <v>Record all existing deficiencies or abnormal conditions on the G PBB fire systems.
________________________________________________________________________________________________________________________________________________________________________________________________</v>
      </c>
      <c r="E17" s="212" t="s">
        <v>1464</v>
      </c>
      <c r="F17" s="214"/>
      <c r="G17" s="214"/>
    </row>
    <row r="18" spans="1:7" ht="18.75" x14ac:dyDescent="0.25">
      <c r="A18" s="219">
        <f t="shared" si="0"/>
        <v>13</v>
      </c>
      <c r="B18" s="713" t="s">
        <v>2522</v>
      </c>
      <c r="C18" s="713"/>
      <c r="D18" s="713"/>
      <c r="E18" s="713"/>
      <c r="F18" s="713"/>
      <c r="G18" s="713"/>
    </row>
    <row r="19" spans="1:7" ht="37.5" x14ac:dyDescent="0.25">
      <c r="A19" s="219">
        <f t="shared" si="0"/>
        <v>14</v>
      </c>
      <c r="B19" s="212" t="str">
        <f>IADNumber&amp;" Lobby"</f>
        <v>IAD35 Lobby</v>
      </c>
      <c r="C19" s="212" t="s">
        <v>2447</v>
      </c>
      <c r="D19" s="215" t="s">
        <v>2523</v>
      </c>
      <c r="E19" s="212" t="s">
        <v>1464</v>
      </c>
      <c r="F19" s="214" t="s">
        <v>1519</v>
      </c>
      <c r="G19" s="214"/>
    </row>
    <row r="20" spans="1:7" ht="37.5" x14ac:dyDescent="0.25">
      <c r="A20" s="219">
        <f t="shared" si="0"/>
        <v>15</v>
      </c>
      <c r="B20" s="212" t="str">
        <f>IADNumber&amp;" Lobby"</f>
        <v>IAD35 Lobby</v>
      </c>
      <c r="C20" s="212" t="s">
        <v>2447</v>
      </c>
      <c r="D20" s="215" t="s">
        <v>2524</v>
      </c>
      <c r="E20" s="212" t="s">
        <v>1464</v>
      </c>
      <c r="F20" s="214" t="s">
        <v>1519</v>
      </c>
      <c r="G20" s="214"/>
    </row>
    <row r="21" spans="1:7" ht="37.5" x14ac:dyDescent="0.25">
      <c r="A21" s="219">
        <f t="shared" si="0"/>
        <v>16</v>
      </c>
      <c r="B21" s="212" t="str">
        <f>IADNumber&amp;" Lobby"</f>
        <v>IAD35 Lobby</v>
      </c>
      <c r="C21" s="212" t="s">
        <v>2447</v>
      </c>
      <c r="D21" s="215" t="s">
        <v>2525</v>
      </c>
      <c r="E21" s="212" t="s">
        <v>1464</v>
      </c>
      <c r="F21" s="214" t="s">
        <v>1519</v>
      </c>
      <c r="G21" s="214"/>
    </row>
    <row r="22" spans="1:7" ht="18.75" x14ac:dyDescent="0.25">
      <c r="A22" s="219">
        <f t="shared" si="0"/>
        <v>17</v>
      </c>
      <c r="B22" s="749" t="str">
        <f>"Test BUILDING "&amp; Building &amp; " FIRE ALARM SYSTEM"</f>
        <v>Test BUILDING G FIRE ALARM SYSTEM</v>
      </c>
      <c r="C22" s="750"/>
      <c r="D22" s="750"/>
      <c r="E22" s="751"/>
      <c r="F22" s="751"/>
      <c r="G22" s="752"/>
    </row>
    <row r="23" spans="1:7" ht="37.5" x14ac:dyDescent="0.25">
      <c r="A23" s="219">
        <f t="shared" si="0"/>
        <v>18</v>
      </c>
      <c r="B23" s="225" t="str">
        <f>"Bulding " &amp; Building</f>
        <v>Bulding G</v>
      </c>
      <c r="C23" s="388" t="s">
        <v>2526</v>
      </c>
      <c r="D23" s="215" t="s">
        <v>2527</v>
      </c>
      <c r="E23" s="388" t="s">
        <v>1529</v>
      </c>
      <c r="F23" s="214"/>
      <c r="G23" s="214"/>
    </row>
    <row r="24" spans="1:7" ht="37.5" x14ac:dyDescent="0.25">
      <c r="A24" s="219">
        <f t="shared" si="0"/>
        <v>19</v>
      </c>
      <c r="B24" s="225" t="str">
        <f>"Bulding " &amp; Building</f>
        <v>Bulding G</v>
      </c>
      <c r="C24" s="388" t="s">
        <v>2526</v>
      </c>
      <c r="D24" s="215" t="s">
        <v>2528</v>
      </c>
      <c r="E24" s="388" t="s">
        <v>1529</v>
      </c>
      <c r="F24" s="214"/>
      <c r="G24" s="214"/>
    </row>
    <row r="25" spans="1:7" ht="37.5" x14ac:dyDescent="0.25">
      <c r="A25" s="219">
        <f t="shared" si="0"/>
        <v>20</v>
      </c>
      <c r="B25" s="225" t="str">
        <f>"Bulding " &amp; Building</f>
        <v>Bulding G</v>
      </c>
      <c r="C25" s="388" t="s">
        <v>2526</v>
      </c>
      <c r="D25" s="215" t="s">
        <v>2529</v>
      </c>
      <c r="E25" s="388" t="s">
        <v>1529</v>
      </c>
      <c r="F25" s="214"/>
      <c r="G25" s="214"/>
    </row>
    <row r="26" spans="1:7" ht="56.25" x14ac:dyDescent="0.25">
      <c r="A26" s="219">
        <f t="shared" si="0"/>
        <v>21</v>
      </c>
      <c r="B26" s="225" t="str">
        <f>"Bulding " &amp; Building</f>
        <v>Bulding G</v>
      </c>
      <c r="C26" s="388" t="s">
        <v>2526</v>
      </c>
      <c r="D26" s="215" t="s">
        <v>2530</v>
      </c>
      <c r="E26" s="388" t="s">
        <v>1529</v>
      </c>
      <c r="F26" s="214"/>
      <c r="G26" s="214"/>
    </row>
    <row r="27" spans="1:7" ht="37.5" x14ac:dyDescent="0.25">
      <c r="A27" s="219">
        <f t="shared" si="0"/>
        <v>22</v>
      </c>
      <c r="B27" s="225" t="str">
        <f>"Bulding " &amp; Building</f>
        <v>Bulding G</v>
      </c>
      <c r="C27" s="388" t="s">
        <v>2526</v>
      </c>
      <c r="D27" s="226" t="s">
        <v>2531</v>
      </c>
      <c r="E27" s="388" t="s">
        <v>1529</v>
      </c>
      <c r="F27" s="189"/>
      <c r="G27" s="189"/>
    </row>
    <row r="28" spans="1:7" ht="37.5" x14ac:dyDescent="0.25">
      <c r="A28" s="219">
        <f t="shared" si="0"/>
        <v>23</v>
      </c>
      <c r="B28" s="225" t="str">
        <f>"Bulding " &amp; Building</f>
        <v>Bulding G</v>
      </c>
      <c r="C28" s="388" t="s">
        <v>2526</v>
      </c>
      <c r="D28" s="226" t="s">
        <v>2532</v>
      </c>
      <c r="E28" s="388" t="s">
        <v>1529</v>
      </c>
      <c r="F28" s="189"/>
      <c r="G28" s="189"/>
    </row>
    <row r="29" spans="1:7" ht="37.5" x14ac:dyDescent="0.25">
      <c r="A29" s="219">
        <f t="shared" si="0"/>
        <v>24</v>
      </c>
      <c r="B29" s="225" t="str">
        <f>"Bulding " &amp; Building</f>
        <v>Bulding G</v>
      </c>
      <c r="C29" s="388" t="s">
        <v>2526</v>
      </c>
      <c r="D29" s="226" t="s">
        <v>2533</v>
      </c>
      <c r="E29" s="388" t="s">
        <v>1529</v>
      </c>
      <c r="F29" s="189"/>
      <c r="G29" s="189"/>
    </row>
    <row r="30" spans="1:7" ht="37.5" x14ac:dyDescent="0.25">
      <c r="A30" s="219">
        <f t="shared" si="0"/>
        <v>25</v>
      </c>
      <c r="B30" s="225" t="str">
        <f>"Bulding " &amp; Building</f>
        <v>Bulding G</v>
      </c>
      <c r="C30" s="388" t="s">
        <v>2526</v>
      </c>
      <c r="D30" s="226" t="s">
        <v>2534</v>
      </c>
      <c r="E30" s="388" t="s">
        <v>1529</v>
      </c>
      <c r="F30" s="189"/>
      <c r="G30" s="189"/>
    </row>
    <row r="31" spans="1:7" ht="37.5" x14ac:dyDescent="0.25">
      <c r="A31" s="219">
        <f t="shared" si="0"/>
        <v>26</v>
      </c>
      <c r="B31" s="225" t="str">
        <f>"Bulding " &amp; Building</f>
        <v>Bulding G</v>
      </c>
      <c r="C31" s="388" t="s">
        <v>2526</v>
      </c>
      <c r="D31" s="226" t="s">
        <v>2535</v>
      </c>
      <c r="E31" s="388" t="s">
        <v>1529</v>
      </c>
      <c r="F31" s="189"/>
      <c r="G31" s="189"/>
    </row>
    <row r="32" spans="1:7" ht="54" x14ac:dyDescent="0.25">
      <c r="A32" s="219">
        <f t="shared" si="0"/>
        <v>27</v>
      </c>
      <c r="B32" s="225" t="str">
        <f>"Bulding " &amp; Building</f>
        <v>Bulding G</v>
      </c>
      <c r="C32" s="388" t="s">
        <v>2526</v>
      </c>
      <c r="D32" s="226" t="s">
        <v>2536</v>
      </c>
      <c r="E32" s="388" t="s">
        <v>1529</v>
      </c>
      <c r="F32" s="189"/>
      <c r="G32" s="189"/>
    </row>
    <row r="33" spans="1:7" ht="37.5" x14ac:dyDescent="0.25">
      <c r="A33" s="219">
        <f t="shared" si="0"/>
        <v>28</v>
      </c>
      <c r="B33" s="225" t="str">
        <f>"Bulding " &amp; Building</f>
        <v>Bulding G</v>
      </c>
      <c r="C33" s="388" t="s">
        <v>2526</v>
      </c>
      <c r="D33" s="226" t="s">
        <v>2537</v>
      </c>
      <c r="E33" s="388" t="s">
        <v>1529</v>
      </c>
      <c r="F33" s="189"/>
      <c r="G33" s="189"/>
    </row>
    <row r="34" spans="1:7" ht="37.5" x14ac:dyDescent="0.25">
      <c r="A34" s="219">
        <f t="shared" si="0"/>
        <v>29</v>
      </c>
      <c r="B34" s="225" t="str">
        <f>"Bulding " &amp; Building</f>
        <v>Bulding G</v>
      </c>
      <c r="C34" s="388" t="s">
        <v>2526</v>
      </c>
      <c r="D34" s="226" t="s">
        <v>2538</v>
      </c>
      <c r="E34" s="388" t="s">
        <v>1529</v>
      </c>
      <c r="F34" s="189"/>
      <c r="G34" s="189"/>
    </row>
    <row r="35" spans="1:7" ht="37.5" x14ac:dyDescent="0.25">
      <c r="A35" s="219">
        <f t="shared" si="0"/>
        <v>30</v>
      </c>
      <c r="B35" s="225" t="str">
        <f>"Bulding " &amp; Building</f>
        <v>Bulding G</v>
      </c>
      <c r="C35" s="388" t="s">
        <v>2526</v>
      </c>
      <c r="D35" s="226" t="s">
        <v>2539</v>
      </c>
      <c r="E35" s="388" t="s">
        <v>1529</v>
      </c>
      <c r="F35" s="189"/>
      <c r="G35" s="189" t="s">
        <v>1519</v>
      </c>
    </row>
    <row r="36" spans="1:7" ht="37.5" x14ac:dyDescent="0.25">
      <c r="A36" s="219">
        <f t="shared" si="0"/>
        <v>31</v>
      </c>
      <c r="B36" s="225" t="str">
        <f>"Bulding " &amp; Building</f>
        <v>Bulding G</v>
      </c>
      <c r="C36" s="388" t="s">
        <v>2526</v>
      </c>
      <c r="D36" s="226" t="s">
        <v>2540</v>
      </c>
      <c r="E36" s="388" t="s">
        <v>1529</v>
      </c>
      <c r="F36" s="189"/>
      <c r="G36" s="189" t="s">
        <v>1519</v>
      </c>
    </row>
    <row r="37" spans="1:7" ht="37.5" x14ac:dyDescent="0.25">
      <c r="A37" s="219">
        <f t="shared" si="0"/>
        <v>32</v>
      </c>
      <c r="B37" s="225" t="str">
        <f>"Bulding " &amp; Building</f>
        <v>Bulding G</v>
      </c>
      <c r="C37" s="388" t="s">
        <v>2526</v>
      </c>
      <c r="D37" s="226" t="s">
        <v>2541</v>
      </c>
      <c r="E37" s="388" t="s">
        <v>1529</v>
      </c>
      <c r="F37" s="189"/>
      <c r="G37" s="189" t="s">
        <v>1519</v>
      </c>
    </row>
    <row r="38" spans="1:7" ht="37.5" x14ac:dyDescent="0.25">
      <c r="A38" s="219">
        <f t="shared" si="0"/>
        <v>33</v>
      </c>
      <c r="B38" s="225" t="str">
        <f>"Bulding " &amp; Building</f>
        <v>Bulding G</v>
      </c>
      <c r="C38" s="388" t="s">
        <v>2526</v>
      </c>
      <c r="D38" s="226" t="s">
        <v>2542</v>
      </c>
      <c r="E38" s="388" t="s">
        <v>1529</v>
      </c>
      <c r="F38" s="189"/>
      <c r="G38" s="189" t="s">
        <v>1519</v>
      </c>
    </row>
    <row r="39" spans="1:7" ht="37.5" x14ac:dyDescent="0.25">
      <c r="A39" s="219">
        <f t="shared" si="0"/>
        <v>34</v>
      </c>
      <c r="B39" s="212" t="str">
        <f t="shared" ref="B39" si="1">IADNumber&amp;" Lobby"</f>
        <v>IAD35 Lobby</v>
      </c>
      <c r="C39" s="212" t="s">
        <v>2447</v>
      </c>
      <c r="D39" s="226" t="s">
        <v>2543</v>
      </c>
      <c r="E39" s="388" t="s">
        <v>1529</v>
      </c>
      <c r="F39" s="189"/>
      <c r="G39" s="189" t="s">
        <v>1519</v>
      </c>
    </row>
    <row r="40" spans="1:7" ht="37.5" x14ac:dyDescent="0.25">
      <c r="A40" s="219">
        <f t="shared" si="0"/>
        <v>35</v>
      </c>
      <c r="B40" s="212" t="str">
        <f t="shared" ref="B40:B46" si="2">IADNumber&amp;" Lobby"</f>
        <v>IAD35 Lobby</v>
      </c>
      <c r="C40" s="212" t="s">
        <v>2447</v>
      </c>
      <c r="D40" s="226" t="s">
        <v>2544</v>
      </c>
      <c r="E40" s="388" t="s">
        <v>1529</v>
      </c>
      <c r="F40" s="189"/>
      <c r="G40" s="189" t="s">
        <v>1519</v>
      </c>
    </row>
    <row r="41" spans="1:7" ht="18.75" x14ac:dyDescent="0.25">
      <c r="A41" s="219">
        <f t="shared" si="0"/>
        <v>36</v>
      </c>
      <c r="B41" s="713" t="s">
        <v>2545</v>
      </c>
      <c r="C41" s="713"/>
      <c r="D41" s="713"/>
      <c r="E41" s="713"/>
      <c r="F41" s="713"/>
      <c r="G41" s="713"/>
    </row>
    <row r="42" spans="1:7" ht="37.5" x14ac:dyDescent="0.3">
      <c r="A42" s="219">
        <f t="shared" si="0"/>
        <v>37</v>
      </c>
      <c r="B42" s="212" t="str">
        <f t="shared" si="2"/>
        <v>IAD35 Lobby</v>
      </c>
      <c r="C42" s="212" t="s">
        <v>2447</v>
      </c>
      <c r="D42" s="215" t="s">
        <v>2523</v>
      </c>
      <c r="E42" s="212" t="s">
        <v>1464</v>
      </c>
      <c r="F42" s="217" t="s">
        <v>1519</v>
      </c>
      <c r="G42" s="218"/>
    </row>
    <row r="43" spans="1:7" ht="37.5" x14ac:dyDescent="0.3">
      <c r="A43" s="219">
        <f t="shared" si="0"/>
        <v>38</v>
      </c>
      <c r="B43" s="212" t="str">
        <f t="shared" si="2"/>
        <v>IAD35 Lobby</v>
      </c>
      <c r="C43" s="212" t="s">
        <v>2447</v>
      </c>
      <c r="D43" s="215" t="s">
        <v>2546</v>
      </c>
      <c r="E43" s="212" t="s">
        <v>1464</v>
      </c>
      <c r="F43" s="217" t="s">
        <v>1519</v>
      </c>
      <c r="G43" s="218"/>
    </row>
    <row r="44" spans="1:7" ht="37.5" x14ac:dyDescent="0.3">
      <c r="A44" s="219">
        <f t="shared" si="0"/>
        <v>39</v>
      </c>
      <c r="B44" s="212" t="str">
        <f t="shared" si="2"/>
        <v>IAD35 Lobby</v>
      </c>
      <c r="C44" s="212" t="s">
        <v>2447</v>
      </c>
      <c r="D44" s="215" t="s">
        <v>2547</v>
      </c>
      <c r="E44" s="212" t="s">
        <v>1464</v>
      </c>
      <c r="F44" s="217" t="s">
        <v>1519</v>
      </c>
      <c r="G44" s="218"/>
    </row>
    <row r="45" spans="1:7" ht="93.75" x14ac:dyDescent="0.3">
      <c r="A45" s="219">
        <f t="shared" si="0"/>
        <v>40</v>
      </c>
      <c r="B45" s="212" t="str">
        <f t="shared" si="2"/>
        <v>IAD35 Lobby</v>
      </c>
      <c r="C45" s="212" t="s">
        <v>2447</v>
      </c>
      <c r="D45" s="223" t="str" cm="1">
        <f t="array" ref="D45">"Record all existing deficiencies or abnormal conditions on the " &amp; Building &amp; " PBB fire systems.
________________________________________________________________________________________________________________________________________________________________________________________________"</f>
        <v>Record all existing deficiencies or abnormal conditions on the G PBB fire systems.
________________________________________________________________________________________________________________________________________________________________________________________________</v>
      </c>
      <c r="E45" s="212" t="s">
        <v>1464</v>
      </c>
      <c r="F45" s="217"/>
      <c r="G45" s="218"/>
    </row>
    <row r="46" spans="1:7" ht="93.75" x14ac:dyDescent="0.3">
      <c r="A46" s="219">
        <f t="shared" si="0"/>
        <v>41</v>
      </c>
      <c r="B46" s="212" t="str">
        <f t="shared" si="2"/>
        <v>IAD35 Lobby</v>
      </c>
      <c r="C46" s="212" t="s">
        <v>2447</v>
      </c>
      <c r="D46" s="223" t="str" cm="1">
        <f t="array" ref="D46">"By my signature below I certify that the fire systems for building " &amp; Building &amp; " are operating normally with any exceptions noted above. All exceptions noted above will be noted in the Service Report and quotes for applicable repairs will be provided. 
Fire system technician signature: _____________________________"</f>
        <v>By my signature below I certify that the fire systems for building G are operating normally with any exceptions noted above. All exceptions noted above will be noted in the Service Report and quotes for applicable repairs will be provided. 
Fire system technician signature: _____________________________</v>
      </c>
      <c r="E46" s="212" t="s">
        <v>1529</v>
      </c>
      <c r="F46" s="217"/>
      <c r="G46" s="218"/>
    </row>
    <row r="47" spans="1:7" ht="18.75" x14ac:dyDescent="0.25">
      <c r="A47" s="219">
        <f t="shared" si="0"/>
        <v>42</v>
      </c>
      <c r="B47" s="713" t="s">
        <v>2363</v>
      </c>
      <c r="C47" s="713"/>
      <c r="D47" s="713"/>
      <c r="E47" s="713"/>
      <c r="F47" s="713"/>
      <c r="G47" s="713"/>
    </row>
    <row r="48" spans="1:7" ht="37.5" x14ac:dyDescent="0.3">
      <c r="A48" s="219">
        <f t="shared" si="0"/>
        <v>43</v>
      </c>
      <c r="B48" s="212" t="s">
        <v>1462</v>
      </c>
      <c r="C48" s="212" t="s">
        <v>84</v>
      </c>
      <c r="D48" s="215" t="s">
        <v>2037</v>
      </c>
      <c r="E48" s="212" t="s">
        <v>1464</v>
      </c>
      <c r="F48" s="217" t="s">
        <v>1519</v>
      </c>
      <c r="G48" s="218"/>
    </row>
    <row r="49" spans="1:7" ht="37.5" x14ac:dyDescent="0.3">
      <c r="A49" s="219">
        <f t="shared" si="0"/>
        <v>44</v>
      </c>
      <c r="B49" s="212" t="s">
        <v>1462</v>
      </c>
      <c r="C49" s="212" t="s">
        <v>84</v>
      </c>
      <c r="D49" s="215" t="s">
        <v>2025</v>
      </c>
      <c r="E49" s="212" t="s">
        <v>1464</v>
      </c>
      <c r="F49" s="217" t="s">
        <v>1519</v>
      </c>
      <c r="G49" s="218"/>
    </row>
    <row r="50" spans="1:7" ht="37.5" x14ac:dyDescent="0.3">
      <c r="A50" s="219">
        <f t="shared" si="0"/>
        <v>45</v>
      </c>
      <c r="B50" s="212" t="s">
        <v>1462</v>
      </c>
      <c r="C50" s="212" t="s">
        <v>84</v>
      </c>
      <c r="D50" s="215" t="s">
        <v>2548</v>
      </c>
      <c r="E50" s="212" t="s">
        <v>1464</v>
      </c>
      <c r="F50" s="217" t="s">
        <v>1519</v>
      </c>
      <c r="G50" s="218"/>
    </row>
    <row r="51" spans="1:7" ht="37.5" x14ac:dyDescent="0.3">
      <c r="A51" s="219">
        <f t="shared" si="0"/>
        <v>46</v>
      </c>
      <c r="B51" s="212" t="s">
        <v>1462</v>
      </c>
      <c r="C51" s="212" t="s">
        <v>84</v>
      </c>
      <c r="D51" s="215" t="str">
        <f>"Building "&amp;Building&amp;" address: "&amp;Address</f>
        <v>Building G address: 43940 Digital Loudoun Plaza</v>
      </c>
      <c r="E51" s="212" t="s">
        <v>1464</v>
      </c>
      <c r="F51" s="217" t="s">
        <v>1519</v>
      </c>
      <c r="G51" s="218"/>
    </row>
    <row r="52" spans="1:7" ht="37.5" x14ac:dyDescent="0.3">
      <c r="A52" s="219">
        <f t="shared" si="0"/>
        <v>47</v>
      </c>
      <c r="B52" s="212" t="s">
        <v>1462</v>
      </c>
      <c r="C52" s="212" t="s">
        <v>84</v>
      </c>
      <c r="D52" s="215" t="s">
        <v>2444</v>
      </c>
      <c r="E52" s="212" t="s">
        <v>1464</v>
      </c>
      <c r="F52" s="217" t="s">
        <v>1519</v>
      </c>
      <c r="G52" s="217"/>
    </row>
    <row r="53" spans="1:7" ht="37.5" x14ac:dyDescent="0.3">
      <c r="A53" s="219">
        <f t="shared" si="0"/>
        <v>48</v>
      </c>
      <c r="B53" s="212" t="str">
        <f t="shared" ref="B53" si="3">IADNumber&amp;" Lobby"</f>
        <v>IAD35 Lobby</v>
      </c>
      <c r="C53" s="212" t="s">
        <v>2447</v>
      </c>
      <c r="D53" s="217" t="s">
        <v>2515</v>
      </c>
      <c r="E53" s="212" t="s">
        <v>1464</v>
      </c>
      <c r="F53" s="217" t="s">
        <v>1519</v>
      </c>
      <c r="G53" s="217"/>
    </row>
    <row r="54" spans="1:7" ht="18.75" x14ac:dyDescent="0.3">
      <c r="A54" s="192"/>
    </row>
    <row r="55" spans="1:7" ht="18.75" x14ac:dyDescent="0.3">
      <c r="A55" s="192"/>
    </row>
    <row r="56" spans="1:7" ht="18.75" x14ac:dyDescent="0.3">
      <c r="A56" s="192"/>
    </row>
    <row r="57" spans="1:7" ht="18.75" x14ac:dyDescent="0.3">
      <c r="A57" s="192"/>
    </row>
  </sheetData>
  <sheetProtection formatCells="0" formatColumns="0" formatRows="0" insertRows="0" deleteRows="0" sort="0" autoFilter="0"/>
  <mergeCells count="10">
    <mergeCell ref="B47:G47"/>
    <mergeCell ref="A4:C4"/>
    <mergeCell ref="B6:G6"/>
    <mergeCell ref="B18:G18"/>
    <mergeCell ref="B22:G22"/>
    <mergeCell ref="A2:B2"/>
    <mergeCell ref="A3:B3"/>
    <mergeCell ref="C3:D3"/>
    <mergeCell ref="C2:G2"/>
    <mergeCell ref="B41:G41"/>
  </mergeCells>
  <phoneticPr fontId="42" type="noConversion"/>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894CB-9306-4D4A-B6B7-9CECBBCD5001}">
  <sheetPr codeName="Fire_Alarm_APM_Suite">
    <pageSetUpPr fitToPage="1"/>
  </sheetPr>
  <dimension ref="A1:I121"/>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customWidth="1"/>
    <col min="9" max="9" width="10.7109375" customWidth="1"/>
    <col min="10" max="10" width="9.140625" customWidth="1"/>
    <col min="11" max="11" width="9.85546875" customWidth="1"/>
  </cols>
  <sheetData>
    <row r="1" spans="1:9" x14ac:dyDescent="0.25">
      <c r="A1" s="209" t="s">
        <v>1454</v>
      </c>
      <c r="B1" s="209"/>
      <c r="C1" s="210"/>
      <c r="D1" s="210"/>
      <c r="E1" s="210"/>
      <c r="F1" s="210"/>
      <c r="G1" s="210"/>
    </row>
    <row r="2" spans="1:9" ht="18.75" customHeight="1" x14ac:dyDescent="0.25">
      <c r="A2" s="705" t="s">
        <v>42</v>
      </c>
      <c r="B2" s="705"/>
      <c r="C2" s="731" t="str">
        <f>zTaskName</f>
        <v>Routine Generator run with no load transfer</v>
      </c>
      <c r="D2" s="730"/>
      <c r="E2" s="730"/>
      <c r="F2" s="730"/>
      <c r="G2" s="732"/>
    </row>
    <row r="3" spans="1:9" ht="9.9499999999999993" customHeight="1" x14ac:dyDescent="0.25">
      <c r="A3" s="728"/>
      <c r="B3" s="729"/>
      <c r="C3" s="730"/>
      <c r="D3" s="730"/>
      <c r="E3" s="380"/>
      <c r="F3" s="380"/>
      <c r="G3" s="381"/>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22">
        <v>1</v>
      </c>
      <c r="B6" s="712" t="str">
        <f>"PERFORM PRE-TESTING NOTIFICATION and CALLOUT – " &amp; Suite</f>
        <v>PERFORM PRE-TESTING NOTIFICATION and CALLOUT – G104</v>
      </c>
      <c r="C6" s="712"/>
      <c r="D6" s="712"/>
      <c r="E6" s="712"/>
      <c r="F6" s="712"/>
      <c r="G6" s="712"/>
    </row>
    <row r="7" spans="1:9" ht="37.5" x14ac:dyDescent="0.25">
      <c r="A7" s="222">
        <f t="shared" ref="A7:A51" si="0">A6+1</f>
        <v>2</v>
      </c>
      <c r="B7" s="212" t="s">
        <v>1462</v>
      </c>
      <c r="C7" s="212" t="s">
        <v>84</v>
      </c>
      <c r="D7" s="213" t="s">
        <v>2441</v>
      </c>
      <c r="E7" s="212" t="s">
        <v>1464</v>
      </c>
      <c r="F7" s="214" t="s">
        <v>1519</v>
      </c>
      <c r="G7" s="214"/>
    </row>
    <row r="8" spans="1:9" ht="37.5" x14ac:dyDescent="0.25">
      <c r="A8" s="222">
        <f t="shared" si="0"/>
        <v>3</v>
      </c>
      <c r="B8" s="212" t="s">
        <v>1462</v>
      </c>
      <c r="C8" s="212" t="s">
        <v>84</v>
      </c>
      <c r="D8" s="213" t="s">
        <v>2442</v>
      </c>
      <c r="E8" s="212" t="s">
        <v>1464</v>
      </c>
      <c r="F8" s="214" t="s">
        <v>1519</v>
      </c>
      <c r="G8" s="214"/>
    </row>
    <row r="9" spans="1:9" ht="37.5" x14ac:dyDescent="0.25">
      <c r="A9" s="222">
        <f t="shared" si="0"/>
        <v>4</v>
      </c>
      <c r="B9" s="212" t="s">
        <v>1462</v>
      </c>
      <c r="C9" s="212" t="s">
        <v>84</v>
      </c>
      <c r="D9" s="213" t="s">
        <v>2025</v>
      </c>
      <c r="E9" s="212" t="s">
        <v>1464</v>
      </c>
      <c r="F9" s="214" t="s">
        <v>1519</v>
      </c>
      <c r="G9" s="214"/>
    </row>
    <row r="10" spans="1:9" ht="37.5" x14ac:dyDescent="0.25">
      <c r="A10" s="222">
        <f t="shared" si="0"/>
        <v>5</v>
      </c>
      <c r="B10" s="212" t="s">
        <v>1462</v>
      </c>
      <c r="C10" s="212" t="s">
        <v>84</v>
      </c>
      <c r="D10" s="213" t="s">
        <v>2443</v>
      </c>
      <c r="E10" s="212" t="s">
        <v>1464</v>
      </c>
      <c r="F10" s="214" t="s">
        <v>1519</v>
      </c>
      <c r="G10" s="214"/>
    </row>
    <row r="11" spans="1:9" ht="37.5" x14ac:dyDescent="0.25">
      <c r="A11" s="222">
        <f t="shared" si="0"/>
        <v>6</v>
      </c>
      <c r="B11" s="212" t="s">
        <v>1462</v>
      </c>
      <c r="C11" s="212" t="s">
        <v>84</v>
      </c>
      <c r="D11" s="213" t="str">
        <f>"Building "&amp;Building&amp;" address: "&amp;Address</f>
        <v>Building G address: 43940 Digital Loudoun Plaza</v>
      </c>
      <c r="E11" s="212" t="s">
        <v>1464</v>
      </c>
      <c r="F11" s="214" t="s">
        <v>1519</v>
      </c>
      <c r="G11" s="214"/>
    </row>
    <row r="12" spans="1:9" ht="37.5" x14ac:dyDescent="0.25">
      <c r="A12" s="222">
        <f t="shared" si="0"/>
        <v>7</v>
      </c>
      <c r="B12" s="212" t="s">
        <v>1462</v>
      </c>
      <c r="C12" s="212" t="s">
        <v>84</v>
      </c>
      <c r="D12" s="213" t="s">
        <v>2444</v>
      </c>
      <c r="E12" s="212" t="s">
        <v>1464</v>
      </c>
      <c r="F12" s="214" t="s">
        <v>1519</v>
      </c>
      <c r="G12" s="214" t="s">
        <v>1519</v>
      </c>
    </row>
    <row r="13" spans="1:9" ht="75" x14ac:dyDescent="0.25">
      <c r="A13" s="222">
        <f t="shared" si="0"/>
        <v>8</v>
      </c>
      <c r="B13" s="212" t="s">
        <v>1462</v>
      </c>
      <c r="C13" s="212" t="s">
        <v>84</v>
      </c>
      <c r="D13" s="215" t="s">
        <v>2445</v>
      </c>
      <c r="E13" s="212" t="s">
        <v>1464</v>
      </c>
      <c r="F13" s="214" t="s">
        <v>1519</v>
      </c>
      <c r="G13" s="214" t="s">
        <v>1519</v>
      </c>
    </row>
    <row r="14" spans="1:9" ht="56.25" x14ac:dyDescent="0.25">
      <c r="A14" s="222">
        <f t="shared" si="0"/>
        <v>9</v>
      </c>
      <c r="B14" s="212" t="s">
        <v>1462</v>
      </c>
      <c r="C14" s="212" t="s">
        <v>84</v>
      </c>
      <c r="D14" s="215" t="s">
        <v>2446</v>
      </c>
      <c r="E14" s="212" t="s">
        <v>1464</v>
      </c>
      <c r="F14" s="214"/>
      <c r="G14" s="214" t="s">
        <v>1519</v>
      </c>
    </row>
    <row r="15" spans="1:9" ht="37.5" x14ac:dyDescent="0.25">
      <c r="A15" s="222">
        <f t="shared" si="0"/>
        <v>10</v>
      </c>
      <c r="B15" s="212" t="str">
        <f>IADNumber&amp;" Lobby"</f>
        <v>IAD35 Lobby</v>
      </c>
      <c r="C15" s="212" t="s">
        <v>2447</v>
      </c>
      <c r="D15" s="213" t="s">
        <v>2448</v>
      </c>
      <c r="E15" s="212" t="s">
        <v>1464</v>
      </c>
      <c r="F15" s="214" t="s">
        <v>1519</v>
      </c>
      <c r="G15" s="214"/>
    </row>
    <row r="16" spans="1:9" ht="93.75" x14ac:dyDescent="0.25">
      <c r="A16" s="222">
        <f t="shared" si="0"/>
        <v>11</v>
      </c>
      <c r="B16" s="212" t="str">
        <f>IADNumber&amp;" Lobby"</f>
        <v>IAD35 Lobby</v>
      </c>
      <c r="C16" s="212" t="s">
        <v>2447</v>
      </c>
      <c r="D16" s="223" t="s">
        <v>2449</v>
      </c>
      <c r="E16" s="212" t="s">
        <v>1464</v>
      </c>
      <c r="F16" s="214"/>
      <c r="G16" s="214"/>
    </row>
    <row r="17" spans="1:7" ht="93.75" x14ac:dyDescent="0.25">
      <c r="A17" s="222">
        <f t="shared" si="0"/>
        <v>12</v>
      </c>
      <c r="B17" s="212" t="str">
        <f>IF('Config-Fire'!$B$1="POP", "PBB",_xlfn.SINGLE(Suite)) &amp; " Pre-Action Closet"</f>
        <v>G104 Pre-Action Closet</v>
      </c>
      <c r="C17" s="221" t="str">
        <f>"Pre-Action Cabinet " &amp; PreActCab2Zones</f>
        <v>Pre-Action Cabinet B</v>
      </c>
      <c r="D17" s="223" t="str" cm="1">
        <f t="array" ref="D17">"Record all existing deficiencies or abnormal conditions on the " &amp; Suite &amp; " fire systems.
________________________________________________________________________________________________________________________________________________________________________________________________"</f>
        <v>Record all existing deficiencies or abnormal conditions on the G104 fire systems.
________________________________________________________________________________________________________________________________________________________________________________________________</v>
      </c>
      <c r="E17" s="212" t="s">
        <v>1464</v>
      </c>
      <c r="F17" s="214"/>
      <c r="G17" s="214"/>
    </row>
    <row r="18" spans="1:7" x14ac:dyDescent="0.25">
      <c r="A18" s="222">
        <f t="shared" si="0"/>
        <v>13</v>
      </c>
      <c r="B18" s="712" t="s">
        <v>2549</v>
      </c>
      <c r="C18" s="712"/>
      <c r="D18" s="712"/>
      <c r="E18" s="712"/>
      <c r="F18" s="712"/>
      <c r="G18" s="712"/>
    </row>
    <row r="19" spans="1:7" ht="37.5" x14ac:dyDescent="0.25">
      <c r="A19" s="222">
        <f t="shared" si="0"/>
        <v>14</v>
      </c>
      <c r="B19" s="212" t="str">
        <f>IADNumber&amp;" Lobby"</f>
        <v>IAD35 Lobby</v>
      </c>
      <c r="C19" s="212" t="s">
        <v>2447</v>
      </c>
      <c r="D19" s="215" t="s">
        <v>2550</v>
      </c>
      <c r="E19" s="212" t="s">
        <v>1464</v>
      </c>
      <c r="F19" s="214" t="s">
        <v>1519</v>
      </c>
      <c r="G19" s="214"/>
    </row>
    <row r="20" spans="1:7" ht="37.5" x14ac:dyDescent="0.25">
      <c r="A20" s="222">
        <f t="shared" si="0"/>
        <v>15</v>
      </c>
      <c r="B20" s="212" t="str">
        <f>IADNumber&amp;" Lobby"</f>
        <v>IAD35 Lobby</v>
      </c>
      <c r="C20" s="212" t="s">
        <v>2447</v>
      </c>
      <c r="D20" s="213" t="s">
        <v>2551</v>
      </c>
      <c r="E20" s="212" t="s">
        <v>1464</v>
      </c>
      <c r="F20" s="214" t="s">
        <v>1519</v>
      </c>
      <c r="G20" s="214"/>
    </row>
    <row r="21" spans="1:7" ht="37.5" x14ac:dyDescent="0.25">
      <c r="A21" s="222">
        <f t="shared" si="0"/>
        <v>16</v>
      </c>
      <c r="B21" s="212" t="str">
        <f>IADNumber&amp;" Lobby"</f>
        <v>IAD35 Lobby</v>
      </c>
      <c r="C21" s="212" t="s">
        <v>2447</v>
      </c>
      <c r="D21" s="213" t="s">
        <v>2552</v>
      </c>
      <c r="E21" s="212" t="s">
        <v>1464</v>
      </c>
      <c r="F21" s="214" t="s">
        <v>1519</v>
      </c>
      <c r="G21" s="214"/>
    </row>
    <row r="22" spans="1:7" ht="37.5" x14ac:dyDescent="0.25">
      <c r="A22" s="222">
        <f t="shared" si="0"/>
        <v>17</v>
      </c>
      <c r="B22" s="212" t="str">
        <f>IADNumber&amp;" Lobby"</f>
        <v>IAD35 Lobby</v>
      </c>
      <c r="C22" s="212" t="s">
        <v>2447</v>
      </c>
      <c r="D22" s="213" t="s">
        <v>2553</v>
      </c>
      <c r="E22" s="212" t="s">
        <v>1464</v>
      </c>
      <c r="F22" s="214" t="s">
        <v>1519</v>
      </c>
      <c r="G22" s="214"/>
    </row>
    <row r="23" spans="1:7" ht="37.5" x14ac:dyDescent="0.25">
      <c r="A23" s="222">
        <f t="shared" si="0"/>
        <v>18</v>
      </c>
      <c r="B23" s="212" t="str">
        <f>IADNumber&amp;" Lobby"</f>
        <v>IAD35 Lobby</v>
      </c>
      <c r="C23" s="212" t="s">
        <v>2447</v>
      </c>
      <c r="D23" s="215" t="s">
        <v>2554</v>
      </c>
      <c r="E23" s="212" t="s">
        <v>1464</v>
      </c>
      <c r="F23" s="214" t="s">
        <v>1519</v>
      </c>
      <c r="G23" s="214"/>
    </row>
    <row r="24" spans="1:7" x14ac:dyDescent="0.25">
      <c r="A24" s="222">
        <f t="shared" si="0"/>
        <v>19</v>
      </c>
      <c r="B24" s="712" t="str">
        <f>"DISABLE SUITE LFACP – " &amp; Suite</f>
        <v>DISABLE SUITE LFACP – G104</v>
      </c>
      <c r="C24" s="712"/>
      <c r="D24" s="712"/>
      <c r="E24" s="712"/>
      <c r="F24" s="712"/>
      <c r="G24" s="712"/>
    </row>
    <row r="25" spans="1:7" ht="37.5" x14ac:dyDescent="0.25">
      <c r="A25" s="222">
        <f t="shared" si="0"/>
        <v>20</v>
      </c>
      <c r="B25" s="212" t="str">
        <f>Suite &amp; " Data Center"</f>
        <v>G104 Data Center</v>
      </c>
      <c r="C25" s="212" t="s">
        <v>2058</v>
      </c>
      <c r="D25" s="215" t="s">
        <v>2555</v>
      </c>
      <c r="E25" s="212" t="s">
        <v>1464</v>
      </c>
      <c r="F25" s="214"/>
      <c r="G25" s="214"/>
    </row>
    <row r="26" spans="1:7" ht="37.5" x14ac:dyDescent="0.25">
      <c r="A26" s="222">
        <f t="shared" si="0"/>
        <v>21</v>
      </c>
      <c r="B26" s="212" t="str">
        <f>Suite &amp; " Data Center"</f>
        <v>G104 Data Center</v>
      </c>
      <c r="C26" s="212" t="s">
        <v>2058</v>
      </c>
      <c r="D26" s="213" t="s">
        <v>2556</v>
      </c>
      <c r="E26" s="212" t="s">
        <v>1464</v>
      </c>
      <c r="F26" s="214"/>
      <c r="G26" s="214"/>
    </row>
    <row r="27" spans="1:7" ht="37.5" x14ac:dyDescent="0.25">
      <c r="A27" s="222">
        <f t="shared" si="0"/>
        <v>22</v>
      </c>
      <c r="B27" s="212" t="str">
        <f>Suite &amp; " Data Center"</f>
        <v>G104 Data Center</v>
      </c>
      <c r="C27" s="212" t="s">
        <v>2058</v>
      </c>
      <c r="D27" s="213" t="s">
        <v>2557</v>
      </c>
      <c r="E27" s="212" t="s">
        <v>1464</v>
      </c>
      <c r="F27" s="214"/>
      <c r="G27" s="214"/>
    </row>
    <row r="28" spans="1:7" ht="37.5" x14ac:dyDescent="0.25">
      <c r="A28" s="222">
        <f t="shared" si="0"/>
        <v>23</v>
      </c>
      <c r="B28" s="212" t="str">
        <f>Suite &amp; " Data Center"</f>
        <v>G104 Data Center</v>
      </c>
      <c r="C28" s="212" t="s">
        <v>2058</v>
      </c>
      <c r="D28" s="213" t="s">
        <v>2558</v>
      </c>
      <c r="E28" s="212" t="s">
        <v>1464</v>
      </c>
      <c r="F28" s="214"/>
      <c r="G28" s="214"/>
    </row>
    <row r="29" spans="1:7" ht="37.5" x14ac:dyDescent="0.25">
      <c r="A29" s="222">
        <f t="shared" si="0"/>
        <v>24</v>
      </c>
      <c r="B29" s="212" t="str">
        <f>Suite &amp; " Data Center"</f>
        <v>G104 Data Center</v>
      </c>
      <c r="C29" s="212" t="s">
        <v>2058</v>
      </c>
      <c r="D29" s="202" t="s">
        <v>2559</v>
      </c>
      <c r="E29" s="212" t="s">
        <v>1464</v>
      </c>
      <c r="F29" s="214"/>
      <c r="G29" s="214"/>
    </row>
    <row r="30" spans="1:7" ht="37.5" x14ac:dyDescent="0.25">
      <c r="A30" s="222">
        <f t="shared" si="0"/>
        <v>25</v>
      </c>
      <c r="B30" s="212" t="str">
        <f>Suite &amp; " Data Center"</f>
        <v>G104 Data Center</v>
      </c>
      <c r="C30" s="212" t="s">
        <v>2058</v>
      </c>
      <c r="D30" s="202" t="s">
        <v>2560</v>
      </c>
      <c r="E30" s="212" t="s">
        <v>1464</v>
      </c>
      <c r="F30" s="214"/>
      <c r="G30" s="214"/>
    </row>
    <row r="31" spans="1:7" x14ac:dyDescent="0.25">
      <c r="A31" s="222">
        <f t="shared" si="0"/>
        <v>26</v>
      </c>
      <c r="B31" s="712" t="str">
        <f>"INHIBIT HVAC SHUTDOWN SWITCH – " &amp; Suite</f>
        <v>INHIBIT HVAC SHUTDOWN SWITCH – G104</v>
      </c>
      <c r="C31" s="712"/>
      <c r="D31" s="712"/>
      <c r="E31" s="712"/>
      <c r="F31" s="712"/>
      <c r="G31" s="712"/>
    </row>
    <row r="32" spans="1:7" ht="37.5" x14ac:dyDescent="0.25">
      <c r="A32" s="222">
        <f t="shared" si="0"/>
        <v>27</v>
      </c>
      <c r="B32" s="212" t="str">
        <f>Suite &amp; " Data Center"</f>
        <v>G104 Data Center</v>
      </c>
      <c r="C32" s="212" t="s">
        <v>2510</v>
      </c>
      <c r="D32" s="215" t="s">
        <v>2561</v>
      </c>
      <c r="E32" s="212" t="s">
        <v>1464</v>
      </c>
      <c r="F32" s="214"/>
      <c r="G32" s="214"/>
    </row>
    <row r="33" spans="1:7" ht="37.5" x14ac:dyDescent="0.25">
      <c r="A33" s="222">
        <f t="shared" si="0"/>
        <v>28</v>
      </c>
      <c r="B33" s="212" t="str">
        <f>Suite &amp; " Data Center"</f>
        <v>G104 Data Center</v>
      </c>
      <c r="C33" s="212" t="s">
        <v>2510</v>
      </c>
      <c r="D33" s="213" t="s">
        <v>2562</v>
      </c>
      <c r="E33" s="212" t="s">
        <v>1464</v>
      </c>
      <c r="F33" s="214"/>
      <c r="G33" s="214"/>
    </row>
    <row r="34" spans="1:7" x14ac:dyDescent="0.25">
      <c r="A34" s="222">
        <f t="shared" si="0"/>
        <v>29</v>
      </c>
      <c r="B34" s="716" t="str">
        <f>"DISABLE PRE-ACTION SYSTEMS - "&amp;Suite</f>
        <v>DISABLE PRE-ACTION SYSTEMS - G104</v>
      </c>
      <c r="C34" s="716"/>
      <c r="D34" s="716"/>
      <c r="E34" s="716"/>
      <c r="F34" s="716"/>
      <c r="G34" s="716"/>
    </row>
    <row r="35" spans="1:7" ht="37.5" x14ac:dyDescent="0.25">
      <c r="A35" s="222">
        <f t="shared" si="0"/>
        <v>30</v>
      </c>
      <c r="B35" s="212" t="str">
        <f t="shared" ref="B35:B52" si="1">Suite&amp;" Pre-Action Closet"</f>
        <v>G104 Pre-Action Closet</v>
      </c>
      <c r="C35" s="212" t="str">
        <f t="shared" ref="C35:C40" si="2">"Pre-Action Cabinet " &amp; PreActCab1Zones</f>
        <v>Pre-Action Cabinet A</v>
      </c>
      <c r="D35" s="215" t="str">
        <f>"Disable Pre-Action cabinet ''" &amp; PreActCab1Zones &amp; "'' serving " &amp; PreActCab1Areas &amp; " as follows:"</f>
        <v>Disable Pre-Action cabinet ''A'' serving G104 Data Center as follows:</v>
      </c>
      <c r="E35" s="388" t="s">
        <v>1529</v>
      </c>
      <c r="F35" s="189"/>
      <c r="G35" s="189"/>
    </row>
    <row r="36" spans="1:7" ht="37.5" x14ac:dyDescent="0.25">
      <c r="A36" s="222">
        <f t="shared" si="0"/>
        <v>31</v>
      </c>
      <c r="B36" s="388" t="str">
        <f t="shared" si="1"/>
        <v>G104 Pre-Action Closet</v>
      </c>
      <c r="C36" s="212" t="str">
        <f t="shared" si="2"/>
        <v>Pre-Action Cabinet A</v>
      </c>
      <c r="D36" s="224" t="s">
        <v>2563</v>
      </c>
      <c r="E36" s="388" t="s">
        <v>1529</v>
      </c>
      <c r="F36" s="189"/>
      <c r="G36" s="189"/>
    </row>
    <row r="37" spans="1:7" ht="37.5" x14ac:dyDescent="0.25">
      <c r="A37" s="222">
        <f t="shared" si="0"/>
        <v>32</v>
      </c>
      <c r="B37" s="388" t="str">
        <f t="shared" si="1"/>
        <v>G104 Pre-Action Closet</v>
      </c>
      <c r="C37" s="212" t="str">
        <f t="shared" si="2"/>
        <v>Pre-Action Cabinet A</v>
      </c>
      <c r="D37" s="224" t="s">
        <v>2564</v>
      </c>
      <c r="E37" s="388" t="s">
        <v>1529</v>
      </c>
      <c r="F37" s="189"/>
      <c r="G37" s="189"/>
    </row>
    <row r="38" spans="1:7" ht="37.5" x14ac:dyDescent="0.25">
      <c r="A38" s="222">
        <f t="shared" si="0"/>
        <v>33</v>
      </c>
      <c r="B38" s="388" t="str">
        <f t="shared" si="1"/>
        <v>G104 Pre-Action Closet</v>
      </c>
      <c r="C38" s="212" t="str">
        <f t="shared" si="2"/>
        <v>Pre-Action Cabinet A</v>
      </c>
      <c r="D38" s="224" t="s">
        <v>2565</v>
      </c>
      <c r="E38" s="388" t="s">
        <v>1529</v>
      </c>
      <c r="F38" s="189"/>
      <c r="G38" s="189"/>
    </row>
    <row r="39" spans="1:7" ht="37.5" x14ac:dyDescent="0.25">
      <c r="A39" s="222">
        <f t="shared" si="0"/>
        <v>34</v>
      </c>
      <c r="B39" s="388" t="str">
        <f t="shared" si="1"/>
        <v>G104 Pre-Action Closet</v>
      </c>
      <c r="C39" s="212" t="str">
        <f t="shared" si="2"/>
        <v>Pre-Action Cabinet A</v>
      </c>
      <c r="D39" s="224" t="s">
        <v>2566</v>
      </c>
      <c r="E39" s="388" t="s">
        <v>1529</v>
      </c>
      <c r="F39" s="189"/>
      <c r="G39" s="189"/>
    </row>
    <row r="40" spans="1:7" ht="72" x14ac:dyDescent="0.25">
      <c r="A40" s="222">
        <f t="shared" si="0"/>
        <v>35</v>
      </c>
      <c r="B40" s="388" t="str">
        <f t="shared" si="1"/>
        <v>G104 Pre-Action Closet</v>
      </c>
      <c r="C40" s="212" t="str">
        <f t="shared" si="2"/>
        <v>Pre-Action Cabinet A</v>
      </c>
      <c r="D40" s="224" t="s">
        <v>2567</v>
      </c>
      <c r="E40" s="388" t="s">
        <v>1529</v>
      </c>
      <c r="F40" s="189"/>
      <c r="G40" s="189"/>
    </row>
    <row r="41" spans="1:7" ht="37.5" x14ac:dyDescent="0.25">
      <c r="A41" s="222">
        <f t="shared" si="0"/>
        <v>36</v>
      </c>
      <c r="B41" s="212" t="str">
        <f t="shared" si="1"/>
        <v>G104 Pre-Action Closet</v>
      </c>
      <c r="C41" s="212" t="str">
        <f t="shared" ref="C41:C46" si="3">"Pre-Action Cabinet " &amp; PreActCab2Zones</f>
        <v>Pre-Action Cabinet B</v>
      </c>
      <c r="D41" s="215" t="str">
        <f>"Disable Pre-Action cabinet ''" &amp; PreActCab2Zones &amp; "'' serving " &amp; PreActCab2Areas &amp; " as follows:"</f>
        <v>Disable Pre-Action cabinet ''B'' serving G104 Electrical Rooms as follows:</v>
      </c>
      <c r="E41" s="388" t="s">
        <v>1529</v>
      </c>
      <c r="F41" s="189"/>
      <c r="G41" s="189"/>
    </row>
    <row r="42" spans="1:7" ht="37.5" x14ac:dyDescent="0.25">
      <c r="A42" s="222">
        <f t="shared" si="0"/>
        <v>37</v>
      </c>
      <c r="B42" s="388" t="str">
        <f t="shared" si="1"/>
        <v>G104 Pre-Action Closet</v>
      </c>
      <c r="C42" s="212" t="str">
        <f t="shared" si="3"/>
        <v>Pre-Action Cabinet B</v>
      </c>
      <c r="D42" s="224" t="s">
        <v>2563</v>
      </c>
      <c r="E42" s="388" t="s">
        <v>1529</v>
      </c>
      <c r="F42" s="189"/>
      <c r="G42" s="189"/>
    </row>
    <row r="43" spans="1:7" ht="37.5" x14ac:dyDescent="0.25">
      <c r="A43" s="222">
        <f t="shared" si="0"/>
        <v>38</v>
      </c>
      <c r="B43" s="388" t="str">
        <f t="shared" si="1"/>
        <v>G104 Pre-Action Closet</v>
      </c>
      <c r="C43" s="212" t="str">
        <f t="shared" si="3"/>
        <v>Pre-Action Cabinet B</v>
      </c>
      <c r="D43" s="224" t="s">
        <v>2564</v>
      </c>
      <c r="E43" s="388" t="s">
        <v>1529</v>
      </c>
      <c r="F43" s="189"/>
      <c r="G43" s="189"/>
    </row>
    <row r="44" spans="1:7" ht="37.5" x14ac:dyDescent="0.25">
      <c r="A44" s="222">
        <f t="shared" si="0"/>
        <v>39</v>
      </c>
      <c r="B44" s="388" t="str">
        <f t="shared" si="1"/>
        <v>G104 Pre-Action Closet</v>
      </c>
      <c r="C44" s="212" t="str">
        <f t="shared" si="3"/>
        <v>Pre-Action Cabinet B</v>
      </c>
      <c r="D44" s="224" t="s">
        <v>2565</v>
      </c>
      <c r="E44" s="388" t="s">
        <v>1529</v>
      </c>
      <c r="F44" s="189"/>
      <c r="G44" s="189"/>
    </row>
    <row r="45" spans="1:7" ht="37.5" x14ac:dyDescent="0.25">
      <c r="A45" s="222">
        <f t="shared" si="0"/>
        <v>40</v>
      </c>
      <c r="B45" s="388" t="str">
        <f t="shared" si="1"/>
        <v>G104 Pre-Action Closet</v>
      </c>
      <c r="C45" s="212" t="str">
        <f t="shared" si="3"/>
        <v>Pre-Action Cabinet B</v>
      </c>
      <c r="D45" s="224" t="s">
        <v>2566</v>
      </c>
      <c r="E45" s="388" t="s">
        <v>1529</v>
      </c>
      <c r="F45" s="189"/>
      <c r="G45" s="189"/>
    </row>
    <row r="46" spans="1:7" ht="72" x14ac:dyDescent="0.25">
      <c r="A46" s="222">
        <f t="shared" si="0"/>
        <v>41</v>
      </c>
      <c r="B46" s="388" t="str">
        <f t="shared" si="1"/>
        <v>G104 Pre-Action Closet</v>
      </c>
      <c r="C46" s="212" t="str">
        <f t="shared" si="3"/>
        <v>Pre-Action Cabinet B</v>
      </c>
      <c r="D46" s="224" t="s">
        <v>2567</v>
      </c>
      <c r="E46" s="388" t="s">
        <v>1529</v>
      </c>
      <c r="F46" s="189"/>
      <c r="G46" s="189"/>
    </row>
    <row r="47" spans="1:7" ht="37.5" hidden="1" x14ac:dyDescent="0.25">
      <c r="A47" s="222">
        <f t="shared" si="0"/>
        <v>42</v>
      </c>
      <c r="B47" s="212" t="str">
        <f t="shared" si="1"/>
        <v>G104 Pre-Action Closet</v>
      </c>
      <c r="C47" s="212" t="str">
        <f t="shared" ref="C47:C52" si="4">"Pre-Action Cabinet " &amp; PreActCab3Zones</f>
        <v>Pre-Action Cabinet XXX</v>
      </c>
      <c r="D47" s="215" t="str">
        <f>"Disable Pre-Action cabinet ''" &amp; PreActCab3Zones &amp; "'' serving " &amp; PreActCab3Areas &amp; " as follows:"</f>
        <v>Disable Pre-Action cabinet ''XXX'' serving XXX as follows:</v>
      </c>
      <c r="E47" s="388" t="s">
        <v>1529</v>
      </c>
      <c r="F47" s="189"/>
      <c r="G47" s="189"/>
    </row>
    <row r="48" spans="1:7" ht="37.5" hidden="1" x14ac:dyDescent="0.25">
      <c r="A48" s="222">
        <f t="shared" si="0"/>
        <v>43</v>
      </c>
      <c r="B48" s="388" t="str">
        <f t="shared" si="1"/>
        <v>G104 Pre-Action Closet</v>
      </c>
      <c r="C48" s="212" t="str">
        <f t="shared" si="4"/>
        <v>Pre-Action Cabinet XXX</v>
      </c>
      <c r="D48" s="224" t="s">
        <v>2563</v>
      </c>
      <c r="E48" s="388" t="s">
        <v>1529</v>
      </c>
      <c r="F48" s="189"/>
      <c r="G48" s="189"/>
    </row>
    <row r="49" spans="1:7" ht="37.5" hidden="1" x14ac:dyDescent="0.25">
      <c r="A49" s="222">
        <f t="shared" si="0"/>
        <v>44</v>
      </c>
      <c r="B49" s="388" t="str">
        <f t="shared" si="1"/>
        <v>G104 Pre-Action Closet</v>
      </c>
      <c r="C49" s="212" t="str">
        <f t="shared" si="4"/>
        <v>Pre-Action Cabinet XXX</v>
      </c>
      <c r="D49" s="224" t="s">
        <v>2564</v>
      </c>
      <c r="E49" s="388" t="s">
        <v>1529</v>
      </c>
      <c r="F49" s="189"/>
      <c r="G49" s="189"/>
    </row>
    <row r="50" spans="1:7" ht="37.5" hidden="1" x14ac:dyDescent="0.25">
      <c r="A50" s="222">
        <f t="shared" si="0"/>
        <v>45</v>
      </c>
      <c r="B50" s="388" t="str">
        <f t="shared" si="1"/>
        <v>G104 Pre-Action Closet</v>
      </c>
      <c r="C50" s="212" t="str">
        <f t="shared" si="4"/>
        <v>Pre-Action Cabinet XXX</v>
      </c>
      <c r="D50" s="224" t="s">
        <v>2565</v>
      </c>
      <c r="E50" s="388" t="s">
        <v>1529</v>
      </c>
      <c r="F50" s="189"/>
      <c r="G50" s="189"/>
    </row>
    <row r="51" spans="1:7" ht="37.5" hidden="1" x14ac:dyDescent="0.25">
      <c r="A51" s="222">
        <f t="shared" si="0"/>
        <v>46</v>
      </c>
      <c r="B51" s="388" t="str">
        <f t="shared" si="1"/>
        <v>G104 Pre-Action Closet</v>
      </c>
      <c r="C51" s="212" t="str">
        <f t="shared" si="4"/>
        <v>Pre-Action Cabinet XXX</v>
      </c>
      <c r="D51" s="224" t="s">
        <v>2566</v>
      </c>
      <c r="E51" s="388" t="s">
        <v>1529</v>
      </c>
      <c r="F51" s="189"/>
      <c r="G51" s="189"/>
    </row>
    <row r="52" spans="1:7" ht="72" hidden="1" x14ac:dyDescent="0.25">
      <c r="A52" s="222">
        <f>A51+1</f>
        <v>47</v>
      </c>
      <c r="B52" s="388" t="str">
        <f t="shared" si="1"/>
        <v>G104 Pre-Action Closet</v>
      </c>
      <c r="C52" s="212" t="str">
        <f t="shared" si="4"/>
        <v>Pre-Action Cabinet XXX</v>
      </c>
      <c r="D52" s="224" t="s">
        <v>2568</v>
      </c>
      <c r="E52" s="388" t="s">
        <v>1529</v>
      </c>
      <c r="F52" s="189"/>
      <c r="G52" s="189"/>
    </row>
    <row r="53" spans="1:7" ht="54" x14ac:dyDescent="0.25">
      <c r="A53" s="174">
        <f>IF(PreActCabQuantity=1, A40+1, IF(PreActCabQuantity=2, A46+1, A52+1))</f>
        <v>42</v>
      </c>
      <c r="B53" s="225" t="str">
        <f t="shared" ref="B53:B71" si="5">Suite</f>
        <v>G104</v>
      </c>
      <c r="C53" s="388" t="s">
        <v>84</v>
      </c>
      <c r="D53" s="226" t="s">
        <v>2569</v>
      </c>
      <c r="E53" s="388" t="s">
        <v>1529</v>
      </c>
      <c r="F53" s="189"/>
      <c r="G53" s="189"/>
    </row>
    <row r="54" spans="1:7" x14ac:dyDescent="0.25">
      <c r="A54" s="174">
        <f>A53+1</f>
        <v>43</v>
      </c>
      <c r="B54" s="716" t="str">
        <f>"TEST SUITE " &amp; Suite &amp; " FIRE ALARM SYSTEM"</f>
        <v>TEST SUITE G104 FIRE ALARM SYSTEM</v>
      </c>
      <c r="C54" s="716"/>
      <c r="D54" s="716"/>
      <c r="E54" s="716"/>
      <c r="F54" s="716"/>
      <c r="G54" s="716"/>
    </row>
    <row r="55" spans="1:7" ht="54" x14ac:dyDescent="0.25">
      <c r="A55" s="174">
        <f t="shared" ref="A55:A79" si="6">A54+1</f>
        <v>44</v>
      </c>
      <c r="B55" s="225" t="str">
        <f t="shared" si="5"/>
        <v>G104</v>
      </c>
      <c r="C55" s="388" t="s">
        <v>84</v>
      </c>
      <c r="D55" s="226" t="s">
        <v>2570</v>
      </c>
      <c r="E55" s="388" t="s">
        <v>1529</v>
      </c>
      <c r="F55" s="189"/>
      <c r="G55" s="189"/>
    </row>
    <row r="56" spans="1:7" ht="75" x14ac:dyDescent="0.25">
      <c r="A56" s="174">
        <f t="shared" si="6"/>
        <v>45</v>
      </c>
      <c r="B56" s="225" t="str">
        <f t="shared" si="5"/>
        <v>G104</v>
      </c>
      <c r="C56" s="388" t="s">
        <v>2571</v>
      </c>
      <c r="D56" s="227" t="s">
        <v>2572</v>
      </c>
      <c r="E56" s="388" t="s">
        <v>1529</v>
      </c>
      <c r="F56" s="189"/>
      <c r="G56" s="189"/>
    </row>
    <row r="57" spans="1:7" ht="75" x14ac:dyDescent="0.25">
      <c r="A57" s="174">
        <f t="shared" si="6"/>
        <v>46</v>
      </c>
      <c r="B57" s="225" t="str">
        <f t="shared" si="5"/>
        <v>G104</v>
      </c>
      <c r="C57" s="388" t="s">
        <v>2571</v>
      </c>
      <c r="D57" s="227" t="s">
        <v>2573</v>
      </c>
      <c r="E57" s="388" t="s">
        <v>1529</v>
      </c>
      <c r="F57" s="189"/>
      <c r="G57" s="189"/>
    </row>
    <row r="58" spans="1:7" ht="75" x14ac:dyDescent="0.25">
      <c r="A58" s="174">
        <f t="shared" si="6"/>
        <v>47</v>
      </c>
      <c r="B58" s="225" t="str">
        <f t="shared" si="5"/>
        <v>G104</v>
      </c>
      <c r="C58" s="388" t="s">
        <v>2571</v>
      </c>
      <c r="D58" s="227" t="s">
        <v>2574</v>
      </c>
      <c r="E58" s="388" t="s">
        <v>1529</v>
      </c>
      <c r="F58" s="189"/>
      <c r="G58" s="189"/>
    </row>
    <row r="59" spans="1:7" ht="75" x14ac:dyDescent="0.25">
      <c r="A59" s="174">
        <f t="shared" si="6"/>
        <v>48</v>
      </c>
      <c r="B59" s="225" t="str">
        <f t="shared" si="5"/>
        <v>G104</v>
      </c>
      <c r="C59" s="388" t="s">
        <v>2571</v>
      </c>
      <c r="D59" s="227" t="s">
        <v>2575</v>
      </c>
      <c r="E59" s="388" t="s">
        <v>1529</v>
      </c>
      <c r="F59" s="189"/>
      <c r="G59" s="189"/>
    </row>
    <row r="60" spans="1:7" ht="75" x14ac:dyDescent="0.25">
      <c r="A60" s="174">
        <f t="shared" si="6"/>
        <v>49</v>
      </c>
      <c r="B60" s="225" t="str">
        <f t="shared" si="5"/>
        <v>G104</v>
      </c>
      <c r="C60" s="388" t="s">
        <v>2571</v>
      </c>
      <c r="D60" s="227" t="s">
        <v>2576</v>
      </c>
      <c r="E60" s="388" t="s">
        <v>1529</v>
      </c>
      <c r="F60" s="189"/>
      <c r="G60" s="189"/>
    </row>
    <row r="61" spans="1:7" ht="75" x14ac:dyDescent="0.25">
      <c r="A61" s="174">
        <f t="shared" si="6"/>
        <v>50</v>
      </c>
      <c r="B61" s="225" t="str">
        <f t="shared" si="5"/>
        <v>G104</v>
      </c>
      <c r="C61" s="388" t="s">
        <v>2571</v>
      </c>
      <c r="D61" s="227" t="s">
        <v>2577</v>
      </c>
      <c r="E61" s="388" t="s">
        <v>1529</v>
      </c>
      <c r="F61" s="189"/>
      <c r="G61" s="189"/>
    </row>
    <row r="62" spans="1:7" ht="75" x14ac:dyDescent="0.25">
      <c r="A62" s="174">
        <f t="shared" si="6"/>
        <v>51</v>
      </c>
      <c r="B62" s="225" t="str">
        <f t="shared" si="5"/>
        <v>G104</v>
      </c>
      <c r="C62" s="388" t="s">
        <v>2571</v>
      </c>
      <c r="D62" s="227" t="s">
        <v>2578</v>
      </c>
      <c r="E62" s="388" t="s">
        <v>1529</v>
      </c>
      <c r="F62" s="189"/>
      <c r="G62" s="189"/>
    </row>
    <row r="63" spans="1:7" ht="75" x14ac:dyDescent="0.25">
      <c r="A63" s="174">
        <f t="shared" si="6"/>
        <v>52</v>
      </c>
      <c r="B63" s="225" t="str">
        <f t="shared" si="5"/>
        <v>G104</v>
      </c>
      <c r="C63" s="388" t="s">
        <v>2571</v>
      </c>
      <c r="D63" s="226" t="s">
        <v>2579</v>
      </c>
      <c r="E63" s="388" t="s">
        <v>1529</v>
      </c>
      <c r="F63" s="189"/>
      <c r="G63" s="189"/>
    </row>
    <row r="64" spans="1:7" ht="75" x14ac:dyDescent="0.25">
      <c r="A64" s="174">
        <f t="shared" si="6"/>
        <v>53</v>
      </c>
      <c r="B64" s="225" t="str">
        <f t="shared" si="5"/>
        <v>G104</v>
      </c>
      <c r="C64" s="388" t="s">
        <v>2571</v>
      </c>
      <c r="D64" s="227" t="s">
        <v>2580</v>
      </c>
      <c r="E64" s="388" t="s">
        <v>1529</v>
      </c>
      <c r="F64" s="189"/>
      <c r="G64" s="189"/>
    </row>
    <row r="65" spans="1:8" ht="75" x14ac:dyDescent="0.25">
      <c r="A65" s="174">
        <f t="shared" si="6"/>
        <v>54</v>
      </c>
      <c r="B65" s="225" t="str">
        <f t="shared" si="5"/>
        <v>G104</v>
      </c>
      <c r="C65" s="388" t="s">
        <v>2571</v>
      </c>
      <c r="D65" s="227" t="s">
        <v>2581</v>
      </c>
      <c r="E65" s="388" t="s">
        <v>1529</v>
      </c>
      <c r="F65" s="189"/>
      <c r="G65" s="189"/>
    </row>
    <row r="66" spans="1:8" ht="75" x14ac:dyDescent="0.25">
      <c r="A66" s="174">
        <f t="shared" si="6"/>
        <v>55</v>
      </c>
      <c r="B66" s="225" t="str">
        <f t="shared" si="5"/>
        <v>G104</v>
      </c>
      <c r="C66" s="388" t="s">
        <v>2571</v>
      </c>
      <c r="D66" s="227" t="s">
        <v>2582</v>
      </c>
      <c r="E66" s="388" t="s">
        <v>1529</v>
      </c>
      <c r="F66" s="189"/>
      <c r="G66" s="189"/>
    </row>
    <row r="67" spans="1:8" ht="75" x14ac:dyDescent="0.25">
      <c r="A67" s="174">
        <f t="shared" si="6"/>
        <v>56</v>
      </c>
      <c r="B67" s="225" t="str">
        <f t="shared" si="5"/>
        <v>G104</v>
      </c>
      <c r="C67" s="388" t="s">
        <v>2571</v>
      </c>
      <c r="D67" s="227" t="s">
        <v>2583</v>
      </c>
      <c r="E67" s="388" t="s">
        <v>1529</v>
      </c>
      <c r="F67" s="189"/>
      <c r="G67" s="189"/>
    </row>
    <row r="68" spans="1:8" ht="75" x14ac:dyDescent="0.25">
      <c r="A68" s="174">
        <f t="shared" si="6"/>
        <v>57</v>
      </c>
      <c r="B68" s="225" t="str">
        <f t="shared" si="5"/>
        <v>G104</v>
      </c>
      <c r="C68" s="388" t="s">
        <v>2571</v>
      </c>
      <c r="D68" s="227" t="s">
        <v>2584</v>
      </c>
      <c r="E68" s="388" t="s">
        <v>1529</v>
      </c>
      <c r="F68" s="189"/>
      <c r="G68" s="189"/>
    </row>
    <row r="69" spans="1:8" ht="75" x14ac:dyDescent="0.25">
      <c r="A69" s="174">
        <f t="shared" si="6"/>
        <v>58</v>
      </c>
      <c r="B69" s="225" t="str">
        <f t="shared" si="5"/>
        <v>G104</v>
      </c>
      <c r="C69" s="388" t="s">
        <v>2571</v>
      </c>
      <c r="D69" s="227" t="s">
        <v>2585</v>
      </c>
      <c r="E69" s="388" t="s">
        <v>1529</v>
      </c>
      <c r="F69" s="189"/>
      <c r="G69" s="189"/>
    </row>
    <row r="70" spans="1:8" ht="37.5" x14ac:dyDescent="0.25">
      <c r="A70" s="174">
        <f t="shared" si="6"/>
        <v>59</v>
      </c>
      <c r="B70" s="225" t="str">
        <f t="shared" si="5"/>
        <v>G104</v>
      </c>
      <c r="C70" s="388" t="s">
        <v>2058</v>
      </c>
      <c r="D70" s="227" t="s">
        <v>2586</v>
      </c>
      <c r="E70" s="388" t="s">
        <v>1529</v>
      </c>
      <c r="F70" s="189"/>
      <c r="G70" s="189" t="s">
        <v>1519</v>
      </c>
    </row>
    <row r="71" spans="1:8" ht="37.5" x14ac:dyDescent="0.25">
      <c r="A71" s="174">
        <f t="shared" si="6"/>
        <v>60</v>
      </c>
      <c r="B71" s="225" t="str">
        <f t="shared" si="5"/>
        <v>G104</v>
      </c>
      <c r="C71" s="388" t="s">
        <v>2058</v>
      </c>
      <c r="D71" s="226" t="s">
        <v>2544</v>
      </c>
      <c r="E71" s="388" t="s">
        <v>1529</v>
      </c>
      <c r="F71" s="189"/>
      <c r="G71" s="189" t="s">
        <v>1519</v>
      </c>
    </row>
    <row r="72" spans="1:8" x14ac:dyDescent="0.25">
      <c r="A72" s="174">
        <f t="shared" si="6"/>
        <v>61</v>
      </c>
      <c r="B72" s="716" t="str">
        <f>"RESTORE PRE-ACTION SYSTEMS - "&amp;Suite</f>
        <v>RESTORE PRE-ACTION SYSTEMS - G104</v>
      </c>
      <c r="C72" s="716"/>
      <c r="D72" s="716"/>
      <c r="E72" s="716"/>
      <c r="F72" s="716"/>
      <c r="G72" s="716"/>
    </row>
    <row r="73" spans="1:8" ht="36" x14ac:dyDescent="0.3">
      <c r="A73" s="174">
        <f t="shared" si="6"/>
        <v>62</v>
      </c>
      <c r="B73" s="225" t="str">
        <f>Suite</f>
        <v>G104</v>
      </c>
      <c r="C73" s="225" t="s">
        <v>2058</v>
      </c>
      <c r="D73" s="224" t="s">
        <v>2587</v>
      </c>
      <c r="E73" s="388" t="s">
        <v>1529</v>
      </c>
      <c r="F73" s="198"/>
      <c r="G73" s="198"/>
    </row>
    <row r="74" spans="1:8" ht="37.5" x14ac:dyDescent="0.3">
      <c r="A74" s="174">
        <f t="shared" si="6"/>
        <v>63</v>
      </c>
      <c r="B74" s="388" t="str">
        <f t="shared" ref="B74:B88" si="7">Suite&amp;" Pre-Action Closet"</f>
        <v>G104 Pre-Action Closet</v>
      </c>
      <c r="C74" s="212" t="str">
        <f t="shared" ref="C74:C78" si="8">"Pre-Action Cabinet " &amp; PreActCab1Zones</f>
        <v>Pre-Action Cabinet A</v>
      </c>
      <c r="D74" s="215" t="str">
        <f>"Restore Pre-Action cabinet ''" &amp; PreActCab1Zones &amp; "'' serving " &amp; PreActCab1Areas &amp; " as follows:"</f>
        <v>Restore Pre-Action cabinet ''A'' serving G104 Data Center as follows:</v>
      </c>
      <c r="E74" s="388" t="s">
        <v>1529</v>
      </c>
      <c r="F74" s="198"/>
      <c r="G74" s="189"/>
      <c r="H74" s="132"/>
    </row>
    <row r="75" spans="1:8" ht="90" x14ac:dyDescent="0.3">
      <c r="A75" s="174">
        <f t="shared" si="6"/>
        <v>64</v>
      </c>
      <c r="B75" s="388" t="str">
        <f t="shared" si="7"/>
        <v>G104 Pre-Action Closet</v>
      </c>
      <c r="C75" s="212" t="str">
        <f t="shared" si="8"/>
        <v>Pre-Action Cabinet A</v>
      </c>
      <c r="D75" s="224" t="s">
        <v>2588</v>
      </c>
      <c r="E75" s="388" t="s">
        <v>1529</v>
      </c>
      <c r="F75" s="198"/>
      <c r="G75" s="189"/>
      <c r="H75" s="132"/>
    </row>
    <row r="76" spans="1:8" ht="37.5" x14ac:dyDescent="0.3">
      <c r="A76" s="174">
        <f t="shared" si="6"/>
        <v>65</v>
      </c>
      <c r="B76" s="388" t="str">
        <f t="shared" si="7"/>
        <v>G104 Pre-Action Closet</v>
      </c>
      <c r="C76" s="212" t="str">
        <f t="shared" si="8"/>
        <v>Pre-Action Cabinet A</v>
      </c>
      <c r="D76" s="224" t="s">
        <v>2589</v>
      </c>
      <c r="E76" s="388" t="s">
        <v>1529</v>
      </c>
      <c r="F76" s="198"/>
      <c r="G76" s="189"/>
      <c r="H76" s="132"/>
    </row>
    <row r="77" spans="1:8" ht="37.5" x14ac:dyDescent="0.3">
      <c r="A77" s="174">
        <f t="shared" si="6"/>
        <v>66</v>
      </c>
      <c r="B77" s="388" t="str">
        <f t="shared" si="7"/>
        <v>G104 Pre-Action Closet</v>
      </c>
      <c r="C77" s="212" t="str">
        <f t="shared" si="8"/>
        <v>Pre-Action Cabinet A</v>
      </c>
      <c r="D77" s="224" t="s">
        <v>2590</v>
      </c>
      <c r="E77" s="388" t="s">
        <v>1529</v>
      </c>
      <c r="F77" s="198"/>
      <c r="G77" s="189"/>
      <c r="H77" s="132"/>
    </row>
    <row r="78" spans="1:8" ht="37.5" x14ac:dyDescent="0.3">
      <c r="A78" s="174">
        <f t="shared" si="6"/>
        <v>67</v>
      </c>
      <c r="B78" s="388" t="str">
        <f t="shared" si="7"/>
        <v>G104 Pre-Action Closet</v>
      </c>
      <c r="C78" s="212" t="str">
        <f t="shared" si="8"/>
        <v>Pre-Action Cabinet A</v>
      </c>
      <c r="D78" s="224" t="s">
        <v>2591</v>
      </c>
      <c r="E78" s="388" t="s">
        <v>1529</v>
      </c>
      <c r="F78" s="198"/>
      <c r="G78" s="189"/>
      <c r="H78" s="132"/>
    </row>
    <row r="79" spans="1:8" ht="37.5" x14ac:dyDescent="0.3">
      <c r="A79" s="174">
        <f t="shared" si="6"/>
        <v>68</v>
      </c>
      <c r="B79" s="388" t="str">
        <f t="shared" si="7"/>
        <v>G104 Pre-Action Closet</v>
      </c>
      <c r="C79" s="212" t="str">
        <f>"Pre-Action Cabinet " &amp; PreActCab2Zones</f>
        <v>Pre-Action Cabinet B</v>
      </c>
      <c r="D79" s="215" t="str">
        <f>"Restore Pre-Action cabinet ''" &amp; PreActCab2Zones &amp; "'' serving " &amp; PreActCab2Areas &amp; " as follows:"</f>
        <v>Restore Pre-Action cabinet ''B'' serving G104 Electrical Rooms as follows:</v>
      </c>
      <c r="E79" s="388" t="s">
        <v>1529</v>
      </c>
      <c r="F79" s="198"/>
      <c r="G79" s="189"/>
      <c r="H79" s="132"/>
    </row>
    <row r="80" spans="1:8" ht="90" x14ac:dyDescent="0.3">
      <c r="A80" s="174">
        <f>A79+1</f>
        <v>69</v>
      </c>
      <c r="B80" s="388" t="str">
        <f t="shared" si="7"/>
        <v>G104 Pre-Action Closet</v>
      </c>
      <c r="C80" s="212" t="str">
        <f>"Pre-Action Cabinet " &amp; PreActCab2Zones</f>
        <v>Pre-Action Cabinet B</v>
      </c>
      <c r="D80" s="224" t="s">
        <v>2588</v>
      </c>
      <c r="E80" s="388" t="s">
        <v>1529</v>
      </c>
      <c r="F80" s="198"/>
      <c r="G80" s="189"/>
      <c r="H80" s="132"/>
    </row>
    <row r="81" spans="1:8" ht="37.5" x14ac:dyDescent="0.3">
      <c r="A81" s="174">
        <f>A80+1</f>
        <v>70</v>
      </c>
      <c r="B81" s="388" t="str">
        <f t="shared" si="7"/>
        <v>G104 Pre-Action Closet</v>
      </c>
      <c r="C81" s="212" t="str">
        <f>"Pre-Action Cabinet " &amp; PreActCab2Zones</f>
        <v>Pre-Action Cabinet B</v>
      </c>
      <c r="D81" s="224" t="s">
        <v>2589</v>
      </c>
      <c r="E81" s="388" t="s">
        <v>1529</v>
      </c>
      <c r="F81" s="198"/>
      <c r="G81" s="189"/>
      <c r="H81" s="132"/>
    </row>
    <row r="82" spans="1:8" ht="37.5" x14ac:dyDescent="0.3">
      <c r="A82" s="174">
        <f t="shared" ref="A82:A88" si="9">A81+1</f>
        <v>71</v>
      </c>
      <c r="B82" s="388" t="str">
        <f t="shared" si="7"/>
        <v>G104 Pre-Action Closet</v>
      </c>
      <c r="C82" s="212" t="str">
        <f>"Pre-Action Cabinet " &amp; PreActCab2Zones</f>
        <v>Pre-Action Cabinet B</v>
      </c>
      <c r="D82" s="224" t="s">
        <v>2590</v>
      </c>
      <c r="E82" s="388" t="s">
        <v>1529</v>
      </c>
      <c r="F82" s="198"/>
      <c r="G82" s="189"/>
      <c r="H82" s="132"/>
    </row>
    <row r="83" spans="1:8" ht="37.5" x14ac:dyDescent="0.3">
      <c r="A83" s="174">
        <f t="shared" si="9"/>
        <v>72</v>
      </c>
      <c r="B83" s="388" t="str">
        <f t="shared" si="7"/>
        <v>G104 Pre-Action Closet</v>
      </c>
      <c r="C83" s="212" t="str">
        <f>"Pre-Action Cabinet " &amp; PreActCab2Zones</f>
        <v>Pre-Action Cabinet B</v>
      </c>
      <c r="D83" s="224" t="s">
        <v>2591</v>
      </c>
      <c r="E83" s="388" t="s">
        <v>1529</v>
      </c>
      <c r="F83" s="198"/>
      <c r="G83" s="189"/>
      <c r="H83" s="132"/>
    </row>
    <row r="84" spans="1:8" ht="37.5" hidden="1" x14ac:dyDescent="0.3">
      <c r="A84" s="174">
        <f t="shared" si="9"/>
        <v>73</v>
      </c>
      <c r="B84" s="388" t="str">
        <f t="shared" si="7"/>
        <v>G104 Pre-Action Closet</v>
      </c>
      <c r="C84" s="212" t="str">
        <f>"Pre-Action Cabinet " &amp; PreActCab3Zones</f>
        <v>Pre-Action Cabinet XXX</v>
      </c>
      <c r="D84" s="215" t="str">
        <f>"Restore Pre-Action cabinet ''" &amp; PreActCab3Zones &amp; "'' serving " &amp; PreActCab3Areas &amp; " as follows:"</f>
        <v>Restore Pre-Action cabinet ''XXX'' serving XXX as follows:</v>
      </c>
      <c r="E84" s="388" t="s">
        <v>1529</v>
      </c>
      <c r="F84" s="198"/>
      <c r="G84" s="189"/>
      <c r="H84" s="132"/>
    </row>
    <row r="85" spans="1:8" ht="90" hidden="1" x14ac:dyDescent="0.3">
      <c r="A85" s="174">
        <f t="shared" si="9"/>
        <v>74</v>
      </c>
      <c r="B85" s="388" t="str">
        <f t="shared" si="7"/>
        <v>G104 Pre-Action Closet</v>
      </c>
      <c r="C85" s="212" t="str">
        <f>"Pre-Action Cabinet " &amp; PreActCab3Zones</f>
        <v>Pre-Action Cabinet XXX</v>
      </c>
      <c r="D85" s="224" t="s">
        <v>2588</v>
      </c>
      <c r="E85" s="388" t="s">
        <v>1529</v>
      </c>
      <c r="F85" s="198"/>
      <c r="G85" s="189"/>
      <c r="H85" s="132"/>
    </row>
    <row r="86" spans="1:8" ht="37.5" hidden="1" x14ac:dyDescent="0.3">
      <c r="A86" s="174">
        <f t="shared" si="9"/>
        <v>75</v>
      </c>
      <c r="B86" s="388" t="str">
        <f t="shared" si="7"/>
        <v>G104 Pre-Action Closet</v>
      </c>
      <c r="C86" s="212" t="str">
        <f>"Pre-Action Cabinet " &amp; PreActCab3Zones</f>
        <v>Pre-Action Cabinet XXX</v>
      </c>
      <c r="D86" s="224" t="s">
        <v>2589</v>
      </c>
      <c r="E86" s="388" t="s">
        <v>1529</v>
      </c>
      <c r="F86" s="198"/>
      <c r="G86" s="189"/>
      <c r="H86" s="132"/>
    </row>
    <row r="87" spans="1:8" ht="37.5" hidden="1" x14ac:dyDescent="0.3">
      <c r="A87" s="174">
        <f t="shared" si="9"/>
        <v>76</v>
      </c>
      <c r="B87" s="388" t="str">
        <f t="shared" si="7"/>
        <v>G104 Pre-Action Closet</v>
      </c>
      <c r="C87" s="212" t="str">
        <f>"Pre-Action Cabinet " &amp; PreActCab3Zones</f>
        <v>Pre-Action Cabinet XXX</v>
      </c>
      <c r="D87" s="224" t="s">
        <v>2590</v>
      </c>
      <c r="E87" s="388" t="s">
        <v>1529</v>
      </c>
      <c r="F87" s="198"/>
      <c r="G87" s="189"/>
      <c r="H87" s="132"/>
    </row>
    <row r="88" spans="1:8" ht="37.5" hidden="1" x14ac:dyDescent="0.3">
      <c r="A88" s="174">
        <f t="shared" si="9"/>
        <v>77</v>
      </c>
      <c r="B88" s="388" t="str">
        <f t="shared" si="7"/>
        <v>G104 Pre-Action Closet</v>
      </c>
      <c r="C88" s="212" t="str">
        <f>"Pre-Action Cabinet " &amp; PreActCab3Zones</f>
        <v>Pre-Action Cabinet XXX</v>
      </c>
      <c r="D88" s="224" t="s">
        <v>2591</v>
      </c>
      <c r="E88" s="388" t="s">
        <v>1529</v>
      </c>
      <c r="F88" s="198"/>
      <c r="G88" s="189"/>
      <c r="H88" s="132"/>
    </row>
    <row r="89" spans="1:8" x14ac:dyDescent="0.25">
      <c r="A89" s="174">
        <f>IF(PreActCabQuantity=1, A78+1, IF(PreActCabQuantity=2, A83+1, A88+1))</f>
        <v>73</v>
      </c>
      <c r="B89" s="712" t="str">
        <f>"RE-ENABLE SUITE LFACP – " &amp; Suite</f>
        <v>RE-ENABLE SUITE LFACP – G104</v>
      </c>
      <c r="C89" s="712"/>
      <c r="D89" s="712"/>
      <c r="E89" s="712"/>
      <c r="F89" s="712"/>
      <c r="G89" s="712"/>
      <c r="H89" s="132"/>
    </row>
    <row r="90" spans="1:8" ht="37.5" x14ac:dyDescent="0.3">
      <c r="A90" s="222">
        <f>A89+1</f>
        <v>74</v>
      </c>
      <c r="B90" s="212" t="str">
        <f>Suite &amp; " Data Center"</f>
        <v>G104 Data Center</v>
      </c>
      <c r="C90" s="212" t="s">
        <v>2058</v>
      </c>
      <c r="D90" s="215" t="s">
        <v>2555</v>
      </c>
      <c r="E90" s="212" t="s">
        <v>1464</v>
      </c>
      <c r="F90" s="218"/>
      <c r="G90" s="218"/>
      <c r="H90" s="132"/>
    </row>
    <row r="91" spans="1:8" ht="37.5" x14ac:dyDescent="0.3">
      <c r="A91" s="222">
        <f t="shared" ref="A91:A117" si="10">A90+1</f>
        <v>75</v>
      </c>
      <c r="B91" s="212" t="str">
        <f>Suite &amp; " Data Center"</f>
        <v>G104 Data Center</v>
      </c>
      <c r="C91" s="212" t="s">
        <v>2058</v>
      </c>
      <c r="D91" s="213" t="s">
        <v>2592</v>
      </c>
      <c r="E91" s="212" t="s">
        <v>1464</v>
      </c>
      <c r="F91" s="218"/>
      <c r="G91" s="218"/>
      <c r="H91" s="132"/>
    </row>
    <row r="92" spans="1:8" ht="37.5" x14ac:dyDescent="0.3">
      <c r="A92" s="222">
        <f t="shared" si="10"/>
        <v>76</v>
      </c>
      <c r="B92" s="212" t="str">
        <f>Suite &amp; " Data Center"</f>
        <v>G104 Data Center</v>
      </c>
      <c r="C92" s="212" t="s">
        <v>2058</v>
      </c>
      <c r="D92" s="213" t="s">
        <v>2509</v>
      </c>
      <c r="E92" s="212" t="s">
        <v>1464</v>
      </c>
      <c r="F92" s="218"/>
      <c r="G92" s="218"/>
      <c r="H92" s="132"/>
    </row>
    <row r="93" spans="1:8" ht="37.5" x14ac:dyDescent="0.3">
      <c r="A93" s="222">
        <f t="shared" si="10"/>
        <v>77</v>
      </c>
      <c r="B93" s="212" t="str">
        <f>Suite &amp; " Data Center"</f>
        <v>G104 Data Center</v>
      </c>
      <c r="C93" s="212" t="s">
        <v>2058</v>
      </c>
      <c r="D93" s="213" t="s">
        <v>2593</v>
      </c>
      <c r="E93" s="212" t="s">
        <v>1464</v>
      </c>
      <c r="F93" s="218"/>
      <c r="G93" s="218"/>
    </row>
    <row r="94" spans="1:8" ht="37.5" x14ac:dyDescent="0.3">
      <c r="A94" s="222">
        <f t="shared" si="10"/>
        <v>78</v>
      </c>
      <c r="B94" s="212" t="str">
        <f>Suite &amp; " Data Center"</f>
        <v>G104 Data Center</v>
      </c>
      <c r="C94" s="212" t="s">
        <v>2058</v>
      </c>
      <c r="D94" s="213" t="s">
        <v>2594</v>
      </c>
      <c r="E94" s="212" t="s">
        <v>1464</v>
      </c>
      <c r="F94" s="218"/>
      <c r="G94" s="218"/>
    </row>
    <row r="95" spans="1:8" ht="37.5" x14ac:dyDescent="0.3">
      <c r="A95" s="222">
        <f t="shared" si="10"/>
        <v>79</v>
      </c>
      <c r="B95" s="212" t="str">
        <f>Suite &amp; " Data Center"</f>
        <v>G104 Data Center</v>
      </c>
      <c r="C95" s="212" t="s">
        <v>2058</v>
      </c>
      <c r="D95" s="213" t="s">
        <v>2595</v>
      </c>
      <c r="E95" s="212" t="s">
        <v>1464</v>
      </c>
      <c r="F95" s="218"/>
      <c r="G95" s="218"/>
    </row>
    <row r="96" spans="1:8" ht="37.5" x14ac:dyDescent="0.3">
      <c r="A96" s="222">
        <f t="shared" si="10"/>
        <v>80</v>
      </c>
      <c r="B96" s="212" t="str">
        <f>Suite &amp; " Data Center"</f>
        <v>G104 Data Center</v>
      </c>
      <c r="C96" s="212" t="s">
        <v>2058</v>
      </c>
      <c r="D96" s="213" t="s">
        <v>2596</v>
      </c>
      <c r="E96" s="212" t="s">
        <v>1464</v>
      </c>
      <c r="F96" s="218"/>
      <c r="G96" s="218"/>
    </row>
    <row r="97" spans="1:7" x14ac:dyDescent="0.25">
      <c r="A97" s="222">
        <f t="shared" si="10"/>
        <v>81</v>
      </c>
      <c r="B97" s="712" t="str">
        <f>"RE-ENABLE HVAC SHUTDOWN SWITCH – "&amp;Suite</f>
        <v>RE-ENABLE HVAC SHUTDOWN SWITCH – G104</v>
      </c>
      <c r="C97" s="712"/>
      <c r="D97" s="712"/>
      <c r="E97" s="712"/>
      <c r="F97" s="712"/>
      <c r="G97" s="712"/>
    </row>
    <row r="98" spans="1:7" ht="37.5" x14ac:dyDescent="0.3">
      <c r="A98" s="222">
        <f t="shared" si="10"/>
        <v>82</v>
      </c>
      <c r="B98" s="212" t="str">
        <f>Suite &amp; " Data Center"</f>
        <v>G104 Data Center</v>
      </c>
      <c r="C98" s="212" t="s">
        <v>2058</v>
      </c>
      <c r="D98" s="213" t="s">
        <v>2509</v>
      </c>
      <c r="E98" s="212" t="s">
        <v>1464</v>
      </c>
      <c r="F98" s="218"/>
      <c r="G98" s="218"/>
    </row>
    <row r="99" spans="1:7" ht="37.5" x14ac:dyDescent="0.3">
      <c r="A99" s="222">
        <f t="shared" si="10"/>
        <v>83</v>
      </c>
      <c r="B99" s="212" t="str">
        <f>Suite &amp; " Data Center"</f>
        <v>G104 Data Center</v>
      </c>
      <c r="C99" s="212" t="s">
        <v>2510</v>
      </c>
      <c r="D99" s="213" t="s">
        <v>2511</v>
      </c>
      <c r="E99" s="212" t="s">
        <v>1464</v>
      </c>
      <c r="F99" s="218"/>
      <c r="G99" s="218"/>
    </row>
    <row r="100" spans="1:7" ht="37.5" x14ac:dyDescent="0.3">
      <c r="A100" s="222">
        <f t="shared" si="10"/>
        <v>84</v>
      </c>
      <c r="B100" s="212" t="str">
        <f>Suite &amp; " Data Center"</f>
        <v>G104 Data Center</v>
      </c>
      <c r="C100" s="212" t="s">
        <v>2510</v>
      </c>
      <c r="D100" s="215" t="s">
        <v>2512</v>
      </c>
      <c r="E100" s="212" t="s">
        <v>1464</v>
      </c>
      <c r="F100" s="218"/>
      <c r="G100" s="218"/>
    </row>
    <row r="101" spans="1:7" ht="37.5" x14ac:dyDescent="0.3">
      <c r="A101" s="222">
        <f t="shared" si="10"/>
        <v>85</v>
      </c>
      <c r="B101" s="212" t="str">
        <f>Suite &amp; " Data Center"</f>
        <v>G104 Data Center</v>
      </c>
      <c r="C101" s="212" t="s">
        <v>2058</v>
      </c>
      <c r="D101" s="213" t="s">
        <v>2513</v>
      </c>
      <c r="E101" s="212" t="s">
        <v>1464</v>
      </c>
      <c r="F101" s="218"/>
      <c r="G101" s="218"/>
    </row>
    <row r="102" spans="1:7" ht="37.5" x14ac:dyDescent="0.3">
      <c r="A102" s="222">
        <f t="shared" si="10"/>
        <v>86</v>
      </c>
      <c r="B102" s="212" t="str">
        <f>Suite &amp; " Data Center"</f>
        <v>G104 Data Center</v>
      </c>
      <c r="C102" s="212" t="s">
        <v>2058</v>
      </c>
      <c r="D102" s="213" t="s">
        <v>2509</v>
      </c>
      <c r="E102" s="212" t="s">
        <v>1464</v>
      </c>
      <c r="F102" s="218"/>
      <c r="G102" s="218"/>
    </row>
    <row r="103" spans="1:7" x14ac:dyDescent="0.25">
      <c r="A103" s="222">
        <f t="shared" si="10"/>
        <v>87</v>
      </c>
      <c r="B103" s="712" t="s">
        <v>2597</v>
      </c>
      <c r="C103" s="712"/>
      <c r="D103" s="712"/>
      <c r="E103" s="712"/>
      <c r="F103" s="712"/>
      <c r="G103" s="712"/>
    </row>
    <row r="104" spans="1:7" ht="37.5" x14ac:dyDescent="0.3">
      <c r="A104" s="222">
        <f t="shared" si="10"/>
        <v>88</v>
      </c>
      <c r="B104" s="212" t="str">
        <f t="shared" ref="B104:B110" si="11">IADNumber&amp;" Lobby"</f>
        <v>IAD35 Lobby</v>
      </c>
      <c r="C104" s="212" t="s">
        <v>2447</v>
      </c>
      <c r="D104" s="215" t="s">
        <v>2550</v>
      </c>
      <c r="E104" s="212" t="s">
        <v>1464</v>
      </c>
      <c r="F104" s="217" t="s">
        <v>1519</v>
      </c>
      <c r="G104" s="218"/>
    </row>
    <row r="105" spans="1:7" ht="37.5" x14ac:dyDescent="0.3">
      <c r="A105" s="222">
        <f t="shared" si="10"/>
        <v>89</v>
      </c>
      <c r="B105" s="212" t="str">
        <f t="shared" si="11"/>
        <v>IAD35 Lobby</v>
      </c>
      <c r="C105" s="212" t="s">
        <v>2447</v>
      </c>
      <c r="D105" s="213" t="s">
        <v>2598</v>
      </c>
      <c r="E105" s="212" t="s">
        <v>1464</v>
      </c>
      <c r="F105" s="217" t="s">
        <v>1519</v>
      </c>
      <c r="G105" s="218"/>
    </row>
    <row r="106" spans="1:7" ht="37.5" x14ac:dyDescent="0.3">
      <c r="A106" s="222">
        <f t="shared" si="10"/>
        <v>90</v>
      </c>
      <c r="B106" s="212" t="str">
        <f t="shared" si="11"/>
        <v>IAD35 Lobby</v>
      </c>
      <c r="C106" s="212" t="s">
        <v>2447</v>
      </c>
      <c r="D106" s="213" t="s">
        <v>2599</v>
      </c>
      <c r="E106" s="212" t="s">
        <v>1464</v>
      </c>
      <c r="F106" s="217" t="s">
        <v>1519</v>
      </c>
      <c r="G106" s="218"/>
    </row>
    <row r="107" spans="1:7" ht="37.5" x14ac:dyDescent="0.3">
      <c r="A107" s="222">
        <f t="shared" si="10"/>
        <v>91</v>
      </c>
      <c r="B107" s="212" t="str">
        <f t="shared" si="11"/>
        <v>IAD35 Lobby</v>
      </c>
      <c r="C107" s="212" t="s">
        <v>2447</v>
      </c>
      <c r="D107" s="213" t="s">
        <v>2600</v>
      </c>
      <c r="E107" s="212" t="s">
        <v>1464</v>
      </c>
      <c r="F107" s="217" t="s">
        <v>1519</v>
      </c>
      <c r="G107" s="218"/>
    </row>
    <row r="108" spans="1:7" ht="37.5" x14ac:dyDescent="0.3">
      <c r="A108" s="222">
        <f t="shared" si="10"/>
        <v>92</v>
      </c>
      <c r="B108" s="212" t="str">
        <f t="shared" si="11"/>
        <v>IAD35 Lobby</v>
      </c>
      <c r="C108" s="212" t="s">
        <v>2447</v>
      </c>
      <c r="D108" s="213" t="s">
        <v>2601</v>
      </c>
      <c r="E108" s="212" t="s">
        <v>1464</v>
      </c>
      <c r="F108" s="217" t="s">
        <v>1519</v>
      </c>
      <c r="G108" s="218"/>
    </row>
    <row r="109" spans="1:7" ht="93.75" x14ac:dyDescent="0.3">
      <c r="A109" s="219">
        <f t="shared" si="10"/>
        <v>93</v>
      </c>
      <c r="B109" s="212" t="str">
        <f t="shared" si="11"/>
        <v>IAD35 Lobby</v>
      </c>
      <c r="C109" s="212" t="s">
        <v>2447</v>
      </c>
      <c r="D109" s="223" t="str" cm="1">
        <f t="array" ref="D109">"Record all existing deficiencies or abnormal conditions on the " &amp; Suite &amp; " fire systems.
________________________________________________________________________________________________________________________________________________________________________________________________"</f>
        <v>Record all existing deficiencies or abnormal conditions on the G104 fire systems.
________________________________________________________________________________________________________________________________________________________________________________________________</v>
      </c>
      <c r="E109" s="212" t="s">
        <v>1464</v>
      </c>
      <c r="F109" s="217"/>
      <c r="G109" s="218"/>
    </row>
    <row r="110" spans="1:7" ht="93.75" x14ac:dyDescent="0.3">
      <c r="A110" s="219">
        <f t="shared" si="10"/>
        <v>94</v>
      </c>
      <c r="B110" s="212" t="str">
        <f t="shared" si="11"/>
        <v>IAD35 Lobby</v>
      </c>
      <c r="C110" s="212" t="s">
        <v>2447</v>
      </c>
      <c r="D110" s="223" t="str" cm="1">
        <f t="array" ref="D110">"By my signature below I certify that the fire systems for suite " &amp; Suite &amp; " are operating normally with any exceptions noted above. All exceptions noted above will be noted in the Service Report and quotes for applicable repairs will be provided. 
Fire system technician signature: _____________________________"</f>
        <v>By my signature below I certify that the fire systems for suite G104 are operating normally with any exceptions noted above. All exceptions noted above will be noted in the Service Report and quotes for applicable repairs will be provided. 
Fire system technician signature: _____________________________</v>
      </c>
      <c r="E110" s="212" t="s">
        <v>1529</v>
      </c>
      <c r="F110" s="217"/>
      <c r="G110" s="218"/>
    </row>
    <row r="111" spans="1:7" x14ac:dyDescent="0.25">
      <c r="A111" s="219">
        <f t="shared" si="10"/>
        <v>95</v>
      </c>
      <c r="B111" s="712" t="s">
        <v>2363</v>
      </c>
      <c r="C111" s="712"/>
      <c r="D111" s="712"/>
      <c r="E111" s="712"/>
      <c r="F111" s="712"/>
      <c r="G111" s="712"/>
    </row>
    <row r="112" spans="1:7" ht="37.5" x14ac:dyDescent="0.3">
      <c r="A112" s="222">
        <f t="shared" si="10"/>
        <v>96</v>
      </c>
      <c r="B112" s="212" t="s">
        <v>1462</v>
      </c>
      <c r="C112" s="212" t="s">
        <v>84</v>
      </c>
      <c r="D112" s="215" t="s">
        <v>2037</v>
      </c>
      <c r="E112" s="212" t="s">
        <v>1464</v>
      </c>
      <c r="F112" s="217" t="s">
        <v>1519</v>
      </c>
      <c r="G112" s="218"/>
    </row>
    <row r="113" spans="1:7" ht="37.5" x14ac:dyDescent="0.3">
      <c r="A113" s="222">
        <f t="shared" si="10"/>
        <v>97</v>
      </c>
      <c r="B113" s="212" t="s">
        <v>1462</v>
      </c>
      <c r="C113" s="212" t="s">
        <v>84</v>
      </c>
      <c r="D113" s="213" t="s">
        <v>2025</v>
      </c>
      <c r="E113" s="212" t="s">
        <v>1464</v>
      </c>
      <c r="F113" s="217" t="s">
        <v>1519</v>
      </c>
      <c r="G113" s="218"/>
    </row>
    <row r="114" spans="1:7" ht="37.5" x14ac:dyDescent="0.3">
      <c r="A114" s="222">
        <f t="shared" si="10"/>
        <v>98</v>
      </c>
      <c r="B114" s="212" t="s">
        <v>1462</v>
      </c>
      <c r="C114" s="212" t="s">
        <v>84</v>
      </c>
      <c r="D114" s="213" t="s">
        <v>2514</v>
      </c>
      <c r="E114" s="212" t="s">
        <v>1464</v>
      </c>
      <c r="F114" s="217" t="s">
        <v>1519</v>
      </c>
      <c r="G114" s="218"/>
    </row>
    <row r="115" spans="1:7" ht="37.5" x14ac:dyDescent="0.3">
      <c r="A115" s="222">
        <f t="shared" si="10"/>
        <v>99</v>
      </c>
      <c r="B115" s="212" t="s">
        <v>1462</v>
      </c>
      <c r="C115" s="212" t="s">
        <v>84</v>
      </c>
      <c r="D115" s="213" t="str">
        <f>"Building "&amp;Building&amp;" address: "&amp;Address</f>
        <v>Building G address: 43940 Digital Loudoun Plaza</v>
      </c>
      <c r="E115" s="212" t="s">
        <v>1464</v>
      </c>
      <c r="F115" s="217" t="s">
        <v>1519</v>
      </c>
      <c r="G115" s="218"/>
    </row>
    <row r="116" spans="1:7" ht="37.5" x14ac:dyDescent="0.3">
      <c r="A116" s="222">
        <f t="shared" si="10"/>
        <v>100</v>
      </c>
      <c r="B116" s="212" t="s">
        <v>1462</v>
      </c>
      <c r="C116" s="212" t="s">
        <v>84</v>
      </c>
      <c r="D116" s="213" t="s">
        <v>2444</v>
      </c>
      <c r="E116" s="212" t="s">
        <v>1464</v>
      </c>
      <c r="F116" s="217" t="s">
        <v>1519</v>
      </c>
      <c r="G116" s="217"/>
    </row>
    <row r="117" spans="1:7" ht="37.5" x14ac:dyDescent="0.3">
      <c r="A117" s="222">
        <f t="shared" si="10"/>
        <v>101</v>
      </c>
      <c r="B117" s="212" t="str">
        <f t="shared" ref="B117" si="12">IADNumber&amp;" Lobby"</f>
        <v>IAD35 Lobby</v>
      </c>
      <c r="C117" s="212" t="s">
        <v>2447</v>
      </c>
      <c r="D117" s="217" t="s">
        <v>2515</v>
      </c>
      <c r="E117" s="212" t="s">
        <v>1464</v>
      </c>
      <c r="F117" s="217" t="s">
        <v>1519</v>
      </c>
      <c r="G117" s="217"/>
    </row>
    <row r="118" spans="1:7" x14ac:dyDescent="0.3">
      <c r="A118" s="192"/>
    </row>
    <row r="119" spans="1:7" x14ac:dyDescent="0.3">
      <c r="A119" s="192"/>
    </row>
    <row r="120" spans="1:7" x14ac:dyDescent="0.3">
      <c r="A120" s="192"/>
    </row>
    <row r="121" spans="1:7" x14ac:dyDescent="0.3">
      <c r="A121" s="192"/>
    </row>
  </sheetData>
  <sheetProtection formatCells="0" formatColumns="0" formatRows="0" insertRows="0" deleteRows="0" sort="0" autoFilter="0"/>
  <mergeCells count="16">
    <mergeCell ref="A2:B2"/>
    <mergeCell ref="A3:B3"/>
    <mergeCell ref="C3:D3"/>
    <mergeCell ref="C2:G2"/>
    <mergeCell ref="B111:G111"/>
    <mergeCell ref="A4:C4"/>
    <mergeCell ref="B6:G6"/>
    <mergeCell ref="B18:G18"/>
    <mergeCell ref="B24:G24"/>
    <mergeCell ref="B31:G31"/>
    <mergeCell ref="B34:G34"/>
    <mergeCell ref="B54:G54"/>
    <mergeCell ref="B72:G72"/>
    <mergeCell ref="B89:G89"/>
    <mergeCell ref="B97:G97"/>
    <mergeCell ref="B103:G103"/>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21411-3266-4442-90EE-6B4162815A38}">
  <sheetPr codeName="PreAction_QPM">
    <pageSetUpPr fitToPage="1"/>
  </sheetPr>
  <dimension ref="A1:I145"/>
  <sheetViews>
    <sheetView view="pageBreakPreview" zoomScale="90" zoomScaleNormal="100" zoomScaleSheetLayoutView="90" workbookViewId="0">
      <selection activeCell="J10" sqref="J10"/>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270" customWidth="1"/>
    <col min="5" max="5" width="22.140625" style="185" bestFit="1" customWidth="1"/>
    <col min="6" max="6" width="13.85546875" style="185" bestFit="1" customWidth="1"/>
    <col min="7" max="7" width="10.42578125" style="185" customWidth="1"/>
    <col min="8" max="8" width="7" customWidth="1"/>
    <col min="9" max="9" width="8" customWidth="1"/>
    <col min="10" max="10" width="23.42578125" customWidth="1"/>
    <col min="11" max="11" width="58.7109375" customWidth="1"/>
  </cols>
  <sheetData>
    <row r="1" spans="1:9" x14ac:dyDescent="0.25">
      <c r="A1" s="209" t="s">
        <v>1454</v>
      </c>
      <c r="B1" s="209"/>
      <c r="C1" s="210"/>
      <c r="D1" s="268"/>
      <c r="E1" s="210"/>
      <c r="F1" s="210"/>
      <c r="G1" s="210"/>
    </row>
    <row r="2" spans="1:9" ht="18.75" customHeight="1" x14ac:dyDescent="0.25">
      <c r="A2" s="705" t="s">
        <v>42</v>
      </c>
      <c r="B2" s="705"/>
      <c r="C2" s="731" t="str">
        <f>zTaskName</f>
        <v>Routine Generator run with no load transfer</v>
      </c>
      <c r="D2" s="730"/>
      <c r="E2" s="730"/>
      <c r="F2" s="730"/>
      <c r="G2" s="732"/>
    </row>
    <row r="3" spans="1:9" ht="9.9499999999999993" customHeight="1" x14ac:dyDescent="0.25">
      <c r="A3" s="728"/>
      <c r="B3" s="729"/>
      <c r="C3" s="730"/>
      <c r="D3" s="730"/>
      <c r="E3" s="380"/>
      <c r="F3" s="380"/>
      <c r="G3" s="381"/>
    </row>
    <row r="4" spans="1:9" ht="9.9499999999999993" customHeight="1" x14ac:dyDescent="0.25">
      <c r="A4" s="706"/>
      <c r="B4" s="707"/>
      <c r="C4" s="707"/>
      <c r="D4" s="463"/>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19">
        <v>1</v>
      </c>
      <c r="B6" s="713" t="s">
        <v>2602</v>
      </c>
      <c r="C6" s="713"/>
      <c r="D6" s="713"/>
      <c r="E6" s="713"/>
      <c r="F6" s="713"/>
      <c r="G6" s="713"/>
    </row>
    <row r="7" spans="1:9" ht="37.5" x14ac:dyDescent="0.25">
      <c r="A7" s="219">
        <f t="shared" ref="A7:A59" si="0">A6+1</f>
        <v>2</v>
      </c>
      <c r="B7" s="212" t="s">
        <v>1462</v>
      </c>
      <c r="C7" s="212" t="s">
        <v>84</v>
      </c>
      <c r="D7" s="223" t="s">
        <v>2077</v>
      </c>
      <c r="E7" s="212" t="s">
        <v>1464</v>
      </c>
      <c r="F7" s="214" t="s">
        <v>1519</v>
      </c>
      <c r="G7" s="214" t="s">
        <v>1519</v>
      </c>
    </row>
    <row r="8" spans="1:9" ht="37.5" x14ac:dyDescent="0.25">
      <c r="A8" s="219">
        <f t="shared" si="0"/>
        <v>3</v>
      </c>
      <c r="B8" s="212" t="s">
        <v>1462</v>
      </c>
      <c r="C8" s="212" t="s">
        <v>84</v>
      </c>
      <c r="D8" s="223" t="s">
        <v>2603</v>
      </c>
      <c r="E8" s="212" t="s">
        <v>1464</v>
      </c>
      <c r="F8" s="214" t="s">
        <v>1519</v>
      </c>
      <c r="G8" s="214" t="s">
        <v>1519</v>
      </c>
    </row>
    <row r="9" spans="1:9" ht="37.5" x14ac:dyDescent="0.25">
      <c r="A9" s="219">
        <f t="shared" si="0"/>
        <v>4</v>
      </c>
      <c r="B9" s="212" t="s">
        <v>1462</v>
      </c>
      <c r="C9" s="212" t="s">
        <v>84</v>
      </c>
      <c r="D9" s="223" t="s">
        <v>2025</v>
      </c>
      <c r="E9" s="212" t="s">
        <v>1464</v>
      </c>
      <c r="F9" s="214" t="s">
        <v>1519</v>
      </c>
      <c r="G9" s="214" t="s">
        <v>1519</v>
      </c>
    </row>
    <row r="10" spans="1:9" ht="37.5" x14ac:dyDescent="0.25">
      <c r="A10" s="219">
        <f t="shared" si="0"/>
        <v>5</v>
      </c>
      <c r="B10" s="212" t="s">
        <v>1462</v>
      </c>
      <c r="C10" s="212" t="s">
        <v>84</v>
      </c>
      <c r="D10" s="223" t="s">
        <v>2518</v>
      </c>
      <c r="E10" s="212" t="s">
        <v>1464</v>
      </c>
      <c r="F10" s="214" t="s">
        <v>1519</v>
      </c>
      <c r="G10" s="214" t="s">
        <v>1519</v>
      </c>
    </row>
    <row r="11" spans="1:9" ht="37.5" x14ac:dyDescent="0.25">
      <c r="A11" s="219">
        <f t="shared" si="0"/>
        <v>6</v>
      </c>
      <c r="B11" s="212" t="s">
        <v>1462</v>
      </c>
      <c r="C11" s="212" t="s">
        <v>84</v>
      </c>
      <c r="D11" s="223" t="str">
        <f>"Building "&amp;Building&amp;" address: "&amp;Address</f>
        <v>Building G address: 43940 Digital Loudoun Plaza</v>
      </c>
      <c r="E11" s="212" t="s">
        <v>1464</v>
      </c>
      <c r="F11" s="214" t="s">
        <v>1519</v>
      </c>
      <c r="G11" s="214" t="s">
        <v>1519</v>
      </c>
    </row>
    <row r="12" spans="1:9" ht="37.5" x14ac:dyDescent="0.25">
      <c r="A12" s="219">
        <f t="shared" si="0"/>
        <v>7</v>
      </c>
      <c r="B12" s="212" t="s">
        <v>1462</v>
      </c>
      <c r="C12" s="212" t="s">
        <v>84</v>
      </c>
      <c r="D12" s="223" t="s">
        <v>2444</v>
      </c>
      <c r="E12" s="212" t="s">
        <v>1464</v>
      </c>
      <c r="F12" s="214" t="s">
        <v>1519</v>
      </c>
      <c r="G12" s="214" t="s">
        <v>1519</v>
      </c>
    </row>
    <row r="13" spans="1:9" ht="75" x14ac:dyDescent="0.25">
      <c r="A13" s="219">
        <f t="shared" si="0"/>
        <v>8</v>
      </c>
      <c r="B13" s="212" t="s">
        <v>1462</v>
      </c>
      <c r="C13" s="212" t="s">
        <v>84</v>
      </c>
      <c r="D13" s="223" t="s">
        <v>2519</v>
      </c>
      <c r="E13" s="212" t="s">
        <v>1464</v>
      </c>
      <c r="F13" s="214" t="s">
        <v>1519</v>
      </c>
      <c r="G13" s="214" t="s">
        <v>1519</v>
      </c>
    </row>
    <row r="14" spans="1:9" ht="56.25" x14ac:dyDescent="0.25">
      <c r="A14" s="219">
        <f t="shared" si="0"/>
        <v>9</v>
      </c>
      <c r="B14" s="212" t="s">
        <v>1462</v>
      </c>
      <c r="C14" s="212" t="s">
        <v>84</v>
      </c>
      <c r="D14" s="223" t="s">
        <v>2446</v>
      </c>
      <c r="E14" s="212" t="s">
        <v>1464</v>
      </c>
      <c r="F14" s="214"/>
      <c r="G14" s="214" t="s">
        <v>1519</v>
      </c>
    </row>
    <row r="15" spans="1:9" ht="93.75" x14ac:dyDescent="0.25">
      <c r="A15" s="219">
        <f t="shared" si="0"/>
        <v>10</v>
      </c>
      <c r="B15" s="212" t="str">
        <f>IADNumber&amp;" Lobby"</f>
        <v>IAD35 Lobby</v>
      </c>
      <c r="C15" s="212" t="s">
        <v>2447</v>
      </c>
      <c r="D15" s="220" t="s">
        <v>2521</v>
      </c>
      <c r="E15" s="212" t="s">
        <v>1464</v>
      </c>
      <c r="F15" s="214"/>
      <c r="G15" s="214" t="s">
        <v>1519</v>
      </c>
    </row>
    <row r="16" spans="1:9" ht="93.75" x14ac:dyDescent="0.25">
      <c r="A16" s="219">
        <f t="shared" si="0"/>
        <v>11</v>
      </c>
      <c r="B16" s="212" t="str">
        <f>IF('Config-Fire'!$B$1="POP", "PBB",_xlfn.SINGLE(Suite)) &amp; " Pre-Action Closet"</f>
        <v>G104 Pre-Action Closet</v>
      </c>
      <c r="C16" s="221" t="str">
        <f>"Pre-Action Cabinet " &amp; PreActCab2Zones</f>
        <v>Pre-Action Cabinet B</v>
      </c>
      <c r="D16" s="223" t="str" cm="1">
        <f t="array" ref="D16">"Record all existing deficiencies or abnormal conditions on the " &amp; Suite &amp; " fire systems.
________________________________________________________________________________________________________________________________________________________________________________________________"</f>
        <v>Record all existing deficiencies or abnormal conditions on the G104 fire systems.
________________________________________________________________________________________________________________________________________________________________________________________________</v>
      </c>
      <c r="E16" s="212" t="s">
        <v>1464</v>
      </c>
      <c r="F16" s="214"/>
      <c r="G16" s="214" t="s">
        <v>1519</v>
      </c>
    </row>
    <row r="17" spans="1:7" x14ac:dyDescent="0.25">
      <c r="A17" s="219">
        <f t="shared" si="0"/>
        <v>12</v>
      </c>
      <c r="B17" s="713" t="s">
        <v>2604</v>
      </c>
      <c r="C17" s="713"/>
      <c r="D17" s="713"/>
      <c r="E17" s="713"/>
      <c r="F17" s="713"/>
      <c r="G17" s="713"/>
    </row>
    <row r="18" spans="1:7" ht="37.5" x14ac:dyDescent="0.25">
      <c r="A18" s="219">
        <f t="shared" si="0"/>
        <v>13</v>
      </c>
      <c r="B18" s="212" t="str">
        <f>IADNumber&amp;" Lobby"</f>
        <v>IAD35 Lobby</v>
      </c>
      <c r="C18" s="212" t="s">
        <v>2447</v>
      </c>
      <c r="D18" s="223" t="s">
        <v>2605</v>
      </c>
      <c r="E18" s="212" t="s">
        <v>1464</v>
      </c>
      <c r="F18" s="214" t="s">
        <v>1519</v>
      </c>
      <c r="G18" s="214" t="s">
        <v>1519</v>
      </c>
    </row>
    <row r="19" spans="1:7" ht="37.5" x14ac:dyDescent="0.25">
      <c r="A19" s="219">
        <f t="shared" si="0"/>
        <v>14</v>
      </c>
      <c r="B19" s="212" t="str">
        <f>IADNumber&amp;" Lobby"</f>
        <v>IAD35 Lobby</v>
      </c>
      <c r="C19" s="212" t="s">
        <v>2447</v>
      </c>
      <c r="D19" s="223" t="s">
        <v>2606</v>
      </c>
      <c r="E19" s="212" t="s">
        <v>1464</v>
      </c>
      <c r="F19" s="214" t="s">
        <v>1519</v>
      </c>
      <c r="G19" s="214" t="s">
        <v>1519</v>
      </c>
    </row>
    <row r="20" spans="1:7" ht="37.5" x14ac:dyDescent="0.25">
      <c r="A20" s="219">
        <f t="shared" si="0"/>
        <v>15</v>
      </c>
      <c r="B20" s="212" t="str">
        <f>IADNumber&amp;" Lobby"</f>
        <v>IAD35 Lobby</v>
      </c>
      <c r="C20" s="212" t="s">
        <v>2447</v>
      </c>
      <c r="D20" s="223" t="s">
        <v>2607</v>
      </c>
      <c r="E20" s="212" t="s">
        <v>1464</v>
      </c>
      <c r="F20" s="214" t="s">
        <v>1519</v>
      </c>
      <c r="G20" s="214" t="s">
        <v>1519</v>
      </c>
    </row>
    <row r="21" spans="1:7" ht="37.5" x14ac:dyDescent="0.25">
      <c r="A21" s="219">
        <f t="shared" si="0"/>
        <v>16</v>
      </c>
      <c r="B21" s="212" t="str">
        <f>IADNumber&amp;" Lobby"</f>
        <v>IAD35 Lobby</v>
      </c>
      <c r="C21" s="212" t="s">
        <v>2447</v>
      </c>
      <c r="D21" s="223" t="s">
        <v>2608</v>
      </c>
      <c r="E21" s="212" t="s">
        <v>1464</v>
      </c>
      <c r="F21" s="214" t="s">
        <v>1519</v>
      </c>
      <c r="G21" s="214" t="s">
        <v>1519</v>
      </c>
    </row>
    <row r="22" spans="1:7" x14ac:dyDescent="0.25">
      <c r="A22" s="219">
        <f t="shared" si="0"/>
        <v>17</v>
      </c>
      <c r="B22" s="713" t="str" cm="1">
        <f t="array" ref="B22">"Disable Suite " &amp; Suite &amp; " Fire System Signals"</f>
        <v>Disable Suite G104 Fire System Signals</v>
      </c>
      <c r="C22" s="713"/>
      <c r="D22" s="713"/>
      <c r="E22" s="713"/>
      <c r="F22" s="713"/>
      <c r="G22" s="713"/>
    </row>
    <row r="23" spans="1:7" ht="37.5" x14ac:dyDescent="0.25">
      <c r="A23" s="219">
        <f t="shared" si="0"/>
        <v>18</v>
      </c>
      <c r="B23" s="212" t="str">
        <f>Suite &amp; " Data Center"</f>
        <v>G104 Data Center</v>
      </c>
      <c r="C23" s="212" t="s">
        <v>2058</v>
      </c>
      <c r="D23" s="223" t="s">
        <v>2609</v>
      </c>
      <c r="E23" s="212" t="s">
        <v>1464</v>
      </c>
      <c r="F23" s="214"/>
      <c r="G23" s="214" t="s">
        <v>1519</v>
      </c>
    </row>
    <row r="24" spans="1:7" ht="37.5" x14ac:dyDescent="0.25">
      <c r="A24" s="219">
        <f t="shared" si="0"/>
        <v>19</v>
      </c>
      <c r="B24" s="212" t="str">
        <f>Suite &amp; " Data Center"</f>
        <v>G104 Data Center</v>
      </c>
      <c r="C24" s="212" t="s">
        <v>2058</v>
      </c>
      <c r="D24" s="223" t="s">
        <v>2610</v>
      </c>
      <c r="E24" s="212" t="s">
        <v>1464</v>
      </c>
      <c r="F24" s="214"/>
      <c r="G24" s="214" t="s">
        <v>1519</v>
      </c>
    </row>
    <row r="25" spans="1:7" ht="37.5" x14ac:dyDescent="0.25">
      <c r="A25" s="219">
        <f t="shared" si="0"/>
        <v>20</v>
      </c>
      <c r="B25" s="212" t="str">
        <f>Suite &amp; " Data Center"</f>
        <v>G104 Data Center</v>
      </c>
      <c r="C25" s="212" t="s">
        <v>2058</v>
      </c>
      <c r="D25" s="223" t="s">
        <v>2611</v>
      </c>
      <c r="E25" s="212" t="s">
        <v>1464</v>
      </c>
      <c r="F25" s="214"/>
      <c r="G25" s="214" t="s">
        <v>1519</v>
      </c>
    </row>
    <row r="26" spans="1:7" ht="37.5" x14ac:dyDescent="0.25">
      <c r="A26" s="219">
        <f t="shared" si="0"/>
        <v>21</v>
      </c>
      <c r="B26" s="212" t="str">
        <f>Suite &amp; " Data Center"</f>
        <v>G104 Data Center</v>
      </c>
      <c r="C26" s="212" t="s">
        <v>2058</v>
      </c>
      <c r="D26" s="223" t="s">
        <v>2612</v>
      </c>
      <c r="E26" s="212" t="s">
        <v>1464</v>
      </c>
      <c r="F26" s="214"/>
      <c r="G26" s="214" t="s">
        <v>1519</v>
      </c>
    </row>
    <row r="27" spans="1:7" ht="37.5" x14ac:dyDescent="0.25">
      <c r="A27" s="219">
        <f>IF(PreActCabQuantity=2, A25+1, A26+1)</f>
        <v>21</v>
      </c>
      <c r="B27" s="212" t="str">
        <f>Suite &amp; " Data Center"</f>
        <v>G104 Data Center</v>
      </c>
      <c r="C27" s="212" t="s">
        <v>2058</v>
      </c>
      <c r="D27" s="223" t="s">
        <v>2613</v>
      </c>
      <c r="E27" s="212" t="s">
        <v>1464</v>
      </c>
      <c r="F27" s="214"/>
      <c r="G27" s="214" t="s">
        <v>1519</v>
      </c>
    </row>
    <row r="28" spans="1:7" x14ac:dyDescent="0.25">
      <c r="A28" s="219">
        <f t="shared" si="0"/>
        <v>22</v>
      </c>
      <c r="B28" s="713" t="str" cm="1">
        <f t="array" ref="B28">"Disable Suite " &amp; Suite &amp; " HVAC Shutoff"</f>
        <v>Disable Suite G104 HVAC Shutoff</v>
      </c>
      <c r="C28" s="713"/>
      <c r="D28" s="713"/>
      <c r="E28" s="713"/>
      <c r="F28" s="713"/>
      <c r="G28" s="713"/>
    </row>
    <row r="29" spans="1:7" ht="37.5" x14ac:dyDescent="0.25">
      <c r="A29" s="219">
        <f t="shared" si="0"/>
        <v>23</v>
      </c>
      <c r="B29" s="212" t="str">
        <f>Suite &amp; " Data Center"</f>
        <v>G104 Data Center</v>
      </c>
      <c r="C29" s="212" t="s">
        <v>2510</v>
      </c>
      <c r="D29" s="223" t="s">
        <v>2614</v>
      </c>
      <c r="E29" s="212" t="s">
        <v>1464</v>
      </c>
      <c r="F29" s="214"/>
      <c r="G29" s="214" t="s">
        <v>1519</v>
      </c>
    </row>
    <row r="30" spans="1:7" ht="37.5" x14ac:dyDescent="0.25">
      <c r="A30" s="219">
        <f t="shared" si="0"/>
        <v>24</v>
      </c>
      <c r="B30" s="212" t="s">
        <v>1462</v>
      </c>
      <c r="C30" s="212" t="s">
        <v>84</v>
      </c>
      <c r="D30" s="223" t="str" cm="1">
        <f t="array" ref="D30">"Contact Emergency 24; verify that Emergency 24 has received trouble signals for suite " &amp; Suite &amp; ". Contact number: 1-800-827-3624"</f>
        <v>Contact Emergency 24; verify that Emergency 24 has received trouble signals for suite G104. Contact number: 1-800-827-3624</v>
      </c>
      <c r="E30" s="212" t="s">
        <v>1464</v>
      </c>
      <c r="F30" s="214"/>
      <c r="G30" s="214" t="s">
        <v>1519</v>
      </c>
    </row>
    <row r="31" spans="1:7" x14ac:dyDescent="0.25">
      <c r="A31" s="219">
        <f>IF('Config-Fire'!$B$1="POP", A21+1, A30+1)</f>
        <v>25</v>
      </c>
      <c r="B31" s="713" t="str">
        <f>"Test Cabinet ''" &amp; PreActCab1Zones &amp; "''"</f>
        <v>Test Cabinet ''A''</v>
      </c>
      <c r="C31" s="713"/>
      <c r="D31" s="713"/>
      <c r="E31" s="713"/>
      <c r="F31" s="713"/>
      <c r="G31" s="713"/>
    </row>
    <row r="32" spans="1:7" ht="37.5" x14ac:dyDescent="0.25">
      <c r="A32" s="219">
        <f t="shared" si="0"/>
        <v>26</v>
      </c>
      <c r="B32" s="212" t="str">
        <f>IF('Config-Fire'!$B$1="POP", "PBB",_xlfn.SINGLE(Suite)) &amp; " Pre-Action Closet"</f>
        <v>G104 Pre-Action Closet</v>
      </c>
      <c r="C32" s="221" t="str">
        <f t="shared" ref="C32:C52" si="1">"Pre-Action Cabinet " &amp; PreActCab1Zones</f>
        <v>Pre-Action Cabinet A</v>
      </c>
      <c r="D32" s="223" t="s">
        <v>2615</v>
      </c>
      <c r="E32" s="212" t="s">
        <v>1529</v>
      </c>
      <c r="F32" s="214"/>
      <c r="G32" s="214" t="s">
        <v>1519</v>
      </c>
    </row>
    <row r="33" spans="1:7" ht="37.5" x14ac:dyDescent="0.25">
      <c r="A33" s="219">
        <f t="shared" si="0"/>
        <v>27</v>
      </c>
      <c r="B33" s="212" t="str">
        <f>IF('Config-Fire'!$B$1="POP", "PBB",_xlfn.SINGLE(Suite)) &amp; " Pre-Action Closet"</f>
        <v>G104 Pre-Action Closet</v>
      </c>
      <c r="C33" s="221" t="str">
        <f t="shared" si="1"/>
        <v>Pre-Action Cabinet A</v>
      </c>
      <c r="D33" s="223" t="s">
        <v>2616</v>
      </c>
      <c r="E33" s="212" t="s">
        <v>1529</v>
      </c>
      <c r="F33" s="214"/>
      <c r="G33" s="214" t="s">
        <v>1519</v>
      </c>
    </row>
    <row r="34" spans="1:7" ht="37.5" x14ac:dyDescent="0.25">
      <c r="A34" s="219">
        <f t="shared" si="0"/>
        <v>28</v>
      </c>
      <c r="B34" s="212" t="str">
        <f>IF('Config-Fire'!$B$1="POP", "PBB",_xlfn.SINGLE(Suite)) &amp; " Pre-Action Closet"</f>
        <v>G104 Pre-Action Closet</v>
      </c>
      <c r="C34" s="221" t="str">
        <f t="shared" si="1"/>
        <v>Pre-Action Cabinet A</v>
      </c>
      <c r="D34" s="223" t="s">
        <v>2617</v>
      </c>
      <c r="E34" s="212" t="s">
        <v>1529</v>
      </c>
      <c r="F34" s="214"/>
      <c r="G34" s="214" t="s">
        <v>1519</v>
      </c>
    </row>
    <row r="35" spans="1:7" ht="37.5" x14ac:dyDescent="0.25">
      <c r="A35" s="219">
        <f t="shared" si="0"/>
        <v>29</v>
      </c>
      <c r="B35" s="212" t="str">
        <f>IF('Config-Fire'!$B$1="POP", "PBB",_xlfn.SINGLE(Suite)) &amp; " Pre-Action Closet"</f>
        <v>G104 Pre-Action Closet</v>
      </c>
      <c r="C35" s="221" t="str">
        <f t="shared" si="1"/>
        <v>Pre-Action Cabinet A</v>
      </c>
      <c r="D35" s="223" t="s">
        <v>2618</v>
      </c>
      <c r="E35" s="212" t="s">
        <v>1529</v>
      </c>
      <c r="F35" s="214"/>
      <c r="G35" s="214" t="s">
        <v>1519</v>
      </c>
    </row>
    <row r="36" spans="1:7" ht="37.5" x14ac:dyDescent="0.25">
      <c r="A36" s="219">
        <f t="shared" si="0"/>
        <v>30</v>
      </c>
      <c r="B36" s="212" t="str">
        <f>IF('Config-Fire'!$B$1="POP", "PBB",_xlfn.SINGLE(Suite)) &amp; " Pre-Action Closet"</f>
        <v>G104 Pre-Action Closet</v>
      </c>
      <c r="C36" s="221" t="str">
        <f t="shared" si="1"/>
        <v>Pre-Action Cabinet A</v>
      </c>
      <c r="D36" s="223" t="s">
        <v>2619</v>
      </c>
      <c r="E36" s="212" t="s">
        <v>1529</v>
      </c>
      <c r="F36" s="214"/>
      <c r="G36" s="214" t="s">
        <v>1519</v>
      </c>
    </row>
    <row r="37" spans="1:7" ht="37.5" x14ac:dyDescent="0.25">
      <c r="A37" s="219">
        <f t="shared" si="0"/>
        <v>31</v>
      </c>
      <c r="B37" s="212" t="str">
        <f>IF('Config-Fire'!$B$1="POP", "PBB",_xlfn.SINGLE(Suite)) &amp; " Pre-Action Closet"</f>
        <v>G104 Pre-Action Closet</v>
      </c>
      <c r="C37" s="221" t="str">
        <f t="shared" si="1"/>
        <v>Pre-Action Cabinet A</v>
      </c>
      <c r="D37" s="223" t="s">
        <v>2620</v>
      </c>
      <c r="E37" s="212" t="s">
        <v>1529</v>
      </c>
      <c r="F37" s="214"/>
      <c r="G37" s="214" t="s">
        <v>1519</v>
      </c>
    </row>
    <row r="38" spans="1:7" ht="37.5" x14ac:dyDescent="0.25">
      <c r="A38" s="219">
        <f t="shared" si="0"/>
        <v>32</v>
      </c>
      <c r="B38" s="212" t="str">
        <f>IF('Config-Fire'!$B$1="POP", "PBB",_xlfn.SINGLE(Suite)) &amp; " Pre-Action Closet"</f>
        <v>G104 Pre-Action Closet</v>
      </c>
      <c r="C38" s="221" t="str">
        <f t="shared" si="1"/>
        <v>Pre-Action Cabinet A</v>
      </c>
      <c r="D38" s="223" t="s">
        <v>2621</v>
      </c>
      <c r="E38" s="212" t="s">
        <v>1529</v>
      </c>
      <c r="F38" s="214"/>
      <c r="G38" s="214" t="s">
        <v>1519</v>
      </c>
    </row>
    <row r="39" spans="1:7" ht="37.5" x14ac:dyDescent="0.25">
      <c r="A39" s="219">
        <f t="shared" si="0"/>
        <v>33</v>
      </c>
      <c r="B39" s="212" t="str">
        <f>IF('Config-Fire'!$B$1="POP", "PBB",_xlfn.SINGLE(Suite)) &amp; " Pre-Action Closet"</f>
        <v>G104 Pre-Action Closet</v>
      </c>
      <c r="C39" s="221" t="str">
        <f t="shared" si="1"/>
        <v>Pre-Action Cabinet A</v>
      </c>
      <c r="D39" s="223" t="s">
        <v>2622</v>
      </c>
      <c r="E39" s="212" t="s">
        <v>1529</v>
      </c>
      <c r="F39" s="214"/>
      <c r="G39" s="214" t="s">
        <v>1519</v>
      </c>
    </row>
    <row r="40" spans="1:7" ht="37.5" x14ac:dyDescent="0.25">
      <c r="A40" s="219">
        <f t="shared" si="0"/>
        <v>34</v>
      </c>
      <c r="B40" s="212" t="str">
        <f>IF('Config-Fire'!$B$1="POP", "PBB",_xlfn.SINGLE(Suite)) &amp; " Pre-Action Closet"</f>
        <v>G104 Pre-Action Closet</v>
      </c>
      <c r="C40" s="221" t="str">
        <f t="shared" si="1"/>
        <v>Pre-Action Cabinet A</v>
      </c>
      <c r="D40" s="223" t="s">
        <v>2623</v>
      </c>
      <c r="E40" s="212" t="s">
        <v>1529</v>
      </c>
      <c r="F40" s="214"/>
      <c r="G40" s="214" t="s">
        <v>1519</v>
      </c>
    </row>
    <row r="41" spans="1:7" ht="37.5" x14ac:dyDescent="0.25">
      <c r="A41" s="219">
        <f t="shared" si="0"/>
        <v>35</v>
      </c>
      <c r="B41" s="212" t="str">
        <f>IF('Config-Fire'!$B$1="POP", "PBB",_xlfn.SINGLE(Suite)) &amp; " Pre-Action Closet"</f>
        <v>G104 Pre-Action Closet</v>
      </c>
      <c r="C41" s="221" t="str">
        <f t="shared" si="1"/>
        <v>Pre-Action Cabinet A</v>
      </c>
      <c r="D41" s="223" t="s">
        <v>2624</v>
      </c>
      <c r="E41" s="212" t="s">
        <v>1529</v>
      </c>
      <c r="F41" s="214"/>
      <c r="G41" s="214" t="s">
        <v>1519</v>
      </c>
    </row>
    <row r="42" spans="1:7" ht="37.5" x14ac:dyDescent="0.25">
      <c r="A42" s="219">
        <f t="shared" si="0"/>
        <v>36</v>
      </c>
      <c r="B42" s="212" t="str">
        <f>IF('Config-Fire'!$B$1="POP", "PBB",_xlfn.SINGLE(Suite)) &amp; " Pre-Action Closet"</f>
        <v>G104 Pre-Action Closet</v>
      </c>
      <c r="C42" s="221" t="str">
        <f t="shared" si="1"/>
        <v>Pre-Action Cabinet A</v>
      </c>
      <c r="D42" s="223" t="s">
        <v>2625</v>
      </c>
      <c r="E42" s="212" t="s">
        <v>1529</v>
      </c>
      <c r="F42" s="214"/>
      <c r="G42" s="214" t="s">
        <v>1519</v>
      </c>
    </row>
    <row r="43" spans="1:7" ht="37.5" x14ac:dyDescent="0.25">
      <c r="A43" s="219">
        <f t="shared" si="0"/>
        <v>37</v>
      </c>
      <c r="B43" s="212" t="str">
        <f>IF('Config-Fire'!$B$1="POP", "PBB",_xlfn.SINGLE(Suite)) &amp; " Pre-Action Closet"</f>
        <v>G104 Pre-Action Closet</v>
      </c>
      <c r="C43" s="221" t="str">
        <f t="shared" si="1"/>
        <v>Pre-Action Cabinet A</v>
      </c>
      <c r="D43" s="223" t="s">
        <v>2626</v>
      </c>
      <c r="E43" s="212" t="s">
        <v>1529</v>
      </c>
      <c r="F43" s="214"/>
      <c r="G43" s="214" t="s">
        <v>1519</v>
      </c>
    </row>
    <row r="44" spans="1:7" ht="37.5" x14ac:dyDescent="0.25">
      <c r="A44" s="219">
        <f t="shared" si="0"/>
        <v>38</v>
      </c>
      <c r="B44" s="212" t="str">
        <f>IF('Config-Fire'!$B$1="POP", "PBB",_xlfn.SINGLE(Suite)) &amp; " Pre-Action Closet"</f>
        <v>G104 Pre-Action Closet</v>
      </c>
      <c r="C44" s="221" t="str">
        <f t="shared" si="1"/>
        <v>Pre-Action Cabinet A</v>
      </c>
      <c r="D44" s="223" t="s">
        <v>2627</v>
      </c>
      <c r="E44" s="212" t="s">
        <v>1529</v>
      </c>
      <c r="F44" s="214"/>
      <c r="G44" s="214" t="s">
        <v>1519</v>
      </c>
    </row>
    <row r="45" spans="1:7" ht="37.5" x14ac:dyDescent="0.25">
      <c r="A45" s="219">
        <f t="shared" si="0"/>
        <v>39</v>
      </c>
      <c r="B45" s="212" t="str">
        <f>IF('Config-Fire'!$B$1="POP", "PBB",_xlfn.SINGLE(Suite)) &amp; " Pre-Action Closet"</f>
        <v>G104 Pre-Action Closet</v>
      </c>
      <c r="C45" s="221" t="str">
        <f t="shared" si="1"/>
        <v>Pre-Action Cabinet A</v>
      </c>
      <c r="D45" s="223" t="s">
        <v>2628</v>
      </c>
      <c r="E45" s="212" t="s">
        <v>1529</v>
      </c>
      <c r="F45" s="214"/>
      <c r="G45" s="214" t="s">
        <v>1519</v>
      </c>
    </row>
    <row r="46" spans="1:7" ht="37.5" x14ac:dyDescent="0.25">
      <c r="A46" s="219">
        <f t="shared" si="0"/>
        <v>40</v>
      </c>
      <c r="B46" s="212" t="str">
        <f>IF('Config-Fire'!$B$1="POP", "PBB",_xlfn.SINGLE(Suite)) &amp; " Pre-Action Closet"</f>
        <v>G104 Pre-Action Closet</v>
      </c>
      <c r="C46" s="221" t="str">
        <f t="shared" si="1"/>
        <v>Pre-Action Cabinet A</v>
      </c>
      <c r="D46" s="223" t="s">
        <v>2629</v>
      </c>
      <c r="E46" s="212" t="s">
        <v>1529</v>
      </c>
      <c r="F46" s="214"/>
      <c r="G46" s="214" t="s">
        <v>1519</v>
      </c>
    </row>
    <row r="47" spans="1:7" ht="37.5" x14ac:dyDescent="0.25">
      <c r="A47" s="219">
        <f t="shared" si="0"/>
        <v>41</v>
      </c>
      <c r="B47" s="212" t="str">
        <f>IF('Config-Fire'!$B$1="POP", "PBB",_xlfn.SINGLE(Suite)) &amp; " Pre-Action Closet"</f>
        <v>G104 Pre-Action Closet</v>
      </c>
      <c r="C47" s="221" t="str">
        <f t="shared" si="1"/>
        <v>Pre-Action Cabinet A</v>
      </c>
      <c r="D47" s="223" t="s">
        <v>2630</v>
      </c>
      <c r="E47" s="212" t="s">
        <v>1529</v>
      </c>
      <c r="F47" s="214"/>
      <c r="G47" s="214" t="s">
        <v>1519</v>
      </c>
    </row>
    <row r="48" spans="1:7" ht="37.5" x14ac:dyDescent="0.25">
      <c r="A48" s="219">
        <f t="shared" si="0"/>
        <v>42</v>
      </c>
      <c r="B48" s="212" t="str">
        <f>IF('Config-Fire'!$B$1="POP", "PBB",_xlfn.SINGLE(Suite)) &amp; " Pre-Action Closet"</f>
        <v>G104 Pre-Action Closet</v>
      </c>
      <c r="C48" s="221" t="str">
        <f t="shared" si="1"/>
        <v>Pre-Action Cabinet A</v>
      </c>
      <c r="D48" s="223" t="s">
        <v>2631</v>
      </c>
      <c r="E48" s="212" t="s">
        <v>1529</v>
      </c>
      <c r="F48" s="214"/>
      <c r="G48" s="214" t="s">
        <v>1519</v>
      </c>
    </row>
    <row r="49" spans="1:7" ht="37.5" x14ac:dyDescent="0.25">
      <c r="A49" s="219">
        <f t="shared" si="0"/>
        <v>43</v>
      </c>
      <c r="B49" s="212" t="str">
        <f>IF('Config-Fire'!$B$1="POP", "PBB",_xlfn.SINGLE(Suite)) &amp; " Pre-Action Closet"</f>
        <v>G104 Pre-Action Closet</v>
      </c>
      <c r="C49" s="221" t="str">
        <f t="shared" si="1"/>
        <v>Pre-Action Cabinet A</v>
      </c>
      <c r="D49" s="223" t="s">
        <v>2632</v>
      </c>
      <c r="E49" s="212" t="s">
        <v>1529</v>
      </c>
      <c r="F49" s="214"/>
      <c r="G49" s="214" t="s">
        <v>1519</v>
      </c>
    </row>
    <row r="50" spans="1:7" ht="37.5" x14ac:dyDescent="0.25">
      <c r="A50" s="219">
        <f t="shared" si="0"/>
        <v>44</v>
      </c>
      <c r="B50" s="212" t="str">
        <f>IF('Config-Fire'!$B$1="POP", "PBB",_xlfn.SINGLE(Suite)) &amp; " Pre-Action Closet"</f>
        <v>G104 Pre-Action Closet</v>
      </c>
      <c r="C50" s="221" t="str">
        <f t="shared" si="1"/>
        <v>Pre-Action Cabinet A</v>
      </c>
      <c r="D50" s="223" t="str">
        <f>"At successful completion of Pre-Action system testing on cabinet " &amp; PreActCab1Zones &amp; ", the system will be restored to service as follows:"</f>
        <v>At successful completion of Pre-Action system testing on cabinet A, the system will be restored to service as follows:</v>
      </c>
      <c r="E50" s="212" t="s">
        <v>1529</v>
      </c>
      <c r="F50" s="214"/>
      <c r="G50" s="214" t="s">
        <v>1519</v>
      </c>
    </row>
    <row r="51" spans="1:7" ht="37.5" x14ac:dyDescent="0.25">
      <c r="A51" s="219">
        <f t="shared" si="0"/>
        <v>45</v>
      </c>
      <c r="B51" s="212" t="str">
        <f>IF('Config-Fire'!$B$1="POP", "PBB",_xlfn.SINGLE(Suite)) &amp; " Pre-Action Closet"</f>
        <v>G104 Pre-Action Closet</v>
      </c>
      <c r="C51" s="221" t="str">
        <f t="shared" si="1"/>
        <v>Pre-Action Cabinet A</v>
      </c>
      <c r="D51" s="223" t="s">
        <v>2633</v>
      </c>
      <c r="E51" s="212" t="s">
        <v>1529</v>
      </c>
      <c r="F51" s="214"/>
      <c r="G51" s="214" t="s">
        <v>1519</v>
      </c>
    </row>
    <row r="52" spans="1:7" ht="37.5" x14ac:dyDescent="0.25">
      <c r="A52" s="219">
        <f t="shared" si="0"/>
        <v>46</v>
      </c>
      <c r="B52" s="212" t="str">
        <f>IF('Config-Fire'!$B$1="POP", "PBB",_xlfn.SINGLE(Suite)) &amp; " Pre-Action Closet"</f>
        <v>G104 Pre-Action Closet</v>
      </c>
      <c r="C52" s="221" t="str">
        <f t="shared" si="1"/>
        <v>Pre-Action Cabinet A</v>
      </c>
      <c r="D52" s="223" t="s">
        <v>2634</v>
      </c>
      <c r="E52" s="212" t="s">
        <v>1529</v>
      </c>
      <c r="F52" s="214"/>
      <c r="G52" s="214" t="s">
        <v>1519</v>
      </c>
    </row>
    <row r="53" spans="1:7" ht="37.5" x14ac:dyDescent="0.25">
      <c r="A53" s="219">
        <f t="shared" si="0"/>
        <v>47</v>
      </c>
      <c r="B53" s="212" t="str">
        <f>IF('Config-Fire'!$B$1="POP", "PBB",_xlfn.SINGLE(Suite)) &amp; " Pre-Action Closet"</f>
        <v>G104 Pre-Action Closet</v>
      </c>
      <c r="C53" s="221" t="str">
        <f>"Pre-Action Cabinet " &amp; PreActCab1Zones</f>
        <v>Pre-Action Cabinet A</v>
      </c>
      <c r="D53" s="223" t="s">
        <v>2635</v>
      </c>
      <c r="E53" s="212" t="s">
        <v>1529</v>
      </c>
      <c r="F53" s="214"/>
      <c r="G53" s="214" t="s">
        <v>1519</v>
      </c>
    </row>
    <row r="54" spans="1:7" ht="37.5" x14ac:dyDescent="0.25">
      <c r="A54" s="219">
        <f t="shared" si="0"/>
        <v>48</v>
      </c>
      <c r="B54" s="212" t="str">
        <f>IF('Config-Fire'!$B$1="POP", "PBB",_xlfn.SINGLE(Suite)) &amp; " Pre-Action Closet"</f>
        <v>G104 Pre-Action Closet</v>
      </c>
      <c r="C54" s="221" t="str">
        <f>"Pre-Action Cabinet " &amp; PreActCab1Zones</f>
        <v>Pre-Action Cabinet A</v>
      </c>
      <c r="D54" s="223" t="s">
        <v>2636</v>
      </c>
      <c r="E54" s="212" t="s">
        <v>1529</v>
      </c>
      <c r="F54" s="214"/>
      <c r="G54" s="214" t="s">
        <v>1519</v>
      </c>
    </row>
    <row r="55" spans="1:7" ht="37.5" x14ac:dyDescent="0.25">
      <c r="A55" s="219">
        <f t="shared" si="0"/>
        <v>49</v>
      </c>
      <c r="B55" s="212" t="str">
        <f>IF('Config-Fire'!$B$1="POP", "PBB",_xlfn.SINGLE(Suite)) &amp; " Pre-Action Closet"</f>
        <v>G104 Pre-Action Closet</v>
      </c>
      <c r="C55" s="221" t="str">
        <f>"Pre-Action Cabinet " &amp; PreActCab1Zones</f>
        <v>Pre-Action Cabinet A</v>
      </c>
      <c r="D55" s="223" t="s">
        <v>2637</v>
      </c>
      <c r="E55" s="212" t="s">
        <v>1529</v>
      </c>
      <c r="F55" s="214" t="s">
        <v>1519</v>
      </c>
      <c r="G55" s="214" t="s">
        <v>1519</v>
      </c>
    </row>
    <row r="56" spans="1:7" ht="37.5" x14ac:dyDescent="0.25">
      <c r="A56" s="219">
        <f t="shared" si="0"/>
        <v>50</v>
      </c>
      <c r="B56" s="212" t="str">
        <f>IF('Config-Fire'!$B$1="POP",IADNumber&amp; " Lobby",Suite &amp; " Data Center")</f>
        <v>G104 Data Center</v>
      </c>
      <c r="C56" s="212" t="str">
        <f>IF('Config-Fire'!$B$1="POP", "FACP", "LFACP")</f>
        <v>LFACP</v>
      </c>
      <c r="D56" s="266" t="str">
        <f>IF('Config-Fire'!$B$1="POP", "Verify no alarm conditions exist at the Fire Alarm Control Panel.", "Verify no alarm conditions exist at the Local Fire Alarm Control Panel.")</f>
        <v>Verify no alarm conditions exist at the Local Fire Alarm Control Panel.</v>
      </c>
      <c r="E56" s="212" t="s">
        <v>1529</v>
      </c>
      <c r="F56" s="214" t="s">
        <v>1519</v>
      </c>
      <c r="G56" s="214" t="s">
        <v>1519</v>
      </c>
    </row>
    <row r="57" spans="1:7" ht="37.5" x14ac:dyDescent="0.25">
      <c r="A57" s="219">
        <f t="shared" si="0"/>
        <v>51</v>
      </c>
      <c r="B57" s="212" t="str">
        <f>IF('Config-Fire'!$B$1="POP", "PBB",_xlfn.SINGLE(Suite)) &amp; " Pre-Action Closet"</f>
        <v>G104 Pre-Action Closet</v>
      </c>
      <c r="C57" s="221" t="str">
        <f>"Pre-Action Cabinet " &amp; PreActCab1Zones</f>
        <v>Pre-Action Cabinet A</v>
      </c>
      <c r="D57" s="223" t="s">
        <v>2638</v>
      </c>
      <c r="E57" s="212" t="s">
        <v>1529</v>
      </c>
      <c r="F57" s="214"/>
      <c r="G57" s="214" t="s">
        <v>1519</v>
      </c>
    </row>
    <row r="58" spans="1:7" x14ac:dyDescent="0.25">
      <c r="A58" s="219">
        <f t="shared" si="0"/>
        <v>52</v>
      </c>
      <c r="B58" s="713" t="str">
        <f>"Test Cabinet ''" &amp; PreActCab2Zones &amp; "''"</f>
        <v>Test Cabinet ''B''</v>
      </c>
      <c r="C58" s="713"/>
      <c r="D58" s="713"/>
      <c r="E58" s="713"/>
      <c r="F58" s="713"/>
      <c r="G58" s="713"/>
    </row>
    <row r="59" spans="1:7" ht="37.5" x14ac:dyDescent="0.25">
      <c r="A59" s="219">
        <f t="shared" si="0"/>
        <v>53</v>
      </c>
      <c r="B59" s="212" t="str">
        <f>IF('Config-Fire'!$B$1="POP", "PBB",_xlfn.SINGLE(Suite)) &amp; " Pre-Action Closet"</f>
        <v>G104 Pre-Action Closet</v>
      </c>
      <c r="C59" s="221" t="str">
        <f t="shared" ref="C59:C82" si="2">"Pre-Action Cabinet " &amp; PreActCab2Zones</f>
        <v>Pre-Action Cabinet B</v>
      </c>
      <c r="D59" s="223" t="s">
        <v>2615</v>
      </c>
      <c r="E59" s="212" t="s">
        <v>1529</v>
      </c>
      <c r="F59" s="214"/>
      <c r="G59" s="214" t="s">
        <v>1519</v>
      </c>
    </row>
    <row r="60" spans="1:7" ht="37.5" x14ac:dyDescent="0.25">
      <c r="A60" s="219">
        <f t="shared" ref="A60:A122" si="3">A59+1</f>
        <v>54</v>
      </c>
      <c r="B60" s="212" t="str">
        <f>IF('Config-Fire'!$B$1="POP", "PBB",_xlfn.SINGLE(Suite)) &amp; " Pre-Action Closet"</f>
        <v>G104 Pre-Action Closet</v>
      </c>
      <c r="C60" s="221" t="str">
        <f t="shared" si="2"/>
        <v>Pre-Action Cabinet B</v>
      </c>
      <c r="D60" s="223" t="s">
        <v>2616</v>
      </c>
      <c r="E60" s="212" t="s">
        <v>1529</v>
      </c>
      <c r="F60" s="214"/>
      <c r="G60" s="214" t="s">
        <v>1519</v>
      </c>
    </row>
    <row r="61" spans="1:7" ht="37.5" x14ac:dyDescent="0.25">
      <c r="A61" s="219">
        <f t="shared" si="3"/>
        <v>55</v>
      </c>
      <c r="B61" s="212" t="str">
        <f>IF('Config-Fire'!$B$1="POP", "PBB",_xlfn.SINGLE(Suite)) &amp; " Pre-Action Closet"</f>
        <v>G104 Pre-Action Closet</v>
      </c>
      <c r="C61" s="221" t="str">
        <f t="shared" si="2"/>
        <v>Pre-Action Cabinet B</v>
      </c>
      <c r="D61" s="223" t="s">
        <v>2617</v>
      </c>
      <c r="E61" s="212" t="s">
        <v>1529</v>
      </c>
      <c r="F61" s="214"/>
      <c r="G61" s="214" t="s">
        <v>1519</v>
      </c>
    </row>
    <row r="62" spans="1:7" ht="37.5" x14ac:dyDescent="0.25">
      <c r="A62" s="219">
        <f t="shared" si="3"/>
        <v>56</v>
      </c>
      <c r="B62" s="212" t="str">
        <f>IF('Config-Fire'!$B$1="POP", "PBB",_xlfn.SINGLE(Suite)) &amp; " Pre-Action Closet"</f>
        <v>G104 Pre-Action Closet</v>
      </c>
      <c r="C62" s="221" t="str">
        <f t="shared" si="2"/>
        <v>Pre-Action Cabinet B</v>
      </c>
      <c r="D62" s="223" t="s">
        <v>2618</v>
      </c>
      <c r="E62" s="212" t="s">
        <v>1529</v>
      </c>
      <c r="F62" s="214"/>
      <c r="G62" s="214" t="s">
        <v>1519</v>
      </c>
    </row>
    <row r="63" spans="1:7" ht="37.5" x14ac:dyDescent="0.25">
      <c r="A63" s="219">
        <f t="shared" si="3"/>
        <v>57</v>
      </c>
      <c r="B63" s="212" t="str">
        <f>IF('Config-Fire'!$B$1="POP", "PBB",_xlfn.SINGLE(Suite)) &amp; " Pre-Action Closet"</f>
        <v>G104 Pre-Action Closet</v>
      </c>
      <c r="C63" s="221" t="str">
        <f t="shared" si="2"/>
        <v>Pre-Action Cabinet B</v>
      </c>
      <c r="D63" s="223" t="s">
        <v>2619</v>
      </c>
      <c r="E63" s="212" t="s">
        <v>1529</v>
      </c>
      <c r="F63" s="214"/>
      <c r="G63" s="214" t="s">
        <v>1519</v>
      </c>
    </row>
    <row r="64" spans="1:7" ht="37.5" x14ac:dyDescent="0.25">
      <c r="A64" s="219">
        <f t="shared" si="3"/>
        <v>58</v>
      </c>
      <c r="B64" s="212" t="str">
        <f>IF('Config-Fire'!$B$1="POP", "PBB",_xlfn.SINGLE(Suite)) &amp; " Pre-Action Closet"</f>
        <v>G104 Pre-Action Closet</v>
      </c>
      <c r="C64" s="221" t="str">
        <f t="shared" si="2"/>
        <v>Pre-Action Cabinet B</v>
      </c>
      <c r="D64" s="223" t="s">
        <v>2620</v>
      </c>
      <c r="E64" s="212" t="s">
        <v>1529</v>
      </c>
      <c r="F64" s="214"/>
      <c r="G64" s="214" t="s">
        <v>1519</v>
      </c>
    </row>
    <row r="65" spans="1:7" ht="37.5" x14ac:dyDescent="0.25">
      <c r="A65" s="219">
        <f t="shared" si="3"/>
        <v>59</v>
      </c>
      <c r="B65" s="212" t="str">
        <f>IF('Config-Fire'!$B$1="POP", "PBB",_xlfn.SINGLE(Suite)) &amp; " Pre-Action Closet"</f>
        <v>G104 Pre-Action Closet</v>
      </c>
      <c r="C65" s="221" t="str">
        <f t="shared" si="2"/>
        <v>Pre-Action Cabinet B</v>
      </c>
      <c r="D65" s="223" t="s">
        <v>2621</v>
      </c>
      <c r="E65" s="212" t="s">
        <v>1529</v>
      </c>
      <c r="F65" s="214"/>
      <c r="G65" s="214" t="s">
        <v>1519</v>
      </c>
    </row>
    <row r="66" spans="1:7" ht="37.5" x14ac:dyDescent="0.25">
      <c r="A66" s="219">
        <f t="shared" si="3"/>
        <v>60</v>
      </c>
      <c r="B66" s="212" t="str">
        <f>IF('Config-Fire'!$B$1="POP", "PBB",_xlfn.SINGLE(Suite)) &amp; " Pre-Action Closet"</f>
        <v>G104 Pre-Action Closet</v>
      </c>
      <c r="C66" s="221" t="str">
        <f t="shared" si="2"/>
        <v>Pre-Action Cabinet B</v>
      </c>
      <c r="D66" s="223" t="s">
        <v>2622</v>
      </c>
      <c r="E66" s="212" t="s">
        <v>1529</v>
      </c>
      <c r="F66" s="214"/>
      <c r="G66" s="214" t="s">
        <v>1519</v>
      </c>
    </row>
    <row r="67" spans="1:7" ht="37.5" x14ac:dyDescent="0.25">
      <c r="A67" s="219">
        <f t="shared" si="3"/>
        <v>61</v>
      </c>
      <c r="B67" s="212" t="str">
        <f>IF('Config-Fire'!$B$1="POP", "PBB",_xlfn.SINGLE(Suite)) &amp; " Pre-Action Closet"</f>
        <v>G104 Pre-Action Closet</v>
      </c>
      <c r="C67" s="221" t="str">
        <f t="shared" si="2"/>
        <v>Pre-Action Cabinet B</v>
      </c>
      <c r="D67" s="223" t="s">
        <v>2623</v>
      </c>
      <c r="E67" s="212" t="s">
        <v>1529</v>
      </c>
      <c r="F67" s="214"/>
      <c r="G67" s="214" t="s">
        <v>1519</v>
      </c>
    </row>
    <row r="68" spans="1:7" ht="37.5" x14ac:dyDescent="0.25">
      <c r="A68" s="219">
        <f t="shared" si="3"/>
        <v>62</v>
      </c>
      <c r="B68" s="212" t="str">
        <f>IF('Config-Fire'!$B$1="POP", "PBB",_xlfn.SINGLE(Suite)) &amp; " Pre-Action Closet"</f>
        <v>G104 Pre-Action Closet</v>
      </c>
      <c r="C68" s="221" t="str">
        <f t="shared" si="2"/>
        <v>Pre-Action Cabinet B</v>
      </c>
      <c r="D68" s="223" t="s">
        <v>2624</v>
      </c>
      <c r="E68" s="212" t="s">
        <v>1529</v>
      </c>
      <c r="F68" s="214"/>
      <c r="G68" s="214" t="s">
        <v>1519</v>
      </c>
    </row>
    <row r="69" spans="1:7" ht="37.5" x14ac:dyDescent="0.25">
      <c r="A69" s="219">
        <f t="shared" si="3"/>
        <v>63</v>
      </c>
      <c r="B69" s="212" t="str">
        <f>IF('Config-Fire'!$B$1="POP", "PBB",_xlfn.SINGLE(Suite)) &amp; " Pre-Action Closet"</f>
        <v>G104 Pre-Action Closet</v>
      </c>
      <c r="C69" s="221" t="str">
        <f t="shared" si="2"/>
        <v>Pre-Action Cabinet B</v>
      </c>
      <c r="D69" s="223" t="s">
        <v>2625</v>
      </c>
      <c r="E69" s="212" t="s">
        <v>1529</v>
      </c>
      <c r="F69" s="214"/>
      <c r="G69" s="214" t="s">
        <v>1519</v>
      </c>
    </row>
    <row r="70" spans="1:7" ht="37.5" x14ac:dyDescent="0.25">
      <c r="A70" s="219">
        <f t="shared" si="3"/>
        <v>64</v>
      </c>
      <c r="B70" s="212" t="str">
        <f>IF('Config-Fire'!$B$1="POP", "PBB",_xlfn.SINGLE(Suite)) &amp; " Pre-Action Closet"</f>
        <v>G104 Pre-Action Closet</v>
      </c>
      <c r="C70" s="221" t="str">
        <f t="shared" si="2"/>
        <v>Pre-Action Cabinet B</v>
      </c>
      <c r="D70" s="223" t="s">
        <v>2626</v>
      </c>
      <c r="E70" s="212" t="s">
        <v>1529</v>
      </c>
      <c r="F70" s="214"/>
      <c r="G70" s="214" t="s">
        <v>1519</v>
      </c>
    </row>
    <row r="71" spans="1:7" ht="37.5" x14ac:dyDescent="0.25">
      <c r="A71" s="219">
        <f t="shared" si="3"/>
        <v>65</v>
      </c>
      <c r="B71" s="212" t="str">
        <f>IF('Config-Fire'!$B$1="POP", "PBB",_xlfn.SINGLE(Suite)) &amp; " Pre-Action Closet"</f>
        <v>G104 Pre-Action Closet</v>
      </c>
      <c r="C71" s="221" t="str">
        <f t="shared" si="2"/>
        <v>Pre-Action Cabinet B</v>
      </c>
      <c r="D71" s="223" t="s">
        <v>2627</v>
      </c>
      <c r="E71" s="212" t="s">
        <v>1529</v>
      </c>
      <c r="F71" s="214"/>
      <c r="G71" s="214" t="s">
        <v>1519</v>
      </c>
    </row>
    <row r="72" spans="1:7" ht="37.5" x14ac:dyDescent="0.25">
      <c r="A72" s="219">
        <f t="shared" si="3"/>
        <v>66</v>
      </c>
      <c r="B72" s="212" t="str">
        <f>IF('Config-Fire'!$B$1="POP", "PBB",_xlfn.SINGLE(Suite)) &amp; " Pre-Action Closet"</f>
        <v>G104 Pre-Action Closet</v>
      </c>
      <c r="C72" s="221" t="str">
        <f t="shared" si="2"/>
        <v>Pre-Action Cabinet B</v>
      </c>
      <c r="D72" s="223" t="s">
        <v>2628</v>
      </c>
      <c r="E72" s="212" t="s">
        <v>1529</v>
      </c>
      <c r="F72" s="214"/>
      <c r="G72" s="214" t="s">
        <v>1519</v>
      </c>
    </row>
    <row r="73" spans="1:7" ht="37.5" x14ac:dyDescent="0.25">
      <c r="A73" s="219">
        <f t="shared" si="3"/>
        <v>67</v>
      </c>
      <c r="B73" s="212" t="str">
        <f>IF('Config-Fire'!$B$1="POP", "PBB",_xlfn.SINGLE(Suite)) &amp; " Pre-Action Closet"</f>
        <v>G104 Pre-Action Closet</v>
      </c>
      <c r="C73" s="221" t="str">
        <f t="shared" si="2"/>
        <v>Pre-Action Cabinet B</v>
      </c>
      <c r="D73" s="223" t="s">
        <v>2629</v>
      </c>
      <c r="E73" s="212" t="s">
        <v>1529</v>
      </c>
      <c r="F73" s="214"/>
      <c r="G73" s="214" t="s">
        <v>1519</v>
      </c>
    </row>
    <row r="74" spans="1:7" ht="37.5" x14ac:dyDescent="0.25">
      <c r="A74" s="219">
        <f t="shared" si="3"/>
        <v>68</v>
      </c>
      <c r="B74" s="212" t="str">
        <f>IF('Config-Fire'!$B$1="POP", "PBB",_xlfn.SINGLE(Suite)) &amp; " Pre-Action Closet"</f>
        <v>G104 Pre-Action Closet</v>
      </c>
      <c r="C74" s="221" t="str">
        <f t="shared" si="2"/>
        <v>Pre-Action Cabinet B</v>
      </c>
      <c r="D74" s="223" t="s">
        <v>2630</v>
      </c>
      <c r="E74" s="212" t="s">
        <v>1529</v>
      </c>
      <c r="F74" s="214"/>
      <c r="G74" s="214" t="s">
        <v>1519</v>
      </c>
    </row>
    <row r="75" spans="1:7" ht="37.5" x14ac:dyDescent="0.25">
      <c r="A75" s="219">
        <f t="shared" si="3"/>
        <v>69</v>
      </c>
      <c r="B75" s="212" t="str">
        <f>IF('Config-Fire'!$B$1="POP", "PBB",_xlfn.SINGLE(Suite)) &amp; " Pre-Action Closet"</f>
        <v>G104 Pre-Action Closet</v>
      </c>
      <c r="C75" s="221" t="str">
        <f t="shared" si="2"/>
        <v>Pre-Action Cabinet B</v>
      </c>
      <c r="D75" s="223" t="s">
        <v>2631</v>
      </c>
      <c r="E75" s="212" t="s">
        <v>1529</v>
      </c>
      <c r="F75" s="214"/>
      <c r="G75" s="214" t="s">
        <v>1519</v>
      </c>
    </row>
    <row r="76" spans="1:7" ht="37.5" x14ac:dyDescent="0.25">
      <c r="A76" s="219">
        <f t="shared" si="3"/>
        <v>70</v>
      </c>
      <c r="B76" s="212" t="str">
        <f>IF('Config-Fire'!$B$1="POP", "PBB",_xlfn.SINGLE(Suite)) &amp; " Pre-Action Closet"</f>
        <v>G104 Pre-Action Closet</v>
      </c>
      <c r="C76" s="221" t="str">
        <f t="shared" si="2"/>
        <v>Pre-Action Cabinet B</v>
      </c>
      <c r="D76" s="223" t="s">
        <v>2632</v>
      </c>
      <c r="E76" s="212" t="s">
        <v>1529</v>
      </c>
      <c r="F76" s="214"/>
      <c r="G76" s="214" t="s">
        <v>1519</v>
      </c>
    </row>
    <row r="77" spans="1:7" ht="37.5" x14ac:dyDescent="0.25">
      <c r="A77" s="219">
        <f t="shared" si="3"/>
        <v>71</v>
      </c>
      <c r="B77" s="212" t="str">
        <f>IF('Config-Fire'!$B$1="POP", "PBB",_xlfn.SINGLE(Suite)) &amp; " Pre-Action Closet"</f>
        <v>G104 Pre-Action Closet</v>
      </c>
      <c r="C77" s="221" t="str">
        <f t="shared" si="2"/>
        <v>Pre-Action Cabinet B</v>
      </c>
      <c r="D77" s="223" t="str">
        <f>"At successful completion of Pre-Action system testing on cabinet " &amp; PreActCab2Zones &amp; ", the system will be restored to service as follows:"</f>
        <v>At successful completion of Pre-Action system testing on cabinet B, the system will be restored to service as follows:</v>
      </c>
      <c r="E77" s="212" t="s">
        <v>1529</v>
      </c>
      <c r="F77" s="214"/>
      <c r="G77" s="214" t="s">
        <v>1519</v>
      </c>
    </row>
    <row r="78" spans="1:7" ht="37.5" x14ac:dyDescent="0.25">
      <c r="A78" s="219">
        <f t="shared" si="3"/>
        <v>72</v>
      </c>
      <c r="B78" s="212" t="str">
        <f>IF('Config-Fire'!$B$1="POP", "PBB",_xlfn.SINGLE(Suite)) &amp; " Pre-Action Closet"</f>
        <v>G104 Pre-Action Closet</v>
      </c>
      <c r="C78" s="221" t="str">
        <f t="shared" si="2"/>
        <v>Pre-Action Cabinet B</v>
      </c>
      <c r="D78" s="223" t="s">
        <v>2633</v>
      </c>
      <c r="E78" s="212" t="s">
        <v>1529</v>
      </c>
      <c r="F78" s="214"/>
      <c r="G78" s="214" t="s">
        <v>1519</v>
      </c>
    </row>
    <row r="79" spans="1:7" ht="37.5" x14ac:dyDescent="0.25">
      <c r="A79" s="219">
        <f t="shared" si="3"/>
        <v>73</v>
      </c>
      <c r="B79" s="212" t="str">
        <f>IF('Config-Fire'!$B$1="POP", "PBB",_xlfn.SINGLE(Suite)) &amp; " Pre-Action Closet"</f>
        <v>G104 Pre-Action Closet</v>
      </c>
      <c r="C79" s="221" t="str">
        <f t="shared" si="2"/>
        <v>Pre-Action Cabinet B</v>
      </c>
      <c r="D79" s="223" t="s">
        <v>2634</v>
      </c>
      <c r="E79" s="212" t="s">
        <v>1529</v>
      </c>
      <c r="F79" s="214"/>
      <c r="G79" s="214" t="s">
        <v>1519</v>
      </c>
    </row>
    <row r="80" spans="1:7" ht="37.5" x14ac:dyDescent="0.25">
      <c r="A80" s="219">
        <f t="shared" si="3"/>
        <v>74</v>
      </c>
      <c r="B80" s="212" t="str">
        <f>IF('Config-Fire'!$B$1="POP", "PBB",_xlfn.SINGLE(Suite)) &amp; " Pre-Action Closet"</f>
        <v>G104 Pre-Action Closet</v>
      </c>
      <c r="C80" s="221" t="str">
        <f t="shared" si="2"/>
        <v>Pre-Action Cabinet B</v>
      </c>
      <c r="D80" s="223" t="s">
        <v>2635</v>
      </c>
      <c r="E80" s="212" t="s">
        <v>1529</v>
      </c>
      <c r="F80" s="214"/>
      <c r="G80" s="214" t="s">
        <v>1519</v>
      </c>
    </row>
    <row r="81" spans="1:7" ht="37.5" x14ac:dyDescent="0.25">
      <c r="A81" s="219">
        <f t="shared" si="3"/>
        <v>75</v>
      </c>
      <c r="B81" s="212" t="str">
        <f>IF('Config-Fire'!$B$1="POP", "PBB",_xlfn.SINGLE(Suite)) &amp; " Pre-Action Closet"</f>
        <v>G104 Pre-Action Closet</v>
      </c>
      <c r="C81" s="221" t="str">
        <f t="shared" si="2"/>
        <v>Pre-Action Cabinet B</v>
      </c>
      <c r="D81" s="223" t="s">
        <v>2636</v>
      </c>
      <c r="E81" s="212" t="s">
        <v>1529</v>
      </c>
      <c r="F81" s="214"/>
      <c r="G81" s="214" t="s">
        <v>1519</v>
      </c>
    </row>
    <row r="82" spans="1:7" ht="37.5" x14ac:dyDescent="0.25">
      <c r="A82" s="219">
        <f t="shared" si="3"/>
        <v>76</v>
      </c>
      <c r="B82" s="212" t="str">
        <f>IF('Config-Fire'!$B$1="POP", "PBB",_xlfn.SINGLE(Suite)) &amp; " Pre-Action Closet"</f>
        <v>G104 Pre-Action Closet</v>
      </c>
      <c r="C82" s="221" t="str">
        <f t="shared" si="2"/>
        <v>Pre-Action Cabinet B</v>
      </c>
      <c r="D82" s="223" t="s">
        <v>2637</v>
      </c>
      <c r="E82" s="212" t="s">
        <v>1529</v>
      </c>
      <c r="F82" s="214"/>
      <c r="G82" s="214" t="s">
        <v>1519</v>
      </c>
    </row>
    <row r="83" spans="1:7" ht="37.5" x14ac:dyDescent="0.25">
      <c r="A83" s="219">
        <f t="shared" si="3"/>
        <v>77</v>
      </c>
      <c r="B83" s="212" t="str">
        <f>IF('Config-Fire'!$B$1="POP",IADNumber&amp; " Lobby",Suite &amp; " Data Center")</f>
        <v>G104 Data Center</v>
      </c>
      <c r="C83" s="212" t="str">
        <f>IF('Config-Fire'!$B$1="POP", "FACP", "LFACP")</f>
        <v>LFACP</v>
      </c>
      <c r="D83" s="266" t="str">
        <f>IF('Config-Fire'!$B$1="POP", "Verify no alarm conditions exist at the Fire Alarm Control Panel.", "Verify no alarm conditions exist at the Local Fire Alarm Control Panel.")</f>
        <v>Verify no alarm conditions exist at the Local Fire Alarm Control Panel.</v>
      </c>
      <c r="E83" s="212" t="s">
        <v>1529</v>
      </c>
      <c r="F83" s="214" t="s">
        <v>1519</v>
      </c>
      <c r="G83" s="214" t="s">
        <v>1519</v>
      </c>
    </row>
    <row r="84" spans="1:7" ht="37.5" x14ac:dyDescent="0.25">
      <c r="A84" s="219">
        <f t="shared" si="3"/>
        <v>78</v>
      </c>
      <c r="B84" s="212" t="str">
        <f>IF('Config-Fire'!$B$1="POP", "PBB",_xlfn.SINGLE(Suite)) &amp; " Pre-Action Closet"</f>
        <v>G104 Pre-Action Closet</v>
      </c>
      <c r="C84" s="221" t="str">
        <f>"Pre-Action Cabinet " &amp; PreActCab2Zones</f>
        <v>Pre-Action Cabinet B</v>
      </c>
      <c r="D84" s="223" t="s">
        <v>2638</v>
      </c>
      <c r="E84" s="212" t="s">
        <v>1529</v>
      </c>
      <c r="F84" s="214"/>
      <c r="G84" s="214" t="s">
        <v>1519</v>
      </c>
    </row>
    <row r="85" spans="1:7" x14ac:dyDescent="0.25">
      <c r="A85" s="219">
        <f t="shared" si="3"/>
        <v>79</v>
      </c>
      <c r="B85" s="713" t="str">
        <f>"Test Cabinet ''" &amp; PreActCab3Zones &amp; "''"</f>
        <v>Test Cabinet ''XXX''</v>
      </c>
      <c r="C85" s="713"/>
      <c r="D85" s="713"/>
      <c r="E85" s="713"/>
      <c r="F85" s="713"/>
      <c r="G85" s="713"/>
    </row>
    <row r="86" spans="1:7" ht="37.5" x14ac:dyDescent="0.25">
      <c r="A86" s="219">
        <f t="shared" si="3"/>
        <v>80</v>
      </c>
      <c r="B86" s="212" t="str">
        <f>IF('Config-Fire'!$B$1="POP", "PBB",_xlfn.SINGLE(Suite)) &amp; " Pre-Action Closet"</f>
        <v>G104 Pre-Action Closet</v>
      </c>
      <c r="C86" s="221" t="str">
        <f t="shared" ref="C86:C109" si="4">"Pre-Action Cabinet " &amp; PreActCab3Zones</f>
        <v>Pre-Action Cabinet XXX</v>
      </c>
      <c r="D86" s="223" t="s">
        <v>2615</v>
      </c>
      <c r="E86" s="212" t="s">
        <v>1529</v>
      </c>
      <c r="F86" s="214"/>
      <c r="G86" s="214" t="s">
        <v>1519</v>
      </c>
    </row>
    <row r="87" spans="1:7" ht="37.5" x14ac:dyDescent="0.25">
      <c r="A87" s="219">
        <f t="shared" si="3"/>
        <v>81</v>
      </c>
      <c r="B87" s="212" t="str">
        <f>IF('Config-Fire'!$B$1="POP", "PBB",_xlfn.SINGLE(Suite)) &amp; " Pre-Action Closet"</f>
        <v>G104 Pre-Action Closet</v>
      </c>
      <c r="C87" s="221" t="str">
        <f t="shared" si="4"/>
        <v>Pre-Action Cabinet XXX</v>
      </c>
      <c r="D87" s="223" t="s">
        <v>2616</v>
      </c>
      <c r="E87" s="212" t="s">
        <v>1529</v>
      </c>
      <c r="F87" s="214"/>
      <c r="G87" s="214" t="s">
        <v>1519</v>
      </c>
    </row>
    <row r="88" spans="1:7" ht="37.5" x14ac:dyDescent="0.25">
      <c r="A88" s="219">
        <f t="shared" si="3"/>
        <v>82</v>
      </c>
      <c r="B88" s="212" t="str">
        <f>IF('Config-Fire'!$B$1="POP", "PBB",_xlfn.SINGLE(Suite)) &amp; " Pre-Action Closet"</f>
        <v>G104 Pre-Action Closet</v>
      </c>
      <c r="C88" s="221" t="str">
        <f t="shared" si="4"/>
        <v>Pre-Action Cabinet XXX</v>
      </c>
      <c r="D88" s="223" t="s">
        <v>2617</v>
      </c>
      <c r="E88" s="212" t="s">
        <v>1529</v>
      </c>
      <c r="F88" s="214"/>
      <c r="G88" s="214" t="s">
        <v>1519</v>
      </c>
    </row>
    <row r="89" spans="1:7" ht="37.5" x14ac:dyDescent="0.25">
      <c r="A89" s="219">
        <f t="shared" si="3"/>
        <v>83</v>
      </c>
      <c r="B89" s="212" t="str">
        <f>IF('Config-Fire'!$B$1="POP", "PBB",_xlfn.SINGLE(Suite)) &amp; " Pre-Action Closet"</f>
        <v>G104 Pre-Action Closet</v>
      </c>
      <c r="C89" s="221" t="str">
        <f t="shared" si="4"/>
        <v>Pre-Action Cabinet XXX</v>
      </c>
      <c r="D89" s="223" t="s">
        <v>2618</v>
      </c>
      <c r="E89" s="212" t="s">
        <v>1529</v>
      </c>
      <c r="F89" s="214"/>
      <c r="G89" s="214" t="s">
        <v>1519</v>
      </c>
    </row>
    <row r="90" spans="1:7" ht="37.5" x14ac:dyDescent="0.25">
      <c r="A90" s="219">
        <f t="shared" si="3"/>
        <v>84</v>
      </c>
      <c r="B90" s="212" t="str">
        <f>IF('Config-Fire'!$B$1="POP", "PBB",_xlfn.SINGLE(Suite)) &amp; " Pre-Action Closet"</f>
        <v>G104 Pre-Action Closet</v>
      </c>
      <c r="C90" s="221" t="str">
        <f t="shared" si="4"/>
        <v>Pre-Action Cabinet XXX</v>
      </c>
      <c r="D90" s="223" t="s">
        <v>2619</v>
      </c>
      <c r="E90" s="212" t="s">
        <v>1529</v>
      </c>
      <c r="F90" s="214"/>
      <c r="G90" s="214" t="s">
        <v>1519</v>
      </c>
    </row>
    <row r="91" spans="1:7" ht="37.5" x14ac:dyDescent="0.25">
      <c r="A91" s="219">
        <f t="shared" si="3"/>
        <v>85</v>
      </c>
      <c r="B91" s="212" t="str">
        <f>IF('Config-Fire'!$B$1="POP", "PBB",_xlfn.SINGLE(Suite)) &amp; " Pre-Action Closet"</f>
        <v>G104 Pre-Action Closet</v>
      </c>
      <c r="C91" s="221" t="str">
        <f t="shared" si="4"/>
        <v>Pre-Action Cabinet XXX</v>
      </c>
      <c r="D91" s="223" t="s">
        <v>2620</v>
      </c>
      <c r="E91" s="212" t="s">
        <v>1529</v>
      </c>
      <c r="F91" s="214"/>
      <c r="G91" s="214" t="s">
        <v>1519</v>
      </c>
    </row>
    <row r="92" spans="1:7" ht="37.5" x14ac:dyDescent="0.25">
      <c r="A92" s="219">
        <f t="shared" si="3"/>
        <v>86</v>
      </c>
      <c r="B92" s="212" t="str">
        <f>IF('Config-Fire'!$B$1="POP", "PBB",_xlfn.SINGLE(Suite)) &amp; " Pre-Action Closet"</f>
        <v>G104 Pre-Action Closet</v>
      </c>
      <c r="C92" s="221" t="str">
        <f t="shared" si="4"/>
        <v>Pre-Action Cabinet XXX</v>
      </c>
      <c r="D92" s="223" t="s">
        <v>2621</v>
      </c>
      <c r="E92" s="212" t="s">
        <v>1529</v>
      </c>
      <c r="F92" s="214"/>
      <c r="G92" s="214" t="s">
        <v>1519</v>
      </c>
    </row>
    <row r="93" spans="1:7" ht="37.5" x14ac:dyDescent="0.25">
      <c r="A93" s="219">
        <f t="shared" si="3"/>
        <v>87</v>
      </c>
      <c r="B93" s="212" t="str">
        <f>IF('Config-Fire'!$B$1="POP", "PBB",_xlfn.SINGLE(Suite)) &amp; " Pre-Action Closet"</f>
        <v>G104 Pre-Action Closet</v>
      </c>
      <c r="C93" s="221" t="str">
        <f t="shared" si="4"/>
        <v>Pre-Action Cabinet XXX</v>
      </c>
      <c r="D93" s="223" t="s">
        <v>2622</v>
      </c>
      <c r="E93" s="212" t="s">
        <v>1529</v>
      </c>
      <c r="F93" s="214"/>
      <c r="G93" s="214" t="s">
        <v>1519</v>
      </c>
    </row>
    <row r="94" spans="1:7" ht="37.5" x14ac:dyDescent="0.25">
      <c r="A94" s="219">
        <f t="shared" si="3"/>
        <v>88</v>
      </c>
      <c r="B94" s="212" t="str">
        <f>IF('Config-Fire'!$B$1="POP", "PBB",_xlfn.SINGLE(Suite)) &amp; " Pre-Action Closet"</f>
        <v>G104 Pre-Action Closet</v>
      </c>
      <c r="C94" s="221" t="str">
        <f t="shared" si="4"/>
        <v>Pre-Action Cabinet XXX</v>
      </c>
      <c r="D94" s="223" t="s">
        <v>2623</v>
      </c>
      <c r="E94" s="212" t="s">
        <v>1529</v>
      </c>
      <c r="F94" s="214"/>
      <c r="G94" s="214" t="s">
        <v>1519</v>
      </c>
    </row>
    <row r="95" spans="1:7" ht="37.5" x14ac:dyDescent="0.25">
      <c r="A95" s="219">
        <f t="shared" si="3"/>
        <v>89</v>
      </c>
      <c r="B95" s="212" t="str">
        <f>IF('Config-Fire'!$B$1="POP", "PBB",_xlfn.SINGLE(Suite)) &amp; " Pre-Action Closet"</f>
        <v>G104 Pre-Action Closet</v>
      </c>
      <c r="C95" s="221" t="str">
        <f t="shared" si="4"/>
        <v>Pre-Action Cabinet XXX</v>
      </c>
      <c r="D95" s="223" t="s">
        <v>2624</v>
      </c>
      <c r="E95" s="212" t="s">
        <v>1529</v>
      </c>
      <c r="F95" s="214"/>
      <c r="G95" s="214" t="s">
        <v>1519</v>
      </c>
    </row>
    <row r="96" spans="1:7" ht="37.5" x14ac:dyDescent="0.25">
      <c r="A96" s="219">
        <f t="shared" si="3"/>
        <v>90</v>
      </c>
      <c r="B96" s="212" t="str">
        <f>IF('Config-Fire'!$B$1="POP", "PBB",_xlfn.SINGLE(Suite)) &amp; " Pre-Action Closet"</f>
        <v>G104 Pre-Action Closet</v>
      </c>
      <c r="C96" s="221" t="str">
        <f t="shared" si="4"/>
        <v>Pre-Action Cabinet XXX</v>
      </c>
      <c r="D96" s="223" t="s">
        <v>2625</v>
      </c>
      <c r="E96" s="212" t="s">
        <v>1529</v>
      </c>
      <c r="F96" s="214"/>
      <c r="G96" s="214" t="s">
        <v>1519</v>
      </c>
    </row>
    <row r="97" spans="1:7" ht="37.5" x14ac:dyDescent="0.25">
      <c r="A97" s="219">
        <f t="shared" si="3"/>
        <v>91</v>
      </c>
      <c r="B97" s="212" t="str">
        <f>IF('Config-Fire'!$B$1="POP", "PBB",_xlfn.SINGLE(Suite)) &amp; " Pre-Action Closet"</f>
        <v>G104 Pre-Action Closet</v>
      </c>
      <c r="C97" s="221" t="str">
        <f t="shared" si="4"/>
        <v>Pre-Action Cabinet XXX</v>
      </c>
      <c r="D97" s="223" t="s">
        <v>2626</v>
      </c>
      <c r="E97" s="212" t="s">
        <v>1529</v>
      </c>
      <c r="F97" s="214"/>
      <c r="G97" s="214" t="s">
        <v>1519</v>
      </c>
    </row>
    <row r="98" spans="1:7" ht="37.5" x14ac:dyDescent="0.25">
      <c r="A98" s="219">
        <f t="shared" si="3"/>
        <v>92</v>
      </c>
      <c r="B98" s="212" t="str">
        <f>IF('Config-Fire'!$B$1="POP", "PBB",_xlfn.SINGLE(Suite)) &amp; " Pre-Action Closet"</f>
        <v>G104 Pre-Action Closet</v>
      </c>
      <c r="C98" s="221" t="str">
        <f t="shared" si="4"/>
        <v>Pre-Action Cabinet XXX</v>
      </c>
      <c r="D98" s="223" t="s">
        <v>2627</v>
      </c>
      <c r="E98" s="212" t="s">
        <v>1529</v>
      </c>
      <c r="F98" s="214"/>
      <c r="G98" s="214" t="s">
        <v>1519</v>
      </c>
    </row>
    <row r="99" spans="1:7" ht="37.5" x14ac:dyDescent="0.25">
      <c r="A99" s="219">
        <f t="shared" si="3"/>
        <v>93</v>
      </c>
      <c r="B99" s="212" t="str">
        <f>IF('Config-Fire'!$B$1="POP", "PBB",_xlfn.SINGLE(Suite)) &amp; " Pre-Action Closet"</f>
        <v>G104 Pre-Action Closet</v>
      </c>
      <c r="C99" s="221" t="str">
        <f t="shared" si="4"/>
        <v>Pre-Action Cabinet XXX</v>
      </c>
      <c r="D99" s="223" t="s">
        <v>2628</v>
      </c>
      <c r="E99" s="212" t="s">
        <v>1529</v>
      </c>
      <c r="F99" s="214"/>
      <c r="G99" s="214" t="s">
        <v>1519</v>
      </c>
    </row>
    <row r="100" spans="1:7" ht="37.5" x14ac:dyDescent="0.25">
      <c r="A100" s="219">
        <f t="shared" si="3"/>
        <v>94</v>
      </c>
      <c r="B100" s="212" t="str">
        <f>IF('Config-Fire'!$B$1="POP", "PBB",_xlfn.SINGLE(Suite)) &amp; " Pre-Action Closet"</f>
        <v>G104 Pre-Action Closet</v>
      </c>
      <c r="C100" s="221" t="str">
        <f t="shared" si="4"/>
        <v>Pre-Action Cabinet XXX</v>
      </c>
      <c r="D100" s="223" t="s">
        <v>2629</v>
      </c>
      <c r="E100" s="212" t="s">
        <v>1529</v>
      </c>
      <c r="F100" s="214"/>
      <c r="G100" s="214" t="s">
        <v>1519</v>
      </c>
    </row>
    <row r="101" spans="1:7" ht="37.5" x14ac:dyDescent="0.25">
      <c r="A101" s="219">
        <f t="shared" si="3"/>
        <v>95</v>
      </c>
      <c r="B101" s="212" t="str">
        <f>IF('Config-Fire'!$B$1="POP", "PBB",_xlfn.SINGLE(Suite)) &amp; " Pre-Action Closet"</f>
        <v>G104 Pre-Action Closet</v>
      </c>
      <c r="C101" s="221" t="str">
        <f t="shared" si="4"/>
        <v>Pre-Action Cabinet XXX</v>
      </c>
      <c r="D101" s="223" t="s">
        <v>2630</v>
      </c>
      <c r="E101" s="212" t="s">
        <v>1529</v>
      </c>
      <c r="F101" s="214"/>
      <c r="G101" s="214" t="s">
        <v>1519</v>
      </c>
    </row>
    <row r="102" spans="1:7" ht="37.5" x14ac:dyDescent="0.25">
      <c r="A102" s="219">
        <f t="shared" si="3"/>
        <v>96</v>
      </c>
      <c r="B102" s="212" t="str">
        <f>IF('Config-Fire'!$B$1="POP", "PBB",_xlfn.SINGLE(Suite)) &amp; " Pre-Action Closet"</f>
        <v>G104 Pre-Action Closet</v>
      </c>
      <c r="C102" s="221" t="str">
        <f t="shared" si="4"/>
        <v>Pre-Action Cabinet XXX</v>
      </c>
      <c r="D102" s="223" t="s">
        <v>2631</v>
      </c>
      <c r="E102" s="212" t="s">
        <v>1529</v>
      </c>
      <c r="F102" s="214"/>
      <c r="G102" s="214" t="s">
        <v>1519</v>
      </c>
    </row>
    <row r="103" spans="1:7" ht="37.5" x14ac:dyDescent="0.25">
      <c r="A103" s="219">
        <f t="shared" si="3"/>
        <v>97</v>
      </c>
      <c r="B103" s="212" t="str">
        <f>IF('Config-Fire'!$B$1="POP", "PBB",_xlfn.SINGLE(Suite)) &amp; " Pre-Action Closet"</f>
        <v>G104 Pre-Action Closet</v>
      </c>
      <c r="C103" s="221" t="str">
        <f t="shared" si="4"/>
        <v>Pre-Action Cabinet XXX</v>
      </c>
      <c r="D103" s="223" t="s">
        <v>2632</v>
      </c>
      <c r="E103" s="212" t="s">
        <v>1529</v>
      </c>
      <c r="F103" s="214"/>
      <c r="G103" s="214" t="s">
        <v>1519</v>
      </c>
    </row>
    <row r="104" spans="1:7" ht="37.5" x14ac:dyDescent="0.25">
      <c r="A104" s="219">
        <f t="shared" si="3"/>
        <v>98</v>
      </c>
      <c r="B104" s="212" t="str">
        <f>IF('Config-Fire'!$B$1="POP", "PBB",_xlfn.SINGLE(Suite)) &amp; " Pre-Action Closet"</f>
        <v>G104 Pre-Action Closet</v>
      </c>
      <c r="C104" s="221" t="str">
        <f t="shared" si="4"/>
        <v>Pre-Action Cabinet XXX</v>
      </c>
      <c r="D104" s="223" t="str">
        <f>"At successful completion of Pre-Action system testing on cabinet " &amp; PreActCab3Zones &amp; ", the system will be restored to service as follows:"</f>
        <v>At successful completion of Pre-Action system testing on cabinet XXX, the system will be restored to service as follows:</v>
      </c>
      <c r="E104" s="212" t="s">
        <v>1529</v>
      </c>
      <c r="F104" s="214"/>
      <c r="G104" s="214" t="s">
        <v>1519</v>
      </c>
    </row>
    <row r="105" spans="1:7" ht="37.5" x14ac:dyDescent="0.25">
      <c r="A105" s="219">
        <f t="shared" si="3"/>
        <v>99</v>
      </c>
      <c r="B105" s="212" t="str">
        <f>IF('Config-Fire'!$B$1="POP", "PBB",_xlfn.SINGLE(Suite)) &amp; " Pre-Action Closet"</f>
        <v>G104 Pre-Action Closet</v>
      </c>
      <c r="C105" s="221" t="str">
        <f t="shared" si="4"/>
        <v>Pre-Action Cabinet XXX</v>
      </c>
      <c r="D105" s="223" t="s">
        <v>2633</v>
      </c>
      <c r="E105" s="212" t="s">
        <v>1529</v>
      </c>
      <c r="F105" s="214"/>
      <c r="G105" s="214" t="s">
        <v>1519</v>
      </c>
    </row>
    <row r="106" spans="1:7" ht="37.5" x14ac:dyDescent="0.25">
      <c r="A106" s="219">
        <f t="shared" si="3"/>
        <v>100</v>
      </c>
      <c r="B106" s="212" t="str">
        <f>IF('Config-Fire'!$B$1="POP", "PBB",_xlfn.SINGLE(Suite)) &amp; " Pre-Action Closet"</f>
        <v>G104 Pre-Action Closet</v>
      </c>
      <c r="C106" s="221" t="str">
        <f t="shared" si="4"/>
        <v>Pre-Action Cabinet XXX</v>
      </c>
      <c r="D106" s="223" t="s">
        <v>2634</v>
      </c>
      <c r="E106" s="212" t="s">
        <v>1529</v>
      </c>
      <c r="F106" s="214"/>
      <c r="G106" s="214" t="s">
        <v>1519</v>
      </c>
    </row>
    <row r="107" spans="1:7" ht="37.5" x14ac:dyDescent="0.25">
      <c r="A107" s="219">
        <f t="shared" si="3"/>
        <v>101</v>
      </c>
      <c r="B107" s="212" t="str">
        <f>IF('Config-Fire'!$B$1="POP", "PBB",_xlfn.SINGLE(Suite)) &amp; " Pre-Action Closet"</f>
        <v>G104 Pre-Action Closet</v>
      </c>
      <c r="C107" s="221" t="str">
        <f t="shared" si="4"/>
        <v>Pre-Action Cabinet XXX</v>
      </c>
      <c r="D107" s="223" t="s">
        <v>2635</v>
      </c>
      <c r="E107" s="212" t="s">
        <v>1529</v>
      </c>
      <c r="F107" s="214"/>
      <c r="G107" s="214" t="s">
        <v>1519</v>
      </c>
    </row>
    <row r="108" spans="1:7" ht="37.5" x14ac:dyDescent="0.25">
      <c r="A108" s="219">
        <f t="shared" si="3"/>
        <v>102</v>
      </c>
      <c r="B108" s="212" t="str">
        <f>IF('Config-Fire'!$B$1="POP", "PBB",_xlfn.SINGLE(Suite)) &amp; " Pre-Action Closet"</f>
        <v>G104 Pre-Action Closet</v>
      </c>
      <c r="C108" s="221" t="str">
        <f t="shared" si="4"/>
        <v>Pre-Action Cabinet XXX</v>
      </c>
      <c r="D108" s="223" t="s">
        <v>2636</v>
      </c>
      <c r="E108" s="212" t="s">
        <v>1529</v>
      </c>
      <c r="F108" s="214"/>
      <c r="G108" s="214" t="s">
        <v>1519</v>
      </c>
    </row>
    <row r="109" spans="1:7" ht="37.5" x14ac:dyDescent="0.25">
      <c r="A109" s="219">
        <f t="shared" si="3"/>
        <v>103</v>
      </c>
      <c r="B109" s="212" t="str">
        <f>IF('Config-Fire'!$B$1="POP", "PBB",_xlfn.SINGLE(Suite)) &amp; " Pre-Action Closet"</f>
        <v>G104 Pre-Action Closet</v>
      </c>
      <c r="C109" s="221" t="str">
        <f t="shared" si="4"/>
        <v>Pre-Action Cabinet XXX</v>
      </c>
      <c r="D109" s="223" t="s">
        <v>2637</v>
      </c>
      <c r="E109" s="212" t="s">
        <v>1529</v>
      </c>
      <c r="F109" s="214"/>
      <c r="G109" s="214" t="s">
        <v>1519</v>
      </c>
    </row>
    <row r="110" spans="1:7" ht="37.5" x14ac:dyDescent="0.25">
      <c r="A110" s="219">
        <f t="shared" si="3"/>
        <v>104</v>
      </c>
      <c r="B110" s="212" t="str">
        <f>IF('Config-Fire'!$B$1="POP",IADNumber&amp; " Lobby",Suite &amp; " Data Center")</f>
        <v>G104 Data Center</v>
      </c>
      <c r="C110" s="212" t="str">
        <f>IF('Config-Fire'!$B$1="POP", "FACP", "LFACP")</f>
        <v>LFACP</v>
      </c>
      <c r="D110" s="266" t="str">
        <f>IF('Config-Fire'!$B$1="POP", "Verify no alarm conditions exist at the Fire Alarm Control Panel.", "Verify no alarm conditions exist at the Local Fire Alarm Control Panel.")</f>
        <v>Verify no alarm conditions exist at the Local Fire Alarm Control Panel.</v>
      </c>
      <c r="E110" s="212" t="s">
        <v>1529</v>
      </c>
      <c r="F110" s="214"/>
      <c r="G110" s="214" t="s">
        <v>1519</v>
      </c>
    </row>
    <row r="111" spans="1:7" ht="37.5" x14ac:dyDescent="0.25">
      <c r="A111" s="219">
        <f t="shared" si="3"/>
        <v>105</v>
      </c>
      <c r="B111" s="212" t="str">
        <f>IF('Config-Fire'!$B$1="POP", "PBB",_xlfn.SINGLE(Suite)) &amp; " Pre-Action Closet"</f>
        <v>G104 Pre-Action Closet</v>
      </c>
      <c r="C111" s="221" t="str">
        <f>"Pre-Action Cabinet " &amp; PreActCab3Zones</f>
        <v>Pre-Action Cabinet XXX</v>
      </c>
      <c r="D111" s="223" t="s">
        <v>2638</v>
      </c>
      <c r="E111" s="212" t="s">
        <v>1529</v>
      </c>
      <c r="F111" s="214"/>
      <c r="G111" s="214" t="s">
        <v>1519</v>
      </c>
    </row>
    <row r="112" spans="1:7" x14ac:dyDescent="0.25">
      <c r="A112" s="219">
        <f>IF(PreActCabQuantity=2, A84+1, A111+1)</f>
        <v>79</v>
      </c>
      <c r="B112" s="713" t="str" cm="1">
        <f t="array" ref="B112">"Restore Suite " &amp; Suite &amp; " Fire System Signals"</f>
        <v>Restore Suite G104 Fire System Signals</v>
      </c>
      <c r="C112" s="713"/>
      <c r="D112" s="713"/>
      <c r="E112" s="713"/>
      <c r="F112" s="713"/>
      <c r="G112" s="713"/>
    </row>
    <row r="113" spans="1:7" ht="37.5" x14ac:dyDescent="0.3">
      <c r="A113" s="219">
        <f t="shared" si="3"/>
        <v>80</v>
      </c>
      <c r="B113" s="212" t="str">
        <f>Suite &amp; " Data Center"</f>
        <v>G104 Data Center</v>
      </c>
      <c r="C113" s="212" t="s">
        <v>2058</v>
      </c>
      <c r="D113" s="223" t="s">
        <v>2639</v>
      </c>
      <c r="E113" s="212" t="s">
        <v>1464</v>
      </c>
      <c r="F113" s="218"/>
      <c r="G113" s="214" t="s">
        <v>1519</v>
      </c>
    </row>
    <row r="114" spans="1:7" ht="37.5" x14ac:dyDescent="0.3">
      <c r="A114" s="219">
        <f t="shared" si="3"/>
        <v>81</v>
      </c>
      <c r="B114" s="212" t="str">
        <f>Suite &amp; " Data Center"</f>
        <v>G104 Data Center</v>
      </c>
      <c r="C114" s="212" t="s">
        <v>2058</v>
      </c>
      <c r="D114" s="223" t="s">
        <v>2640</v>
      </c>
      <c r="E114" s="212" t="s">
        <v>1464</v>
      </c>
      <c r="F114" s="218"/>
      <c r="G114" s="214" t="s">
        <v>1519</v>
      </c>
    </row>
    <row r="115" spans="1:7" ht="37.5" x14ac:dyDescent="0.3">
      <c r="A115" s="219">
        <f t="shared" si="3"/>
        <v>82</v>
      </c>
      <c r="B115" s="212" t="str">
        <f>Suite &amp; " Data Center"</f>
        <v>G104 Data Center</v>
      </c>
      <c r="C115" s="212" t="s">
        <v>2058</v>
      </c>
      <c r="D115" s="223" t="s">
        <v>2641</v>
      </c>
      <c r="E115" s="212" t="s">
        <v>1464</v>
      </c>
      <c r="F115" s="218"/>
      <c r="G115" s="214" t="s">
        <v>1519</v>
      </c>
    </row>
    <row r="116" spans="1:7" ht="37.5" x14ac:dyDescent="0.3">
      <c r="A116" s="219">
        <f t="shared" si="3"/>
        <v>83</v>
      </c>
      <c r="B116" s="212" t="str">
        <f>Suite &amp; " Data Center"</f>
        <v>G104 Data Center</v>
      </c>
      <c r="C116" s="212" t="s">
        <v>2058</v>
      </c>
      <c r="D116" s="223" t="s">
        <v>2642</v>
      </c>
      <c r="E116" s="212" t="s">
        <v>1464</v>
      </c>
      <c r="F116" s="218"/>
      <c r="G116" s="214" t="s">
        <v>1519</v>
      </c>
    </row>
    <row r="117" spans="1:7" ht="37.5" x14ac:dyDescent="0.3">
      <c r="A117" s="219">
        <f t="shared" si="3"/>
        <v>84</v>
      </c>
      <c r="B117" s="212" t="str">
        <f>Suite &amp; " Data Center"</f>
        <v>G104 Data Center</v>
      </c>
      <c r="C117" s="212" t="s">
        <v>2058</v>
      </c>
      <c r="D117" s="223" t="s">
        <v>2643</v>
      </c>
      <c r="E117" s="212" t="s">
        <v>1464</v>
      </c>
      <c r="F117" s="218"/>
      <c r="G117" s="214" t="s">
        <v>1519</v>
      </c>
    </row>
    <row r="118" spans="1:7" ht="37.5" x14ac:dyDescent="0.3">
      <c r="A118" s="219">
        <f>IF(PreActCabQuantity=2, A116+1, A117+1)</f>
        <v>84</v>
      </c>
      <c r="B118" s="212" t="str">
        <f>Suite &amp; " Data Center"</f>
        <v>G104 Data Center</v>
      </c>
      <c r="C118" s="212" t="s">
        <v>2058</v>
      </c>
      <c r="D118" s="223" t="s">
        <v>2644</v>
      </c>
      <c r="E118" s="212" t="s">
        <v>1464</v>
      </c>
      <c r="F118" s="218"/>
      <c r="G118" s="214" t="s">
        <v>1519</v>
      </c>
    </row>
    <row r="119" spans="1:7" x14ac:dyDescent="0.25">
      <c r="A119" s="219">
        <f t="shared" si="3"/>
        <v>85</v>
      </c>
      <c r="B119" s="713" t="str" cm="1">
        <f t="array" ref="B119">"Restore Suite " &amp; Suite &amp; " HVAC Shutoff"</f>
        <v>Restore Suite G104 HVAC Shutoff</v>
      </c>
      <c r="C119" s="713"/>
      <c r="D119" s="713"/>
      <c r="E119" s="713"/>
      <c r="F119" s="713"/>
      <c r="G119" s="713"/>
    </row>
    <row r="120" spans="1:7" ht="37.5" x14ac:dyDescent="0.3">
      <c r="A120" s="219">
        <f t="shared" si="3"/>
        <v>86</v>
      </c>
      <c r="B120" s="212" t="str">
        <f>Suite &amp; " Data Center"</f>
        <v>G104 Data Center</v>
      </c>
      <c r="C120" s="212" t="s">
        <v>2058</v>
      </c>
      <c r="D120" s="223" t="s">
        <v>2639</v>
      </c>
      <c r="E120" s="212" t="s">
        <v>1464</v>
      </c>
      <c r="F120" s="218"/>
      <c r="G120" s="214" t="s">
        <v>1519</v>
      </c>
    </row>
    <row r="121" spans="1:7" ht="37.5" x14ac:dyDescent="0.3">
      <c r="A121" s="219">
        <f t="shared" si="3"/>
        <v>87</v>
      </c>
      <c r="B121" s="212" t="str">
        <f>Suite &amp; " Data Center"</f>
        <v>G104 Data Center</v>
      </c>
      <c r="C121" s="212" t="s">
        <v>2510</v>
      </c>
      <c r="D121" s="223" t="s">
        <v>2645</v>
      </c>
      <c r="E121" s="212" t="s">
        <v>1464</v>
      </c>
      <c r="F121" s="218"/>
      <c r="G121" s="214" t="s">
        <v>1519</v>
      </c>
    </row>
    <row r="122" spans="1:7" ht="37.5" x14ac:dyDescent="0.3">
      <c r="A122" s="219">
        <f t="shared" si="3"/>
        <v>88</v>
      </c>
      <c r="B122" s="212" t="str">
        <f>Suite &amp; " Data Center"</f>
        <v>G104 Data Center</v>
      </c>
      <c r="C122" s="212" t="s">
        <v>2510</v>
      </c>
      <c r="D122" s="223" t="s">
        <v>2646</v>
      </c>
      <c r="E122" s="212" t="s">
        <v>1464</v>
      </c>
      <c r="F122" s="218"/>
      <c r="G122" s="214" t="s">
        <v>1519</v>
      </c>
    </row>
    <row r="123" spans="1:7" ht="37.5" x14ac:dyDescent="0.3">
      <c r="A123" s="219">
        <f t="shared" ref="A123:A141" si="5">A122+1</f>
        <v>89</v>
      </c>
      <c r="B123" s="212" t="str">
        <f>Suite &amp; " Data Center"</f>
        <v>G104 Data Center</v>
      </c>
      <c r="C123" s="212" t="s">
        <v>2058</v>
      </c>
      <c r="D123" s="223" t="s">
        <v>2639</v>
      </c>
      <c r="E123" s="212" t="s">
        <v>1464</v>
      </c>
      <c r="F123" s="218"/>
      <c r="G123" s="214" t="s">
        <v>1519</v>
      </c>
    </row>
    <row r="124" spans="1:7" x14ac:dyDescent="0.25">
      <c r="A124" s="219">
        <f>IF('Config-Fire'!$B$1="POP", A84+1, A123+1)</f>
        <v>90</v>
      </c>
      <c r="B124" s="713" t="s">
        <v>2647</v>
      </c>
      <c r="C124" s="713"/>
      <c r="D124" s="713"/>
      <c r="E124" s="713"/>
      <c r="F124" s="713"/>
      <c r="G124" s="713"/>
    </row>
    <row r="125" spans="1:7" ht="75" x14ac:dyDescent="0.25">
      <c r="A125" s="219">
        <f t="shared" si="5"/>
        <v>91</v>
      </c>
      <c r="B125" s="212" t="str">
        <f t="shared" ref="B125:B132" si="6">IADNumber&amp;" Lobby"</f>
        <v>IAD35 Lobby</v>
      </c>
      <c r="C125" s="212" t="s">
        <v>2447</v>
      </c>
      <c r="D125" s="266" t="str">
        <f>"Wait one hour between " &amp; IF(RIGHT(zSelectedEquipment, 9)="POP Rooms", "completing inspections of all pre action cabinets",  "enabling suite fire system signals") &amp; " and enabling PBB fire system signals.
Time at beginning of one hour wait: ________
Time at end of one hour wait: ________"</f>
        <v>Wait one hour between enabling suite fire system signals and enabling PBB fire system signals.
Time at beginning of one hour wait: ________
Time at end of one hour wait: ________</v>
      </c>
      <c r="E125" s="212" t="s">
        <v>1464</v>
      </c>
      <c r="F125" s="212"/>
      <c r="G125" s="214" t="s">
        <v>1519</v>
      </c>
    </row>
    <row r="126" spans="1:7" ht="37.5" x14ac:dyDescent="0.25">
      <c r="A126" s="219">
        <f t="shared" si="5"/>
        <v>92</v>
      </c>
      <c r="B126" s="212" t="str">
        <f t="shared" si="6"/>
        <v>IAD35 Lobby</v>
      </c>
      <c r="C126" s="212" t="s">
        <v>2447</v>
      </c>
      <c r="D126" s="223" t="s">
        <v>2037</v>
      </c>
      <c r="E126" s="212" t="s">
        <v>1464</v>
      </c>
      <c r="F126" s="212"/>
      <c r="G126" s="214" t="s">
        <v>1519</v>
      </c>
    </row>
    <row r="127" spans="1:7" ht="37.5" x14ac:dyDescent="0.3">
      <c r="A127" s="219">
        <f t="shared" si="5"/>
        <v>93</v>
      </c>
      <c r="B127" s="212" t="str">
        <f t="shared" si="6"/>
        <v>IAD35 Lobby</v>
      </c>
      <c r="C127" s="212" t="s">
        <v>2447</v>
      </c>
      <c r="D127" s="223" t="s">
        <v>2648</v>
      </c>
      <c r="E127" s="212" t="s">
        <v>1464</v>
      </c>
      <c r="F127" s="217" t="s">
        <v>1519</v>
      </c>
      <c r="G127" s="214" t="s">
        <v>1519</v>
      </c>
    </row>
    <row r="128" spans="1:7" ht="37.5" x14ac:dyDescent="0.3">
      <c r="A128" s="219">
        <f t="shared" si="5"/>
        <v>94</v>
      </c>
      <c r="B128" s="212" t="str">
        <f t="shared" si="6"/>
        <v>IAD35 Lobby</v>
      </c>
      <c r="C128" s="212" t="s">
        <v>2447</v>
      </c>
      <c r="D128" s="223" t="s">
        <v>2649</v>
      </c>
      <c r="E128" s="212" t="s">
        <v>1464</v>
      </c>
      <c r="F128" s="217" t="s">
        <v>1519</v>
      </c>
      <c r="G128" s="214" t="s">
        <v>1519</v>
      </c>
    </row>
    <row r="129" spans="1:7" ht="37.5" x14ac:dyDescent="0.3">
      <c r="A129" s="219">
        <f t="shared" si="5"/>
        <v>95</v>
      </c>
      <c r="B129" s="212" t="str">
        <f t="shared" si="6"/>
        <v>IAD35 Lobby</v>
      </c>
      <c r="C129" s="212" t="s">
        <v>2447</v>
      </c>
      <c r="D129" s="223" t="s">
        <v>2650</v>
      </c>
      <c r="E129" s="212" t="s">
        <v>1464</v>
      </c>
      <c r="F129" s="217" t="s">
        <v>1519</v>
      </c>
      <c r="G129" s="214" t="s">
        <v>1519</v>
      </c>
    </row>
    <row r="130" spans="1:7" ht="37.5" x14ac:dyDescent="0.3">
      <c r="A130" s="219">
        <f t="shared" si="5"/>
        <v>96</v>
      </c>
      <c r="B130" s="212" t="str">
        <f t="shared" si="6"/>
        <v>IAD35 Lobby</v>
      </c>
      <c r="C130" s="212" t="s">
        <v>2447</v>
      </c>
      <c r="D130" s="223" t="s">
        <v>2651</v>
      </c>
      <c r="E130" s="212" t="s">
        <v>1464</v>
      </c>
      <c r="F130" s="217" t="s">
        <v>1519</v>
      </c>
      <c r="G130" s="214" t="s">
        <v>1519</v>
      </c>
    </row>
    <row r="131" spans="1:7" ht="93.75" x14ac:dyDescent="0.3">
      <c r="A131" s="219">
        <f t="shared" si="5"/>
        <v>97</v>
      </c>
      <c r="B131" s="212" t="str">
        <f t="shared" si="6"/>
        <v>IAD35 Lobby</v>
      </c>
      <c r="C131" s="212" t="s">
        <v>2447</v>
      </c>
      <c r="D131" s="223" t="str" cm="1">
        <f t="array" ref="D131">"Record all existing deficiencies or abnormal conditions on the " &amp; Suite &amp; " fire systems.
________________________________________________________________________________________________________________________________________________________________________________________________"</f>
        <v>Record all existing deficiencies or abnormal conditions on the G104 fire systems.
________________________________________________________________________________________________________________________________________________________________________________________________</v>
      </c>
      <c r="E131" s="212" t="s">
        <v>1464</v>
      </c>
      <c r="F131" s="217"/>
      <c r="G131" s="214" t="s">
        <v>1519</v>
      </c>
    </row>
    <row r="132" spans="1:7" ht="93.75" x14ac:dyDescent="0.3">
      <c r="A132" s="219">
        <f t="shared" si="5"/>
        <v>98</v>
      </c>
      <c r="B132" s="212" t="str">
        <f t="shared" si="6"/>
        <v>IAD35 Lobby</v>
      </c>
      <c r="C132" s="212" t="s">
        <v>2447</v>
      </c>
      <c r="D132" s="223" t="str" cm="1">
        <f t="array" ref="D132">"By my signature below I certify that the fire systems for suite " &amp; Suite &amp; " are operating normally with any exceptions noted above. All exceptions noted above will be noted in the Service Report and quotes for applicable repairs will be provided. 
Fire system technician signature: _____________________________"</f>
        <v>By my signature below I certify that the fire systems for suite G104 are operating normally with any exceptions noted above. All exceptions noted above will be noted in the Service Report and quotes for applicable repairs will be provided. 
Fire system technician signature: _____________________________</v>
      </c>
      <c r="E132" s="212" t="s">
        <v>1529</v>
      </c>
      <c r="F132" s="217"/>
      <c r="G132" s="214" t="s">
        <v>1519</v>
      </c>
    </row>
    <row r="133" spans="1:7" x14ac:dyDescent="0.25">
      <c r="A133" s="219">
        <f t="shared" si="5"/>
        <v>99</v>
      </c>
      <c r="B133" s="713" t="s">
        <v>2363</v>
      </c>
      <c r="C133" s="713"/>
      <c r="D133" s="713"/>
      <c r="E133" s="713"/>
      <c r="F133" s="713"/>
      <c r="G133" s="713"/>
    </row>
    <row r="134" spans="1:7" ht="37.5" x14ac:dyDescent="0.3">
      <c r="A134" s="219">
        <f t="shared" si="5"/>
        <v>100</v>
      </c>
      <c r="B134" s="212" t="s">
        <v>1462</v>
      </c>
      <c r="C134" s="212" t="s">
        <v>84</v>
      </c>
      <c r="D134" s="223" t="s">
        <v>2037</v>
      </c>
      <c r="E134" s="212" t="s">
        <v>1464</v>
      </c>
      <c r="F134" s="217" t="s">
        <v>1519</v>
      </c>
      <c r="G134" s="214" t="s">
        <v>1519</v>
      </c>
    </row>
    <row r="135" spans="1:7" ht="37.5" x14ac:dyDescent="0.3">
      <c r="A135" s="219">
        <f t="shared" si="5"/>
        <v>101</v>
      </c>
      <c r="B135" s="212" t="s">
        <v>1462</v>
      </c>
      <c r="C135" s="212" t="s">
        <v>84</v>
      </c>
      <c r="D135" s="223" t="s">
        <v>2025</v>
      </c>
      <c r="E135" s="212" t="s">
        <v>1464</v>
      </c>
      <c r="F135" s="217" t="s">
        <v>1519</v>
      </c>
      <c r="G135" s="214" t="s">
        <v>1519</v>
      </c>
    </row>
    <row r="136" spans="1:7" ht="37.5" x14ac:dyDescent="0.3">
      <c r="A136" s="219">
        <f t="shared" si="5"/>
        <v>102</v>
      </c>
      <c r="B136" s="212" t="s">
        <v>1462</v>
      </c>
      <c r="C136" s="212" t="s">
        <v>84</v>
      </c>
      <c r="D136" s="223" t="s">
        <v>2548</v>
      </c>
      <c r="E136" s="212" t="s">
        <v>1464</v>
      </c>
      <c r="F136" s="217" t="s">
        <v>1519</v>
      </c>
      <c r="G136" s="214" t="s">
        <v>1519</v>
      </c>
    </row>
    <row r="137" spans="1:7" ht="37.5" x14ac:dyDescent="0.3">
      <c r="A137" s="219">
        <f t="shared" si="5"/>
        <v>103</v>
      </c>
      <c r="B137" s="212" t="s">
        <v>1462</v>
      </c>
      <c r="C137" s="212" t="s">
        <v>84</v>
      </c>
      <c r="D137" s="223" t="str">
        <f>"Building "&amp;Building&amp;" address: "&amp;Address</f>
        <v>Building G address: 43940 Digital Loudoun Plaza</v>
      </c>
      <c r="E137" s="212" t="s">
        <v>1464</v>
      </c>
      <c r="F137" s="217" t="s">
        <v>1519</v>
      </c>
      <c r="G137" s="214" t="s">
        <v>1519</v>
      </c>
    </row>
    <row r="138" spans="1:7" ht="37.5" x14ac:dyDescent="0.3">
      <c r="A138" s="219">
        <f t="shared" si="5"/>
        <v>104</v>
      </c>
      <c r="B138" s="212" t="s">
        <v>1462</v>
      </c>
      <c r="C138" s="212" t="s">
        <v>84</v>
      </c>
      <c r="D138" s="223" t="s">
        <v>2444</v>
      </c>
      <c r="E138" s="212" t="s">
        <v>1464</v>
      </c>
      <c r="F138" s="217" t="s">
        <v>1519</v>
      </c>
      <c r="G138" s="214" t="s">
        <v>1519</v>
      </c>
    </row>
    <row r="139" spans="1:7" ht="56.25" x14ac:dyDescent="0.3">
      <c r="A139" s="219">
        <f t="shared" si="5"/>
        <v>105</v>
      </c>
      <c r="B139" s="212" t="s">
        <v>1462</v>
      </c>
      <c r="C139" s="212" t="s">
        <v>84</v>
      </c>
      <c r="D139" s="223" t="s">
        <v>2652</v>
      </c>
      <c r="E139" s="212" t="s">
        <v>1464</v>
      </c>
      <c r="F139" s="217"/>
      <c r="G139" s="214" t="s">
        <v>1519</v>
      </c>
    </row>
    <row r="140" spans="1:7" ht="37.5" x14ac:dyDescent="0.3">
      <c r="A140" s="219">
        <f t="shared" si="5"/>
        <v>106</v>
      </c>
      <c r="B140" s="212" t="str">
        <f t="shared" ref="B140:B141" si="7">IADNumber&amp;" Lobby"</f>
        <v>IAD35 Lobby</v>
      </c>
      <c r="C140" s="212" t="s">
        <v>2447</v>
      </c>
      <c r="D140" s="223" t="s">
        <v>2653</v>
      </c>
      <c r="E140" s="212" t="s">
        <v>1464</v>
      </c>
      <c r="F140" s="217" t="s">
        <v>1519</v>
      </c>
      <c r="G140" s="214" t="s">
        <v>1519</v>
      </c>
    </row>
    <row r="141" spans="1:7" ht="37.5" x14ac:dyDescent="0.3">
      <c r="A141" s="219">
        <f t="shared" si="5"/>
        <v>107</v>
      </c>
      <c r="B141" s="212" t="str">
        <f t="shared" si="7"/>
        <v>IAD35 Lobby</v>
      </c>
      <c r="C141" s="212" t="s">
        <v>2447</v>
      </c>
      <c r="D141" s="269" t="s">
        <v>2515</v>
      </c>
      <c r="E141" s="212" t="s">
        <v>1464</v>
      </c>
      <c r="F141" s="217" t="s">
        <v>1519</v>
      </c>
      <c r="G141" s="214" t="s">
        <v>1519</v>
      </c>
    </row>
    <row r="142" spans="1:7" x14ac:dyDescent="0.3">
      <c r="A142" s="192"/>
    </row>
    <row r="143" spans="1:7" x14ac:dyDescent="0.3">
      <c r="A143" s="192"/>
    </row>
    <row r="144" spans="1:7" x14ac:dyDescent="0.3">
      <c r="A144" s="192"/>
    </row>
    <row r="145" spans="1:1" x14ac:dyDescent="0.3">
      <c r="A145" s="192"/>
    </row>
  </sheetData>
  <sheetProtection formatCells="0" formatColumns="0" formatRows="0" insertRows="0" deleteRows="0" sort="0" autoFilter="0"/>
  <mergeCells count="16">
    <mergeCell ref="B133:G133"/>
    <mergeCell ref="B6:G6"/>
    <mergeCell ref="B17:G17"/>
    <mergeCell ref="B22:G22"/>
    <mergeCell ref="B28:G28"/>
    <mergeCell ref="B31:G31"/>
    <mergeCell ref="B112:G112"/>
    <mergeCell ref="B119:G119"/>
    <mergeCell ref="B124:G124"/>
    <mergeCell ref="B58:G58"/>
    <mergeCell ref="B85:G85"/>
    <mergeCell ref="A4:C4"/>
    <mergeCell ref="A2:B2"/>
    <mergeCell ref="A3:B3"/>
    <mergeCell ref="C3:D3"/>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1C871-D921-4F3A-B843-A87E7CCFB74B}">
  <sheetPr codeName="Wet_Sprinkler_QPM">
    <pageSetUpPr fitToPage="1"/>
  </sheetPr>
  <dimension ref="A1:I47"/>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7" customWidth="1"/>
    <col min="9" max="9" width="8" customWidth="1"/>
    <col min="10" max="10" width="2.7109375" customWidth="1"/>
    <col min="11" max="11" width="72.28515625" customWidth="1"/>
  </cols>
  <sheetData>
    <row r="1" spans="1:9" x14ac:dyDescent="0.25">
      <c r="A1" s="209" t="s">
        <v>1454</v>
      </c>
      <c r="B1" s="209"/>
      <c r="C1" s="210"/>
      <c r="D1" s="210"/>
      <c r="E1" s="210"/>
      <c r="F1" s="210"/>
      <c r="G1" s="210"/>
    </row>
    <row r="2" spans="1:9" ht="18.75" customHeight="1" x14ac:dyDescent="0.25">
      <c r="A2" s="705" t="s">
        <v>42</v>
      </c>
      <c r="B2" s="705"/>
      <c r="C2" s="731" t="str">
        <f>zTaskName</f>
        <v>Routine Generator run with no load transfer</v>
      </c>
      <c r="D2" s="730"/>
      <c r="E2" s="730"/>
      <c r="F2" s="730"/>
      <c r="G2" s="732"/>
    </row>
    <row r="3" spans="1:9" ht="9.9499999999999993" customHeight="1" x14ac:dyDescent="0.25">
      <c r="A3" s="728"/>
      <c r="B3" s="729"/>
      <c r="C3" s="730"/>
      <c r="D3" s="730"/>
      <c r="E3" s="380"/>
      <c r="F3" s="380"/>
      <c r="G3" s="381"/>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19">
        <v>1</v>
      </c>
      <c r="B6" s="712" t="s">
        <v>2516</v>
      </c>
      <c r="C6" s="712"/>
      <c r="D6" s="712"/>
      <c r="E6" s="712"/>
      <c r="F6" s="712"/>
      <c r="G6" s="712"/>
    </row>
    <row r="7" spans="1:9" ht="37.5" x14ac:dyDescent="0.25">
      <c r="A7" s="219">
        <v>2</v>
      </c>
      <c r="B7" s="212" t="s">
        <v>1462</v>
      </c>
      <c r="C7" s="212" t="s">
        <v>84</v>
      </c>
      <c r="D7" s="213" t="s">
        <v>2441</v>
      </c>
      <c r="E7" s="212" t="s">
        <v>1464</v>
      </c>
      <c r="F7" s="214" t="s">
        <v>1519</v>
      </c>
      <c r="G7" s="214"/>
    </row>
    <row r="8" spans="1:9" ht="37.5" x14ac:dyDescent="0.25">
      <c r="A8" s="219">
        <v>3</v>
      </c>
      <c r="B8" s="212" t="s">
        <v>1462</v>
      </c>
      <c r="C8" s="212" t="s">
        <v>84</v>
      </c>
      <c r="D8" s="213" t="s">
        <v>2442</v>
      </c>
      <c r="E8" s="212" t="s">
        <v>1464</v>
      </c>
      <c r="F8" s="214" t="s">
        <v>1519</v>
      </c>
      <c r="G8" s="214"/>
    </row>
    <row r="9" spans="1:9" ht="37.5" x14ac:dyDescent="0.25">
      <c r="A9" s="219">
        <v>4</v>
      </c>
      <c r="B9" s="212" t="s">
        <v>1462</v>
      </c>
      <c r="C9" s="212" t="s">
        <v>84</v>
      </c>
      <c r="D9" s="213" t="s">
        <v>2025</v>
      </c>
      <c r="E9" s="212" t="s">
        <v>1464</v>
      </c>
      <c r="F9" s="214" t="s">
        <v>1519</v>
      </c>
      <c r="G9" s="214"/>
    </row>
    <row r="10" spans="1:9" ht="37.5" x14ac:dyDescent="0.25">
      <c r="A10" s="219">
        <v>5</v>
      </c>
      <c r="B10" s="212" t="s">
        <v>1462</v>
      </c>
      <c r="C10" s="212" t="s">
        <v>84</v>
      </c>
      <c r="D10" s="213" t="s">
        <v>2443</v>
      </c>
      <c r="E10" s="212" t="s">
        <v>1464</v>
      </c>
      <c r="F10" s="214" t="s">
        <v>1519</v>
      </c>
      <c r="G10" s="214"/>
    </row>
    <row r="11" spans="1:9" ht="37.5" x14ac:dyDescent="0.25">
      <c r="A11" s="219">
        <v>6</v>
      </c>
      <c r="B11" s="212" t="s">
        <v>1462</v>
      </c>
      <c r="C11" s="212" t="s">
        <v>84</v>
      </c>
      <c r="D11" s="213" t="str">
        <f>"Building "&amp;Building&amp;" address: "&amp;Address</f>
        <v>Building G address: 43940 Digital Loudoun Plaza</v>
      </c>
      <c r="E11" s="212" t="s">
        <v>1464</v>
      </c>
      <c r="F11" s="214" t="s">
        <v>1519</v>
      </c>
      <c r="G11" s="214"/>
    </row>
    <row r="12" spans="1:9" ht="37.5" x14ac:dyDescent="0.25">
      <c r="A12" s="219">
        <v>7</v>
      </c>
      <c r="B12" s="212" t="s">
        <v>1462</v>
      </c>
      <c r="C12" s="212" t="s">
        <v>84</v>
      </c>
      <c r="D12" s="213" t="s">
        <v>2444</v>
      </c>
      <c r="E12" s="212" t="s">
        <v>1464</v>
      </c>
      <c r="F12" s="214" t="s">
        <v>1519</v>
      </c>
      <c r="G12" s="214"/>
    </row>
    <row r="13" spans="1:9" ht="75" x14ac:dyDescent="0.25">
      <c r="A13" s="219">
        <v>8</v>
      </c>
      <c r="B13" s="212" t="s">
        <v>1462</v>
      </c>
      <c r="C13" s="212" t="s">
        <v>84</v>
      </c>
      <c r="D13" s="215" t="s">
        <v>2445</v>
      </c>
      <c r="E13" s="212" t="s">
        <v>1464</v>
      </c>
      <c r="F13" s="214" t="s">
        <v>1519</v>
      </c>
      <c r="G13" s="214"/>
    </row>
    <row r="14" spans="1:9" ht="56.25" x14ac:dyDescent="0.25">
      <c r="A14" s="219">
        <v>9</v>
      </c>
      <c r="B14" s="212" t="s">
        <v>1462</v>
      </c>
      <c r="C14" s="212" t="s">
        <v>84</v>
      </c>
      <c r="D14" s="215" t="s">
        <v>2446</v>
      </c>
      <c r="E14" s="212" t="s">
        <v>1464</v>
      </c>
      <c r="F14" s="214"/>
      <c r="G14" s="214" t="s">
        <v>1519</v>
      </c>
    </row>
    <row r="15" spans="1:9" ht="37.5" x14ac:dyDescent="0.25">
      <c r="A15" s="219">
        <v>10</v>
      </c>
      <c r="B15" s="212" t="str">
        <f>IADNumber&amp;" Lobby"</f>
        <v>IAD35 Lobby</v>
      </c>
      <c r="C15" s="212" t="s">
        <v>2447</v>
      </c>
      <c r="D15" s="213" t="s">
        <v>2448</v>
      </c>
      <c r="E15" s="212" t="s">
        <v>1464</v>
      </c>
      <c r="F15" s="214" t="s">
        <v>1519</v>
      </c>
      <c r="G15" s="214"/>
    </row>
    <row r="16" spans="1:9" ht="93.75" x14ac:dyDescent="0.25">
      <c r="A16" s="219">
        <v>11</v>
      </c>
      <c r="B16" s="212" t="str">
        <f>IADNumber&amp;" Lobby"</f>
        <v>IAD35 Lobby</v>
      </c>
      <c r="C16" s="212" t="s">
        <v>2447</v>
      </c>
      <c r="D16" s="220" t="s">
        <v>2449</v>
      </c>
      <c r="E16" s="212" t="s">
        <v>1464</v>
      </c>
      <c r="F16" s="214"/>
      <c r="G16" s="214"/>
    </row>
    <row r="17" spans="1:7" x14ac:dyDescent="0.25">
      <c r="A17" s="219">
        <v>12</v>
      </c>
      <c r="B17" s="712" t="s">
        <v>2549</v>
      </c>
      <c r="C17" s="712"/>
      <c r="D17" s="712"/>
      <c r="E17" s="712"/>
      <c r="F17" s="712"/>
      <c r="G17" s="712"/>
    </row>
    <row r="18" spans="1:7" ht="37.5" x14ac:dyDescent="0.25">
      <c r="A18" s="219">
        <v>13</v>
      </c>
      <c r="B18" s="212" t="str">
        <f>IADNumber&amp;" Lobby"</f>
        <v>IAD35 Lobby</v>
      </c>
      <c r="C18" s="212" t="s">
        <v>2447</v>
      </c>
      <c r="D18" s="215" t="s">
        <v>2654</v>
      </c>
      <c r="E18" s="212" t="s">
        <v>1464</v>
      </c>
      <c r="F18" s="214" t="s">
        <v>1519</v>
      </c>
      <c r="G18" s="214"/>
    </row>
    <row r="19" spans="1:7" ht="37.5" x14ac:dyDescent="0.25">
      <c r="A19" s="219">
        <v>14</v>
      </c>
      <c r="B19" s="212" t="str">
        <f>IADNumber&amp;" Lobby"</f>
        <v>IAD35 Lobby</v>
      </c>
      <c r="C19" s="212" t="s">
        <v>2447</v>
      </c>
      <c r="D19" s="213" t="s">
        <v>2551</v>
      </c>
      <c r="E19" s="212" t="s">
        <v>1464</v>
      </c>
      <c r="F19" s="214" t="s">
        <v>1519</v>
      </c>
      <c r="G19" s="214"/>
    </row>
    <row r="20" spans="1:7" ht="37.5" x14ac:dyDescent="0.25">
      <c r="A20" s="219">
        <v>15</v>
      </c>
      <c r="B20" s="212" t="str">
        <f>IADNumber&amp;" Lobby"</f>
        <v>IAD35 Lobby</v>
      </c>
      <c r="C20" s="212" t="s">
        <v>2447</v>
      </c>
      <c r="D20" s="213" t="s">
        <v>2655</v>
      </c>
      <c r="E20" s="212" t="s">
        <v>1464</v>
      </c>
      <c r="F20" s="214" t="s">
        <v>1519</v>
      </c>
      <c r="G20" s="214"/>
    </row>
    <row r="21" spans="1:7" ht="37.5" x14ac:dyDescent="0.25">
      <c r="A21" s="219">
        <v>16</v>
      </c>
      <c r="B21" s="212" t="str">
        <f>IADNumber&amp;" Lobby"</f>
        <v>IAD35 Lobby</v>
      </c>
      <c r="C21" s="212" t="s">
        <v>2447</v>
      </c>
      <c r="D21" s="215" t="s">
        <v>2554</v>
      </c>
      <c r="E21" s="212" t="s">
        <v>1464</v>
      </c>
      <c r="F21" s="214" t="s">
        <v>1519</v>
      </c>
      <c r="G21" s="214"/>
    </row>
    <row r="22" spans="1:7" x14ac:dyDescent="0.25">
      <c r="A22" s="219">
        <v>17</v>
      </c>
      <c r="B22" s="712" t="s">
        <v>2656</v>
      </c>
      <c r="C22" s="712"/>
      <c r="D22" s="712"/>
      <c r="E22" s="712"/>
      <c r="F22" s="712"/>
      <c r="G22" s="712"/>
    </row>
    <row r="23" spans="1:7" ht="37.5" x14ac:dyDescent="0.25">
      <c r="A23" s="219">
        <v>18</v>
      </c>
      <c r="B23" s="212" t="s">
        <v>2657</v>
      </c>
      <c r="C23" s="221" t="s">
        <v>2658</v>
      </c>
      <c r="D23" s="215" t="s">
        <v>2659</v>
      </c>
      <c r="E23" s="212" t="s">
        <v>1529</v>
      </c>
      <c r="F23" s="214"/>
      <c r="G23" s="214"/>
    </row>
    <row r="24" spans="1:7" ht="37.5" x14ac:dyDescent="0.25">
      <c r="A24" s="219">
        <v>19</v>
      </c>
      <c r="B24" s="212" t="s">
        <v>2657</v>
      </c>
      <c r="C24" s="221" t="s">
        <v>2658</v>
      </c>
      <c r="D24" s="215" t="s">
        <v>2660</v>
      </c>
      <c r="E24" s="212" t="s">
        <v>1529</v>
      </c>
      <c r="F24" s="214"/>
      <c r="G24" s="214"/>
    </row>
    <row r="25" spans="1:7" ht="37.5" x14ac:dyDescent="0.25">
      <c r="A25" s="219">
        <v>20</v>
      </c>
      <c r="B25" s="212" t="s">
        <v>2657</v>
      </c>
      <c r="C25" s="221" t="s">
        <v>2658</v>
      </c>
      <c r="D25" s="215" t="s">
        <v>2661</v>
      </c>
      <c r="E25" s="212" t="s">
        <v>1529</v>
      </c>
      <c r="F25" s="214"/>
      <c r="G25" s="214"/>
    </row>
    <row r="26" spans="1:7" ht="37.5" x14ac:dyDescent="0.25">
      <c r="A26" s="219">
        <v>21</v>
      </c>
      <c r="B26" s="212" t="s">
        <v>2657</v>
      </c>
      <c r="C26" s="221" t="s">
        <v>2658</v>
      </c>
      <c r="D26" s="215" t="s">
        <v>2662</v>
      </c>
      <c r="E26" s="212" t="s">
        <v>1529</v>
      </c>
      <c r="F26" s="214"/>
      <c r="G26" s="214"/>
    </row>
    <row r="27" spans="1:7" ht="37.5" x14ac:dyDescent="0.25">
      <c r="A27" s="219">
        <v>22</v>
      </c>
      <c r="B27" s="212" t="s">
        <v>2657</v>
      </c>
      <c r="C27" s="221" t="s">
        <v>2658</v>
      </c>
      <c r="D27" s="215" t="s">
        <v>2663</v>
      </c>
      <c r="E27" s="212" t="s">
        <v>1529</v>
      </c>
      <c r="F27" s="214"/>
      <c r="G27" s="214"/>
    </row>
    <row r="28" spans="1:7" ht="37.5" x14ac:dyDescent="0.25">
      <c r="A28" s="219">
        <v>23</v>
      </c>
      <c r="B28" s="212" t="s">
        <v>2657</v>
      </c>
      <c r="C28" s="221" t="s">
        <v>2658</v>
      </c>
      <c r="D28" s="215" t="s">
        <v>2664</v>
      </c>
      <c r="E28" s="212" t="s">
        <v>1529</v>
      </c>
      <c r="F28" s="214"/>
      <c r="G28" s="214"/>
    </row>
    <row r="29" spans="1:7" ht="37.5" x14ac:dyDescent="0.25">
      <c r="A29" s="219">
        <v>24</v>
      </c>
      <c r="B29" s="212" t="s">
        <v>2657</v>
      </c>
      <c r="C29" s="221" t="s">
        <v>2658</v>
      </c>
      <c r="D29" s="190" t="s">
        <v>2623</v>
      </c>
      <c r="E29" s="212" t="s">
        <v>1529</v>
      </c>
      <c r="F29" s="214"/>
      <c r="G29" s="214"/>
    </row>
    <row r="30" spans="1:7" ht="37.5" x14ac:dyDescent="0.25">
      <c r="A30" s="219">
        <v>25</v>
      </c>
      <c r="B30" s="212" t="s">
        <v>2657</v>
      </c>
      <c r="C30" s="221" t="s">
        <v>2658</v>
      </c>
      <c r="D30" s="190" t="s">
        <v>2665</v>
      </c>
      <c r="E30" s="212" t="s">
        <v>1529</v>
      </c>
      <c r="F30" s="214"/>
      <c r="G30" s="214"/>
    </row>
    <row r="31" spans="1:7" ht="37.5" x14ac:dyDescent="0.25">
      <c r="A31" s="219">
        <v>26</v>
      </c>
      <c r="B31" s="212" t="str">
        <f t="shared" ref="B31:B36" si="0">IADNumber&amp;" Lobby"</f>
        <v>IAD35 Lobby</v>
      </c>
      <c r="C31" s="212" t="s">
        <v>2447</v>
      </c>
      <c r="D31" s="190" t="s">
        <v>2666</v>
      </c>
      <c r="E31" s="212" t="s">
        <v>1529</v>
      </c>
      <c r="F31" s="214"/>
      <c r="G31" s="214"/>
    </row>
    <row r="32" spans="1:7" x14ac:dyDescent="0.25">
      <c r="A32" s="219">
        <v>27</v>
      </c>
      <c r="B32" s="712" t="s">
        <v>2597</v>
      </c>
      <c r="C32" s="712"/>
      <c r="D32" s="712"/>
      <c r="E32" s="712"/>
      <c r="F32" s="712"/>
      <c r="G32" s="712"/>
    </row>
    <row r="33" spans="1:7" ht="37.5" x14ac:dyDescent="0.3">
      <c r="A33" s="219">
        <v>28</v>
      </c>
      <c r="B33" s="212" t="str">
        <f t="shared" si="0"/>
        <v>IAD35 Lobby</v>
      </c>
      <c r="C33" s="212" t="s">
        <v>2447</v>
      </c>
      <c r="D33" s="215" t="s">
        <v>2654</v>
      </c>
      <c r="E33" s="212" t="s">
        <v>1464</v>
      </c>
      <c r="F33" s="217" t="s">
        <v>1519</v>
      </c>
      <c r="G33" s="218"/>
    </row>
    <row r="34" spans="1:7" ht="37.5" x14ac:dyDescent="0.3">
      <c r="A34" s="219">
        <v>29</v>
      </c>
      <c r="B34" s="212" t="str">
        <f t="shared" si="0"/>
        <v>IAD35 Lobby</v>
      </c>
      <c r="C34" s="212" t="s">
        <v>2447</v>
      </c>
      <c r="D34" s="213" t="s">
        <v>2598</v>
      </c>
      <c r="E34" s="212" t="s">
        <v>1464</v>
      </c>
      <c r="F34" s="217" t="s">
        <v>1519</v>
      </c>
      <c r="G34" s="218"/>
    </row>
    <row r="35" spans="1:7" ht="37.5" x14ac:dyDescent="0.3">
      <c r="A35" s="219">
        <v>30</v>
      </c>
      <c r="B35" s="212" t="str">
        <f t="shared" si="0"/>
        <v>IAD35 Lobby</v>
      </c>
      <c r="C35" s="212" t="s">
        <v>2447</v>
      </c>
      <c r="D35" s="213" t="s">
        <v>2667</v>
      </c>
      <c r="E35" s="212" t="s">
        <v>1464</v>
      </c>
      <c r="F35" s="217" t="s">
        <v>1519</v>
      </c>
      <c r="G35" s="218"/>
    </row>
    <row r="36" spans="1:7" ht="37.5" x14ac:dyDescent="0.3">
      <c r="A36" s="219">
        <v>31</v>
      </c>
      <c r="B36" s="212" t="str">
        <f t="shared" si="0"/>
        <v>IAD35 Lobby</v>
      </c>
      <c r="C36" s="212" t="s">
        <v>2447</v>
      </c>
      <c r="D36" s="213" t="s">
        <v>2601</v>
      </c>
      <c r="E36" s="212" t="s">
        <v>1464</v>
      </c>
      <c r="F36" s="217" t="s">
        <v>1519</v>
      </c>
      <c r="G36" s="218"/>
    </row>
    <row r="37" spans="1:7" x14ac:dyDescent="0.25">
      <c r="A37" s="219">
        <v>32</v>
      </c>
      <c r="B37" s="712" t="s">
        <v>2668</v>
      </c>
      <c r="C37" s="712"/>
      <c r="D37" s="712"/>
      <c r="E37" s="712"/>
      <c r="F37" s="712"/>
      <c r="G37" s="712"/>
    </row>
    <row r="38" spans="1:7" ht="37.5" x14ac:dyDescent="0.3">
      <c r="A38" s="219">
        <v>33</v>
      </c>
      <c r="B38" s="212" t="s">
        <v>1462</v>
      </c>
      <c r="C38" s="212" t="s">
        <v>84</v>
      </c>
      <c r="D38" s="215" t="s">
        <v>2037</v>
      </c>
      <c r="E38" s="212" t="s">
        <v>1464</v>
      </c>
      <c r="F38" s="217" t="s">
        <v>1519</v>
      </c>
      <c r="G38" s="218"/>
    </row>
    <row r="39" spans="1:7" ht="37.5" x14ac:dyDescent="0.3">
      <c r="A39" s="219">
        <v>34</v>
      </c>
      <c r="B39" s="212" t="s">
        <v>1462</v>
      </c>
      <c r="C39" s="212" t="s">
        <v>84</v>
      </c>
      <c r="D39" s="213" t="s">
        <v>2025</v>
      </c>
      <c r="E39" s="212" t="s">
        <v>1464</v>
      </c>
      <c r="F39" s="217" t="s">
        <v>1519</v>
      </c>
      <c r="G39" s="218"/>
    </row>
    <row r="40" spans="1:7" ht="37.5" x14ac:dyDescent="0.3">
      <c r="A40" s="219">
        <v>35</v>
      </c>
      <c r="B40" s="212" t="s">
        <v>1462</v>
      </c>
      <c r="C40" s="212" t="s">
        <v>84</v>
      </c>
      <c r="D40" s="213" t="s">
        <v>2514</v>
      </c>
      <c r="E40" s="212" t="s">
        <v>1464</v>
      </c>
      <c r="F40" s="217" t="s">
        <v>1519</v>
      </c>
      <c r="G40" s="218"/>
    </row>
    <row r="41" spans="1:7" ht="37.5" x14ac:dyDescent="0.3">
      <c r="A41" s="219">
        <v>36</v>
      </c>
      <c r="B41" s="212" t="s">
        <v>1462</v>
      </c>
      <c r="C41" s="212" t="s">
        <v>84</v>
      </c>
      <c r="D41" s="213" t="str">
        <f>"Building "&amp;Building&amp;" address: "&amp;Address</f>
        <v>Building G address: 43940 Digital Loudoun Plaza</v>
      </c>
      <c r="E41" s="212" t="s">
        <v>1464</v>
      </c>
      <c r="F41" s="217" t="s">
        <v>1519</v>
      </c>
      <c r="G41" s="218"/>
    </row>
    <row r="42" spans="1:7" ht="37.5" x14ac:dyDescent="0.3">
      <c r="A42" s="219">
        <v>37</v>
      </c>
      <c r="B42" s="212" t="s">
        <v>1462</v>
      </c>
      <c r="C42" s="212" t="s">
        <v>84</v>
      </c>
      <c r="D42" s="213" t="s">
        <v>2444</v>
      </c>
      <c r="E42" s="212" t="s">
        <v>1464</v>
      </c>
      <c r="F42" s="217" t="s">
        <v>1519</v>
      </c>
      <c r="G42" s="217"/>
    </row>
    <row r="43" spans="1:7" ht="37.5" x14ac:dyDescent="0.3">
      <c r="A43" s="219">
        <v>38</v>
      </c>
      <c r="B43" s="212" t="str">
        <f t="shared" ref="B43" si="1">IADNumber&amp;" Lobby"</f>
        <v>IAD35 Lobby</v>
      </c>
      <c r="C43" s="212" t="s">
        <v>2447</v>
      </c>
      <c r="D43" s="217" t="s">
        <v>2515</v>
      </c>
      <c r="E43" s="212" t="s">
        <v>1464</v>
      </c>
      <c r="F43" s="217" t="s">
        <v>1519</v>
      </c>
      <c r="G43" s="217"/>
    </row>
    <row r="44" spans="1:7" x14ac:dyDescent="0.3">
      <c r="A44" s="192"/>
    </row>
    <row r="45" spans="1:7" x14ac:dyDescent="0.3">
      <c r="A45" s="192"/>
    </row>
    <row r="46" spans="1:7" x14ac:dyDescent="0.3">
      <c r="A46" s="192"/>
    </row>
    <row r="47" spans="1:7" x14ac:dyDescent="0.3">
      <c r="A47" s="192"/>
    </row>
  </sheetData>
  <sheetProtection formatCells="0" formatColumns="0" formatRows="0" insertRows="0" deleteRows="0" sort="0" autoFilter="0"/>
  <mergeCells count="10">
    <mergeCell ref="A2:B2"/>
    <mergeCell ref="A3:B3"/>
    <mergeCell ref="C3:D3"/>
    <mergeCell ref="C2:G2"/>
    <mergeCell ref="B32:G32"/>
    <mergeCell ref="B37:G37"/>
    <mergeCell ref="A4:C4"/>
    <mergeCell ref="B6:G6"/>
    <mergeCell ref="B17:G17"/>
    <mergeCell ref="B22:G2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76BA0-E334-4358-A7C5-91E7911DF112}">
  <sheetPr codeName="DEEM">
    <pageSetUpPr fitToPage="1"/>
  </sheetPr>
  <dimension ref="A1:I74"/>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style="135" customWidth="1"/>
    <col min="9" max="9" width="10.7109375" style="135" customWidth="1"/>
    <col min="10" max="10" width="9.140625" customWidth="1"/>
    <col min="11" max="11" width="9.85546875" customWidth="1"/>
  </cols>
  <sheetData>
    <row r="1" spans="1:9" x14ac:dyDescent="0.25">
      <c r="A1" s="209" t="s">
        <v>1454</v>
      </c>
      <c r="B1" s="209"/>
      <c r="C1" s="210"/>
      <c r="D1" s="210"/>
      <c r="E1" s="210"/>
      <c r="F1" s="210"/>
      <c r="G1" s="210"/>
      <c r="H1"/>
      <c r="I1"/>
    </row>
    <row r="2" spans="1:9" ht="18.75" customHeight="1" x14ac:dyDescent="0.25">
      <c r="A2" s="705" t="s">
        <v>42</v>
      </c>
      <c r="B2" s="705"/>
      <c r="C2" s="731" t="str">
        <f>zTaskName</f>
        <v>Routine Generator run with no load transfer</v>
      </c>
      <c r="D2" s="730"/>
      <c r="E2" s="730"/>
      <c r="F2" s="730"/>
      <c r="G2" s="732"/>
      <c r="H2"/>
      <c r="I2"/>
    </row>
    <row r="3" spans="1:9" ht="9.9499999999999993" customHeight="1" x14ac:dyDescent="0.25">
      <c r="A3" s="728"/>
      <c r="B3" s="729"/>
      <c r="C3" s="730"/>
      <c r="D3" s="730"/>
      <c r="E3" s="380"/>
      <c r="F3" s="380"/>
      <c r="G3" s="381"/>
      <c r="H3"/>
      <c r="I3"/>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c r="H5"/>
      <c r="I5"/>
    </row>
    <row r="6" spans="1:9" x14ac:dyDescent="0.25">
      <c r="A6" s="211">
        <v>1</v>
      </c>
      <c r="B6" s="712" t="str">
        <f>"PERFORM PRE-WORK NOTIFICATION AND CALLOUT"</f>
        <v>PERFORM PRE-WORK NOTIFICATION AND CALLOUT</v>
      </c>
      <c r="C6" s="712"/>
      <c r="D6" s="712"/>
      <c r="E6" s="712"/>
      <c r="F6" s="712"/>
      <c r="G6" s="712"/>
      <c r="H6"/>
      <c r="I6"/>
    </row>
    <row r="7" spans="1:9" ht="37.5" x14ac:dyDescent="0.25">
      <c r="A7" s="211">
        <v>2</v>
      </c>
      <c r="B7" s="212" t="s">
        <v>1462</v>
      </c>
      <c r="C7" s="212" t="s">
        <v>84</v>
      </c>
      <c r="D7" s="213" t="s">
        <v>2441</v>
      </c>
      <c r="E7" s="212" t="s">
        <v>1464</v>
      </c>
      <c r="F7" s="214" t="s">
        <v>1519</v>
      </c>
      <c r="G7" s="214"/>
      <c r="H7"/>
      <c r="I7"/>
    </row>
    <row r="8" spans="1:9" ht="37.5" x14ac:dyDescent="0.25">
      <c r="A8" s="211">
        <v>3</v>
      </c>
      <c r="B8" s="212" t="s">
        <v>1462</v>
      </c>
      <c r="C8" s="212" t="s">
        <v>84</v>
      </c>
      <c r="D8" s="213" t="s">
        <v>2669</v>
      </c>
      <c r="E8" s="212" t="s">
        <v>1464</v>
      </c>
      <c r="F8" s="214" t="s">
        <v>1519</v>
      </c>
      <c r="G8" s="214"/>
      <c r="H8"/>
      <c r="I8"/>
    </row>
    <row r="9" spans="1:9" ht="37.5" x14ac:dyDescent="0.25">
      <c r="A9" s="211">
        <v>4</v>
      </c>
      <c r="B9" s="212" t="s">
        <v>1462</v>
      </c>
      <c r="C9" s="212" t="s">
        <v>84</v>
      </c>
      <c r="D9" s="215" t="s">
        <v>2025</v>
      </c>
      <c r="E9" s="212" t="s">
        <v>1464</v>
      </c>
      <c r="F9" s="214" t="s">
        <v>1519</v>
      </c>
      <c r="G9" s="214"/>
      <c r="H9"/>
      <c r="I9"/>
    </row>
    <row r="10" spans="1:9" x14ac:dyDescent="0.25">
      <c r="A10" s="211">
        <v>5</v>
      </c>
      <c r="B10" s="753" t="e">
        <f>"PERFORM " &amp; DEEMOutsideGear &amp; " DE-ENERGIZED ELECTRICAL MAINTENANCE"</f>
        <v>#N/A</v>
      </c>
      <c r="C10" s="754"/>
      <c r="D10" s="754"/>
      <c r="E10" s="754"/>
      <c r="F10" s="754"/>
      <c r="G10" s="755"/>
      <c r="H10"/>
      <c r="I10"/>
    </row>
    <row r="11" spans="1:9" ht="37.5" x14ac:dyDescent="0.25">
      <c r="A11" s="211">
        <v>6</v>
      </c>
      <c r="B11" s="212" t="str">
        <f>IADNumber &amp; " Generator Yard"</f>
        <v>IAD35 Generator Yard</v>
      </c>
      <c r="C11" s="388" t="e">
        <f>DEEMOutsideGear</f>
        <v>#N/A</v>
      </c>
      <c r="D11" s="215" t="e">
        <f>"Place " &amp; DEEMOutsideGear &amp; " into manual Mode by turning the key switch from AUTO to MANUAL."</f>
        <v>#N/A</v>
      </c>
      <c r="E11" s="212" t="s">
        <v>1464</v>
      </c>
      <c r="F11" s="214"/>
      <c r="G11" s="189" t="s">
        <v>1519</v>
      </c>
      <c r="H11"/>
      <c r="I11"/>
    </row>
    <row r="12" spans="1:9" ht="37.5" x14ac:dyDescent="0.25">
      <c r="A12" s="211">
        <v>7</v>
      </c>
      <c r="B12" s="388" t="e">
        <f>DEEMSuite1 &amp; " Electrical Room"</f>
        <v>#N/A</v>
      </c>
      <c r="C12" s="212" t="s">
        <v>2670</v>
      </c>
      <c r="D12" s="215" t="e">
        <f>"Verify " &amp; DEEMSuite1 &amp; " RA2 breaker is OPEN. Apply LOTO."</f>
        <v>#N/A</v>
      </c>
      <c r="E12" s="212" t="s">
        <v>1464</v>
      </c>
      <c r="F12" s="214"/>
      <c r="G12" s="189" t="s">
        <v>1519</v>
      </c>
      <c r="H12"/>
      <c r="I12"/>
    </row>
    <row r="13" spans="1:9" ht="37.5" x14ac:dyDescent="0.25">
      <c r="A13" s="211">
        <v>8</v>
      </c>
      <c r="B13" s="388" t="e">
        <f>DEEMSuite2 &amp; " Electrical Room"</f>
        <v>#N/A</v>
      </c>
      <c r="C13" s="212" t="s">
        <v>2670</v>
      </c>
      <c r="D13" s="215" t="e">
        <f>"Verify " &amp; DEEMSuite2 &amp; " RA2 breaker is OPEN. Apply LOTO."</f>
        <v>#N/A</v>
      </c>
      <c r="E13" s="212" t="s">
        <v>1464</v>
      </c>
      <c r="F13" s="214"/>
      <c r="G13" s="189" t="s">
        <v>1519</v>
      </c>
      <c r="H13"/>
      <c r="I13"/>
    </row>
    <row r="14" spans="1:9" ht="37.5" x14ac:dyDescent="0.25">
      <c r="A14" s="211">
        <v>9</v>
      </c>
      <c r="B14" s="388" t="e">
        <f>DEEMSuite3 &amp; " Electrical Room"</f>
        <v>#N/A</v>
      </c>
      <c r="C14" s="212" t="s">
        <v>2670</v>
      </c>
      <c r="D14" s="215" t="e">
        <f>"Verify " &amp; DEEMSuite3 &amp; " RA2 breaker is OPEN. Apply LOTO."</f>
        <v>#N/A</v>
      </c>
      <c r="E14" s="212" t="s">
        <v>1464</v>
      </c>
      <c r="F14" s="214"/>
      <c r="G14" s="189" t="s">
        <v>1519</v>
      </c>
      <c r="H14"/>
      <c r="I14"/>
    </row>
    <row r="15" spans="1:9" ht="37.5" x14ac:dyDescent="0.25">
      <c r="A15" s="211">
        <v>10</v>
      </c>
      <c r="B15" s="388" t="e">
        <f>DEEMSuite4 &amp; " Electrical Room"</f>
        <v>#N/A</v>
      </c>
      <c r="C15" s="212" t="s">
        <v>2670</v>
      </c>
      <c r="D15" s="215" t="e">
        <f>"Verify " &amp; DEEMSuite4 &amp; " RA2 breaker is OPEN. Apply LOTO."</f>
        <v>#N/A</v>
      </c>
      <c r="E15" s="212" t="s">
        <v>1464</v>
      </c>
      <c r="F15" s="214"/>
      <c r="G15" s="189" t="s">
        <v>1519</v>
      </c>
      <c r="H15"/>
      <c r="I15"/>
    </row>
    <row r="16" spans="1:9" ht="37.5" x14ac:dyDescent="0.25">
      <c r="A16" s="211" t="e">
        <f>IF(DEEMSuite4="XXX", A14+1, A15+1)</f>
        <v>#N/A</v>
      </c>
      <c r="B16" s="212" t="str">
        <f t="shared" ref="B16:B32" si="0">IADNumber &amp; " Generator Yard"</f>
        <v>IAD35 Generator Yard</v>
      </c>
      <c r="C16" s="388" t="str">
        <f>zSelectedEquipment &amp; " Generator"</f>
        <v>G104-Gen-B Generator</v>
      </c>
      <c r="D16" s="215" t="str">
        <f>"Press the E-Stop button on the redundant generator " &amp; zSelectedEquipment &amp; " control panel, and apply LOTO."</f>
        <v>Press the E-Stop button on the redundant generator G104-Gen-B control panel, and apply LOTO.</v>
      </c>
      <c r="E16" s="212" t="s">
        <v>1464</v>
      </c>
      <c r="F16" s="214"/>
      <c r="G16" s="189" t="s">
        <v>1519</v>
      </c>
      <c r="H16"/>
      <c r="I16"/>
    </row>
    <row r="17" spans="1:9" ht="37.5" x14ac:dyDescent="0.25">
      <c r="A17" s="211" t="e">
        <f>A16+1</f>
        <v>#N/A</v>
      </c>
      <c r="B17" s="212" t="str">
        <f t="shared" si="0"/>
        <v>IAD35 Generator Yard</v>
      </c>
      <c r="C17" s="388" t="e">
        <f>DEEMOutsideGear</f>
        <v>#N/A</v>
      </c>
      <c r="D17" s="215" t="str">
        <f>"Verify " &amp; zSelectedEquipment &amp; " generator output breaker is OPEN and apply LOTO."</f>
        <v>Verify G104-Gen-B generator output breaker is OPEN and apply LOTO.</v>
      </c>
      <c r="E17" s="212" t="s">
        <v>1464</v>
      </c>
      <c r="F17" s="214"/>
      <c r="G17" s="189" t="s">
        <v>1519</v>
      </c>
      <c r="H17"/>
      <c r="I17"/>
    </row>
    <row r="18" spans="1:9" ht="37.5" x14ac:dyDescent="0.25">
      <c r="A18" s="211" t="e">
        <f t="shared" ref="A18:A32" si="1">A17+1</f>
        <v>#N/A</v>
      </c>
      <c r="B18" s="212" t="str">
        <f t="shared" si="0"/>
        <v>IAD35 Generator Yard</v>
      </c>
      <c r="C18" s="388" t="e">
        <f>DEEMOutsideGear</f>
        <v>#N/A</v>
      </c>
      <c r="D18" s="215" t="s">
        <v>2671</v>
      </c>
      <c r="E18" s="212" t="s">
        <v>1464</v>
      </c>
      <c r="F18" s="214"/>
      <c r="G18" s="189" t="s">
        <v>1519</v>
      </c>
      <c r="H18"/>
      <c r="I18"/>
    </row>
    <row r="19" spans="1:9" ht="37.5" x14ac:dyDescent="0.25">
      <c r="A19" s="211" t="e">
        <f t="shared" si="1"/>
        <v>#N/A</v>
      </c>
      <c r="B19" s="212" t="str">
        <f t="shared" si="0"/>
        <v>IAD35 Generator Yard</v>
      </c>
      <c r="C19" s="388" t="e">
        <f>DEEMOutsideGear</f>
        <v>#N/A</v>
      </c>
      <c r="D19" s="215" t="e">
        <f>"Press the LOGIN button on the " &amp; DEEMOutsideGear &amp; " ROP."</f>
        <v>#N/A</v>
      </c>
      <c r="E19" s="212" t="s">
        <v>1464</v>
      </c>
      <c r="F19" s="214"/>
      <c r="G19" s="189" t="s">
        <v>1519</v>
      </c>
      <c r="H19"/>
      <c r="I19"/>
    </row>
    <row r="20" spans="1:9" ht="37.5" x14ac:dyDescent="0.25">
      <c r="A20" s="211" t="e">
        <f t="shared" si="1"/>
        <v>#N/A</v>
      </c>
      <c r="B20" s="212" t="str">
        <f t="shared" si="0"/>
        <v>IAD35 Generator Yard</v>
      </c>
      <c r="C20" s="388" t="e">
        <f>DEEMOutsideGear</f>
        <v>#N/A</v>
      </c>
      <c r="D20" s="215" t="s">
        <v>2092</v>
      </c>
      <c r="E20" s="212" t="s">
        <v>1464</v>
      </c>
      <c r="F20" s="214"/>
      <c r="G20" s="189" t="s">
        <v>1519</v>
      </c>
      <c r="H20"/>
      <c r="I20"/>
    </row>
    <row r="21" spans="1:9" ht="37.5" x14ac:dyDescent="0.25">
      <c r="A21" s="211" t="e">
        <f t="shared" si="1"/>
        <v>#N/A</v>
      </c>
      <c r="B21" s="212" t="str">
        <f t="shared" si="0"/>
        <v>IAD35 Generator Yard</v>
      </c>
      <c r="C21" s="388" t="e">
        <f>DEEMOutsideGear</f>
        <v>#N/A</v>
      </c>
      <c r="D21" s="215" t="s">
        <v>2120</v>
      </c>
      <c r="E21" s="212" t="s">
        <v>1464</v>
      </c>
      <c r="F21" s="214"/>
      <c r="G21" s="189" t="s">
        <v>1519</v>
      </c>
      <c r="H21"/>
      <c r="I21"/>
    </row>
    <row r="22" spans="1:9" ht="37.5" x14ac:dyDescent="0.25">
      <c r="A22" s="211" t="e">
        <f t="shared" si="1"/>
        <v>#N/A</v>
      </c>
      <c r="B22" s="212" t="str">
        <f t="shared" si="0"/>
        <v>IAD35 Generator Yard</v>
      </c>
      <c r="C22" s="388" t="e">
        <f>DEEMOutsideGear</f>
        <v>#N/A</v>
      </c>
      <c r="D22" s="215" t="s">
        <v>2672</v>
      </c>
      <c r="E22" s="212" t="s">
        <v>1464</v>
      </c>
      <c r="F22" s="214"/>
      <c r="G22" s="189" t="s">
        <v>1519</v>
      </c>
      <c r="H22"/>
      <c r="I22"/>
    </row>
    <row r="23" spans="1:9" ht="37.5" x14ac:dyDescent="0.25">
      <c r="A23" s="211" t="e">
        <f t="shared" si="1"/>
        <v>#N/A</v>
      </c>
      <c r="B23" s="212" t="str">
        <f t="shared" si="0"/>
        <v>IAD35 Generator Yard</v>
      </c>
      <c r="C23" s="388" t="e">
        <f>DEEMOutsideGear</f>
        <v>#N/A</v>
      </c>
      <c r="D23" s="215" t="e">
        <f>"OPEN " &amp; DEEMOutsideGear &amp; " UR1 Breaker, by pressing the UR1 breaker graphic on the touchscreen."</f>
        <v>#N/A</v>
      </c>
      <c r="E23" s="212" t="s">
        <v>1464</v>
      </c>
      <c r="F23" s="214"/>
      <c r="G23" s="189" t="s">
        <v>1519</v>
      </c>
      <c r="H23"/>
      <c r="I23"/>
    </row>
    <row r="24" spans="1:9" ht="37.5" x14ac:dyDescent="0.25">
      <c r="A24" s="211" t="e">
        <f t="shared" si="1"/>
        <v>#N/A</v>
      </c>
      <c r="B24" s="212" t="str">
        <f t="shared" si="0"/>
        <v>IAD35 Generator Yard</v>
      </c>
      <c r="C24" s="388" t="e">
        <f>DEEMOutsideGear</f>
        <v>#N/A</v>
      </c>
      <c r="D24" s="215" t="e">
        <f>"Verify " &amp; DEEMOutsideGear &amp; " UR1 breaker is OPEN."</f>
        <v>#N/A</v>
      </c>
      <c r="E24" s="212" t="s">
        <v>1464</v>
      </c>
      <c r="F24" s="214"/>
      <c r="G24" s="189"/>
      <c r="H24"/>
      <c r="I24"/>
    </row>
    <row r="25" spans="1:9" ht="37.5" x14ac:dyDescent="0.25">
      <c r="A25" s="211" t="e">
        <f t="shared" si="1"/>
        <v>#N/A</v>
      </c>
      <c r="B25" s="212" t="str">
        <f t="shared" si="0"/>
        <v>IAD35 Generator Yard</v>
      </c>
      <c r="C25" s="388" t="e">
        <f>DEEMOutsideGear</f>
        <v>#N/A</v>
      </c>
      <c r="D25" s="215" t="e">
        <f>"OPEN " &amp; DEEMSuite1 &amp; "-RA1 Breaker, by pressing the " &amp; DEEMSuite1 &amp; "-RA1 breaker graphic on the touchscreen."</f>
        <v>#N/A</v>
      </c>
      <c r="E25" s="212" t="s">
        <v>1464</v>
      </c>
      <c r="F25" s="214"/>
      <c r="G25" s="189" t="s">
        <v>1519</v>
      </c>
      <c r="H25"/>
      <c r="I25"/>
    </row>
    <row r="26" spans="1:9" ht="37.5" x14ac:dyDescent="0.25">
      <c r="A26" s="211" t="e">
        <f t="shared" si="1"/>
        <v>#N/A</v>
      </c>
      <c r="B26" s="212" t="str">
        <f t="shared" si="0"/>
        <v>IAD35 Generator Yard</v>
      </c>
      <c r="C26" s="388" t="e">
        <f>DEEMOutsideGear</f>
        <v>#N/A</v>
      </c>
      <c r="D26" s="215" t="e">
        <f>"Verify " &amp; DEEMSuite1 &amp; "-RA1 Breaker is OPEN."</f>
        <v>#N/A</v>
      </c>
      <c r="E26" s="212" t="s">
        <v>1464</v>
      </c>
      <c r="F26" s="214"/>
      <c r="G26" s="189" t="s">
        <v>1519</v>
      </c>
      <c r="H26"/>
      <c r="I26"/>
    </row>
    <row r="27" spans="1:9" ht="37.5" x14ac:dyDescent="0.25">
      <c r="A27" s="211" t="e">
        <f t="shared" si="1"/>
        <v>#N/A</v>
      </c>
      <c r="B27" s="212" t="str">
        <f t="shared" si="0"/>
        <v>IAD35 Generator Yard</v>
      </c>
      <c r="C27" s="388" t="e">
        <f>DEEMOutsideGear</f>
        <v>#N/A</v>
      </c>
      <c r="D27" s="215" t="e">
        <f>"OPEN " &amp; DEEMSuite2 &amp; "-RA1 Breaker, by pressing the " &amp; DEEMSuite2 &amp; "-RA1 breaker graphic on the touchscreen."</f>
        <v>#N/A</v>
      </c>
      <c r="E27" s="212" t="s">
        <v>1464</v>
      </c>
      <c r="F27" s="214"/>
      <c r="G27" s="189" t="s">
        <v>1519</v>
      </c>
      <c r="H27"/>
      <c r="I27"/>
    </row>
    <row r="28" spans="1:9" ht="37.5" x14ac:dyDescent="0.25">
      <c r="A28" s="211" t="e">
        <f t="shared" si="1"/>
        <v>#N/A</v>
      </c>
      <c r="B28" s="212" t="str">
        <f t="shared" si="0"/>
        <v>IAD35 Generator Yard</v>
      </c>
      <c r="C28" s="388" t="e">
        <f>DEEMOutsideGear</f>
        <v>#N/A</v>
      </c>
      <c r="D28" s="215" t="e">
        <f>"Verify " &amp; DEEMSuite2 &amp; "-RA1 Breaker is OPEN."</f>
        <v>#N/A</v>
      </c>
      <c r="E28" s="212" t="s">
        <v>1464</v>
      </c>
      <c r="F28" s="214"/>
      <c r="G28" s="189" t="s">
        <v>1519</v>
      </c>
      <c r="H28"/>
      <c r="I28"/>
    </row>
    <row r="29" spans="1:9" ht="37.5" x14ac:dyDescent="0.25">
      <c r="A29" s="211" t="e">
        <f t="shared" si="1"/>
        <v>#N/A</v>
      </c>
      <c r="B29" s="212" t="str">
        <f t="shared" si="0"/>
        <v>IAD35 Generator Yard</v>
      </c>
      <c r="C29" s="388" t="e">
        <f>DEEMOutsideGear</f>
        <v>#N/A</v>
      </c>
      <c r="D29" s="215" t="e">
        <f>"OPEN " &amp; DEEMSuite3 &amp; "-RA1 Breaker, by pressing the " &amp; DEEMSuite3 &amp; "-RA1 breaker graphic on the touchscreen."</f>
        <v>#N/A</v>
      </c>
      <c r="E29" s="212" t="s">
        <v>1464</v>
      </c>
      <c r="F29" s="214"/>
      <c r="G29" s="189" t="s">
        <v>1519</v>
      </c>
      <c r="H29"/>
      <c r="I29"/>
    </row>
    <row r="30" spans="1:9" ht="37.5" x14ac:dyDescent="0.25">
      <c r="A30" s="211" t="e">
        <f t="shared" si="1"/>
        <v>#N/A</v>
      </c>
      <c r="B30" s="212" t="str">
        <f t="shared" si="0"/>
        <v>IAD35 Generator Yard</v>
      </c>
      <c r="C30" s="388" t="e">
        <f>DEEMOutsideGear</f>
        <v>#N/A</v>
      </c>
      <c r="D30" s="215" t="e">
        <f>"Verify " &amp; DEEMSuite3 &amp; "-RA1 Breaker is OPEN."</f>
        <v>#N/A</v>
      </c>
      <c r="E30" s="212" t="s">
        <v>1464</v>
      </c>
      <c r="F30" s="214"/>
      <c r="G30" s="189" t="s">
        <v>1519</v>
      </c>
      <c r="H30"/>
      <c r="I30"/>
    </row>
    <row r="31" spans="1:9" ht="37.5" x14ac:dyDescent="0.25">
      <c r="A31" s="211" t="e">
        <f t="shared" si="1"/>
        <v>#N/A</v>
      </c>
      <c r="B31" s="212" t="str">
        <f t="shared" si="0"/>
        <v>IAD35 Generator Yard</v>
      </c>
      <c r="C31" s="388" t="e">
        <f>DEEMOutsideGear</f>
        <v>#N/A</v>
      </c>
      <c r="D31" s="215" t="e">
        <f>"OPEN " &amp; DEEMSuite4 &amp; "-RA1 Breaker, by pressing the " &amp; DEEMSuite4 &amp; "-RA1 breaker graphic on the touchscreen."</f>
        <v>#N/A</v>
      </c>
      <c r="E31" s="212" t="s">
        <v>1464</v>
      </c>
      <c r="F31" s="214"/>
      <c r="G31" s="189" t="s">
        <v>1519</v>
      </c>
      <c r="H31"/>
      <c r="I31"/>
    </row>
    <row r="32" spans="1:9" ht="37.5" x14ac:dyDescent="0.25">
      <c r="A32" s="211" t="e">
        <f t="shared" si="1"/>
        <v>#N/A</v>
      </c>
      <c r="B32" s="212" t="str">
        <f t="shared" si="0"/>
        <v>IAD35 Generator Yard</v>
      </c>
      <c r="C32" s="388" t="e">
        <f>DEEMOutsideGear</f>
        <v>#N/A</v>
      </c>
      <c r="D32" s="215" t="e">
        <f>"Verify " &amp; DEEMSuite4 &amp; "-RA1 Breaker is OPEN."</f>
        <v>#N/A</v>
      </c>
      <c r="E32" s="212" t="s">
        <v>1464</v>
      </c>
      <c r="F32" s="214"/>
      <c r="G32" s="189" t="s">
        <v>1519</v>
      </c>
      <c r="H32"/>
      <c r="I32"/>
    </row>
    <row r="33" spans="1:9" ht="37.5" x14ac:dyDescent="0.25">
      <c r="A33" s="211" t="e">
        <f>IF(DEEMSuite4="XXX", A30+1, A32+1)</f>
        <v>#N/A</v>
      </c>
      <c r="B33" s="212" t="s">
        <v>2673</v>
      </c>
      <c r="C33" s="212" t="e">
        <f>DEEMXFMR &amp; " Transformer"</f>
        <v>#N/A</v>
      </c>
      <c r="D33" s="184" t="e">
        <f>"Direct Dominion Energy Virginia to OPEN vista switch feeding transformer " &amp; DEEMXFMR &amp; " which feeds " &amp; DEEMOutsideGear &amp; ". (Removes power to the line side of breaker UR1)."</f>
        <v>#N/A</v>
      </c>
      <c r="E33" s="212" t="s">
        <v>1464</v>
      </c>
      <c r="F33" s="214"/>
      <c r="G33" s="189" t="s">
        <v>1519</v>
      </c>
      <c r="H33"/>
      <c r="I33"/>
    </row>
    <row r="34" spans="1:9" ht="37.5" x14ac:dyDescent="0.25">
      <c r="A34" s="211" t="e">
        <f>A33+1</f>
        <v>#N/A</v>
      </c>
      <c r="B34" s="212" t="s">
        <v>2673</v>
      </c>
      <c r="C34" s="212" t="e">
        <f>DEEMXFMR &amp; " Transformer"</f>
        <v>#N/A</v>
      </c>
      <c r="D34" s="184" t="e">
        <f>"Direct Dominion Energy Virginia to remove fuses on transformer " &amp; DEEMXFMR &amp; "."</f>
        <v>#N/A</v>
      </c>
      <c r="E34" s="212" t="s">
        <v>1464</v>
      </c>
      <c r="F34" s="214"/>
      <c r="G34" s="189" t="s">
        <v>1519</v>
      </c>
      <c r="H34"/>
      <c r="I34"/>
    </row>
    <row r="35" spans="1:9" ht="37.5" x14ac:dyDescent="0.25">
      <c r="A35" s="211" t="e">
        <f t="shared" ref="A35:A71" si="2">A34+1</f>
        <v>#N/A</v>
      </c>
      <c r="B35" s="212" t="str">
        <f t="shared" ref="B35:B42" si="3">IADNumber &amp; " Generator Yard"</f>
        <v>IAD35 Generator Yard</v>
      </c>
      <c r="C35" s="388" t="e">
        <f>DEEMOutsideGear</f>
        <v>#N/A</v>
      </c>
      <c r="D35" s="215" t="e">
        <f>"Direct electrical contractors to verify all hazardous energy is removed from " &amp; DEEMOutsideGear &amp; "."</f>
        <v>#N/A</v>
      </c>
      <c r="E35" s="212" t="s">
        <v>2674</v>
      </c>
      <c r="F35" s="214"/>
      <c r="G35" s="189" t="s">
        <v>1519</v>
      </c>
      <c r="H35"/>
      <c r="I35"/>
    </row>
    <row r="36" spans="1:9" ht="37.5" x14ac:dyDescent="0.25">
      <c r="A36" s="211" t="e">
        <f t="shared" si="2"/>
        <v>#N/A</v>
      </c>
      <c r="B36" s="212" t="str">
        <f t="shared" si="3"/>
        <v>IAD35 Generator Yard</v>
      </c>
      <c r="C36" s="388" t="e">
        <f>DEEMOutsideGear</f>
        <v>#N/A</v>
      </c>
      <c r="D36" s="215" t="e">
        <f>"Direct electrical contractors to perform De-energized Electrical Maintenance on " &amp; DEEMOutsideGear &amp; "."</f>
        <v>#N/A</v>
      </c>
      <c r="E36" s="212" t="s">
        <v>2674</v>
      </c>
      <c r="F36" s="189"/>
      <c r="G36" s="189" t="s">
        <v>1519</v>
      </c>
      <c r="H36"/>
      <c r="I36"/>
    </row>
    <row r="37" spans="1:9" ht="56.25" x14ac:dyDescent="0.25">
      <c r="A37" s="211" t="e">
        <f t="shared" si="2"/>
        <v>#N/A</v>
      </c>
      <c r="B37" s="212" t="str">
        <f t="shared" si="3"/>
        <v>IAD35 Generator Yard</v>
      </c>
      <c r="C37" s="388" t="e">
        <f>DEEMOutsideGear</f>
        <v>#N/A</v>
      </c>
      <c r="D37" s="216" t="s">
        <v>2675</v>
      </c>
      <c r="E37" s="212" t="s">
        <v>2674</v>
      </c>
      <c r="F37" s="189"/>
      <c r="G37" s="189" t="s">
        <v>1519</v>
      </c>
      <c r="H37"/>
      <c r="I37"/>
    </row>
    <row r="38" spans="1:9" ht="37.5" x14ac:dyDescent="0.25">
      <c r="A38" s="211" t="e">
        <f t="shared" si="2"/>
        <v>#N/A</v>
      </c>
      <c r="B38" s="212" t="str">
        <f t="shared" si="3"/>
        <v>IAD35 Generator Yard</v>
      </c>
      <c r="C38" s="388" t="e">
        <f>DEEMOutsideGear</f>
        <v>#N/A</v>
      </c>
      <c r="D38" s="216" t="s">
        <v>2676</v>
      </c>
      <c r="E38" s="212" t="s">
        <v>2674</v>
      </c>
      <c r="F38" s="189"/>
      <c r="G38" s="189" t="s">
        <v>1519</v>
      </c>
      <c r="H38"/>
      <c r="I38"/>
    </row>
    <row r="39" spans="1:9" ht="37.5" x14ac:dyDescent="0.25">
      <c r="A39" s="211" t="e">
        <f t="shared" si="2"/>
        <v>#N/A</v>
      </c>
      <c r="B39" s="212" t="str">
        <f t="shared" si="3"/>
        <v>IAD35 Generator Yard</v>
      </c>
      <c r="C39" s="388" t="e">
        <f>DEEMOutsideGear</f>
        <v>#N/A</v>
      </c>
      <c r="D39" s="216" t="s">
        <v>2677</v>
      </c>
      <c r="E39" s="212" t="s">
        <v>2674</v>
      </c>
      <c r="F39" s="189"/>
      <c r="G39" s="189" t="s">
        <v>1519</v>
      </c>
      <c r="H39"/>
      <c r="I39"/>
    </row>
    <row r="40" spans="1:9" ht="37.5" x14ac:dyDescent="0.25">
      <c r="A40" s="211" t="e">
        <f t="shared" si="2"/>
        <v>#N/A</v>
      </c>
      <c r="B40" s="212" t="str">
        <f t="shared" si="3"/>
        <v>IAD35 Generator Yard</v>
      </c>
      <c r="C40" s="388" t="e">
        <f>DEEMOutsideGear</f>
        <v>#N/A</v>
      </c>
      <c r="D40" s="194" t="s">
        <v>2678</v>
      </c>
      <c r="E40" s="212" t="s">
        <v>1464</v>
      </c>
      <c r="F40" s="189"/>
      <c r="G40" s="189" t="s">
        <v>1519</v>
      </c>
      <c r="H40"/>
      <c r="I40"/>
    </row>
    <row r="41" spans="1:9" ht="37.5" x14ac:dyDescent="0.25">
      <c r="A41" s="211" t="e">
        <f t="shared" si="2"/>
        <v>#N/A</v>
      </c>
      <c r="B41" s="212" t="str">
        <f t="shared" si="3"/>
        <v>IAD35 Generator Yard</v>
      </c>
      <c r="C41" s="388" t="e">
        <f>DEEMOutsideGear</f>
        <v>#N/A</v>
      </c>
      <c r="D41" s="194" t="s">
        <v>2679</v>
      </c>
      <c r="E41" s="212" t="s">
        <v>1464</v>
      </c>
      <c r="F41" s="189"/>
      <c r="G41" s="189" t="s">
        <v>1519</v>
      </c>
      <c r="H41"/>
      <c r="I41"/>
    </row>
    <row r="42" spans="1:9" ht="37.5" x14ac:dyDescent="0.25">
      <c r="A42" s="211" t="e">
        <f t="shared" si="2"/>
        <v>#N/A</v>
      </c>
      <c r="B42" s="212" t="str">
        <f t="shared" si="3"/>
        <v>IAD35 Generator Yard</v>
      </c>
      <c r="C42" s="388" t="e">
        <f>DEEMOutsideGear</f>
        <v>#N/A</v>
      </c>
      <c r="D42" s="194" t="e">
        <f>"Remove all LOTO devices from " &amp; DEEMOutsideGear &amp; "."</f>
        <v>#N/A</v>
      </c>
      <c r="E42" s="212" t="s">
        <v>1464</v>
      </c>
      <c r="F42" s="189"/>
      <c r="G42" s="189" t="s">
        <v>1519</v>
      </c>
      <c r="H42"/>
      <c r="I42"/>
    </row>
    <row r="43" spans="1:9" ht="37.5" x14ac:dyDescent="0.25">
      <c r="A43" s="211" t="e">
        <f t="shared" si="2"/>
        <v>#N/A</v>
      </c>
      <c r="B43" s="212" t="s">
        <v>2673</v>
      </c>
      <c r="C43" s="212" t="e">
        <f>DEEMXFMR &amp; " Transformer"</f>
        <v>#N/A</v>
      </c>
      <c r="D43" s="184" t="e">
        <f>"Direct Dominion Energy Virginia to install fuses on transformer " &amp; DEEMXFMR &amp; "."</f>
        <v>#N/A</v>
      </c>
      <c r="E43" s="212" t="s">
        <v>1464</v>
      </c>
      <c r="F43" s="189"/>
      <c r="G43" s="189" t="s">
        <v>1519</v>
      </c>
      <c r="H43"/>
      <c r="I43"/>
    </row>
    <row r="44" spans="1:9" ht="37.5" x14ac:dyDescent="0.25">
      <c r="A44" s="211" t="e">
        <f t="shared" si="2"/>
        <v>#N/A</v>
      </c>
      <c r="B44" s="212" t="s">
        <v>2673</v>
      </c>
      <c r="C44" s="212" t="e">
        <f>DEEMXFMR &amp; " Transformer"</f>
        <v>#N/A</v>
      </c>
      <c r="D44" s="184" t="e">
        <f>"Direct Dominion Energy Virginia to CLOSE vista switch feeding transformer " &amp; DEEMXFMR &amp; " which feeds " &amp; DEEMOutsideGear &amp; ". (Restores power to the line side of breaker UR1)."</f>
        <v>#N/A</v>
      </c>
      <c r="E44" s="212" t="s">
        <v>1464</v>
      </c>
      <c r="F44" s="189"/>
      <c r="G44" s="189" t="s">
        <v>1519</v>
      </c>
      <c r="H44"/>
      <c r="I44"/>
    </row>
    <row r="45" spans="1:9" ht="37.5" x14ac:dyDescent="0.25">
      <c r="A45" s="211" t="e">
        <f t="shared" si="2"/>
        <v>#N/A</v>
      </c>
      <c r="B45" s="212" t="str">
        <f t="shared" ref="B45:B58" si="4">IADNumber &amp; " Generator Yard"</f>
        <v>IAD35 Generator Yard</v>
      </c>
      <c r="C45" s="388" t="e">
        <f>DEEMOutsideGear</f>
        <v>#N/A</v>
      </c>
      <c r="D45" s="194" t="e">
        <f>"CLOSE " &amp; DEEMOutsideGear &amp; " UR1 breaker."</f>
        <v>#N/A</v>
      </c>
      <c r="E45" s="212" t="s">
        <v>1464</v>
      </c>
      <c r="F45" s="189"/>
      <c r="G45" s="189" t="s">
        <v>1519</v>
      </c>
      <c r="H45"/>
      <c r="I45"/>
    </row>
    <row r="46" spans="1:9" ht="37.5" x14ac:dyDescent="0.25">
      <c r="A46" s="211" t="e">
        <f t="shared" si="2"/>
        <v>#N/A</v>
      </c>
      <c r="B46" s="212" t="str">
        <f t="shared" si="4"/>
        <v>IAD35 Generator Yard</v>
      </c>
      <c r="C46" s="388" t="e">
        <f>DEEMOutsideGear</f>
        <v>#N/A</v>
      </c>
      <c r="D46" s="194" t="s">
        <v>2680</v>
      </c>
      <c r="E46" s="212" t="s">
        <v>1464</v>
      </c>
      <c r="F46" s="189"/>
      <c r="G46" s="189" t="s">
        <v>1519</v>
      </c>
      <c r="H46"/>
      <c r="I46"/>
    </row>
    <row r="47" spans="1:9" ht="37.5" x14ac:dyDescent="0.25">
      <c r="A47" s="211" t="e">
        <f t="shared" si="2"/>
        <v>#N/A</v>
      </c>
      <c r="B47" s="212" t="str">
        <f t="shared" si="4"/>
        <v>IAD35 Generator Yard</v>
      </c>
      <c r="C47" s="388" t="e">
        <f>DEEMOutsideGear</f>
        <v>#N/A</v>
      </c>
      <c r="D47" s="215" t="e">
        <f>"Press the LOGIN button on the " &amp; DEEMOutsideGear &amp; " ROP."</f>
        <v>#N/A</v>
      </c>
      <c r="E47" s="212" t="s">
        <v>1464</v>
      </c>
      <c r="F47" s="189"/>
      <c r="G47" s="189" t="s">
        <v>1519</v>
      </c>
      <c r="H47"/>
      <c r="I47"/>
    </row>
    <row r="48" spans="1:9" ht="37.5" x14ac:dyDescent="0.25">
      <c r="A48" s="211" t="e">
        <f t="shared" si="2"/>
        <v>#N/A</v>
      </c>
      <c r="B48" s="212" t="str">
        <f t="shared" si="4"/>
        <v>IAD35 Generator Yard</v>
      </c>
      <c r="C48" s="388" t="e">
        <f>DEEMOutsideGear</f>
        <v>#N/A</v>
      </c>
      <c r="D48" s="215" t="s">
        <v>2092</v>
      </c>
      <c r="E48" s="212" t="s">
        <v>1464</v>
      </c>
      <c r="F48" s="189"/>
      <c r="G48" s="189" t="s">
        <v>1519</v>
      </c>
      <c r="H48"/>
      <c r="I48"/>
    </row>
    <row r="49" spans="1:9" ht="37.5" x14ac:dyDescent="0.25">
      <c r="A49" s="211" t="e">
        <f t="shared" si="2"/>
        <v>#N/A</v>
      </c>
      <c r="B49" s="212" t="str">
        <f t="shared" si="4"/>
        <v>IAD35 Generator Yard</v>
      </c>
      <c r="C49" s="388" t="e">
        <f>DEEMOutsideGear</f>
        <v>#N/A</v>
      </c>
      <c r="D49" s="215" t="s">
        <v>2681</v>
      </c>
      <c r="E49" s="212" t="s">
        <v>1464</v>
      </c>
      <c r="F49" s="189"/>
      <c r="G49" s="189" t="s">
        <v>1519</v>
      </c>
      <c r="H49"/>
      <c r="I49"/>
    </row>
    <row r="50" spans="1:9" ht="37.5" x14ac:dyDescent="0.25">
      <c r="A50" s="211" t="e">
        <f t="shared" si="2"/>
        <v>#N/A</v>
      </c>
      <c r="B50" s="212" t="str">
        <f t="shared" si="4"/>
        <v>IAD35 Generator Yard</v>
      </c>
      <c r="C50" s="388" t="e">
        <f>DEEMOutsideGear</f>
        <v>#N/A</v>
      </c>
      <c r="D50" s="215" t="s">
        <v>2672</v>
      </c>
      <c r="E50" s="212" t="s">
        <v>1464</v>
      </c>
      <c r="F50" s="189"/>
      <c r="G50" s="189" t="s">
        <v>1519</v>
      </c>
      <c r="H50"/>
      <c r="I50"/>
    </row>
    <row r="51" spans="1:9" ht="37.5" x14ac:dyDescent="0.25">
      <c r="A51" s="211" t="e">
        <f t="shared" si="2"/>
        <v>#N/A</v>
      </c>
      <c r="B51" s="212" t="str">
        <f t="shared" si="4"/>
        <v>IAD35 Generator Yard</v>
      </c>
      <c r="C51" s="388" t="e">
        <f>DEEMOutsideGear</f>
        <v>#N/A</v>
      </c>
      <c r="D51" s="215" t="e">
        <f>"OPEN " &amp; DEEMSuite1 &amp; "-RA1 Breaker, by pressing the " &amp; DEEMSuite1 &amp; "-RA1 breaker graphic on the touchscreen."</f>
        <v>#N/A</v>
      </c>
      <c r="E51" s="212" t="s">
        <v>1464</v>
      </c>
      <c r="F51" s="189"/>
      <c r="G51" s="189" t="s">
        <v>1519</v>
      </c>
      <c r="H51"/>
      <c r="I51"/>
    </row>
    <row r="52" spans="1:9" ht="37.5" x14ac:dyDescent="0.25">
      <c r="A52" s="211" t="e">
        <f t="shared" si="2"/>
        <v>#N/A</v>
      </c>
      <c r="B52" s="212" t="str">
        <f t="shared" si="4"/>
        <v>IAD35 Generator Yard</v>
      </c>
      <c r="C52" s="388" t="e">
        <f>DEEMOutsideGear</f>
        <v>#N/A</v>
      </c>
      <c r="D52" s="215" t="e">
        <f>"Verify " &amp; DEEMSuite1 &amp; "-RA1 Breaker is OPEN."</f>
        <v>#N/A</v>
      </c>
      <c r="E52" s="212" t="s">
        <v>1464</v>
      </c>
      <c r="F52" s="189"/>
      <c r="G52" s="189" t="s">
        <v>1519</v>
      </c>
      <c r="H52"/>
      <c r="I52"/>
    </row>
    <row r="53" spans="1:9" ht="37.5" x14ac:dyDescent="0.25">
      <c r="A53" s="211" t="e">
        <f t="shared" si="2"/>
        <v>#N/A</v>
      </c>
      <c r="B53" s="212" t="str">
        <f t="shared" si="4"/>
        <v>IAD35 Generator Yard</v>
      </c>
      <c r="C53" s="388" t="e">
        <f>DEEMOutsideGear</f>
        <v>#N/A</v>
      </c>
      <c r="D53" s="215" t="e">
        <f>"OPEN " &amp; DEEMSuite2 &amp; "-RA1 Breaker, by pressing the " &amp; DEEMSuite2 &amp; "-RA1 breaker graphic on the touchscreen."</f>
        <v>#N/A</v>
      </c>
      <c r="E53" s="212" t="s">
        <v>1464</v>
      </c>
      <c r="F53" s="189"/>
      <c r="G53" s="189" t="s">
        <v>1519</v>
      </c>
      <c r="H53"/>
      <c r="I53"/>
    </row>
    <row r="54" spans="1:9" ht="37.5" x14ac:dyDescent="0.25">
      <c r="A54" s="211" t="e">
        <f t="shared" si="2"/>
        <v>#N/A</v>
      </c>
      <c r="B54" s="212" t="str">
        <f t="shared" si="4"/>
        <v>IAD35 Generator Yard</v>
      </c>
      <c r="C54" s="388" t="e">
        <f>DEEMOutsideGear</f>
        <v>#N/A</v>
      </c>
      <c r="D54" s="215" t="e">
        <f>"Verify " &amp; DEEMSuite2 &amp; "-RA1 Breaker is OPEN."</f>
        <v>#N/A</v>
      </c>
      <c r="E54" s="212" t="s">
        <v>1464</v>
      </c>
      <c r="F54" s="189"/>
      <c r="G54" s="189" t="s">
        <v>1519</v>
      </c>
      <c r="H54"/>
      <c r="I54"/>
    </row>
    <row r="55" spans="1:9" ht="37.5" x14ac:dyDescent="0.25">
      <c r="A55" s="211" t="e">
        <f t="shared" si="2"/>
        <v>#N/A</v>
      </c>
      <c r="B55" s="212" t="str">
        <f t="shared" si="4"/>
        <v>IAD35 Generator Yard</v>
      </c>
      <c r="C55" s="388" t="e">
        <f>DEEMOutsideGear</f>
        <v>#N/A</v>
      </c>
      <c r="D55" s="215" t="e">
        <f>"OPEN " &amp; DEEMSuite3 &amp; "-RA1 Breaker, by pressing the " &amp; DEEMSuite3 &amp; "-RA1 breaker graphic on the touchscreen."</f>
        <v>#N/A</v>
      </c>
      <c r="E55" s="212" t="s">
        <v>1464</v>
      </c>
      <c r="F55" s="189"/>
      <c r="G55" s="189" t="s">
        <v>1519</v>
      </c>
      <c r="H55"/>
      <c r="I55"/>
    </row>
    <row r="56" spans="1:9" ht="37.5" x14ac:dyDescent="0.25">
      <c r="A56" s="211" t="e">
        <f t="shared" si="2"/>
        <v>#N/A</v>
      </c>
      <c r="B56" s="212" t="str">
        <f t="shared" si="4"/>
        <v>IAD35 Generator Yard</v>
      </c>
      <c r="C56" s="388" t="e">
        <f>DEEMOutsideGear</f>
        <v>#N/A</v>
      </c>
      <c r="D56" s="215" t="e">
        <f>"Verify " &amp; DEEMSuite3 &amp; "-RA1 Breaker is OPEN."</f>
        <v>#N/A</v>
      </c>
      <c r="E56" s="212" t="s">
        <v>1464</v>
      </c>
      <c r="F56" s="189"/>
      <c r="G56" s="189" t="s">
        <v>1519</v>
      </c>
      <c r="H56"/>
      <c r="I56"/>
    </row>
    <row r="57" spans="1:9" ht="37.5" x14ac:dyDescent="0.25">
      <c r="A57" s="211" t="e">
        <f t="shared" si="2"/>
        <v>#N/A</v>
      </c>
      <c r="B57" s="212" t="str">
        <f t="shared" si="4"/>
        <v>IAD35 Generator Yard</v>
      </c>
      <c r="C57" s="388" t="e">
        <f>DEEMOutsideGear</f>
        <v>#N/A</v>
      </c>
      <c r="D57" s="215" t="e">
        <f>"OPEN " &amp; DEEMSuite4 &amp; "-RA1 Breaker, by pressing the " &amp; DEEMSuite4 &amp; "-RA1 breaker graphic on the touchscreen."</f>
        <v>#N/A</v>
      </c>
      <c r="E57" s="212" t="s">
        <v>1464</v>
      </c>
      <c r="F57" s="189"/>
      <c r="G57" s="189" t="s">
        <v>1519</v>
      </c>
      <c r="H57"/>
      <c r="I57"/>
    </row>
    <row r="58" spans="1:9" ht="37.5" x14ac:dyDescent="0.25">
      <c r="A58" s="211" t="e">
        <f t="shared" si="2"/>
        <v>#N/A</v>
      </c>
      <c r="B58" s="212" t="str">
        <f t="shared" si="4"/>
        <v>IAD35 Generator Yard</v>
      </c>
      <c r="C58" s="388" t="e">
        <f>DEEMOutsideGear</f>
        <v>#N/A</v>
      </c>
      <c r="D58" s="215" t="e">
        <f>"Verify " &amp; DEEMSuite4 &amp; "-RA1 Breaker is OPEN."</f>
        <v>#N/A</v>
      </c>
      <c r="E58" s="212" t="s">
        <v>1464</v>
      </c>
      <c r="F58" s="189"/>
      <c r="G58" s="189" t="s">
        <v>1519</v>
      </c>
      <c r="H58"/>
      <c r="I58"/>
    </row>
    <row r="59" spans="1:9" ht="37.5" x14ac:dyDescent="0.25">
      <c r="A59" s="211" t="e">
        <f>IF(DEEMSuite4="XXX", A56+1, A58+1)</f>
        <v>#N/A</v>
      </c>
      <c r="B59" s="388" t="e">
        <f>DEEMSuite1 &amp; " Electrical Room"</f>
        <v>#N/A</v>
      </c>
      <c r="C59" s="212" t="s">
        <v>2670</v>
      </c>
      <c r="D59" s="194" t="e">
        <f>"Verify voltage is present on " &amp; DEEMSuite1 &amp; " MRA2. Remove LOTO from " &amp; DEEMSuite1 &amp; " RA2 breaker."</f>
        <v>#N/A</v>
      </c>
      <c r="E59" s="212" t="s">
        <v>1464</v>
      </c>
      <c r="F59" s="189"/>
      <c r="G59" s="189" t="s">
        <v>1519</v>
      </c>
      <c r="H59"/>
      <c r="I59"/>
    </row>
    <row r="60" spans="1:9" ht="37.5" x14ac:dyDescent="0.25">
      <c r="A60" s="211" t="e">
        <f t="shared" si="2"/>
        <v>#N/A</v>
      </c>
      <c r="B60" s="388" t="e">
        <f>DEEMSuite2 &amp; " Electrical Room"</f>
        <v>#N/A</v>
      </c>
      <c r="C60" s="212" t="s">
        <v>2670</v>
      </c>
      <c r="D60" s="194" t="e">
        <f>"Verify voltage is present on " &amp; DEEMSuite2 &amp; " MRA2. Remove LOTO from " &amp; DEEMSuite2 &amp; " RA2 breaker."</f>
        <v>#N/A</v>
      </c>
      <c r="E60" s="212" t="s">
        <v>1464</v>
      </c>
      <c r="F60" s="189"/>
      <c r="G60" s="189" t="s">
        <v>1519</v>
      </c>
      <c r="H60"/>
      <c r="I60"/>
    </row>
    <row r="61" spans="1:9" ht="37.5" x14ac:dyDescent="0.25">
      <c r="A61" s="211" t="e">
        <f t="shared" si="2"/>
        <v>#N/A</v>
      </c>
      <c r="B61" s="388" t="e">
        <f>DEEMSuite3 &amp; " Electrical Room"</f>
        <v>#N/A</v>
      </c>
      <c r="C61" s="212" t="s">
        <v>2670</v>
      </c>
      <c r="D61" s="194" t="e">
        <f>"Verify voltage is present on " &amp; DEEMSuite3 &amp; " MRA2. Remove LOTO from " &amp; DEEMSuite3 &amp; " RA2 breaker."</f>
        <v>#N/A</v>
      </c>
      <c r="E61" s="212" t="s">
        <v>1464</v>
      </c>
      <c r="F61" s="189"/>
      <c r="G61" s="189" t="s">
        <v>1519</v>
      </c>
      <c r="H61"/>
      <c r="I61"/>
    </row>
    <row r="62" spans="1:9" ht="37.5" x14ac:dyDescent="0.25">
      <c r="A62" s="211" t="e">
        <f t="shared" si="2"/>
        <v>#N/A</v>
      </c>
      <c r="B62" s="388" t="e">
        <f>DEEMSuite4 &amp; " Electrical Room"</f>
        <v>#N/A</v>
      </c>
      <c r="C62" s="212" t="s">
        <v>2670</v>
      </c>
      <c r="D62" s="194" t="e">
        <f>"Verify voltage is present on " &amp; DEEMSuite4 &amp; " MRA2. Remove LOTO from " &amp; DEEMSuite4 &amp; " RA2 breaker."</f>
        <v>#N/A</v>
      </c>
      <c r="E62" s="212" t="s">
        <v>1464</v>
      </c>
      <c r="F62" s="189"/>
      <c r="G62" s="189" t="s">
        <v>1519</v>
      </c>
      <c r="H62"/>
      <c r="I62"/>
    </row>
    <row r="63" spans="1:9" ht="37.5" x14ac:dyDescent="0.25">
      <c r="A63" s="211" t="e">
        <f>IF(DEEMSuite4="XXX", A61+1, A62+1)</f>
        <v>#N/A</v>
      </c>
      <c r="B63" s="212" t="str">
        <f>IADNumber &amp; " Generator Yard"</f>
        <v>IAD35 Generator Yard</v>
      </c>
      <c r="C63" s="388" t="str">
        <f>zSelectedEquipment &amp; " Generator"</f>
        <v>G104-Gen-B Generator</v>
      </c>
      <c r="D63" s="195" t="str">
        <f>"Remove LOTO from E-Stop on " &amp; zSelectedEquipment &amp; " redundant generator and reset the E-Stop."</f>
        <v>Remove LOTO from E-Stop on G104-Gen-B redundant generator and reset the E-Stop.</v>
      </c>
      <c r="E63" s="212" t="s">
        <v>1464</v>
      </c>
      <c r="F63" s="189"/>
      <c r="G63" s="189" t="s">
        <v>1519</v>
      </c>
      <c r="H63"/>
      <c r="I63"/>
    </row>
    <row r="64" spans="1:9" ht="37.5" x14ac:dyDescent="0.25">
      <c r="A64" s="211" t="e">
        <f t="shared" si="2"/>
        <v>#N/A</v>
      </c>
      <c r="B64" s="212" t="str">
        <f>IADNumber &amp; " Generator Yard"</f>
        <v>IAD35 Generator Yard</v>
      </c>
      <c r="C64" s="388" t="str">
        <f>zSelectedEquipment &amp; " Generator"</f>
        <v>G104-Gen-B Generator</v>
      </c>
      <c r="D64" s="195" t="str">
        <f>"Verify no alarms are present on generator " &amp; zSelectedEquipment &amp; "."</f>
        <v>Verify no alarms are present on generator G104-Gen-B.</v>
      </c>
      <c r="E64" s="212" t="s">
        <v>1464</v>
      </c>
      <c r="F64" s="189"/>
      <c r="G64" s="189" t="s">
        <v>1519</v>
      </c>
      <c r="H64"/>
      <c r="I64"/>
    </row>
    <row r="65" spans="1:9" ht="37.5" x14ac:dyDescent="0.25">
      <c r="A65" s="211" t="e">
        <f t="shared" si="2"/>
        <v>#N/A</v>
      </c>
      <c r="B65" s="212" t="str">
        <f>IADNumber &amp; " Generator Yard"</f>
        <v>IAD35 Generator Yard</v>
      </c>
      <c r="C65" s="388" t="e">
        <f>DEEMOutsideGear</f>
        <v>#N/A</v>
      </c>
      <c r="D65" s="215" t="e">
        <f>"Place " &amp; DEEMOutsideGear &amp; " into automatic mode by turning the key switch from MANUAL to AUTO."</f>
        <v>#N/A</v>
      </c>
      <c r="E65" s="212" t="s">
        <v>1464</v>
      </c>
      <c r="F65" s="189"/>
      <c r="G65" s="189" t="s">
        <v>1519</v>
      </c>
      <c r="H65"/>
      <c r="I65"/>
    </row>
    <row r="66" spans="1:9" ht="37.5" x14ac:dyDescent="0.25">
      <c r="A66" s="211" t="e">
        <f t="shared" si="2"/>
        <v>#N/A</v>
      </c>
      <c r="B66" s="212" t="str">
        <f>IADNumber &amp; " Generator Yard"</f>
        <v>IAD35 Generator Yard</v>
      </c>
      <c r="C66" s="388" t="e">
        <f>DEEMOutsideGear</f>
        <v>#N/A</v>
      </c>
      <c r="D66" s="195" t="e">
        <f>"Verify no faults are present on " &amp; DEEMOutsideGear &amp; " ROP."</f>
        <v>#N/A</v>
      </c>
      <c r="E66" s="212" t="s">
        <v>1464</v>
      </c>
      <c r="F66" s="189"/>
      <c r="G66" s="189" t="s">
        <v>1519</v>
      </c>
      <c r="H66"/>
      <c r="I66"/>
    </row>
    <row r="67" spans="1:9" ht="37.5" x14ac:dyDescent="0.25">
      <c r="A67" s="211" t="e">
        <f t="shared" si="2"/>
        <v>#N/A</v>
      </c>
      <c r="B67" s="212" t="str">
        <f>IADNumber &amp; " Generator Yard"</f>
        <v>IAD35 Generator Yard</v>
      </c>
      <c r="C67" s="388" t="e">
        <f>DEEMOutsideGear</f>
        <v>#N/A</v>
      </c>
      <c r="D67" s="215" t="str">
        <f>"Remove LOTO from " &amp; zSelectedEquipment &amp; " generator output breaker."</f>
        <v>Remove LOTO from G104-Gen-B generator output breaker.</v>
      </c>
      <c r="E67" s="212" t="s">
        <v>1464</v>
      </c>
      <c r="F67" s="189"/>
      <c r="G67" s="189" t="s">
        <v>1519</v>
      </c>
      <c r="H67"/>
      <c r="I67"/>
    </row>
    <row r="68" spans="1:9" x14ac:dyDescent="0.25">
      <c r="A68" s="211" t="e">
        <f t="shared" si="2"/>
        <v>#N/A</v>
      </c>
      <c r="B68" s="712" t="str">
        <f>"PERFORM POST-WORK NOTIFICATION AND CALLOUT"</f>
        <v>PERFORM POST-WORK NOTIFICATION AND CALLOUT</v>
      </c>
      <c r="C68" s="712"/>
      <c r="D68" s="712"/>
      <c r="E68" s="712"/>
      <c r="F68" s="712"/>
      <c r="G68" s="712"/>
      <c r="H68"/>
      <c r="I68"/>
    </row>
    <row r="69" spans="1:9" ht="37.5" x14ac:dyDescent="0.3">
      <c r="A69" s="211" t="e">
        <f t="shared" si="2"/>
        <v>#N/A</v>
      </c>
      <c r="B69" s="212" t="s">
        <v>1462</v>
      </c>
      <c r="C69" s="212" t="s">
        <v>84</v>
      </c>
      <c r="D69" s="215" t="s">
        <v>2037</v>
      </c>
      <c r="E69" s="212" t="s">
        <v>1464</v>
      </c>
      <c r="F69" s="217" t="s">
        <v>1519</v>
      </c>
      <c r="G69" s="218"/>
    </row>
    <row r="70" spans="1:9" ht="37.5" x14ac:dyDescent="0.3">
      <c r="A70" s="211" t="e">
        <f t="shared" si="2"/>
        <v>#N/A</v>
      </c>
      <c r="B70" s="212" t="s">
        <v>1462</v>
      </c>
      <c r="C70" s="212" t="s">
        <v>84</v>
      </c>
      <c r="D70" s="213" t="s">
        <v>2025</v>
      </c>
      <c r="E70" s="212" t="s">
        <v>1464</v>
      </c>
      <c r="F70" s="217" t="s">
        <v>1519</v>
      </c>
      <c r="G70" s="218"/>
    </row>
    <row r="71" spans="1:9" ht="37.5" x14ac:dyDescent="0.3">
      <c r="A71" s="211" t="e">
        <f t="shared" si="2"/>
        <v>#N/A</v>
      </c>
      <c r="B71" s="212" t="s">
        <v>1462</v>
      </c>
      <c r="C71" s="212" t="s">
        <v>84</v>
      </c>
      <c r="D71" s="213" t="s">
        <v>2682</v>
      </c>
      <c r="E71" s="212" t="s">
        <v>1464</v>
      </c>
      <c r="F71" s="198"/>
      <c r="G71" s="199" t="s">
        <v>1519</v>
      </c>
    </row>
    <row r="72" spans="1:9" x14ac:dyDescent="0.3">
      <c r="A72" s="192"/>
    </row>
    <row r="73" spans="1:9" x14ac:dyDescent="0.3">
      <c r="A73" s="192"/>
    </row>
    <row r="74" spans="1:9" x14ac:dyDescent="0.3">
      <c r="A74" s="192"/>
    </row>
  </sheetData>
  <sheetProtection formatCells="0" formatColumns="0" formatRows="0" insertRows="0" deleteRows="0" sort="0" autoFilter="0"/>
  <mergeCells count="8">
    <mergeCell ref="B10:G10"/>
    <mergeCell ref="B68:G68"/>
    <mergeCell ref="A4:C4"/>
    <mergeCell ref="B6:G6"/>
    <mergeCell ref="A2:B2"/>
    <mergeCell ref="A3:B3"/>
    <mergeCell ref="C3:D3"/>
    <mergeCell ref="C2:G2"/>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3AAB9-2154-437E-91D3-1A87375D8784}">
  <sheetPr codeName="DEEM_K">
    <pageSetUpPr fitToPage="1"/>
  </sheetPr>
  <dimension ref="A1:I1580"/>
  <sheetViews>
    <sheetView view="pageBreakPreview" zoomScale="90" zoomScaleNormal="100" zoomScaleSheetLayoutView="90" workbookViewId="0">
      <selection activeCell="K12" sqref="K12"/>
    </sheetView>
  </sheetViews>
  <sheetFormatPr defaultColWidth="8.7109375" defaultRowHeight="18.75" x14ac:dyDescent="0.25"/>
  <cols>
    <col min="1" max="1" width="6.85546875" style="173" customWidth="1"/>
    <col min="2" max="2" width="19.5703125" style="173" customWidth="1"/>
    <col min="3" max="3" width="15.42578125" style="173" customWidth="1"/>
    <col min="4" max="4" width="87.42578125" style="173" customWidth="1"/>
    <col min="5" max="5" width="22.140625" style="173" bestFit="1" customWidth="1"/>
    <col min="6" max="6" width="13.85546875" style="173" bestFit="1" customWidth="1"/>
    <col min="7" max="7" width="10.42578125" style="173" customWidth="1"/>
    <col min="8" max="8" width="12.140625" style="153" customWidth="1"/>
    <col min="9" max="9" width="10.7109375" style="153" customWidth="1"/>
    <col min="10" max="10" width="9.140625" style="153" customWidth="1"/>
    <col min="11" max="11" width="9.85546875" style="153" customWidth="1"/>
    <col min="12" max="16384" width="8.7109375" style="153"/>
  </cols>
  <sheetData>
    <row r="1" spans="1:9" customFormat="1" x14ac:dyDescent="0.25">
      <c r="A1" s="209" t="s">
        <v>1454</v>
      </c>
      <c r="B1" s="209"/>
      <c r="C1" s="210"/>
      <c r="D1" s="210"/>
      <c r="E1" s="210"/>
      <c r="F1" s="210"/>
      <c r="G1" s="210"/>
    </row>
    <row r="2" spans="1:9" customFormat="1" ht="18.75" customHeight="1" x14ac:dyDescent="0.25">
      <c r="A2" s="705" t="s">
        <v>42</v>
      </c>
      <c r="B2" s="705"/>
      <c r="C2" s="731" t="str">
        <f>zTaskName</f>
        <v>Routine Generator run with no load transfer</v>
      </c>
      <c r="D2" s="730"/>
      <c r="E2" s="730"/>
      <c r="F2" s="730"/>
      <c r="G2" s="732"/>
    </row>
    <row r="3" spans="1:9" customFormat="1" ht="9.9499999999999993" customHeight="1" x14ac:dyDescent="0.25">
      <c r="A3" s="728"/>
      <c r="B3" s="729"/>
      <c r="C3" s="730"/>
      <c r="D3" s="730"/>
      <c r="E3" s="380"/>
      <c r="F3" s="380"/>
      <c r="G3" s="381"/>
    </row>
    <row r="4" spans="1:9" customFormat="1"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row>
    <row r="6" spans="1:9" x14ac:dyDescent="0.25">
      <c r="A6" s="200">
        <v>1</v>
      </c>
      <c r="B6" s="712" t="str">
        <f>"PERFORM PRE-WORK NOTIFICATION AND CALLOUT"</f>
        <v>PERFORM PRE-WORK NOTIFICATION AND CALLOUT</v>
      </c>
      <c r="C6" s="712"/>
      <c r="D6" s="712"/>
      <c r="E6" s="712"/>
      <c r="F6" s="712"/>
      <c r="G6" s="712"/>
    </row>
    <row r="7" spans="1:9" ht="37.5" x14ac:dyDescent="0.25">
      <c r="A7" s="200">
        <v>2</v>
      </c>
      <c r="B7" s="183" t="s">
        <v>1462</v>
      </c>
      <c r="C7" s="183" t="s">
        <v>84</v>
      </c>
      <c r="D7" s="187" t="s">
        <v>2441</v>
      </c>
      <c r="E7" s="183" t="s">
        <v>1464</v>
      </c>
      <c r="F7" s="193" t="s">
        <v>1519</v>
      </c>
      <c r="G7" s="193"/>
    </row>
    <row r="8" spans="1:9" ht="56.25" x14ac:dyDescent="0.3">
      <c r="A8" s="200">
        <v>3</v>
      </c>
      <c r="B8" s="183" t="s">
        <v>1462</v>
      </c>
      <c r="C8" s="183" t="s">
        <v>84</v>
      </c>
      <c r="D8" s="196" t="s">
        <v>2683</v>
      </c>
      <c r="E8" s="183" t="s">
        <v>1464</v>
      </c>
      <c r="F8" s="193"/>
      <c r="G8" s="193"/>
    </row>
    <row r="9" spans="1:9" ht="37.5" x14ac:dyDescent="0.25">
      <c r="A9" s="200">
        <v>4</v>
      </c>
      <c r="B9" s="183" t="s">
        <v>1462</v>
      </c>
      <c r="C9" s="183" t="s">
        <v>84</v>
      </c>
      <c r="D9" s="187" t="s">
        <v>2669</v>
      </c>
      <c r="E9" s="183" t="s">
        <v>1464</v>
      </c>
      <c r="F9" s="193" t="s">
        <v>1519</v>
      </c>
      <c r="G9" s="193"/>
    </row>
    <row r="10" spans="1:9" ht="37.5" x14ac:dyDescent="0.25">
      <c r="A10" s="200">
        <v>5</v>
      </c>
      <c r="B10" s="183" t="s">
        <v>1462</v>
      </c>
      <c r="C10" s="183" t="s">
        <v>84</v>
      </c>
      <c r="D10" s="186" t="s">
        <v>2025</v>
      </c>
      <c r="E10" s="183" t="s">
        <v>1464</v>
      </c>
      <c r="F10" s="193"/>
      <c r="G10" s="193" t="s">
        <v>1519</v>
      </c>
    </row>
    <row r="11" spans="1:9" ht="93.75" x14ac:dyDescent="0.25">
      <c r="A11" s="200">
        <v>6</v>
      </c>
      <c r="B11" s="183" t="s">
        <v>1462</v>
      </c>
      <c r="C11" s="183" t="s">
        <v>84</v>
      </c>
      <c r="D11" s="184" t="s">
        <v>2449</v>
      </c>
      <c r="E11" s="183" t="s">
        <v>1464</v>
      </c>
      <c r="F11" s="193" t="s">
        <v>1519</v>
      </c>
      <c r="G11" s="193"/>
    </row>
    <row r="12" spans="1:9" x14ac:dyDescent="0.25">
      <c r="A12" s="200">
        <v>7</v>
      </c>
      <c r="B12" s="756" t="s">
        <v>2684</v>
      </c>
      <c r="C12" s="757"/>
      <c r="D12" s="726"/>
      <c r="E12" s="757"/>
      <c r="F12" s="757"/>
      <c r="G12" s="758"/>
    </row>
    <row r="13" spans="1:9" ht="37.5" x14ac:dyDescent="0.25">
      <c r="A13" s="200">
        <v>8</v>
      </c>
      <c r="B13" s="183" t="e">
        <f>DEEMSuite1&amp;" CRAC Gallery"</f>
        <v>#N/A</v>
      </c>
      <c r="C13" s="201" t="s">
        <v>2685</v>
      </c>
      <c r="D13" s="186" t="s">
        <v>2686</v>
      </c>
      <c r="E13" s="183" t="s">
        <v>1464</v>
      </c>
      <c r="F13" s="186"/>
      <c r="G13" s="186" t="s">
        <v>1519</v>
      </c>
    </row>
    <row r="14" spans="1:9" ht="37.5" x14ac:dyDescent="0.25">
      <c r="A14" s="200">
        <v>9</v>
      </c>
      <c r="B14" s="183" t="e">
        <f>DEEMSuite1&amp;" Suite"</f>
        <v>#N/A</v>
      </c>
      <c r="C14" s="201" t="s">
        <v>2687</v>
      </c>
      <c r="D14" s="186" t="s">
        <v>2688</v>
      </c>
      <c r="E14" s="183" t="s">
        <v>1464</v>
      </c>
      <c r="F14" s="186"/>
      <c r="G14" s="186" t="s">
        <v>1519</v>
      </c>
    </row>
    <row r="15" spans="1:9" ht="37.5" x14ac:dyDescent="0.25">
      <c r="A15" s="200">
        <v>10</v>
      </c>
      <c r="B15" s="183" t="e">
        <f>DEEMSuite1&amp;" Suite"</f>
        <v>#N/A</v>
      </c>
      <c r="C15" s="201" t="s">
        <v>2687</v>
      </c>
      <c r="D15" s="186" t="s">
        <v>2689</v>
      </c>
      <c r="E15" s="183" t="s">
        <v>1464</v>
      </c>
      <c r="F15" s="186"/>
      <c r="G15" s="186" t="s">
        <v>1519</v>
      </c>
    </row>
    <row r="16" spans="1:9" ht="37.5" x14ac:dyDescent="0.25">
      <c r="A16" s="200">
        <v>11</v>
      </c>
      <c r="B16" s="183" t="e">
        <f>DEEMSuite1&amp;" Suite"</f>
        <v>#N/A</v>
      </c>
      <c r="C16" s="201" t="s">
        <v>2687</v>
      </c>
      <c r="D16" s="186" t="s">
        <v>2690</v>
      </c>
      <c r="E16" s="183" t="s">
        <v>1464</v>
      </c>
      <c r="F16" s="186"/>
      <c r="G16" s="186" t="s">
        <v>1519</v>
      </c>
    </row>
    <row r="17" spans="1:7" ht="37.5" x14ac:dyDescent="0.25">
      <c r="A17" s="200">
        <v>12</v>
      </c>
      <c r="B17" s="183" t="e">
        <f>DEEMSuite1&amp;" Suite"</f>
        <v>#N/A</v>
      </c>
      <c r="C17" s="201" t="s">
        <v>2687</v>
      </c>
      <c r="D17" s="186" t="s">
        <v>2689</v>
      </c>
      <c r="E17" s="183" t="s">
        <v>1464</v>
      </c>
      <c r="F17" s="186"/>
      <c r="G17" s="186" t="s">
        <v>1519</v>
      </c>
    </row>
    <row r="18" spans="1:7" ht="37.5" x14ac:dyDescent="0.25">
      <c r="A18" s="200">
        <v>13</v>
      </c>
      <c r="B18" s="183" t="e">
        <f>DEEMSuite1&amp;" CRAC Gallery"</f>
        <v>#N/A</v>
      </c>
      <c r="C18" s="201" t="s">
        <v>2056</v>
      </c>
      <c r="D18" s="186" t="s">
        <v>2691</v>
      </c>
      <c r="E18" s="183" t="s">
        <v>1464</v>
      </c>
      <c r="F18" s="186"/>
      <c r="G18" s="186" t="s">
        <v>1519</v>
      </c>
    </row>
    <row r="19" spans="1:7" ht="37.5" x14ac:dyDescent="0.25">
      <c r="A19" s="200">
        <v>14</v>
      </c>
      <c r="B19" s="183" t="e">
        <f>DEEMSuite1&amp;" Electrical Room A"</f>
        <v>#N/A</v>
      </c>
      <c r="C19" s="201" t="s">
        <v>1470</v>
      </c>
      <c r="D19" s="202" t="s">
        <v>2692</v>
      </c>
      <c r="E19" s="183" t="s">
        <v>1464</v>
      </c>
      <c r="F19" s="186"/>
      <c r="G19" s="186" t="s">
        <v>1519</v>
      </c>
    </row>
    <row r="20" spans="1:7" ht="37.5" x14ac:dyDescent="0.25">
      <c r="A20" s="200">
        <v>15</v>
      </c>
      <c r="B20" s="183" t="e">
        <f>DEEMSuite1&amp;" Electrical Room B"</f>
        <v>#N/A</v>
      </c>
      <c r="C20" s="201" t="s">
        <v>1476</v>
      </c>
      <c r="D20" s="202" t="s">
        <v>2693</v>
      </c>
      <c r="E20" s="183" t="s">
        <v>1464</v>
      </c>
      <c r="F20" s="186"/>
      <c r="G20" s="186" t="s">
        <v>1519</v>
      </c>
    </row>
    <row r="21" spans="1:7" ht="37.5" x14ac:dyDescent="0.25">
      <c r="A21" s="200">
        <v>16</v>
      </c>
      <c r="B21" s="183" t="e">
        <f>DEEMSuite1&amp;" Electrical Rooms"</f>
        <v>#N/A</v>
      </c>
      <c r="C21" s="201" t="s">
        <v>2694</v>
      </c>
      <c r="D21" s="186" t="s">
        <v>2695</v>
      </c>
      <c r="E21" s="183" t="s">
        <v>1464</v>
      </c>
      <c r="F21" s="186"/>
      <c r="G21" s="186" t="s">
        <v>1519</v>
      </c>
    </row>
    <row r="22" spans="1:7" ht="37.5" x14ac:dyDescent="0.25">
      <c r="A22" s="200">
        <v>17</v>
      </c>
      <c r="B22" s="183" t="e">
        <f>DEEMSuite1&amp;" Electrical Rooms"</f>
        <v>#N/A</v>
      </c>
      <c r="C22" s="201" t="s">
        <v>2694</v>
      </c>
      <c r="D22" s="186" t="s">
        <v>2696</v>
      </c>
      <c r="E22" s="183" t="s">
        <v>1464</v>
      </c>
      <c r="F22" s="186"/>
      <c r="G22" s="186" t="s">
        <v>1519</v>
      </c>
    </row>
    <row r="23" spans="1:7" ht="56.25" x14ac:dyDescent="0.25">
      <c r="A23" s="200">
        <v>18</v>
      </c>
      <c r="B23" s="183" t="e">
        <f>DEEMSuite1&amp;" Electrical Rooms"</f>
        <v>#N/A</v>
      </c>
      <c r="C23" s="201" t="s">
        <v>2697</v>
      </c>
      <c r="D23" s="186" t="s">
        <v>2698</v>
      </c>
      <c r="E23" s="183" t="s">
        <v>1464</v>
      </c>
      <c r="F23" s="186"/>
      <c r="G23" s="186" t="s">
        <v>1519</v>
      </c>
    </row>
    <row r="24" spans="1:7" ht="37.5" x14ac:dyDescent="0.25">
      <c r="A24" s="200">
        <v>19</v>
      </c>
      <c r="B24" s="183" t="e">
        <f>DEEMSuite1&amp;" Electrical Rooms"</f>
        <v>#N/A</v>
      </c>
      <c r="C24" s="201" t="s">
        <v>2699</v>
      </c>
      <c r="D24" s="186" t="s">
        <v>2700</v>
      </c>
      <c r="E24" s="183" t="s">
        <v>1464</v>
      </c>
      <c r="F24" s="186"/>
      <c r="G24" s="186" t="s">
        <v>1519</v>
      </c>
    </row>
    <row r="25" spans="1:7" ht="37.5" x14ac:dyDescent="0.25">
      <c r="A25" s="200">
        <v>20</v>
      </c>
      <c r="B25" s="183" t="e">
        <f>DEEMSuite1&amp;" Electrical Rooms"</f>
        <v>#N/A</v>
      </c>
      <c r="C25" s="201" t="s">
        <v>2084</v>
      </c>
      <c r="D25" s="187" t="s">
        <v>1613</v>
      </c>
      <c r="E25" s="183" t="s">
        <v>1464</v>
      </c>
      <c r="F25" s="186"/>
      <c r="G25" s="186" t="s">
        <v>1519</v>
      </c>
    </row>
    <row r="26" spans="1:7" ht="37.5" x14ac:dyDescent="0.25">
      <c r="A26" s="200">
        <v>21</v>
      </c>
      <c r="B26" s="183" t="e">
        <f>DEEMSuite1&amp;" Electrical Room A"</f>
        <v>#N/A</v>
      </c>
      <c r="C26" s="201" t="s">
        <v>1466</v>
      </c>
      <c r="D26" s="187" t="s">
        <v>2701</v>
      </c>
      <c r="E26" s="183" t="s">
        <v>1464</v>
      </c>
      <c r="F26" s="186"/>
      <c r="G26" s="186" t="s">
        <v>1519</v>
      </c>
    </row>
    <row r="27" spans="1:7" ht="37.5" x14ac:dyDescent="0.25">
      <c r="A27" s="200">
        <v>22</v>
      </c>
      <c r="B27" s="183" t="e">
        <f>DEEMSuite1&amp;" Electrical Room A"</f>
        <v>#N/A</v>
      </c>
      <c r="C27" s="201" t="s">
        <v>1468</v>
      </c>
      <c r="D27" s="187" t="s">
        <v>2702</v>
      </c>
      <c r="E27" s="183" t="s">
        <v>1464</v>
      </c>
      <c r="F27" s="186"/>
      <c r="G27" s="186" t="s">
        <v>1519</v>
      </c>
    </row>
    <row r="28" spans="1:7" ht="37.5" x14ac:dyDescent="0.25">
      <c r="A28" s="200">
        <v>23</v>
      </c>
      <c r="B28" s="183" t="e">
        <f>DEEMSuite1&amp;" Electrical Room B"</f>
        <v>#N/A</v>
      </c>
      <c r="C28" s="201" t="s">
        <v>1472</v>
      </c>
      <c r="D28" s="187" t="s">
        <v>2703</v>
      </c>
      <c r="E28" s="183" t="s">
        <v>1464</v>
      </c>
      <c r="F28" s="186"/>
      <c r="G28" s="186" t="s">
        <v>1519</v>
      </c>
    </row>
    <row r="29" spans="1:7" ht="37.5" x14ac:dyDescent="0.25">
      <c r="A29" s="200">
        <v>24</v>
      </c>
      <c r="B29" s="183" t="e">
        <f>DEEMSuite1&amp;" Electrical Room B"</f>
        <v>#N/A</v>
      </c>
      <c r="C29" s="201" t="s">
        <v>1474</v>
      </c>
      <c r="D29" s="187" t="s">
        <v>2704</v>
      </c>
      <c r="E29" s="183" t="s">
        <v>1464</v>
      </c>
      <c r="F29" s="186"/>
      <c r="G29" s="186" t="s">
        <v>1519</v>
      </c>
    </row>
    <row r="30" spans="1:7" x14ac:dyDescent="0.25">
      <c r="A30" s="200">
        <v>25</v>
      </c>
      <c r="B30" s="756" t="s">
        <v>2705</v>
      </c>
      <c r="C30" s="757"/>
      <c r="D30" s="759"/>
      <c r="E30" s="757"/>
      <c r="F30" s="757"/>
      <c r="G30" s="758"/>
    </row>
    <row r="31" spans="1:7" ht="37.5" x14ac:dyDescent="0.25">
      <c r="A31" s="200">
        <v>26</v>
      </c>
      <c r="B31" s="183" t="s">
        <v>724</v>
      </c>
      <c r="C31" s="183" t="s">
        <v>2706</v>
      </c>
      <c r="D31" s="187" t="s">
        <v>2707</v>
      </c>
      <c r="E31" s="183" t="s">
        <v>1464</v>
      </c>
      <c r="F31" s="186"/>
      <c r="G31" s="186" t="s">
        <v>1519</v>
      </c>
    </row>
    <row r="32" spans="1:7" ht="37.5" x14ac:dyDescent="0.25">
      <c r="A32" s="200">
        <v>27</v>
      </c>
      <c r="B32" s="183" t="s">
        <v>1462</v>
      </c>
      <c r="C32" s="183" t="s">
        <v>84</v>
      </c>
      <c r="D32" s="187" t="s">
        <v>2119</v>
      </c>
      <c r="E32" s="183" t="s">
        <v>1464</v>
      </c>
      <c r="F32" s="186"/>
      <c r="G32" s="186" t="s">
        <v>1519</v>
      </c>
    </row>
    <row r="33" spans="1:7" ht="37.5" x14ac:dyDescent="0.25">
      <c r="A33" s="200">
        <v>28</v>
      </c>
      <c r="B33" s="183" t="e">
        <f>DEEMSuite1&amp;" Electrical Rooms"</f>
        <v>#N/A</v>
      </c>
      <c r="C33" s="201" t="s">
        <v>2084</v>
      </c>
      <c r="D33" s="187" t="s">
        <v>1613</v>
      </c>
      <c r="E33" s="183" t="s">
        <v>1464</v>
      </c>
      <c r="F33" s="186"/>
      <c r="G33" s="186" t="s">
        <v>1519</v>
      </c>
    </row>
    <row r="34" spans="1:7" ht="37.5" x14ac:dyDescent="0.25">
      <c r="A34" s="200">
        <v>29</v>
      </c>
      <c r="B34" s="183" t="e">
        <f>DEEMSuite1&amp;" Electrical Room A"</f>
        <v>#N/A</v>
      </c>
      <c r="C34" s="201" t="s">
        <v>1470</v>
      </c>
      <c r="D34" s="202" t="s">
        <v>2692</v>
      </c>
      <c r="E34" s="183" t="s">
        <v>1464</v>
      </c>
      <c r="F34" s="186"/>
      <c r="G34" s="186" t="s">
        <v>1519</v>
      </c>
    </row>
    <row r="35" spans="1:7" ht="37.5" x14ac:dyDescent="0.25">
      <c r="A35" s="200">
        <v>30</v>
      </c>
      <c r="B35" s="183" t="e">
        <f>DEEMSuite1&amp;" Electrical Room B"</f>
        <v>#N/A</v>
      </c>
      <c r="C35" s="201" t="s">
        <v>1476</v>
      </c>
      <c r="D35" s="202" t="s">
        <v>2693</v>
      </c>
      <c r="E35" s="183" t="s">
        <v>1464</v>
      </c>
      <c r="F35" s="186"/>
      <c r="G35" s="186" t="s">
        <v>1519</v>
      </c>
    </row>
    <row r="36" spans="1:7" ht="37.5" x14ac:dyDescent="0.25">
      <c r="A36" s="200">
        <v>31</v>
      </c>
      <c r="B36" s="183" t="e">
        <f>DEEMSuite1&amp;" Electrical Room B"</f>
        <v>#N/A</v>
      </c>
      <c r="C36" s="183" t="s">
        <v>2708</v>
      </c>
      <c r="D36" s="187" t="s">
        <v>2709</v>
      </c>
      <c r="E36" s="183" t="s">
        <v>1464</v>
      </c>
      <c r="F36" s="186"/>
      <c r="G36" s="186" t="s">
        <v>1519</v>
      </c>
    </row>
    <row r="37" spans="1:7" ht="37.5" x14ac:dyDescent="0.25">
      <c r="A37" s="200">
        <v>32</v>
      </c>
      <c r="B37" s="183" t="e">
        <f>DEEMSuite1&amp;" Electrical Room B"</f>
        <v>#N/A</v>
      </c>
      <c r="C37" s="183" t="s">
        <v>2708</v>
      </c>
      <c r="D37" s="186" t="s">
        <v>2120</v>
      </c>
      <c r="E37" s="183" t="s">
        <v>1464</v>
      </c>
      <c r="F37" s="186"/>
      <c r="G37" s="186" t="s">
        <v>1519</v>
      </c>
    </row>
    <row r="38" spans="1:7" ht="37.5" x14ac:dyDescent="0.25">
      <c r="A38" s="200">
        <v>33</v>
      </c>
      <c r="B38" s="183" t="e">
        <f>DEEMSuite1&amp;" Electrical Room B"</f>
        <v>#N/A</v>
      </c>
      <c r="C38" s="183" t="s">
        <v>2708</v>
      </c>
      <c r="D38" s="187" t="s">
        <v>2710</v>
      </c>
      <c r="E38" s="183" t="s">
        <v>1464</v>
      </c>
      <c r="F38" s="186"/>
      <c r="G38" s="186" t="s">
        <v>1519</v>
      </c>
    </row>
    <row r="39" spans="1:7" ht="37.5" x14ac:dyDescent="0.25">
      <c r="A39" s="200">
        <v>34</v>
      </c>
      <c r="B39" s="183" t="e">
        <f>DEEMSuite1&amp;" Electrical Room B"</f>
        <v>#N/A</v>
      </c>
      <c r="C39" s="183" t="s">
        <v>2708</v>
      </c>
      <c r="D39" s="187" t="s">
        <v>2711</v>
      </c>
      <c r="E39" s="183" t="s">
        <v>1464</v>
      </c>
      <c r="F39" s="186"/>
      <c r="G39" s="186" t="s">
        <v>1519</v>
      </c>
    </row>
    <row r="40" spans="1:7" ht="56.25" x14ac:dyDescent="0.25">
      <c r="A40" s="200">
        <v>35</v>
      </c>
      <c r="B40" s="183" t="e">
        <f>DEEMSuite1&amp;" Electrical Room B"</f>
        <v>#N/A</v>
      </c>
      <c r="C40" s="183" t="s">
        <v>2708</v>
      </c>
      <c r="D40" s="187" t="s">
        <v>2712</v>
      </c>
      <c r="E40" s="183" t="s">
        <v>1464</v>
      </c>
      <c r="F40" s="186"/>
      <c r="G40" s="186" t="s">
        <v>1519</v>
      </c>
    </row>
    <row r="41" spans="1:7" ht="37.5" x14ac:dyDescent="0.25">
      <c r="A41" s="200">
        <v>36</v>
      </c>
      <c r="B41" s="183" t="e">
        <f>DEEMSuite1&amp;" Electrical Room B"</f>
        <v>#N/A</v>
      </c>
      <c r="C41" s="183" t="s">
        <v>2708</v>
      </c>
      <c r="D41" s="187" t="s">
        <v>2713</v>
      </c>
      <c r="E41" s="183" t="s">
        <v>1464</v>
      </c>
      <c r="F41" s="186"/>
      <c r="G41" s="186" t="s">
        <v>1519</v>
      </c>
    </row>
    <row r="42" spans="1:7" ht="37.5" x14ac:dyDescent="0.25">
      <c r="A42" s="200">
        <v>37</v>
      </c>
      <c r="B42" s="183" t="e">
        <f>DEEMSuite1&amp;" Electrical Room B"</f>
        <v>#N/A</v>
      </c>
      <c r="C42" s="183" t="s">
        <v>2708</v>
      </c>
      <c r="D42" s="187" t="s">
        <v>2714</v>
      </c>
      <c r="E42" s="183" t="s">
        <v>1464</v>
      </c>
      <c r="F42" s="186"/>
      <c r="G42" s="186" t="s">
        <v>1519</v>
      </c>
    </row>
    <row r="43" spans="1:7" ht="37.5" x14ac:dyDescent="0.25">
      <c r="A43" s="200">
        <v>38</v>
      </c>
      <c r="B43" s="183" t="e">
        <f>DEEMSuite1&amp;" Electrical Room B"</f>
        <v>#N/A</v>
      </c>
      <c r="C43" s="183" t="s">
        <v>2708</v>
      </c>
      <c r="D43" s="187" t="s">
        <v>2715</v>
      </c>
      <c r="E43" s="183" t="s">
        <v>1464</v>
      </c>
      <c r="F43" s="186"/>
      <c r="G43" s="186" t="s">
        <v>1519</v>
      </c>
    </row>
    <row r="44" spans="1:7" ht="37.5" x14ac:dyDescent="0.25">
      <c r="A44" s="200">
        <v>39</v>
      </c>
      <c r="B44" s="183" t="e">
        <f>DEEMSuite1&amp;" Electrical Room B"</f>
        <v>#N/A</v>
      </c>
      <c r="C44" s="183" t="s">
        <v>2708</v>
      </c>
      <c r="D44" s="187" t="s">
        <v>2716</v>
      </c>
      <c r="E44" s="183" t="s">
        <v>1464</v>
      </c>
      <c r="F44" s="186"/>
      <c r="G44" s="186" t="s">
        <v>1519</v>
      </c>
    </row>
    <row r="45" spans="1:7" ht="37.5" x14ac:dyDescent="0.25">
      <c r="A45" s="200">
        <v>40</v>
      </c>
      <c r="B45" s="183" t="e">
        <f>DEEMSuite1&amp;" Electrical Room B"</f>
        <v>#N/A</v>
      </c>
      <c r="C45" s="183" t="s">
        <v>2708</v>
      </c>
      <c r="D45" s="187" t="s">
        <v>2717</v>
      </c>
      <c r="E45" s="183" t="s">
        <v>1464</v>
      </c>
      <c r="F45" s="186"/>
      <c r="G45" s="186" t="s">
        <v>1519</v>
      </c>
    </row>
    <row r="46" spans="1:7" ht="37.5" x14ac:dyDescent="0.25">
      <c r="A46" s="200">
        <v>41</v>
      </c>
      <c r="B46" s="183" t="e">
        <f>DEEMSuite1&amp;" Electrical Room B"</f>
        <v>#N/A</v>
      </c>
      <c r="C46" s="183" t="s">
        <v>2708</v>
      </c>
      <c r="D46" s="186" t="s">
        <v>2718</v>
      </c>
      <c r="E46" s="183" t="s">
        <v>1464</v>
      </c>
      <c r="F46" s="186"/>
      <c r="G46" s="186" t="s">
        <v>1519</v>
      </c>
    </row>
    <row r="47" spans="1:7" ht="37.5" x14ac:dyDescent="0.25">
      <c r="A47" s="200">
        <v>42</v>
      </c>
      <c r="B47" s="183" t="e">
        <f>DEEMSuite1&amp;" Electrical Room B"</f>
        <v>#N/A</v>
      </c>
      <c r="C47" s="183" t="s">
        <v>2708</v>
      </c>
      <c r="D47" s="187" t="s">
        <v>2719</v>
      </c>
      <c r="E47" s="183" t="s">
        <v>1464</v>
      </c>
      <c r="F47" s="186"/>
      <c r="G47" s="186" t="s">
        <v>1519</v>
      </c>
    </row>
    <row r="48" spans="1:7" ht="37.5" x14ac:dyDescent="0.25">
      <c r="A48" s="200">
        <v>43</v>
      </c>
      <c r="B48" s="183" t="e">
        <f>DEEMSuite1&amp;" Electrical Room B"</f>
        <v>#N/A</v>
      </c>
      <c r="C48" s="183" t="s">
        <v>2708</v>
      </c>
      <c r="D48" s="186" t="s">
        <v>2720</v>
      </c>
      <c r="E48" s="183" t="s">
        <v>1464</v>
      </c>
      <c r="F48" s="186"/>
      <c r="G48" s="186" t="s">
        <v>1519</v>
      </c>
    </row>
    <row r="49" spans="1:7" ht="37.5" x14ac:dyDescent="0.25">
      <c r="A49" s="200">
        <v>44</v>
      </c>
      <c r="B49" s="183" t="e">
        <f>DEEMSuite1&amp;" Electrical Room B"</f>
        <v>#N/A</v>
      </c>
      <c r="C49" s="183" t="s">
        <v>2708</v>
      </c>
      <c r="D49" s="203" t="s">
        <v>2721</v>
      </c>
      <c r="E49" s="183" t="s">
        <v>1464</v>
      </c>
      <c r="F49" s="186"/>
      <c r="G49" s="186" t="s">
        <v>1519</v>
      </c>
    </row>
    <row r="50" spans="1:7" ht="56.25" x14ac:dyDescent="0.25">
      <c r="A50" s="200">
        <v>45</v>
      </c>
      <c r="B50" s="183" t="e">
        <f>DEEMSuite1&amp;" Electrical Room B"</f>
        <v>#N/A</v>
      </c>
      <c r="C50" s="183" t="s">
        <v>2708</v>
      </c>
      <c r="D50" s="187" t="s">
        <v>2722</v>
      </c>
      <c r="E50" s="183" t="s">
        <v>1464</v>
      </c>
      <c r="F50" s="186"/>
      <c r="G50" s="186" t="s">
        <v>1519</v>
      </c>
    </row>
    <row r="51" spans="1:7" ht="56.25" x14ac:dyDescent="0.25">
      <c r="A51" s="200">
        <v>46</v>
      </c>
      <c r="B51" s="183" t="e">
        <f>DEEMSuite1&amp;" Electrical Room B"</f>
        <v>#N/A</v>
      </c>
      <c r="C51" s="183" t="s">
        <v>2708</v>
      </c>
      <c r="D51" s="204" t="s">
        <v>2723</v>
      </c>
      <c r="E51" s="183" t="s">
        <v>1464</v>
      </c>
      <c r="F51" s="186"/>
      <c r="G51" s="186" t="s">
        <v>1519</v>
      </c>
    </row>
    <row r="52" spans="1:7" ht="37.5" x14ac:dyDescent="0.25">
      <c r="A52" s="200">
        <v>47</v>
      </c>
      <c r="B52" s="183" t="e">
        <f>DEEMSuite1&amp;" Electrical Room B"</f>
        <v>#N/A</v>
      </c>
      <c r="C52" s="183" t="s">
        <v>2708</v>
      </c>
      <c r="D52" s="187" t="s">
        <v>2724</v>
      </c>
      <c r="E52" s="183" t="s">
        <v>1464</v>
      </c>
      <c r="F52" s="186"/>
      <c r="G52" s="186" t="s">
        <v>1519</v>
      </c>
    </row>
    <row r="53" spans="1:7" ht="56.25" x14ac:dyDescent="0.25">
      <c r="A53" s="200">
        <v>48</v>
      </c>
      <c r="B53" s="183" t="e">
        <f>DEEMSuite1&amp;" Electrical Room B"</f>
        <v>#N/A</v>
      </c>
      <c r="C53" s="183" t="s">
        <v>2708</v>
      </c>
      <c r="D53" s="186" t="s">
        <v>2725</v>
      </c>
      <c r="E53" s="183" t="s">
        <v>1464</v>
      </c>
      <c r="F53" s="186"/>
      <c r="G53" s="186" t="s">
        <v>1519</v>
      </c>
    </row>
    <row r="54" spans="1:7" ht="37.5" x14ac:dyDescent="0.25">
      <c r="A54" s="200">
        <v>49</v>
      </c>
      <c r="B54" s="183" t="e">
        <f>DEEMSuite1&amp;" Electrical Room B"</f>
        <v>#N/A</v>
      </c>
      <c r="C54" s="183" t="s">
        <v>2708</v>
      </c>
      <c r="D54" s="186" t="s">
        <v>2726</v>
      </c>
      <c r="E54" s="183" t="s">
        <v>1464</v>
      </c>
      <c r="F54" s="186"/>
      <c r="G54" s="186" t="s">
        <v>1519</v>
      </c>
    </row>
    <row r="55" spans="1:7" ht="37.5" x14ac:dyDescent="0.25">
      <c r="A55" s="200">
        <v>50</v>
      </c>
      <c r="B55" s="183" t="e">
        <f>DEEMSuite1&amp;" Electrical Room B"</f>
        <v>#N/A</v>
      </c>
      <c r="C55" s="183" t="s">
        <v>2708</v>
      </c>
      <c r="D55" s="186" t="s">
        <v>2727</v>
      </c>
      <c r="E55" s="183" t="s">
        <v>1464</v>
      </c>
      <c r="F55" s="186"/>
      <c r="G55" s="186" t="s">
        <v>1519</v>
      </c>
    </row>
    <row r="56" spans="1:7" ht="37.5" x14ac:dyDescent="0.25">
      <c r="A56" s="200">
        <v>51</v>
      </c>
      <c r="B56" s="183" t="e">
        <f>DEEMSuite1&amp;" Electrical Room A"</f>
        <v>#N/A</v>
      </c>
      <c r="C56" s="201" t="s">
        <v>1470</v>
      </c>
      <c r="D56" s="186" t="str">
        <f>"NOTATE the kW reading on UPA:  ___________and compare to step " &amp; A19 &amp; ":______"</f>
        <v>NOTATE the kW reading on UPA:  ___________and compare to step 14:______</v>
      </c>
      <c r="E56" s="183" t="s">
        <v>1464</v>
      </c>
      <c r="F56" s="186"/>
      <c r="G56" s="186" t="s">
        <v>1519</v>
      </c>
    </row>
    <row r="57" spans="1:7" ht="37.5" x14ac:dyDescent="0.25">
      <c r="A57" s="200">
        <v>52</v>
      </c>
      <c r="B57" s="183" t="e">
        <f>DEEMSuite1&amp;" Electrical Room B"</f>
        <v>#N/A</v>
      </c>
      <c r="C57" s="201" t="s">
        <v>1476</v>
      </c>
      <c r="D57" s="186" t="str">
        <f>"NOTATE the kW reading on UPB:  ___________and compare to step " &amp; A20 &amp; ":______"</f>
        <v>NOTATE the kW reading on UPB:  ___________and compare to step 15:______</v>
      </c>
      <c r="E57" s="183" t="s">
        <v>1464</v>
      </c>
      <c r="F57" s="186"/>
      <c r="G57" s="186" t="s">
        <v>1519</v>
      </c>
    </row>
    <row r="58" spans="1:7" ht="37.5" x14ac:dyDescent="0.25">
      <c r="A58" s="200">
        <v>53</v>
      </c>
      <c r="B58" s="183" t="e">
        <f>DEEMSuite1&amp;" Electrical Rooms"</f>
        <v>#N/A</v>
      </c>
      <c r="C58" s="201" t="s">
        <v>2694</v>
      </c>
      <c r="D58" s="186" t="s">
        <v>2728</v>
      </c>
      <c r="E58" s="183" t="s">
        <v>1464</v>
      </c>
      <c r="F58" s="186"/>
      <c r="G58" s="186" t="s">
        <v>1519</v>
      </c>
    </row>
    <row r="59" spans="1:7" ht="37.5" x14ac:dyDescent="0.25">
      <c r="A59" s="200">
        <v>54</v>
      </c>
      <c r="B59" s="183" t="e">
        <f>DEEMSuite1&amp;" Electrical Room B"</f>
        <v>#N/A</v>
      </c>
      <c r="C59" s="183" t="s">
        <v>2729</v>
      </c>
      <c r="D59" s="186" t="s">
        <v>2730</v>
      </c>
      <c r="E59" s="183" t="s">
        <v>1464</v>
      </c>
      <c r="F59" s="186"/>
      <c r="G59" s="186" t="s">
        <v>1519</v>
      </c>
    </row>
    <row r="60" spans="1:7" ht="37.5" x14ac:dyDescent="0.25">
      <c r="A60" s="200">
        <v>55</v>
      </c>
      <c r="B60" s="183" t="e">
        <f>DEEMSuite1&amp;" Electrical Room B"</f>
        <v>#N/A</v>
      </c>
      <c r="C60" s="183" t="s">
        <v>2729</v>
      </c>
      <c r="D60" s="186" t="s">
        <v>2731</v>
      </c>
      <c r="E60" s="183" t="s">
        <v>1464</v>
      </c>
      <c r="F60" s="186"/>
      <c r="G60" s="186" t="s">
        <v>1519</v>
      </c>
    </row>
    <row r="61" spans="1:7" ht="37.5" x14ac:dyDescent="0.25">
      <c r="A61" s="200">
        <v>56</v>
      </c>
      <c r="B61" s="183" t="e">
        <f>DEEMSuite1&amp;" Electrical Room B"</f>
        <v>#N/A</v>
      </c>
      <c r="C61" s="183" t="s">
        <v>2729</v>
      </c>
      <c r="D61" s="186" t="s">
        <v>2732</v>
      </c>
      <c r="E61" s="183" t="s">
        <v>1464</v>
      </c>
      <c r="F61" s="186"/>
      <c r="G61" s="186" t="s">
        <v>1519</v>
      </c>
    </row>
    <row r="62" spans="1:7" ht="37.5" x14ac:dyDescent="0.25">
      <c r="A62" s="200">
        <v>57</v>
      </c>
      <c r="B62" s="183" t="e">
        <f>DEEMSuite1&amp;" Electrical Room B"</f>
        <v>#N/A</v>
      </c>
      <c r="C62" s="201" t="s">
        <v>1476</v>
      </c>
      <c r="D62" s="186" t="s">
        <v>2733</v>
      </c>
      <c r="E62" s="183" t="s">
        <v>1464</v>
      </c>
      <c r="F62" s="186"/>
      <c r="G62" s="186" t="s">
        <v>1519</v>
      </c>
    </row>
    <row r="63" spans="1:7" ht="37.5" x14ac:dyDescent="0.25">
      <c r="A63" s="200">
        <v>58</v>
      </c>
      <c r="B63" s="183" t="e">
        <f>DEEMSuite1&amp;" Electrical Room B"</f>
        <v>#N/A</v>
      </c>
      <c r="C63" s="201" t="s">
        <v>1476</v>
      </c>
      <c r="D63" s="186" t="s">
        <v>2734</v>
      </c>
      <c r="E63" s="183" t="s">
        <v>1464</v>
      </c>
      <c r="F63" s="186"/>
      <c r="G63" s="186" t="s">
        <v>1519</v>
      </c>
    </row>
    <row r="64" spans="1:7" ht="37.5" x14ac:dyDescent="0.25">
      <c r="A64" s="200">
        <v>59</v>
      </c>
      <c r="B64" s="183" t="e">
        <f>DEEMSuite1&amp;" Electrical Room B"</f>
        <v>#N/A</v>
      </c>
      <c r="C64" s="201" t="s">
        <v>1476</v>
      </c>
      <c r="D64" s="186" t="s">
        <v>2735</v>
      </c>
      <c r="E64" s="183" t="s">
        <v>1464</v>
      </c>
      <c r="F64" s="186"/>
      <c r="G64" s="186" t="s">
        <v>1519</v>
      </c>
    </row>
    <row r="65" spans="1:7" ht="37.5" x14ac:dyDescent="0.25">
      <c r="A65" s="200">
        <v>60</v>
      </c>
      <c r="B65" s="183" t="e">
        <f>DEEMSuite1 &amp; " Utility Input Room"</f>
        <v>#N/A</v>
      </c>
      <c r="C65" s="183" t="s">
        <v>598</v>
      </c>
      <c r="D65" s="186" t="s">
        <v>2736</v>
      </c>
      <c r="E65" s="183" t="s">
        <v>1464</v>
      </c>
      <c r="F65" s="186"/>
      <c r="G65" s="186" t="s">
        <v>1519</v>
      </c>
    </row>
    <row r="66" spans="1:7" ht="37.5" x14ac:dyDescent="0.25">
      <c r="A66" s="200">
        <v>61</v>
      </c>
      <c r="B66" s="183" t="e">
        <f>DEEMSuite1&amp;" Electrical Room A"</f>
        <v>#N/A</v>
      </c>
      <c r="C66" s="183" t="s">
        <v>2737</v>
      </c>
      <c r="D66" s="186" t="s">
        <v>2738</v>
      </c>
      <c r="E66" s="183" t="s">
        <v>1464</v>
      </c>
      <c r="F66" s="186"/>
      <c r="G66" s="186" t="s">
        <v>1519</v>
      </c>
    </row>
    <row r="67" spans="1:7" ht="37.5" x14ac:dyDescent="0.25">
      <c r="A67" s="200">
        <v>62</v>
      </c>
      <c r="B67" s="183" t="e">
        <f>DEEMSuite1&amp;" Electrical Room A"</f>
        <v>#N/A</v>
      </c>
      <c r="C67" s="183" t="s">
        <v>2737</v>
      </c>
      <c r="D67" s="186" t="s">
        <v>2739</v>
      </c>
      <c r="E67" s="183" t="s">
        <v>1464</v>
      </c>
      <c r="F67" s="186"/>
      <c r="G67" s="186" t="s">
        <v>1519</v>
      </c>
    </row>
    <row r="68" spans="1:7" ht="37.5" x14ac:dyDescent="0.25">
      <c r="A68" s="200">
        <v>63</v>
      </c>
      <c r="B68" s="183" t="e">
        <f>DEEMSuite1&amp;" Electrical Room A"</f>
        <v>#N/A</v>
      </c>
      <c r="C68" s="183" t="s">
        <v>1470</v>
      </c>
      <c r="D68" s="186" t="s">
        <v>2740</v>
      </c>
      <c r="E68" s="183" t="s">
        <v>1464</v>
      </c>
      <c r="F68" s="186"/>
      <c r="G68" s="186" t="s">
        <v>1519</v>
      </c>
    </row>
    <row r="69" spans="1:7" ht="37.5" x14ac:dyDescent="0.25">
      <c r="A69" s="200">
        <v>64</v>
      </c>
      <c r="B69" s="183" t="e">
        <f>DEEMSuite1&amp;" Electrical Room A"</f>
        <v>#N/A</v>
      </c>
      <c r="C69" s="183" t="s">
        <v>1470</v>
      </c>
      <c r="D69" s="186" t="s">
        <v>2741</v>
      </c>
      <c r="E69" s="183" t="s">
        <v>1464</v>
      </c>
      <c r="F69" s="186"/>
      <c r="G69" s="186" t="s">
        <v>1519</v>
      </c>
    </row>
    <row r="70" spans="1:7" ht="37.5" x14ac:dyDescent="0.25">
      <c r="A70" s="200">
        <v>65</v>
      </c>
      <c r="B70" s="183" t="e">
        <f>DEEMSuite1&amp;" Electrical Room A"</f>
        <v>#N/A</v>
      </c>
      <c r="C70" s="183" t="s">
        <v>1470</v>
      </c>
      <c r="D70" s="186" t="s">
        <v>2742</v>
      </c>
      <c r="E70" s="183" t="s">
        <v>1464</v>
      </c>
      <c r="F70" s="186"/>
      <c r="G70" s="186" t="s">
        <v>1519</v>
      </c>
    </row>
    <row r="71" spans="1:7" ht="37.5" x14ac:dyDescent="0.25">
      <c r="A71" s="200">
        <v>66</v>
      </c>
      <c r="B71" s="183" t="e">
        <f>DEEMSuite1&amp;" Electrical Rooms"</f>
        <v>#N/A</v>
      </c>
      <c r="C71" s="201" t="s">
        <v>2084</v>
      </c>
      <c r="D71" s="187" t="s">
        <v>2743</v>
      </c>
      <c r="E71" s="183" t="s">
        <v>1464</v>
      </c>
      <c r="F71" s="186"/>
      <c r="G71" s="186" t="s">
        <v>1519</v>
      </c>
    </row>
    <row r="72" spans="1:7" ht="37.5" x14ac:dyDescent="0.25">
      <c r="A72" s="200">
        <v>67</v>
      </c>
      <c r="B72" s="183" t="e">
        <f>DEEMSuite1&amp;" CRAC Gallery"</f>
        <v>#N/A</v>
      </c>
      <c r="C72" s="183" t="s">
        <v>2056</v>
      </c>
      <c r="D72" s="187" t="s">
        <v>2744</v>
      </c>
      <c r="E72" s="183" t="s">
        <v>1464</v>
      </c>
      <c r="F72" s="186"/>
      <c r="G72" s="186" t="s">
        <v>1519</v>
      </c>
    </row>
    <row r="73" spans="1:7" ht="37.5" x14ac:dyDescent="0.25">
      <c r="A73" s="200">
        <v>68</v>
      </c>
      <c r="B73" s="183" t="e">
        <f>DEEMSuite1&amp;" Suite"</f>
        <v>#N/A</v>
      </c>
      <c r="C73" s="183" t="s">
        <v>2058</v>
      </c>
      <c r="D73" s="187" t="s">
        <v>2745</v>
      </c>
      <c r="E73" s="183" t="s">
        <v>1464</v>
      </c>
      <c r="F73" s="186"/>
      <c r="G73" s="186" t="s">
        <v>1519</v>
      </c>
    </row>
    <row r="74" spans="1:7" ht="37.5" x14ac:dyDescent="0.25">
      <c r="A74" s="200">
        <v>69</v>
      </c>
      <c r="B74" s="183" t="s">
        <v>1462</v>
      </c>
      <c r="C74" s="183" t="s">
        <v>84</v>
      </c>
      <c r="D74" s="187" t="s">
        <v>2119</v>
      </c>
      <c r="E74" s="183" t="s">
        <v>1464</v>
      </c>
      <c r="F74" s="186"/>
      <c r="G74" s="186" t="s">
        <v>1519</v>
      </c>
    </row>
    <row r="75" spans="1:7" ht="37.5" x14ac:dyDescent="0.25">
      <c r="A75" s="200">
        <v>70</v>
      </c>
      <c r="B75" s="183" t="s">
        <v>724</v>
      </c>
      <c r="C75" s="183" t="e">
        <f>DEEMSuite1 &amp; "-Gen-B"</f>
        <v>#N/A</v>
      </c>
      <c r="D75" s="186" t="s">
        <v>2746</v>
      </c>
      <c r="E75" s="183" t="s">
        <v>1464</v>
      </c>
      <c r="F75" s="186"/>
      <c r="G75" s="186" t="s">
        <v>1519</v>
      </c>
    </row>
    <row r="76" spans="1:7" x14ac:dyDescent="0.25">
      <c r="A76" s="200">
        <v>71</v>
      </c>
      <c r="B76" s="756" t="s">
        <v>2747</v>
      </c>
      <c r="C76" s="757"/>
      <c r="D76" s="757"/>
      <c r="E76" s="757"/>
      <c r="F76" s="757"/>
      <c r="G76" s="758"/>
    </row>
    <row r="77" spans="1:7" ht="37.5" x14ac:dyDescent="0.25">
      <c r="A77" s="200">
        <v>72</v>
      </c>
      <c r="B77" s="183" t="e">
        <f>DEEMSuite1&amp;" Electrical Room A"</f>
        <v>#N/A</v>
      </c>
      <c r="C77" s="201" t="s">
        <v>1470</v>
      </c>
      <c r="D77" s="202" t="s">
        <v>2692</v>
      </c>
      <c r="E77" s="183" t="s">
        <v>1464</v>
      </c>
      <c r="F77" s="186"/>
      <c r="G77" s="186" t="s">
        <v>1519</v>
      </c>
    </row>
    <row r="78" spans="1:7" ht="37.5" x14ac:dyDescent="0.25">
      <c r="A78" s="200">
        <v>73</v>
      </c>
      <c r="B78" s="183" t="e">
        <f>DEEMSuite1&amp;" Electrical Room B"</f>
        <v>#N/A</v>
      </c>
      <c r="C78" s="201" t="s">
        <v>1476</v>
      </c>
      <c r="D78" s="202" t="s">
        <v>2693</v>
      </c>
      <c r="E78" s="183" t="s">
        <v>1464</v>
      </c>
      <c r="F78" s="186"/>
      <c r="G78" s="186" t="s">
        <v>1519</v>
      </c>
    </row>
    <row r="79" spans="1:7" ht="37.5" x14ac:dyDescent="0.25">
      <c r="A79" s="200">
        <v>74</v>
      </c>
      <c r="B79" s="183" t="e">
        <f>DEEMSuite1&amp;" Electrical Rooms"</f>
        <v>#N/A</v>
      </c>
      <c r="C79" s="201" t="s">
        <v>2694</v>
      </c>
      <c r="D79" s="186" t="s">
        <v>2695</v>
      </c>
      <c r="E79" s="183" t="s">
        <v>1464</v>
      </c>
      <c r="F79" s="186"/>
      <c r="G79" s="186" t="s">
        <v>1519</v>
      </c>
    </row>
    <row r="80" spans="1:7" ht="37.5" x14ac:dyDescent="0.25">
      <c r="A80" s="200">
        <v>75</v>
      </c>
      <c r="B80" s="183" t="e">
        <f>DEEMSuite1&amp;" Electrical Rooms"</f>
        <v>#N/A</v>
      </c>
      <c r="C80" s="201" t="s">
        <v>2694</v>
      </c>
      <c r="D80" s="186" t="s">
        <v>2696</v>
      </c>
      <c r="E80" s="183" t="s">
        <v>1464</v>
      </c>
      <c r="F80" s="186"/>
      <c r="G80" s="186" t="s">
        <v>1519</v>
      </c>
    </row>
    <row r="81" spans="1:7" ht="37.5" x14ac:dyDescent="0.25">
      <c r="A81" s="200">
        <v>76</v>
      </c>
      <c r="B81" s="183" t="e">
        <f>DEEMSuite1&amp;" Electrical Room A"</f>
        <v>#N/A</v>
      </c>
      <c r="C81" s="201" t="s">
        <v>1470</v>
      </c>
      <c r="D81" s="202" t="s">
        <v>2748</v>
      </c>
      <c r="E81" s="183" t="s">
        <v>1464</v>
      </c>
      <c r="F81" s="186"/>
      <c r="G81" s="186" t="s">
        <v>1519</v>
      </c>
    </row>
    <row r="82" spans="1:7" ht="37.5" x14ac:dyDescent="0.25">
      <c r="A82" s="200">
        <v>77</v>
      </c>
      <c r="B82" s="183" t="e">
        <f>DEEMSuite1&amp;" Electrical Room A"</f>
        <v>#N/A</v>
      </c>
      <c r="C82" s="201" t="s">
        <v>1470</v>
      </c>
      <c r="D82" s="202" t="s">
        <v>2749</v>
      </c>
      <c r="E82" s="183" t="s">
        <v>1464</v>
      </c>
      <c r="F82" s="186"/>
      <c r="G82" s="186" t="s">
        <v>1519</v>
      </c>
    </row>
    <row r="83" spans="1:7" ht="37.5" x14ac:dyDescent="0.25">
      <c r="A83" s="200">
        <v>78</v>
      </c>
      <c r="B83" s="183" t="e">
        <f>DEEMSuite1&amp;" Electrical Room A"</f>
        <v>#N/A</v>
      </c>
      <c r="C83" s="201" t="s">
        <v>1470</v>
      </c>
      <c r="D83" s="202" t="s">
        <v>2750</v>
      </c>
      <c r="E83" s="183" t="s">
        <v>1464</v>
      </c>
      <c r="F83" s="186"/>
      <c r="G83" s="186" t="s">
        <v>1519</v>
      </c>
    </row>
    <row r="84" spans="1:7" ht="37.5" x14ac:dyDescent="0.25">
      <c r="A84" s="200">
        <v>79</v>
      </c>
      <c r="B84" s="183" t="e">
        <f>DEEMSuite1&amp;" Electrical Room A"</f>
        <v>#N/A</v>
      </c>
      <c r="C84" s="201" t="s">
        <v>1470</v>
      </c>
      <c r="D84" s="202" t="s">
        <v>2751</v>
      </c>
      <c r="E84" s="183" t="s">
        <v>1464</v>
      </c>
      <c r="F84" s="186"/>
      <c r="G84" s="186" t="s">
        <v>1519</v>
      </c>
    </row>
    <row r="85" spans="1:7" ht="37.5" x14ac:dyDescent="0.25">
      <c r="A85" s="200">
        <v>80</v>
      </c>
      <c r="B85" s="183" t="e">
        <f>DEEMSuite1&amp;" Electrical Room A"</f>
        <v>#N/A</v>
      </c>
      <c r="C85" s="201" t="s">
        <v>1470</v>
      </c>
      <c r="D85" s="202" t="s">
        <v>2752</v>
      </c>
      <c r="E85" s="183" t="s">
        <v>1464</v>
      </c>
      <c r="F85" s="186"/>
      <c r="G85" s="186" t="s">
        <v>1519</v>
      </c>
    </row>
    <row r="86" spans="1:7" ht="37.5" x14ac:dyDescent="0.25">
      <c r="A86" s="200">
        <v>81</v>
      </c>
      <c r="B86" s="183" t="e">
        <f>DEEMSuite1&amp;" Electrical Room B"</f>
        <v>#N/A</v>
      </c>
      <c r="C86" s="201" t="s">
        <v>1476</v>
      </c>
      <c r="D86" s="202" t="s">
        <v>2753</v>
      </c>
      <c r="E86" s="183" t="s">
        <v>1464</v>
      </c>
      <c r="F86" s="186"/>
      <c r="G86" s="186" t="s">
        <v>1519</v>
      </c>
    </row>
    <row r="87" spans="1:7" ht="37.5" x14ac:dyDescent="0.25">
      <c r="A87" s="200">
        <v>82</v>
      </c>
      <c r="B87" s="183" t="e">
        <f>DEEMSuite1&amp;" Electrical Room B"</f>
        <v>#N/A</v>
      </c>
      <c r="C87" s="201" t="s">
        <v>1476</v>
      </c>
      <c r="D87" s="202" t="s">
        <v>2754</v>
      </c>
      <c r="E87" s="183" t="s">
        <v>1464</v>
      </c>
      <c r="F87" s="186"/>
      <c r="G87" s="186" t="s">
        <v>1519</v>
      </c>
    </row>
    <row r="88" spans="1:7" ht="37.5" x14ac:dyDescent="0.25">
      <c r="A88" s="200">
        <v>83</v>
      </c>
      <c r="B88" s="183" t="e">
        <f>DEEMSuite1&amp;" Electrical Room B"</f>
        <v>#N/A</v>
      </c>
      <c r="C88" s="201" t="s">
        <v>1476</v>
      </c>
      <c r="D88" s="202" t="s">
        <v>2755</v>
      </c>
      <c r="E88" s="183" t="s">
        <v>1464</v>
      </c>
      <c r="F88" s="186"/>
      <c r="G88" s="186" t="s">
        <v>1519</v>
      </c>
    </row>
    <row r="89" spans="1:7" ht="37.5" x14ac:dyDescent="0.25">
      <c r="A89" s="200">
        <v>84</v>
      </c>
      <c r="B89" s="183" t="e">
        <f>DEEMSuite1&amp;" Electrical Room B"</f>
        <v>#N/A</v>
      </c>
      <c r="C89" s="201" t="s">
        <v>1476</v>
      </c>
      <c r="D89" s="202" t="s">
        <v>2756</v>
      </c>
      <c r="E89" s="183" t="s">
        <v>1464</v>
      </c>
      <c r="F89" s="186"/>
      <c r="G89" s="186" t="s">
        <v>1519</v>
      </c>
    </row>
    <row r="90" spans="1:7" ht="37.5" x14ac:dyDescent="0.25">
      <c r="A90" s="200">
        <v>85</v>
      </c>
      <c r="B90" s="183" t="e">
        <f>DEEMSuite1&amp;" Electrical Room B"</f>
        <v>#N/A</v>
      </c>
      <c r="C90" s="201" t="s">
        <v>1476</v>
      </c>
      <c r="D90" s="202" t="s">
        <v>2757</v>
      </c>
      <c r="E90" s="183" t="s">
        <v>1464</v>
      </c>
      <c r="F90" s="186"/>
      <c r="G90" s="186" t="s">
        <v>1519</v>
      </c>
    </row>
    <row r="91" spans="1:7" ht="37.5" x14ac:dyDescent="0.25">
      <c r="A91" s="200">
        <v>86</v>
      </c>
      <c r="B91" s="183" t="e">
        <f>DEEMSuite1&amp;" CRAC Gallery"</f>
        <v>#N/A</v>
      </c>
      <c r="C91" s="201" t="s">
        <v>2758</v>
      </c>
      <c r="D91" s="202" t="s">
        <v>2759</v>
      </c>
      <c r="E91" s="183" t="s">
        <v>1464</v>
      </c>
      <c r="F91" s="186"/>
      <c r="G91" s="186" t="s">
        <v>1519</v>
      </c>
    </row>
    <row r="92" spans="1:7" ht="37.5" x14ac:dyDescent="0.25">
      <c r="A92" s="200">
        <v>87</v>
      </c>
      <c r="B92" s="183" t="e">
        <f>DEEMSuite1&amp;" CRAC Gallery"</f>
        <v>#N/A</v>
      </c>
      <c r="C92" s="201" t="s">
        <v>2760</v>
      </c>
      <c r="D92" s="202" t="s">
        <v>2761</v>
      </c>
      <c r="E92" s="183" t="s">
        <v>1464</v>
      </c>
      <c r="F92" s="186"/>
      <c r="G92" s="186" t="s">
        <v>1519</v>
      </c>
    </row>
    <row r="93" spans="1:7" ht="37.5" x14ac:dyDescent="0.25">
      <c r="A93" s="200">
        <v>88</v>
      </c>
      <c r="B93" s="183" t="e">
        <f>DEEMSuite1&amp;" CRAC Gallery"</f>
        <v>#N/A</v>
      </c>
      <c r="C93" s="201" t="s">
        <v>2762</v>
      </c>
      <c r="D93" s="186" t="s">
        <v>2763</v>
      </c>
      <c r="E93" s="183" t="s">
        <v>1464</v>
      </c>
      <c r="F93" s="186"/>
      <c r="G93" s="186" t="s">
        <v>1519</v>
      </c>
    </row>
    <row r="94" spans="1:7" ht="37.5" x14ac:dyDescent="0.25">
      <c r="A94" s="200">
        <v>89</v>
      </c>
      <c r="B94" s="183" t="e">
        <f>DEEMSuite1&amp;" CRAC Gallery"</f>
        <v>#N/A</v>
      </c>
      <c r="C94" s="201" t="s">
        <v>2764</v>
      </c>
      <c r="D94" s="202" t="s">
        <v>2765</v>
      </c>
      <c r="E94" s="183" t="s">
        <v>1464</v>
      </c>
      <c r="F94" s="186"/>
      <c r="G94" s="186" t="s">
        <v>1519</v>
      </c>
    </row>
    <row r="95" spans="1:7" ht="37.5" x14ac:dyDescent="0.25">
      <c r="A95" s="200">
        <v>90</v>
      </c>
      <c r="B95" s="183" t="e">
        <f>DEEMSuite1&amp;" CRAC Gallery"</f>
        <v>#N/A</v>
      </c>
      <c r="C95" s="201" t="s">
        <v>2766</v>
      </c>
      <c r="D95" s="202" t="s">
        <v>2767</v>
      </c>
      <c r="E95" s="183" t="s">
        <v>1464</v>
      </c>
      <c r="F95" s="186"/>
      <c r="G95" s="186" t="s">
        <v>1519</v>
      </c>
    </row>
    <row r="96" spans="1:7" ht="37.5" x14ac:dyDescent="0.25">
      <c r="A96" s="200">
        <v>91</v>
      </c>
      <c r="B96" s="183" t="e">
        <f>DEEMSuite1&amp;" CRAC Gallery"</f>
        <v>#N/A</v>
      </c>
      <c r="C96" s="201" t="s">
        <v>2768</v>
      </c>
      <c r="D96" s="186" t="s">
        <v>2763</v>
      </c>
      <c r="E96" s="183" t="s">
        <v>1464</v>
      </c>
      <c r="F96" s="186"/>
      <c r="G96" s="186" t="s">
        <v>1519</v>
      </c>
    </row>
    <row r="97" spans="1:7" ht="37.5" x14ac:dyDescent="0.25">
      <c r="A97" s="200">
        <v>92</v>
      </c>
      <c r="B97" s="183" t="e">
        <f>DEEMSuite1&amp;" CRAC Gallery"</f>
        <v>#N/A</v>
      </c>
      <c r="C97" s="201" t="s">
        <v>2769</v>
      </c>
      <c r="D97" s="202" t="s">
        <v>2770</v>
      </c>
      <c r="E97" s="183" t="s">
        <v>1464</v>
      </c>
      <c r="F97" s="186"/>
      <c r="G97" s="186" t="s">
        <v>1519</v>
      </c>
    </row>
    <row r="98" spans="1:7" ht="37.5" x14ac:dyDescent="0.25">
      <c r="A98" s="200">
        <v>93</v>
      </c>
      <c r="B98" s="183" t="e">
        <f>DEEMSuite1&amp;" CRAC Gallery"</f>
        <v>#N/A</v>
      </c>
      <c r="C98" s="201" t="s">
        <v>2771</v>
      </c>
      <c r="D98" s="202" t="s">
        <v>2772</v>
      </c>
      <c r="E98" s="183" t="s">
        <v>1464</v>
      </c>
      <c r="F98" s="186"/>
      <c r="G98" s="186" t="s">
        <v>1519</v>
      </c>
    </row>
    <row r="99" spans="1:7" ht="37.5" x14ac:dyDescent="0.25">
      <c r="A99" s="200">
        <v>94</v>
      </c>
      <c r="B99" s="183" t="e">
        <f>DEEMSuite1&amp;" CRAC Gallery"</f>
        <v>#N/A</v>
      </c>
      <c r="C99" s="201" t="s">
        <v>2773</v>
      </c>
      <c r="D99" s="186" t="s">
        <v>2763</v>
      </c>
      <c r="E99" s="183" t="s">
        <v>1464</v>
      </c>
      <c r="F99" s="186"/>
      <c r="G99" s="186" t="s">
        <v>1519</v>
      </c>
    </row>
    <row r="100" spans="1:7" ht="37.5" x14ac:dyDescent="0.25">
      <c r="A100" s="200">
        <v>95</v>
      </c>
      <c r="B100" s="183" t="e">
        <f>DEEMSuite1&amp;" CRAC Gallery"</f>
        <v>#N/A</v>
      </c>
      <c r="C100" s="201" t="s">
        <v>2774</v>
      </c>
      <c r="D100" s="202" t="s">
        <v>2775</v>
      </c>
      <c r="E100" s="183" t="s">
        <v>1464</v>
      </c>
      <c r="F100" s="186"/>
      <c r="G100" s="186" t="s">
        <v>1519</v>
      </c>
    </row>
    <row r="101" spans="1:7" ht="37.5" x14ac:dyDescent="0.25">
      <c r="A101" s="200">
        <v>96</v>
      </c>
      <c r="B101" s="183" t="e">
        <f>DEEMSuite1&amp;" CRAC Gallery"</f>
        <v>#N/A</v>
      </c>
      <c r="C101" s="201" t="s">
        <v>2776</v>
      </c>
      <c r="D101" s="202" t="s">
        <v>2777</v>
      </c>
      <c r="E101" s="183" t="s">
        <v>1464</v>
      </c>
      <c r="F101" s="186"/>
      <c r="G101" s="186" t="s">
        <v>1519</v>
      </c>
    </row>
    <row r="102" spans="1:7" ht="37.5" x14ac:dyDescent="0.25">
      <c r="A102" s="200">
        <v>97</v>
      </c>
      <c r="B102" s="183" t="e">
        <f>DEEMSuite1&amp;" CRAC Gallery"</f>
        <v>#N/A</v>
      </c>
      <c r="C102" s="201" t="s">
        <v>2778</v>
      </c>
      <c r="D102" s="186" t="s">
        <v>2763</v>
      </c>
      <c r="E102" s="183" t="s">
        <v>1464</v>
      </c>
      <c r="F102" s="186"/>
      <c r="G102" s="186" t="s">
        <v>1519</v>
      </c>
    </row>
    <row r="103" spans="1:7" ht="37.5" x14ac:dyDescent="0.25">
      <c r="A103" s="200">
        <v>98</v>
      </c>
      <c r="B103" s="183" t="e">
        <f>DEEMSuite1&amp;" CRAC Gallery"</f>
        <v>#N/A</v>
      </c>
      <c r="C103" s="201" t="s">
        <v>2779</v>
      </c>
      <c r="D103" s="202" t="s">
        <v>2780</v>
      </c>
      <c r="E103" s="183" t="s">
        <v>1464</v>
      </c>
      <c r="F103" s="186"/>
      <c r="G103" s="186" t="s">
        <v>1519</v>
      </c>
    </row>
    <row r="104" spans="1:7" ht="37.5" x14ac:dyDescent="0.25">
      <c r="A104" s="200">
        <v>99</v>
      </c>
      <c r="B104" s="183" t="e">
        <f>DEEMSuite1&amp;" CRAC Gallery"</f>
        <v>#N/A</v>
      </c>
      <c r="C104" s="201" t="s">
        <v>2781</v>
      </c>
      <c r="D104" s="202" t="s">
        <v>2782</v>
      </c>
      <c r="E104" s="183" t="s">
        <v>1464</v>
      </c>
      <c r="F104" s="186"/>
      <c r="G104" s="186" t="s">
        <v>1519</v>
      </c>
    </row>
    <row r="105" spans="1:7" ht="37.5" x14ac:dyDescent="0.25">
      <c r="A105" s="200">
        <v>100</v>
      </c>
      <c r="B105" s="183" t="e">
        <f>DEEMSuite1&amp;" CRAC Gallery"</f>
        <v>#N/A</v>
      </c>
      <c r="C105" s="201" t="s">
        <v>2783</v>
      </c>
      <c r="D105" s="186" t="s">
        <v>2763</v>
      </c>
      <c r="E105" s="183" t="s">
        <v>1464</v>
      </c>
      <c r="F105" s="186"/>
      <c r="G105" s="186" t="s">
        <v>1519</v>
      </c>
    </row>
    <row r="106" spans="1:7" x14ac:dyDescent="0.25">
      <c r="A106" s="200">
        <v>101</v>
      </c>
      <c r="B106" s="756" t="s">
        <v>2784</v>
      </c>
      <c r="C106" s="757"/>
      <c r="D106" s="759"/>
      <c r="E106" s="757"/>
      <c r="F106" s="757"/>
      <c r="G106" s="758"/>
    </row>
    <row r="107" spans="1:7" ht="37.5" x14ac:dyDescent="0.25">
      <c r="A107" s="200">
        <v>102</v>
      </c>
      <c r="B107" s="183" t="e">
        <f>DEEMSuite1&amp;" CRAC Gallery"</f>
        <v>#N/A</v>
      </c>
      <c r="C107" s="183" t="s">
        <v>84</v>
      </c>
      <c r="D107" s="205" t="s">
        <v>2785</v>
      </c>
      <c r="E107" s="183" t="s">
        <v>1464</v>
      </c>
      <c r="F107" s="186"/>
      <c r="G107" s="186" t="s">
        <v>1519</v>
      </c>
    </row>
    <row r="108" spans="1:7" ht="56.25" x14ac:dyDescent="0.25">
      <c r="A108" s="200">
        <v>103</v>
      </c>
      <c r="B108" s="183" t="e">
        <f>DEEMSuite1&amp;" CRAC Gallery"</f>
        <v>#N/A</v>
      </c>
      <c r="C108" s="183" t="s">
        <v>84</v>
      </c>
      <c r="D108" s="186" t="s">
        <v>2786</v>
      </c>
      <c r="E108" s="183" t="s">
        <v>1464</v>
      </c>
      <c r="F108" s="186"/>
      <c r="G108" s="186" t="s">
        <v>1519</v>
      </c>
    </row>
    <row r="109" spans="1:7" ht="37.5" x14ac:dyDescent="0.25">
      <c r="A109" s="200">
        <v>104</v>
      </c>
      <c r="B109" s="183" t="e">
        <f>DEEMSuite1&amp;" CRAC Gallery"</f>
        <v>#N/A</v>
      </c>
      <c r="C109" s="183" t="s">
        <v>2758</v>
      </c>
      <c r="D109" s="186" t="s">
        <v>2787</v>
      </c>
      <c r="E109" s="183" t="s">
        <v>1464</v>
      </c>
      <c r="F109" s="186"/>
      <c r="G109" s="186" t="s">
        <v>1519</v>
      </c>
    </row>
    <row r="110" spans="1:7" ht="37.5" x14ac:dyDescent="0.25">
      <c r="A110" s="200">
        <v>105</v>
      </c>
      <c r="B110" s="183" t="e">
        <f>DEEMSuite1&amp;" CRAC Gallery"</f>
        <v>#N/A</v>
      </c>
      <c r="C110" s="183" t="s">
        <v>2758</v>
      </c>
      <c r="D110" s="186" t="s">
        <v>2788</v>
      </c>
      <c r="E110" s="183" t="s">
        <v>1464</v>
      </c>
      <c r="F110" s="186"/>
      <c r="G110" s="186" t="s">
        <v>1519</v>
      </c>
    </row>
    <row r="111" spans="1:7" ht="37.5" x14ac:dyDescent="0.25">
      <c r="A111" s="200">
        <v>106</v>
      </c>
      <c r="B111" s="183" t="e">
        <f>DEEMSuite1&amp;" CRAC Gallery"</f>
        <v>#N/A</v>
      </c>
      <c r="C111" s="183" t="s">
        <v>2758</v>
      </c>
      <c r="D111" s="186" t="s">
        <v>2789</v>
      </c>
      <c r="E111" s="183" t="s">
        <v>1464</v>
      </c>
      <c r="F111" s="186"/>
      <c r="G111" s="186" t="s">
        <v>1519</v>
      </c>
    </row>
    <row r="112" spans="1:7" ht="37.5" x14ac:dyDescent="0.25">
      <c r="A112" s="200">
        <v>107</v>
      </c>
      <c r="B112" s="183" t="e">
        <f>DEEMSuite1&amp;" CRAC Gallery"</f>
        <v>#N/A</v>
      </c>
      <c r="C112" s="183" t="s">
        <v>2758</v>
      </c>
      <c r="D112" s="186" t="s">
        <v>2790</v>
      </c>
      <c r="E112" s="183" t="s">
        <v>1464</v>
      </c>
      <c r="F112" s="186"/>
      <c r="G112" s="186" t="s">
        <v>1519</v>
      </c>
    </row>
    <row r="113" spans="1:7" ht="37.5" x14ac:dyDescent="0.25">
      <c r="A113" s="200">
        <v>108</v>
      </c>
      <c r="B113" s="183" t="e">
        <f>DEEMSuite1&amp;" CRAC Gallery"</f>
        <v>#N/A</v>
      </c>
      <c r="C113" s="183" t="s">
        <v>2758</v>
      </c>
      <c r="D113" s="186" t="s">
        <v>2791</v>
      </c>
      <c r="E113" s="183" t="s">
        <v>1464</v>
      </c>
      <c r="F113" s="186"/>
      <c r="G113" s="186" t="s">
        <v>1519</v>
      </c>
    </row>
    <row r="114" spans="1:7" ht="37.5" x14ac:dyDescent="0.25">
      <c r="A114" s="200">
        <v>109</v>
      </c>
      <c r="B114" s="183" t="e">
        <f>DEEMSuite1&amp;" CRAC Gallery"</f>
        <v>#N/A</v>
      </c>
      <c r="C114" s="183" t="s">
        <v>2758</v>
      </c>
      <c r="D114" s="186" t="s">
        <v>2792</v>
      </c>
      <c r="E114" s="183" t="s">
        <v>1464</v>
      </c>
      <c r="F114" s="186"/>
      <c r="G114" s="186" t="s">
        <v>1519</v>
      </c>
    </row>
    <row r="115" spans="1:7" ht="75" x14ac:dyDescent="0.25">
      <c r="A115" s="200">
        <v>110</v>
      </c>
      <c r="B115" s="183" t="e">
        <f>DEEMSuite1&amp;" CRAC Gallery"</f>
        <v>#N/A</v>
      </c>
      <c r="C115" s="183" t="s">
        <v>2758</v>
      </c>
      <c r="D115" s="186" t="s">
        <v>2793</v>
      </c>
      <c r="E115" s="183" t="s">
        <v>1464</v>
      </c>
      <c r="F115" s="186"/>
      <c r="G115" s="186" t="s">
        <v>1519</v>
      </c>
    </row>
    <row r="116" spans="1:7" ht="37.5" x14ac:dyDescent="0.25">
      <c r="A116" s="200">
        <v>111</v>
      </c>
      <c r="B116" s="183" t="e">
        <f>DEEMSuite1&amp;" CRAC Gallery"</f>
        <v>#N/A</v>
      </c>
      <c r="C116" s="183" t="s">
        <v>2758</v>
      </c>
      <c r="D116" s="186" t="s">
        <v>2794</v>
      </c>
      <c r="E116" s="183" t="s">
        <v>1464</v>
      </c>
      <c r="F116" s="186"/>
      <c r="G116" s="186" t="s">
        <v>1519</v>
      </c>
    </row>
    <row r="117" spans="1:7" ht="37.5" x14ac:dyDescent="0.25">
      <c r="A117" s="200">
        <v>112</v>
      </c>
      <c r="B117" s="183" t="e">
        <f>DEEMSuite1&amp;" CRAC Gallery"</f>
        <v>#N/A</v>
      </c>
      <c r="C117" s="183" t="s">
        <v>2758</v>
      </c>
      <c r="D117" s="186" t="s">
        <v>2795</v>
      </c>
      <c r="E117" s="183" t="s">
        <v>1464</v>
      </c>
      <c r="F117" s="186"/>
      <c r="G117" s="186" t="s">
        <v>1519</v>
      </c>
    </row>
    <row r="118" spans="1:7" ht="37.5" x14ac:dyDescent="0.25">
      <c r="A118" s="200">
        <v>113</v>
      </c>
      <c r="B118" s="183" t="e">
        <f>DEEMSuite1&amp;" CRAC Gallery"</f>
        <v>#N/A</v>
      </c>
      <c r="C118" s="183" t="s">
        <v>2758</v>
      </c>
      <c r="D118" s="186" t="s">
        <v>2796</v>
      </c>
      <c r="E118" s="183" t="s">
        <v>1464</v>
      </c>
      <c r="F118" s="186"/>
      <c r="G118" s="186" t="s">
        <v>1519</v>
      </c>
    </row>
    <row r="119" spans="1:7" ht="37.5" x14ac:dyDescent="0.25">
      <c r="A119" s="200">
        <v>114</v>
      </c>
      <c r="B119" s="183" t="e">
        <f>DEEMSuite1&amp;" CRAC Gallery"</f>
        <v>#N/A</v>
      </c>
      <c r="C119" s="183" t="s">
        <v>2758</v>
      </c>
      <c r="D119" s="186" t="s">
        <v>2792</v>
      </c>
      <c r="E119" s="183" t="s">
        <v>1464</v>
      </c>
      <c r="F119" s="186"/>
      <c r="G119" s="186" t="s">
        <v>1519</v>
      </c>
    </row>
    <row r="120" spans="1:7" ht="75" x14ac:dyDescent="0.25">
      <c r="A120" s="200">
        <v>115</v>
      </c>
      <c r="B120" s="183" t="e">
        <f>DEEMSuite1&amp;" CRAC Gallery"</f>
        <v>#N/A</v>
      </c>
      <c r="C120" s="183" t="s">
        <v>2758</v>
      </c>
      <c r="D120" s="186" t="s">
        <v>2797</v>
      </c>
      <c r="E120" s="183" t="s">
        <v>1464</v>
      </c>
      <c r="F120" s="186"/>
      <c r="G120" s="186" t="s">
        <v>1519</v>
      </c>
    </row>
    <row r="121" spans="1:7" ht="37.5" x14ac:dyDescent="0.25">
      <c r="A121" s="200">
        <v>116</v>
      </c>
      <c r="B121" s="183" t="e">
        <f>DEEMSuite1&amp;" CRAC Gallery"</f>
        <v>#N/A</v>
      </c>
      <c r="C121" s="183" t="s">
        <v>2758</v>
      </c>
      <c r="D121" s="186" t="s">
        <v>2798</v>
      </c>
      <c r="E121" s="183" t="s">
        <v>1464</v>
      </c>
      <c r="F121" s="186"/>
      <c r="G121" s="186" t="s">
        <v>1519</v>
      </c>
    </row>
    <row r="122" spans="1:7" ht="37.5" x14ac:dyDescent="0.25">
      <c r="A122" s="200">
        <v>117</v>
      </c>
      <c r="B122" s="183" t="e">
        <f>DEEMSuite1&amp;" CRAC Gallery"</f>
        <v>#N/A</v>
      </c>
      <c r="C122" s="183" t="s">
        <v>2758</v>
      </c>
      <c r="D122" s="186" t="s">
        <v>2799</v>
      </c>
      <c r="E122" s="183" t="s">
        <v>1464</v>
      </c>
      <c r="F122" s="186"/>
      <c r="G122" s="186" t="s">
        <v>1519</v>
      </c>
    </row>
    <row r="123" spans="1:7" ht="37.5" x14ac:dyDescent="0.25">
      <c r="A123" s="200">
        <v>118</v>
      </c>
      <c r="B123" s="183" t="e">
        <f>DEEMSuite1&amp;" CRAC Gallery"</f>
        <v>#N/A</v>
      </c>
      <c r="C123" s="183" t="s">
        <v>2758</v>
      </c>
      <c r="D123" s="186" t="s">
        <v>2800</v>
      </c>
      <c r="E123" s="183" t="s">
        <v>1464</v>
      </c>
      <c r="F123" s="186"/>
      <c r="G123" s="186" t="s">
        <v>1519</v>
      </c>
    </row>
    <row r="124" spans="1:7" ht="37.5" x14ac:dyDescent="0.25">
      <c r="A124" s="200">
        <v>119</v>
      </c>
      <c r="B124" s="183" t="e">
        <f>DEEMSuite1&amp;" CRAC Gallery"</f>
        <v>#N/A</v>
      </c>
      <c r="C124" s="183" t="s">
        <v>2758</v>
      </c>
      <c r="D124" s="186" t="s">
        <v>2792</v>
      </c>
      <c r="E124" s="183" t="s">
        <v>1464</v>
      </c>
      <c r="F124" s="186"/>
      <c r="G124" s="186" t="s">
        <v>1519</v>
      </c>
    </row>
    <row r="125" spans="1:7" ht="75" x14ac:dyDescent="0.25">
      <c r="A125" s="200">
        <v>120</v>
      </c>
      <c r="B125" s="183" t="e">
        <f>DEEMSuite1&amp;" CRAC Gallery"</f>
        <v>#N/A</v>
      </c>
      <c r="C125" s="183" t="s">
        <v>2758</v>
      </c>
      <c r="D125" s="186" t="s">
        <v>2801</v>
      </c>
      <c r="E125" s="183" t="s">
        <v>1464</v>
      </c>
      <c r="F125" s="186"/>
      <c r="G125" s="186" t="s">
        <v>1519</v>
      </c>
    </row>
    <row r="126" spans="1:7" ht="37.5" x14ac:dyDescent="0.25">
      <c r="A126" s="200">
        <v>121</v>
      </c>
      <c r="B126" s="183" t="e">
        <f>DEEMSuite1&amp;" CRAC Gallery"</f>
        <v>#N/A</v>
      </c>
      <c r="C126" s="183" t="s">
        <v>2758</v>
      </c>
      <c r="D126" s="186" t="s">
        <v>2802</v>
      </c>
      <c r="E126" s="183" t="s">
        <v>1464</v>
      </c>
      <c r="F126" s="186"/>
      <c r="G126" s="186" t="s">
        <v>1519</v>
      </c>
    </row>
    <row r="127" spans="1:7" ht="37.5" x14ac:dyDescent="0.25">
      <c r="A127" s="200">
        <v>122</v>
      </c>
      <c r="B127" s="183" t="e">
        <f>DEEMSuite1&amp;" CRAC Gallery"</f>
        <v>#N/A</v>
      </c>
      <c r="C127" s="183" t="s">
        <v>2758</v>
      </c>
      <c r="D127" s="186" t="s">
        <v>2803</v>
      </c>
      <c r="E127" s="183" t="s">
        <v>1464</v>
      </c>
      <c r="F127" s="186"/>
      <c r="G127" s="186" t="s">
        <v>1519</v>
      </c>
    </row>
    <row r="128" spans="1:7" ht="37.5" x14ac:dyDescent="0.25">
      <c r="A128" s="200">
        <v>123</v>
      </c>
      <c r="B128" s="183" t="e">
        <f>DEEMSuite1&amp;" CRAC Gallery"</f>
        <v>#N/A</v>
      </c>
      <c r="C128" s="183" t="s">
        <v>2758</v>
      </c>
      <c r="D128" s="186" t="s">
        <v>2804</v>
      </c>
      <c r="E128" s="183" t="s">
        <v>1464</v>
      </c>
      <c r="F128" s="186"/>
      <c r="G128" s="186" t="s">
        <v>1519</v>
      </c>
    </row>
    <row r="129" spans="1:7" ht="37.5" x14ac:dyDescent="0.25">
      <c r="A129" s="200">
        <v>124</v>
      </c>
      <c r="B129" s="183" t="e">
        <f>DEEMSuite1&amp;" CRAC Gallery"</f>
        <v>#N/A</v>
      </c>
      <c r="C129" s="183" t="s">
        <v>2758</v>
      </c>
      <c r="D129" s="186" t="s">
        <v>2792</v>
      </c>
      <c r="E129" s="183" t="s">
        <v>1464</v>
      </c>
      <c r="F129" s="186"/>
      <c r="G129" s="186" t="s">
        <v>1519</v>
      </c>
    </row>
    <row r="130" spans="1:7" ht="75" x14ac:dyDescent="0.25">
      <c r="A130" s="200">
        <v>125</v>
      </c>
      <c r="B130" s="183" t="e">
        <f>DEEMSuite1&amp;" CRAC Gallery"</f>
        <v>#N/A</v>
      </c>
      <c r="C130" s="183" t="s">
        <v>2758</v>
      </c>
      <c r="D130" s="186" t="s">
        <v>2805</v>
      </c>
      <c r="E130" s="183" t="s">
        <v>1464</v>
      </c>
      <c r="F130" s="186"/>
      <c r="G130" s="186" t="s">
        <v>1519</v>
      </c>
    </row>
    <row r="131" spans="1:7" ht="37.5" x14ac:dyDescent="0.25">
      <c r="A131" s="200">
        <v>126</v>
      </c>
      <c r="B131" s="183" t="e">
        <f>DEEMSuite1&amp;" CRAC Gallery"</f>
        <v>#N/A</v>
      </c>
      <c r="C131" s="183" t="s">
        <v>2758</v>
      </c>
      <c r="D131" s="186" t="s">
        <v>2806</v>
      </c>
      <c r="E131" s="183" t="s">
        <v>1464</v>
      </c>
      <c r="F131" s="186"/>
      <c r="G131" s="186" t="s">
        <v>1519</v>
      </c>
    </row>
    <row r="132" spans="1:7" ht="37.5" x14ac:dyDescent="0.25">
      <c r="A132" s="200">
        <v>127</v>
      </c>
      <c r="B132" s="183" t="e">
        <f>DEEMSuite1&amp;" CRAC Gallery"</f>
        <v>#N/A</v>
      </c>
      <c r="C132" s="183" t="s">
        <v>2758</v>
      </c>
      <c r="D132" s="186" t="s">
        <v>2807</v>
      </c>
      <c r="E132" s="183" t="s">
        <v>1464</v>
      </c>
      <c r="F132" s="186"/>
      <c r="G132" s="186" t="s">
        <v>1519</v>
      </c>
    </row>
    <row r="133" spans="1:7" ht="37.5" x14ac:dyDescent="0.25">
      <c r="A133" s="200">
        <v>128</v>
      </c>
      <c r="B133" s="183" t="e">
        <f>DEEMSuite1&amp;" CRAC Gallery"</f>
        <v>#N/A</v>
      </c>
      <c r="C133" s="183" t="s">
        <v>2758</v>
      </c>
      <c r="D133" s="186" t="s">
        <v>2808</v>
      </c>
      <c r="E133" s="183" t="s">
        <v>1464</v>
      </c>
      <c r="F133" s="186"/>
      <c r="G133" s="186" t="s">
        <v>1519</v>
      </c>
    </row>
    <row r="134" spans="1:7" ht="37.5" x14ac:dyDescent="0.25">
      <c r="A134" s="200">
        <v>129</v>
      </c>
      <c r="B134" s="183" t="e">
        <f>DEEMSuite1&amp;" CRAC Gallery"</f>
        <v>#N/A</v>
      </c>
      <c r="C134" s="183" t="s">
        <v>2758</v>
      </c>
      <c r="D134" s="186" t="s">
        <v>2792</v>
      </c>
      <c r="E134" s="183" t="s">
        <v>1464</v>
      </c>
      <c r="F134" s="186"/>
      <c r="G134" s="186" t="s">
        <v>1519</v>
      </c>
    </row>
    <row r="135" spans="1:7" ht="75" x14ac:dyDescent="0.25">
      <c r="A135" s="200">
        <v>130</v>
      </c>
      <c r="B135" s="183" t="e">
        <f>DEEMSuite1&amp;" CRAC Gallery"</f>
        <v>#N/A</v>
      </c>
      <c r="C135" s="183" t="s">
        <v>2758</v>
      </c>
      <c r="D135" s="186" t="s">
        <v>2809</v>
      </c>
      <c r="E135" s="183" t="s">
        <v>1464</v>
      </c>
      <c r="F135" s="186"/>
      <c r="G135" s="186" t="s">
        <v>1519</v>
      </c>
    </row>
    <row r="136" spans="1:7" ht="37.5" x14ac:dyDescent="0.25">
      <c r="A136" s="200">
        <v>131</v>
      </c>
      <c r="B136" s="183" t="e">
        <f>DEEMSuite1&amp;" CRAC Gallery"</f>
        <v>#N/A</v>
      </c>
      <c r="C136" s="183" t="s">
        <v>2758</v>
      </c>
      <c r="D136" s="186" t="s">
        <v>2810</v>
      </c>
      <c r="E136" s="183" t="s">
        <v>1464</v>
      </c>
      <c r="F136" s="186"/>
      <c r="G136" s="186" t="s">
        <v>1519</v>
      </c>
    </row>
    <row r="137" spans="1:7" ht="37.5" x14ac:dyDescent="0.25">
      <c r="A137" s="200">
        <v>132</v>
      </c>
      <c r="B137" s="183" t="e">
        <f>DEEMSuite1&amp;" CRAC Gallery"</f>
        <v>#N/A</v>
      </c>
      <c r="C137" s="183" t="s">
        <v>2758</v>
      </c>
      <c r="D137" s="186" t="s">
        <v>2811</v>
      </c>
      <c r="E137" s="183" t="s">
        <v>1464</v>
      </c>
      <c r="F137" s="186"/>
      <c r="G137" s="186" t="s">
        <v>1519</v>
      </c>
    </row>
    <row r="138" spans="1:7" ht="37.5" x14ac:dyDescent="0.25">
      <c r="A138" s="200">
        <v>133</v>
      </c>
      <c r="B138" s="183" t="e">
        <f>DEEMSuite1&amp;" CRAC Gallery"</f>
        <v>#N/A</v>
      </c>
      <c r="C138" s="183" t="s">
        <v>2758</v>
      </c>
      <c r="D138" s="186" t="s">
        <v>2812</v>
      </c>
      <c r="E138" s="183" t="s">
        <v>1464</v>
      </c>
      <c r="F138" s="186"/>
      <c r="G138" s="186" t="s">
        <v>1519</v>
      </c>
    </row>
    <row r="139" spans="1:7" ht="37.5" x14ac:dyDescent="0.25">
      <c r="A139" s="200">
        <v>134</v>
      </c>
      <c r="B139" s="183" t="e">
        <f>DEEMSuite1&amp;" CRAC Gallery"</f>
        <v>#N/A</v>
      </c>
      <c r="C139" s="183" t="s">
        <v>2758</v>
      </c>
      <c r="D139" s="186" t="s">
        <v>2792</v>
      </c>
      <c r="E139" s="183" t="s">
        <v>1464</v>
      </c>
      <c r="F139" s="186"/>
      <c r="G139" s="186" t="s">
        <v>1519</v>
      </c>
    </row>
    <row r="140" spans="1:7" ht="75" x14ac:dyDescent="0.25">
      <c r="A140" s="200">
        <v>135</v>
      </c>
      <c r="B140" s="183" t="e">
        <f>DEEMSuite1&amp;" CRAC Gallery"</f>
        <v>#N/A</v>
      </c>
      <c r="C140" s="183" t="s">
        <v>2758</v>
      </c>
      <c r="D140" s="186" t="s">
        <v>2813</v>
      </c>
      <c r="E140" s="183" t="s">
        <v>1464</v>
      </c>
      <c r="F140" s="186"/>
      <c r="G140" s="186" t="s">
        <v>1519</v>
      </c>
    </row>
    <row r="141" spans="1:7" ht="37.5" x14ac:dyDescent="0.25">
      <c r="A141" s="200">
        <v>136</v>
      </c>
      <c r="B141" s="183" t="e">
        <f>DEEMSuite1&amp;" CRAC Gallery"</f>
        <v>#N/A</v>
      </c>
      <c r="C141" s="183" t="s">
        <v>2758</v>
      </c>
      <c r="D141" s="186" t="s">
        <v>2814</v>
      </c>
      <c r="E141" s="183" t="s">
        <v>1464</v>
      </c>
      <c r="F141" s="186"/>
      <c r="G141" s="186" t="s">
        <v>1519</v>
      </c>
    </row>
    <row r="142" spans="1:7" ht="37.5" x14ac:dyDescent="0.25">
      <c r="A142" s="200">
        <v>137</v>
      </c>
      <c r="B142" s="183" t="e">
        <f>DEEMSuite1&amp;" CRAC Gallery"</f>
        <v>#N/A</v>
      </c>
      <c r="C142" s="183" t="s">
        <v>2758</v>
      </c>
      <c r="D142" s="186" t="s">
        <v>2815</v>
      </c>
      <c r="E142" s="183" t="s">
        <v>1464</v>
      </c>
      <c r="F142" s="186"/>
      <c r="G142" s="186" t="s">
        <v>1519</v>
      </c>
    </row>
    <row r="143" spans="1:7" ht="37.5" x14ac:dyDescent="0.25">
      <c r="A143" s="200">
        <v>138</v>
      </c>
      <c r="B143" s="183" t="e">
        <f>DEEMSuite1&amp;" CRAC Gallery"</f>
        <v>#N/A</v>
      </c>
      <c r="C143" s="183" t="s">
        <v>2764</v>
      </c>
      <c r="D143" s="186" t="s">
        <v>2816</v>
      </c>
      <c r="E143" s="183" t="s">
        <v>1464</v>
      </c>
      <c r="F143" s="186"/>
      <c r="G143" s="186" t="s">
        <v>1519</v>
      </c>
    </row>
    <row r="144" spans="1:7" ht="37.5" x14ac:dyDescent="0.25">
      <c r="A144" s="200">
        <v>139</v>
      </c>
      <c r="B144" s="183" t="e">
        <f>DEEMSuite1&amp;" CRAC Gallery"</f>
        <v>#N/A</v>
      </c>
      <c r="C144" s="183" t="s">
        <v>2764</v>
      </c>
      <c r="D144" s="186" t="s">
        <v>2817</v>
      </c>
      <c r="E144" s="183" t="s">
        <v>1464</v>
      </c>
      <c r="F144" s="186"/>
      <c r="G144" s="186" t="s">
        <v>1519</v>
      </c>
    </row>
    <row r="145" spans="1:7" ht="37.5" x14ac:dyDescent="0.25">
      <c r="A145" s="200">
        <v>140</v>
      </c>
      <c r="B145" s="183" t="e">
        <f>DEEMSuite1&amp;" CRAC Gallery"</f>
        <v>#N/A</v>
      </c>
      <c r="C145" s="183" t="s">
        <v>2764</v>
      </c>
      <c r="D145" s="186" t="s">
        <v>2818</v>
      </c>
      <c r="E145" s="183" t="s">
        <v>1464</v>
      </c>
      <c r="F145" s="186"/>
      <c r="G145" s="186" t="s">
        <v>1519</v>
      </c>
    </row>
    <row r="146" spans="1:7" ht="37.5" x14ac:dyDescent="0.25">
      <c r="A146" s="200">
        <v>141</v>
      </c>
      <c r="B146" s="183" t="e">
        <f>DEEMSuite1&amp;" CRAC Gallery"</f>
        <v>#N/A</v>
      </c>
      <c r="C146" s="183" t="s">
        <v>2764</v>
      </c>
      <c r="D146" s="186" t="s">
        <v>2819</v>
      </c>
      <c r="E146" s="183" t="s">
        <v>1464</v>
      </c>
      <c r="F146" s="186"/>
      <c r="G146" s="186" t="s">
        <v>1519</v>
      </c>
    </row>
    <row r="147" spans="1:7" ht="37.5" x14ac:dyDescent="0.25">
      <c r="A147" s="200">
        <v>142</v>
      </c>
      <c r="B147" s="183" t="e">
        <f>DEEMSuite1&amp;" CRAC Gallery"</f>
        <v>#N/A</v>
      </c>
      <c r="C147" s="183" t="s">
        <v>2764</v>
      </c>
      <c r="D147" s="186" t="s">
        <v>2820</v>
      </c>
      <c r="E147" s="183" t="s">
        <v>1464</v>
      </c>
      <c r="F147" s="186"/>
      <c r="G147" s="186" t="s">
        <v>1519</v>
      </c>
    </row>
    <row r="148" spans="1:7" ht="37.5" x14ac:dyDescent="0.25">
      <c r="A148" s="200">
        <v>143</v>
      </c>
      <c r="B148" s="183" t="e">
        <f>DEEMSuite1&amp;" CRAC Gallery"</f>
        <v>#N/A</v>
      </c>
      <c r="C148" s="183" t="s">
        <v>2764</v>
      </c>
      <c r="D148" s="186" t="s">
        <v>2792</v>
      </c>
      <c r="E148" s="183" t="s">
        <v>1464</v>
      </c>
      <c r="F148" s="186"/>
      <c r="G148" s="186" t="s">
        <v>1519</v>
      </c>
    </row>
    <row r="149" spans="1:7" ht="75" x14ac:dyDescent="0.25">
      <c r="A149" s="200">
        <v>144</v>
      </c>
      <c r="B149" s="183" t="e">
        <f>DEEMSuite1&amp;" CRAC Gallery"</f>
        <v>#N/A</v>
      </c>
      <c r="C149" s="183" t="s">
        <v>2764</v>
      </c>
      <c r="D149" s="186" t="s">
        <v>2821</v>
      </c>
      <c r="E149" s="183" t="s">
        <v>1464</v>
      </c>
      <c r="F149" s="186"/>
      <c r="G149" s="186" t="s">
        <v>1519</v>
      </c>
    </row>
    <row r="150" spans="1:7" ht="37.5" x14ac:dyDescent="0.25">
      <c r="A150" s="200">
        <v>145</v>
      </c>
      <c r="B150" s="183" t="e">
        <f>DEEMSuite1&amp;" CRAC Gallery"</f>
        <v>#N/A</v>
      </c>
      <c r="C150" s="183" t="s">
        <v>2764</v>
      </c>
      <c r="D150" s="186" t="s">
        <v>2822</v>
      </c>
      <c r="E150" s="183" t="s">
        <v>1464</v>
      </c>
      <c r="F150" s="186"/>
      <c r="G150" s="186" t="s">
        <v>1519</v>
      </c>
    </row>
    <row r="151" spans="1:7" ht="37.5" x14ac:dyDescent="0.25">
      <c r="A151" s="200">
        <v>146</v>
      </c>
      <c r="B151" s="183" t="e">
        <f>DEEMSuite1&amp;" CRAC Gallery"</f>
        <v>#N/A</v>
      </c>
      <c r="C151" s="183" t="s">
        <v>2764</v>
      </c>
      <c r="D151" s="186" t="s">
        <v>2823</v>
      </c>
      <c r="E151" s="183" t="s">
        <v>1464</v>
      </c>
      <c r="F151" s="186"/>
      <c r="G151" s="186" t="s">
        <v>1519</v>
      </c>
    </row>
    <row r="152" spans="1:7" ht="37.5" x14ac:dyDescent="0.25">
      <c r="A152" s="200">
        <v>147</v>
      </c>
      <c r="B152" s="183" t="e">
        <f>DEEMSuite1&amp;" CRAC Gallery"</f>
        <v>#N/A</v>
      </c>
      <c r="C152" s="183" t="s">
        <v>2764</v>
      </c>
      <c r="D152" s="186" t="s">
        <v>2824</v>
      </c>
      <c r="E152" s="183" t="s">
        <v>1464</v>
      </c>
      <c r="F152" s="186"/>
      <c r="G152" s="186" t="s">
        <v>1519</v>
      </c>
    </row>
    <row r="153" spans="1:7" ht="37.5" x14ac:dyDescent="0.25">
      <c r="A153" s="200">
        <v>148</v>
      </c>
      <c r="B153" s="183" t="e">
        <f>DEEMSuite1&amp;" CRAC Gallery"</f>
        <v>#N/A</v>
      </c>
      <c r="C153" s="183" t="s">
        <v>2764</v>
      </c>
      <c r="D153" s="186" t="s">
        <v>2792</v>
      </c>
      <c r="E153" s="183" t="s">
        <v>1464</v>
      </c>
      <c r="F153" s="186"/>
      <c r="G153" s="186" t="s">
        <v>1519</v>
      </c>
    </row>
    <row r="154" spans="1:7" ht="75" x14ac:dyDescent="0.25">
      <c r="A154" s="200">
        <v>149</v>
      </c>
      <c r="B154" s="183" t="e">
        <f>DEEMSuite1&amp;" CRAC Gallery"</f>
        <v>#N/A</v>
      </c>
      <c r="C154" s="183" t="s">
        <v>2764</v>
      </c>
      <c r="D154" s="186" t="s">
        <v>2825</v>
      </c>
      <c r="E154" s="183" t="s">
        <v>1464</v>
      </c>
      <c r="F154" s="186"/>
      <c r="G154" s="186" t="s">
        <v>1519</v>
      </c>
    </row>
    <row r="155" spans="1:7" ht="37.5" x14ac:dyDescent="0.25">
      <c r="A155" s="200">
        <v>150</v>
      </c>
      <c r="B155" s="183" t="e">
        <f>DEEMSuite1&amp;" CRAC Gallery"</f>
        <v>#N/A</v>
      </c>
      <c r="C155" s="183" t="s">
        <v>2764</v>
      </c>
      <c r="D155" s="186" t="s">
        <v>2826</v>
      </c>
      <c r="E155" s="183" t="s">
        <v>1464</v>
      </c>
      <c r="F155" s="186"/>
      <c r="G155" s="186" t="s">
        <v>1519</v>
      </c>
    </row>
    <row r="156" spans="1:7" ht="37.5" x14ac:dyDescent="0.25">
      <c r="A156" s="200">
        <v>151</v>
      </c>
      <c r="B156" s="183" t="e">
        <f>DEEMSuite1&amp;" CRAC Gallery"</f>
        <v>#N/A</v>
      </c>
      <c r="C156" s="183" t="s">
        <v>2764</v>
      </c>
      <c r="D156" s="186" t="s">
        <v>2827</v>
      </c>
      <c r="E156" s="183" t="s">
        <v>1464</v>
      </c>
      <c r="F156" s="186"/>
      <c r="G156" s="186" t="s">
        <v>1519</v>
      </c>
    </row>
    <row r="157" spans="1:7" ht="37.5" x14ac:dyDescent="0.25">
      <c r="A157" s="200">
        <v>152</v>
      </c>
      <c r="B157" s="183" t="e">
        <f>DEEMSuite1&amp;" CRAC Gallery"</f>
        <v>#N/A</v>
      </c>
      <c r="C157" s="183" t="s">
        <v>2764</v>
      </c>
      <c r="D157" s="186" t="s">
        <v>2828</v>
      </c>
      <c r="E157" s="183" t="s">
        <v>1464</v>
      </c>
      <c r="F157" s="186"/>
      <c r="G157" s="186" t="s">
        <v>1519</v>
      </c>
    </row>
    <row r="158" spans="1:7" ht="37.5" x14ac:dyDescent="0.25">
      <c r="A158" s="200">
        <v>153</v>
      </c>
      <c r="B158" s="183" t="e">
        <f>DEEMSuite1&amp;" CRAC Gallery"</f>
        <v>#N/A</v>
      </c>
      <c r="C158" s="183" t="s">
        <v>2764</v>
      </c>
      <c r="D158" s="186" t="s">
        <v>2792</v>
      </c>
      <c r="E158" s="183" t="s">
        <v>1464</v>
      </c>
      <c r="F158" s="186"/>
      <c r="G158" s="186" t="s">
        <v>1519</v>
      </c>
    </row>
    <row r="159" spans="1:7" ht="75" x14ac:dyDescent="0.25">
      <c r="A159" s="200">
        <v>154</v>
      </c>
      <c r="B159" s="183" t="e">
        <f>DEEMSuite1&amp;" CRAC Gallery"</f>
        <v>#N/A</v>
      </c>
      <c r="C159" s="183" t="s">
        <v>2764</v>
      </c>
      <c r="D159" s="186" t="s">
        <v>2829</v>
      </c>
      <c r="E159" s="183" t="s">
        <v>1464</v>
      </c>
      <c r="F159" s="186"/>
      <c r="G159" s="186" t="s">
        <v>1519</v>
      </c>
    </row>
    <row r="160" spans="1:7" ht="37.5" x14ac:dyDescent="0.25">
      <c r="A160" s="200">
        <v>155</v>
      </c>
      <c r="B160" s="183" t="e">
        <f>DEEMSuite1&amp;" CRAC Gallery"</f>
        <v>#N/A</v>
      </c>
      <c r="C160" s="183" t="s">
        <v>2764</v>
      </c>
      <c r="D160" s="186" t="s">
        <v>2830</v>
      </c>
      <c r="E160" s="183" t="s">
        <v>1464</v>
      </c>
      <c r="F160" s="186"/>
      <c r="G160" s="186" t="s">
        <v>1519</v>
      </c>
    </row>
    <row r="161" spans="1:7" ht="37.5" x14ac:dyDescent="0.25">
      <c r="A161" s="200">
        <v>156</v>
      </c>
      <c r="B161" s="183" t="e">
        <f>DEEMSuite1&amp;" CRAC Gallery"</f>
        <v>#N/A</v>
      </c>
      <c r="C161" s="183" t="s">
        <v>2764</v>
      </c>
      <c r="D161" s="186" t="s">
        <v>2831</v>
      </c>
      <c r="E161" s="183" t="s">
        <v>1464</v>
      </c>
      <c r="F161" s="186"/>
      <c r="G161" s="186" t="s">
        <v>1519</v>
      </c>
    </row>
    <row r="162" spans="1:7" ht="37.5" x14ac:dyDescent="0.25">
      <c r="A162" s="200">
        <v>157</v>
      </c>
      <c r="B162" s="183" t="e">
        <f>DEEMSuite1&amp;" CRAC Gallery"</f>
        <v>#N/A</v>
      </c>
      <c r="C162" s="183" t="s">
        <v>2764</v>
      </c>
      <c r="D162" s="186" t="s">
        <v>2832</v>
      </c>
      <c r="E162" s="183" t="s">
        <v>1464</v>
      </c>
      <c r="F162" s="186"/>
      <c r="G162" s="186" t="s">
        <v>1519</v>
      </c>
    </row>
    <row r="163" spans="1:7" ht="37.5" x14ac:dyDescent="0.25">
      <c r="A163" s="200">
        <v>158</v>
      </c>
      <c r="B163" s="183" t="e">
        <f>DEEMSuite1&amp;" CRAC Gallery"</f>
        <v>#N/A</v>
      </c>
      <c r="C163" s="183" t="s">
        <v>2764</v>
      </c>
      <c r="D163" s="186" t="s">
        <v>2792</v>
      </c>
      <c r="E163" s="183" t="s">
        <v>1464</v>
      </c>
      <c r="F163" s="186"/>
      <c r="G163" s="186" t="s">
        <v>1519</v>
      </c>
    </row>
    <row r="164" spans="1:7" ht="75" x14ac:dyDescent="0.25">
      <c r="A164" s="200">
        <v>159</v>
      </c>
      <c r="B164" s="183" t="e">
        <f>DEEMSuite1&amp;" CRAC Gallery"</f>
        <v>#N/A</v>
      </c>
      <c r="C164" s="183" t="s">
        <v>2764</v>
      </c>
      <c r="D164" s="186" t="s">
        <v>2833</v>
      </c>
      <c r="E164" s="183" t="s">
        <v>1464</v>
      </c>
      <c r="F164" s="186"/>
      <c r="G164" s="186" t="s">
        <v>1519</v>
      </c>
    </row>
    <row r="165" spans="1:7" ht="37.5" x14ac:dyDescent="0.25">
      <c r="A165" s="200">
        <v>160</v>
      </c>
      <c r="B165" s="183" t="e">
        <f>DEEMSuite1&amp;" CRAC Gallery"</f>
        <v>#N/A</v>
      </c>
      <c r="C165" s="183" t="s">
        <v>2764</v>
      </c>
      <c r="D165" s="186" t="s">
        <v>2834</v>
      </c>
      <c r="E165" s="183" t="s">
        <v>1464</v>
      </c>
      <c r="F165" s="186"/>
      <c r="G165" s="186" t="s">
        <v>1519</v>
      </c>
    </row>
    <row r="166" spans="1:7" ht="37.5" x14ac:dyDescent="0.25">
      <c r="A166" s="200">
        <v>161</v>
      </c>
      <c r="B166" s="183" t="e">
        <f>DEEMSuite1&amp;" CRAC Gallery"</f>
        <v>#N/A</v>
      </c>
      <c r="C166" s="183" t="s">
        <v>2764</v>
      </c>
      <c r="D166" s="186" t="s">
        <v>2835</v>
      </c>
      <c r="E166" s="183" t="s">
        <v>1464</v>
      </c>
      <c r="F166" s="186"/>
      <c r="G166" s="186" t="s">
        <v>1519</v>
      </c>
    </row>
    <row r="167" spans="1:7" ht="37.5" x14ac:dyDescent="0.25">
      <c r="A167" s="200">
        <v>162</v>
      </c>
      <c r="B167" s="183" t="e">
        <f>DEEMSuite1&amp;" CRAC Gallery"</f>
        <v>#N/A</v>
      </c>
      <c r="C167" s="183" t="s">
        <v>2764</v>
      </c>
      <c r="D167" s="186" t="s">
        <v>2836</v>
      </c>
      <c r="E167" s="183" t="s">
        <v>1464</v>
      </c>
      <c r="F167" s="186"/>
      <c r="G167" s="186" t="s">
        <v>1519</v>
      </c>
    </row>
    <row r="168" spans="1:7" ht="37.5" x14ac:dyDescent="0.25">
      <c r="A168" s="200">
        <v>163</v>
      </c>
      <c r="B168" s="183" t="e">
        <f>DEEMSuite1&amp;" CRAC Gallery"</f>
        <v>#N/A</v>
      </c>
      <c r="C168" s="183" t="s">
        <v>2764</v>
      </c>
      <c r="D168" s="186" t="s">
        <v>2792</v>
      </c>
      <c r="E168" s="183" t="s">
        <v>1464</v>
      </c>
      <c r="F168" s="186"/>
      <c r="G168" s="186" t="s">
        <v>1519</v>
      </c>
    </row>
    <row r="169" spans="1:7" ht="75" x14ac:dyDescent="0.25">
      <c r="A169" s="200">
        <v>164</v>
      </c>
      <c r="B169" s="183" t="e">
        <f>DEEMSuite1&amp;" CRAC Gallery"</f>
        <v>#N/A</v>
      </c>
      <c r="C169" s="183" t="s">
        <v>2764</v>
      </c>
      <c r="D169" s="186" t="s">
        <v>2837</v>
      </c>
      <c r="E169" s="183" t="s">
        <v>1464</v>
      </c>
      <c r="F169" s="186"/>
      <c r="G169" s="186" t="s">
        <v>1519</v>
      </c>
    </row>
    <row r="170" spans="1:7" ht="37.5" x14ac:dyDescent="0.25">
      <c r="A170" s="200">
        <v>165</v>
      </c>
      <c r="B170" s="183" t="e">
        <f>DEEMSuite1&amp;" CRAC Gallery"</f>
        <v>#N/A</v>
      </c>
      <c r="C170" s="183" t="s">
        <v>2764</v>
      </c>
      <c r="D170" s="186" t="s">
        <v>2838</v>
      </c>
      <c r="E170" s="183" t="s">
        <v>1464</v>
      </c>
      <c r="F170" s="186"/>
      <c r="G170" s="186" t="s">
        <v>1519</v>
      </c>
    </row>
    <row r="171" spans="1:7" ht="37.5" x14ac:dyDescent="0.25">
      <c r="A171" s="200">
        <v>166</v>
      </c>
      <c r="B171" s="183" t="e">
        <f>DEEMSuite1&amp;" CRAC Gallery"</f>
        <v>#N/A</v>
      </c>
      <c r="C171" s="183" t="s">
        <v>2764</v>
      </c>
      <c r="D171" s="186" t="s">
        <v>2839</v>
      </c>
      <c r="E171" s="183" t="s">
        <v>1464</v>
      </c>
      <c r="F171" s="186"/>
      <c r="G171" s="186" t="s">
        <v>1519</v>
      </c>
    </row>
    <row r="172" spans="1:7" ht="37.5" x14ac:dyDescent="0.25">
      <c r="A172" s="200">
        <v>167</v>
      </c>
      <c r="B172" s="183" t="e">
        <f>DEEMSuite1&amp;" CRAC Gallery"</f>
        <v>#N/A</v>
      </c>
      <c r="C172" s="183" t="s">
        <v>2764</v>
      </c>
      <c r="D172" s="186" t="s">
        <v>2840</v>
      </c>
      <c r="E172" s="183" t="s">
        <v>1464</v>
      </c>
      <c r="F172" s="186"/>
      <c r="G172" s="186" t="s">
        <v>1519</v>
      </c>
    </row>
    <row r="173" spans="1:7" ht="37.5" x14ac:dyDescent="0.25">
      <c r="A173" s="200">
        <v>168</v>
      </c>
      <c r="B173" s="183" t="e">
        <f>DEEMSuite1&amp;" CRAC Gallery"</f>
        <v>#N/A</v>
      </c>
      <c r="C173" s="183" t="s">
        <v>2764</v>
      </c>
      <c r="D173" s="186" t="s">
        <v>2792</v>
      </c>
      <c r="E173" s="183" t="s">
        <v>1464</v>
      </c>
      <c r="F173" s="186"/>
      <c r="G173" s="186" t="s">
        <v>1519</v>
      </c>
    </row>
    <row r="174" spans="1:7" ht="75" x14ac:dyDescent="0.25">
      <c r="A174" s="200">
        <v>169</v>
      </c>
      <c r="B174" s="183" t="e">
        <f>DEEMSuite1&amp;" CRAC Gallery"</f>
        <v>#N/A</v>
      </c>
      <c r="C174" s="183" t="s">
        <v>2764</v>
      </c>
      <c r="D174" s="186" t="s">
        <v>2841</v>
      </c>
      <c r="E174" s="183" t="s">
        <v>1464</v>
      </c>
      <c r="F174" s="186"/>
      <c r="G174" s="186" t="s">
        <v>1519</v>
      </c>
    </row>
    <row r="175" spans="1:7" ht="37.5" x14ac:dyDescent="0.25">
      <c r="A175" s="200">
        <v>170</v>
      </c>
      <c r="B175" s="183" t="e">
        <f>DEEMSuite1&amp;" CRAC Gallery"</f>
        <v>#N/A</v>
      </c>
      <c r="C175" s="183" t="s">
        <v>2764</v>
      </c>
      <c r="D175" s="186" t="s">
        <v>2842</v>
      </c>
      <c r="E175" s="183" t="s">
        <v>1464</v>
      </c>
      <c r="F175" s="186"/>
      <c r="G175" s="186" t="s">
        <v>1519</v>
      </c>
    </row>
    <row r="176" spans="1:7" ht="37.5" x14ac:dyDescent="0.25">
      <c r="A176" s="200">
        <v>171</v>
      </c>
      <c r="B176" s="183" t="e">
        <f>DEEMSuite1&amp;" CRAC Gallery"</f>
        <v>#N/A</v>
      </c>
      <c r="C176" s="183" t="s">
        <v>2764</v>
      </c>
      <c r="D176" s="186" t="s">
        <v>2843</v>
      </c>
      <c r="E176" s="183" t="s">
        <v>1464</v>
      </c>
      <c r="F176" s="186"/>
      <c r="G176" s="186" t="s">
        <v>1519</v>
      </c>
    </row>
    <row r="177" spans="1:7" ht="37.5" x14ac:dyDescent="0.25">
      <c r="A177" s="200">
        <v>172</v>
      </c>
      <c r="B177" s="183" t="e">
        <f>DEEMSuite1&amp;" CRAC Gallery"</f>
        <v>#N/A</v>
      </c>
      <c r="C177" s="183" t="s">
        <v>2769</v>
      </c>
      <c r="D177" s="186" t="s">
        <v>2844</v>
      </c>
      <c r="E177" s="183" t="s">
        <v>1464</v>
      </c>
      <c r="F177" s="186"/>
      <c r="G177" s="186" t="s">
        <v>1519</v>
      </c>
    </row>
    <row r="178" spans="1:7" ht="37.5" x14ac:dyDescent="0.25">
      <c r="A178" s="200">
        <v>173</v>
      </c>
      <c r="B178" s="183" t="e">
        <f>DEEMSuite1&amp;" CRAC Gallery"</f>
        <v>#N/A</v>
      </c>
      <c r="C178" s="183" t="s">
        <v>2769</v>
      </c>
      <c r="D178" s="186" t="s">
        <v>2845</v>
      </c>
      <c r="E178" s="183" t="s">
        <v>1464</v>
      </c>
      <c r="F178" s="186"/>
      <c r="G178" s="186" t="s">
        <v>1519</v>
      </c>
    </row>
    <row r="179" spans="1:7" ht="37.5" x14ac:dyDescent="0.25">
      <c r="A179" s="200">
        <v>174</v>
      </c>
      <c r="B179" s="183" t="e">
        <f>DEEMSuite1&amp;" CRAC Gallery"</f>
        <v>#N/A</v>
      </c>
      <c r="C179" s="183" t="s">
        <v>2769</v>
      </c>
      <c r="D179" s="186" t="s">
        <v>2846</v>
      </c>
      <c r="E179" s="183" t="s">
        <v>1464</v>
      </c>
      <c r="F179" s="186"/>
      <c r="G179" s="186" t="s">
        <v>1519</v>
      </c>
    </row>
    <row r="180" spans="1:7" ht="37.5" x14ac:dyDescent="0.25">
      <c r="A180" s="200">
        <v>175</v>
      </c>
      <c r="B180" s="183" t="e">
        <f>DEEMSuite1&amp;" CRAC Gallery"</f>
        <v>#N/A</v>
      </c>
      <c r="C180" s="183" t="s">
        <v>2769</v>
      </c>
      <c r="D180" s="186" t="s">
        <v>2847</v>
      </c>
      <c r="E180" s="183" t="s">
        <v>1464</v>
      </c>
      <c r="F180" s="186"/>
      <c r="G180" s="186" t="s">
        <v>1519</v>
      </c>
    </row>
    <row r="181" spans="1:7" ht="37.5" x14ac:dyDescent="0.25">
      <c r="A181" s="200">
        <v>176</v>
      </c>
      <c r="B181" s="183" t="e">
        <f>DEEMSuite1&amp;" CRAC Gallery"</f>
        <v>#N/A</v>
      </c>
      <c r="C181" s="183" t="s">
        <v>2769</v>
      </c>
      <c r="D181" s="186" t="s">
        <v>2848</v>
      </c>
      <c r="E181" s="183" t="s">
        <v>1464</v>
      </c>
      <c r="F181" s="186"/>
      <c r="G181" s="186" t="s">
        <v>1519</v>
      </c>
    </row>
    <row r="182" spans="1:7" ht="37.5" x14ac:dyDescent="0.25">
      <c r="A182" s="200">
        <v>177</v>
      </c>
      <c r="B182" s="183" t="e">
        <f>DEEMSuite1&amp;" CRAC Gallery"</f>
        <v>#N/A</v>
      </c>
      <c r="C182" s="183" t="s">
        <v>2769</v>
      </c>
      <c r="D182" s="186" t="s">
        <v>2792</v>
      </c>
      <c r="E182" s="183" t="s">
        <v>1464</v>
      </c>
      <c r="F182" s="186"/>
      <c r="G182" s="186" t="s">
        <v>1519</v>
      </c>
    </row>
    <row r="183" spans="1:7" ht="75" x14ac:dyDescent="0.25">
      <c r="A183" s="200">
        <v>178</v>
      </c>
      <c r="B183" s="183" t="e">
        <f>DEEMSuite1&amp;" CRAC Gallery"</f>
        <v>#N/A</v>
      </c>
      <c r="C183" s="183" t="s">
        <v>2769</v>
      </c>
      <c r="D183" s="186" t="s">
        <v>2849</v>
      </c>
      <c r="E183" s="183" t="s">
        <v>1464</v>
      </c>
      <c r="F183" s="186"/>
      <c r="G183" s="186" t="s">
        <v>1519</v>
      </c>
    </row>
    <row r="184" spans="1:7" ht="37.5" x14ac:dyDescent="0.25">
      <c r="A184" s="200">
        <v>179</v>
      </c>
      <c r="B184" s="183" t="e">
        <f>DEEMSuite1&amp;" CRAC Gallery"</f>
        <v>#N/A</v>
      </c>
      <c r="C184" s="183" t="s">
        <v>2769</v>
      </c>
      <c r="D184" s="186" t="s">
        <v>2850</v>
      </c>
      <c r="E184" s="183" t="s">
        <v>1464</v>
      </c>
      <c r="F184" s="186"/>
      <c r="G184" s="186" t="s">
        <v>1519</v>
      </c>
    </row>
    <row r="185" spans="1:7" ht="37.5" x14ac:dyDescent="0.25">
      <c r="A185" s="200">
        <v>180</v>
      </c>
      <c r="B185" s="183" t="e">
        <f>DEEMSuite1&amp;" CRAC Gallery"</f>
        <v>#N/A</v>
      </c>
      <c r="C185" s="183" t="s">
        <v>2769</v>
      </c>
      <c r="D185" s="186" t="s">
        <v>2851</v>
      </c>
      <c r="E185" s="183" t="s">
        <v>1464</v>
      </c>
      <c r="F185" s="186"/>
      <c r="G185" s="186" t="s">
        <v>1519</v>
      </c>
    </row>
    <row r="186" spans="1:7" ht="37.5" x14ac:dyDescent="0.25">
      <c r="A186" s="200">
        <v>181</v>
      </c>
      <c r="B186" s="183" t="e">
        <f>DEEMSuite1&amp;" CRAC Gallery"</f>
        <v>#N/A</v>
      </c>
      <c r="C186" s="183" t="s">
        <v>2769</v>
      </c>
      <c r="D186" s="186" t="s">
        <v>2852</v>
      </c>
      <c r="E186" s="183" t="s">
        <v>1464</v>
      </c>
      <c r="F186" s="186"/>
      <c r="G186" s="186" t="s">
        <v>1519</v>
      </c>
    </row>
    <row r="187" spans="1:7" ht="37.5" x14ac:dyDescent="0.25">
      <c r="A187" s="200">
        <v>182</v>
      </c>
      <c r="B187" s="183" t="e">
        <f>DEEMSuite1&amp;" CRAC Gallery"</f>
        <v>#N/A</v>
      </c>
      <c r="C187" s="183" t="s">
        <v>2769</v>
      </c>
      <c r="D187" s="186" t="s">
        <v>2792</v>
      </c>
      <c r="E187" s="183" t="s">
        <v>1464</v>
      </c>
      <c r="F187" s="186"/>
      <c r="G187" s="186" t="s">
        <v>1519</v>
      </c>
    </row>
    <row r="188" spans="1:7" ht="75" x14ac:dyDescent="0.25">
      <c r="A188" s="200">
        <v>183</v>
      </c>
      <c r="B188" s="183" t="e">
        <f>DEEMSuite1&amp;" CRAC Gallery"</f>
        <v>#N/A</v>
      </c>
      <c r="C188" s="183" t="s">
        <v>2769</v>
      </c>
      <c r="D188" s="186" t="s">
        <v>2853</v>
      </c>
      <c r="E188" s="183" t="s">
        <v>1464</v>
      </c>
      <c r="F188" s="186"/>
      <c r="G188" s="186" t="s">
        <v>1519</v>
      </c>
    </row>
    <row r="189" spans="1:7" ht="37.5" x14ac:dyDescent="0.25">
      <c r="A189" s="200">
        <v>184</v>
      </c>
      <c r="B189" s="183" t="e">
        <f>DEEMSuite1&amp;" CRAC Gallery"</f>
        <v>#N/A</v>
      </c>
      <c r="C189" s="183" t="s">
        <v>2769</v>
      </c>
      <c r="D189" s="186" t="s">
        <v>2854</v>
      </c>
      <c r="E189" s="183" t="s">
        <v>1464</v>
      </c>
      <c r="F189" s="186"/>
      <c r="G189" s="186" t="s">
        <v>1519</v>
      </c>
    </row>
    <row r="190" spans="1:7" ht="37.5" x14ac:dyDescent="0.25">
      <c r="A190" s="200">
        <v>185</v>
      </c>
      <c r="B190" s="183" t="e">
        <f>DEEMSuite1&amp;" CRAC Gallery"</f>
        <v>#N/A</v>
      </c>
      <c r="C190" s="183" t="s">
        <v>2769</v>
      </c>
      <c r="D190" s="186" t="s">
        <v>2855</v>
      </c>
      <c r="E190" s="183" t="s">
        <v>1464</v>
      </c>
      <c r="F190" s="186"/>
      <c r="G190" s="186" t="s">
        <v>1519</v>
      </c>
    </row>
    <row r="191" spans="1:7" ht="37.5" x14ac:dyDescent="0.25">
      <c r="A191" s="200">
        <v>186</v>
      </c>
      <c r="B191" s="183" t="e">
        <f>DEEMSuite1&amp;" CRAC Gallery"</f>
        <v>#N/A</v>
      </c>
      <c r="C191" s="183" t="s">
        <v>2769</v>
      </c>
      <c r="D191" s="186" t="s">
        <v>2856</v>
      </c>
      <c r="E191" s="183" t="s">
        <v>1464</v>
      </c>
      <c r="F191" s="186"/>
      <c r="G191" s="186" t="s">
        <v>1519</v>
      </c>
    </row>
    <row r="192" spans="1:7" ht="37.5" x14ac:dyDescent="0.25">
      <c r="A192" s="200">
        <v>187</v>
      </c>
      <c r="B192" s="183" t="e">
        <f>DEEMSuite1&amp;" CRAC Gallery"</f>
        <v>#N/A</v>
      </c>
      <c r="C192" s="183" t="s">
        <v>2769</v>
      </c>
      <c r="D192" s="186" t="s">
        <v>2792</v>
      </c>
      <c r="E192" s="183" t="s">
        <v>1464</v>
      </c>
      <c r="F192" s="186"/>
      <c r="G192" s="186" t="s">
        <v>1519</v>
      </c>
    </row>
    <row r="193" spans="1:7" ht="75" x14ac:dyDescent="0.25">
      <c r="A193" s="200">
        <v>188</v>
      </c>
      <c r="B193" s="183" t="e">
        <f>DEEMSuite1&amp;" CRAC Gallery"</f>
        <v>#N/A</v>
      </c>
      <c r="C193" s="183" t="s">
        <v>2769</v>
      </c>
      <c r="D193" s="186" t="s">
        <v>2857</v>
      </c>
      <c r="E193" s="183" t="s">
        <v>1464</v>
      </c>
      <c r="F193" s="186"/>
      <c r="G193" s="186" t="s">
        <v>1519</v>
      </c>
    </row>
    <row r="194" spans="1:7" ht="37.5" x14ac:dyDescent="0.25">
      <c r="A194" s="200">
        <v>189</v>
      </c>
      <c r="B194" s="183" t="e">
        <f>DEEMSuite1&amp;" CRAC Gallery"</f>
        <v>#N/A</v>
      </c>
      <c r="C194" s="183" t="s">
        <v>2769</v>
      </c>
      <c r="D194" s="186" t="s">
        <v>2858</v>
      </c>
      <c r="E194" s="183" t="s">
        <v>1464</v>
      </c>
      <c r="F194" s="186"/>
      <c r="G194" s="186" t="s">
        <v>1519</v>
      </c>
    </row>
    <row r="195" spans="1:7" ht="37.5" x14ac:dyDescent="0.25">
      <c r="A195" s="200">
        <v>190</v>
      </c>
      <c r="B195" s="183" t="e">
        <f>DEEMSuite1&amp;" CRAC Gallery"</f>
        <v>#N/A</v>
      </c>
      <c r="C195" s="183" t="s">
        <v>2769</v>
      </c>
      <c r="D195" s="186" t="s">
        <v>2859</v>
      </c>
      <c r="E195" s="183" t="s">
        <v>1464</v>
      </c>
      <c r="F195" s="186"/>
      <c r="G195" s="186" t="s">
        <v>1519</v>
      </c>
    </row>
    <row r="196" spans="1:7" ht="37.5" x14ac:dyDescent="0.25">
      <c r="A196" s="200">
        <v>191</v>
      </c>
      <c r="B196" s="183" t="e">
        <f>DEEMSuite1&amp;" CRAC Gallery"</f>
        <v>#N/A</v>
      </c>
      <c r="C196" s="183" t="s">
        <v>2769</v>
      </c>
      <c r="D196" s="186" t="s">
        <v>2860</v>
      </c>
      <c r="E196" s="183" t="s">
        <v>1464</v>
      </c>
      <c r="F196" s="186"/>
      <c r="G196" s="186" t="s">
        <v>1519</v>
      </c>
    </row>
    <row r="197" spans="1:7" ht="37.5" x14ac:dyDescent="0.25">
      <c r="A197" s="200">
        <v>192</v>
      </c>
      <c r="B197" s="183" t="e">
        <f>DEEMSuite1&amp;" CRAC Gallery"</f>
        <v>#N/A</v>
      </c>
      <c r="C197" s="183" t="s">
        <v>2769</v>
      </c>
      <c r="D197" s="186" t="s">
        <v>2792</v>
      </c>
      <c r="E197" s="183" t="s">
        <v>1464</v>
      </c>
      <c r="F197" s="186"/>
      <c r="G197" s="186" t="s">
        <v>1519</v>
      </c>
    </row>
    <row r="198" spans="1:7" ht="75" x14ac:dyDescent="0.25">
      <c r="A198" s="200">
        <v>193</v>
      </c>
      <c r="B198" s="183" t="e">
        <f>DEEMSuite1&amp;" CRAC Gallery"</f>
        <v>#N/A</v>
      </c>
      <c r="C198" s="183" t="s">
        <v>2769</v>
      </c>
      <c r="D198" s="186" t="s">
        <v>2861</v>
      </c>
      <c r="E198" s="183" t="s">
        <v>1464</v>
      </c>
      <c r="F198" s="186"/>
      <c r="G198" s="186" t="s">
        <v>1519</v>
      </c>
    </row>
    <row r="199" spans="1:7" ht="37.5" x14ac:dyDescent="0.25">
      <c r="A199" s="200">
        <v>194</v>
      </c>
      <c r="B199" s="183" t="e">
        <f>DEEMSuite1&amp;" CRAC Gallery"</f>
        <v>#N/A</v>
      </c>
      <c r="C199" s="183" t="s">
        <v>2769</v>
      </c>
      <c r="D199" s="186" t="s">
        <v>2862</v>
      </c>
      <c r="E199" s="183" t="s">
        <v>1464</v>
      </c>
      <c r="F199" s="186"/>
      <c r="G199" s="186" t="s">
        <v>1519</v>
      </c>
    </row>
    <row r="200" spans="1:7" ht="37.5" x14ac:dyDescent="0.25">
      <c r="A200" s="200">
        <v>195</v>
      </c>
      <c r="B200" s="183" t="e">
        <f>DEEMSuite1&amp;" CRAC Gallery"</f>
        <v>#N/A</v>
      </c>
      <c r="C200" s="183" t="s">
        <v>2769</v>
      </c>
      <c r="D200" s="186" t="s">
        <v>2863</v>
      </c>
      <c r="E200" s="183" t="s">
        <v>1464</v>
      </c>
      <c r="F200" s="186"/>
      <c r="G200" s="186" t="s">
        <v>1519</v>
      </c>
    </row>
    <row r="201" spans="1:7" ht="37.5" x14ac:dyDescent="0.25">
      <c r="A201" s="200">
        <v>196</v>
      </c>
      <c r="B201" s="183" t="e">
        <f>DEEMSuite1&amp;" CRAC Gallery"</f>
        <v>#N/A</v>
      </c>
      <c r="C201" s="183" t="s">
        <v>2769</v>
      </c>
      <c r="D201" s="186" t="s">
        <v>2864</v>
      </c>
      <c r="E201" s="183" t="s">
        <v>1464</v>
      </c>
      <c r="F201" s="186"/>
      <c r="G201" s="186" t="s">
        <v>1519</v>
      </c>
    </row>
    <row r="202" spans="1:7" ht="37.5" x14ac:dyDescent="0.25">
      <c r="A202" s="200">
        <v>197</v>
      </c>
      <c r="B202" s="183" t="e">
        <f>DEEMSuite1&amp;" CRAC Gallery"</f>
        <v>#N/A</v>
      </c>
      <c r="C202" s="183" t="s">
        <v>2769</v>
      </c>
      <c r="D202" s="186" t="s">
        <v>2792</v>
      </c>
      <c r="E202" s="183" t="s">
        <v>1464</v>
      </c>
      <c r="F202" s="186"/>
      <c r="G202" s="186" t="s">
        <v>1519</v>
      </c>
    </row>
    <row r="203" spans="1:7" ht="75" x14ac:dyDescent="0.25">
      <c r="A203" s="200">
        <v>198</v>
      </c>
      <c r="B203" s="183" t="e">
        <f>DEEMSuite1&amp;" CRAC Gallery"</f>
        <v>#N/A</v>
      </c>
      <c r="C203" s="183" t="s">
        <v>2769</v>
      </c>
      <c r="D203" s="186" t="s">
        <v>2865</v>
      </c>
      <c r="E203" s="183" t="s">
        <v>1464</v>
      </c>
      <c r="F203" s="186"/>
      <c r="G203" s="186" t="s">
        <v>1519</v>
      </c>
    </row>
    <row r="204" spans="1:7" ht="37.5" x14ac:dyDescent="0.25">
      <c r="A204" s="200">
        <v>199</v>
      </c>
      <c r="B204" s="183" t="e">
        <f>DEEMSuite1&amp;" CRAC Gallery"</f>
        <v>#N/A</v>
      </c>
      <c r="C204" s="183" t="s">
        <v>2769</v>
      </c>
      <c r="D204" s="186" t="s">
        <v>2866</v>
      </c>
      <c r="E204" s="183" t="s">
        <v>1464</v>
      </c>
      <c r="F204" s="186"/>
      <c r="G204" s="186" t="s">
        <v>1519</v>
      </c>
    </row>
    <row r="205" spans="1:7" ht="37.5" x14ac:dyDescent="0.25">
      <c r="A205" s="200">
        <v>200</v>
      </c>
      <c r="B205" s="183" t="e">
        <f>DEEMSuite1&amp;" CRAC Gallery"</f>
        <v>#N/A</v>
      </c>
      <c r="C205" s="183" t="s">
        <v>2769</v>
      </c>
      <c r="D205" s="186" t="s">
        <v>2867</v>
      </c>
      <c r="E205" s="183" t="s">
        <v>1464</v>
      </c>
      <c r="F205" s="186"/>
      <c r="G205" s="186" t="s">
        <v>1519</v>
      </c>
    </row>
    <row r="206" spans="1:7" ht="37.5" x14ac:dyDescent="0.25">
      <c r="A206" s="200">
        <v>201</v>
      </c>
      <c r="B206" s="183" t="e">
        <f>DEEMSuite1&amp;" CRAC Gallery"</f>
        <v>#N/A</v>
      </c>
      <c r="C206" s="183" t="s">
        <v>2769</v>
      </c>
      <c r="D206" s="186" t="s">
        <v>2868</v>
      </c>
      <c r="E206" s="183" t="s">
        <v>1464</v>
      </c>
      <c r="F206" s="186"/>
      <c r="G206" s="186" t="s">
        <v>1519</v>
      </c>
    </row>
    <row r="207" spans="1:7" ht="37.5" x14ac:dyDescent="0.25">
      <c r="A207" s="200">
        <v>202</v>
      </c>
      <c r="B207" s="183" t="e">
        <f>DEEMSuite1&amp;" CRAC Gallery"</f>
        <v>#N/A</v>
      </c>
      <c r="C207" s="183" t="s">
        <v>2769</v>
      </c>
      <c r="D207" s="186" t="s">
        <v>2792</v>
      </c>
      <c r="E207" s="183" t="s">
        <v>1464</v>
      </c>
      <c r="F207" s="186"/>
      <c r="G207" s="186" t="s">
        <v>1519</v>
      </c>
    </row>
    <row r="208" spans="1:7" ht="75" x14ac:dyDescent="0.25">
      <c r="A208" s="200">
        <v>203</v>
      </c>
      <c r="B208" s="183" t="e">
        <f>DEEMSuite1&amp;" CRAC Gallery"</f>
        <v>#N/A</v>
      </c>
      <c r="C208" s="183" t="s">
        <v>2769</v>
      </c>
      <c r="D208" s="186" t="s">
        <v>2869</v>
      </c>
      <c r="E208" s="183" t="s">
        <v>1464</v>
      </c>
      <c r="F208" s="186"/>
      <c r="G208" s="186" t="s">
        <v>1519</v>
      </c>
    </row>
    <row r="209" spans="1:7" ht="37.5" x14ac:dyDescent="0.25">
      <c r="A209" s="200">
        <v>204</v>
      </c>
      <c r="B209" s="183" t="e">
        <f>DEEMSuite1&amp;" CRAC Gallery"</f>
        <v>#N/A</v>
      </c>
      <c r="C209" s="183" t="s">
        <v>2769</v>
      </c>
      <c r="D209" s="186" t="s">
        <v>2870</v>
      </c>
      <c r="E209" s="183" t="s">
        <v>1464</v>
      </c>
      <c r="F209" s="186"/>
      <c r="G209" s="186" t="s">
        <v>1519</v>
      </c>
    </row>
    <row r="210" spans="1:7" ht="37.5" x14ac:dyDescent="0.25">
      <c r="A210" s="200">
        <v>205</v>
      </c>
      <c r="B210" s="183" t="e">
        <f>DEEMSuite1&amp;" CRAC Gallery"</f>
        <v>#N/A</v>
      </c>
      <c r="C210" s="183" t="s">
        <v>2769</v>
      </c>
      <c r="D210" s="186" t="s">
        <v>2871</v>
      </c>
      <c r="E210" s="183" t="s">
        <v>1464</v>
      </c>
      <c r="F210" s="186"/>
      <c r="G210" s="186" t="s">
        <v>1519</v>
      </c>
    </row>
    <row r="211" spans="1:7" ht="37.5" x14ac:dyDescent="0.25">
      <c r="A211" s="200">
        <v>206</v>
      </c>
      <c r="B211" s="183" t="e">
        <f>DEEMSuite1&amp;" CRAC Gallery"</f>
        <v>#N/A</v>
      </c>
      <c r="C211" s="183" t="s">
        <v>2774</v>
      </c>
      <c r="D211" s="186" t="s">
        <v>2872</v>
      </c>
      <c r="E211" s="183" t="s">
        <v>1464</v>
      </c>
      <c r="F211" s="186"/>
      <c r="G211" s="186" t="s">
        <v>1519</v>
      </c>
    </row>
    <row r="212" spans="1:7" ht="37.5" x14ac:dyDescent="0.25">
      <c r="A212" s="200">
        <v>207</v>
      </c>
      <c r="B212" s="183" t="e">
        <f>DEEMSuite1&amp;" CRAC Gallery"</f>
        <v>#N/A</v>
      </c>
      <c r="C212" s="183" t="s">
        <v>2774</v>
      </c>
      <c r="D212" s="186" t="s">
        <v>2873</v>
      </c>
      <c r="E212" s="183" t="s">
        <v>1464</v>
      </c>
      <c r="F212" s="186"/>
      <c r="G212" s="186" t="s">
        <v>1519</v>
      </c>
    </row>
    <row r="213" spans="1:7" ht="37.5" x14ac:dyDescent="0.25">
      <c r="A213" s="200">
        <v>208</v>
      </c>
      <c r="B213" s="183" t="e">
        <f>DEEMSuite1&amp;" CRAC Gallery"</f>
        <v>#N/A</v>
      </c>
      <c r="C213" s="183" t="s">
        <v>2774</v>
      </c>
      <c r="D213" s="186" t="s">
        <v>2874</v>
      </c>
      <c r="E213" s="183" t="s">
        <v>1464</v>
      </c>
      <c r="F213" s="186"/>
      <c r="G213" s="186" t="s">
        <v>1519</v>
      </c>
    </row>
    <row r="214" spans="1:7" ht="37.5" x14ac:dyDescent="0.25">
      <c r="A214" s="200">
        <v>209</v>
      </c>
      <c r="B214" s="183" t="e">
        <f>DEEMSuite1&amp;" CRAC Gallery"</f>
        <v>#N/A</v>
      </c>
      <c r="C214" s="183" t="s">
        <v>2774</v>
      </c>
      <c r="D214" s="186" t="s">
        <v>2875</v>
      </c>
      <c r="E214" s="183" t="s">
        <v>1464</v>
      </c>
      <c r="F214" s="186"/>
      <c r="G214" s="186" t="s">
        <v>1519</v>
      </c>
    </row>
    <row r="215" spans="1:7" ht="37.5" x14ac:dyDescent="0.25">
      <c r="A215" s="200">
        <v>210</v>
      </c>
      <c r="B215" s="183" t="e">
        <f>DEEMSuite1&amp;" CRAC Gallery"</f>
        <v>#N/A</v>
      </c>
      <c r="C215" s="183" t="s">
        <v>2774</v>
      </c>
      <c r="D215" s="186" t="s">
        <v>2876</v>
      </c>
      <c r="E215" s="183" t="s">
        <v>1464</v>
      </c>
      <c r="F215" s="186"/>
      <c r="G215" s="186" t="s">
        <v>1519</v>
      </c>
    </row>
    <row r="216" spans="1:7" ht="37.5" x14ac:dyDescent="0.25">
      <c r="A216" s="200">
        <v>211</v>
      </c>
      <c r="B216" s="183" t="e">
        <f>DEEMSuite1&amp;" CRAC Gallery"</f>
        <v>#N/A</v>
      </c>
      <c r="C216" s="183" t="s">
        <v>2774</v>
      </c>
      <c r="D216" s="186" t="s">
        <v>2792</v>
      </c>
      <c r="E216" s="183" t="s">
        <v>1464</v>
      </c>
      <c r="F216" s="186"/>
      <c r="G216" s="186" t="s">
        <v>1519</v>
      </c>
    </row>
    <row r="217" spans="1:7" ht="75" x14ac:dyDescent="0.25">
      <c r="A217" s="200">
        <v>212</v>
      </c>
      <c r="B217" s="183" t="e">
        <f>DEEMSuite1&amp;" CRAC Gallery"</f>
        <v>#N/A</v>
      </c>
      <c r="C217" s="183" t="s">
        <v>2774</v>
      </c>
      <c r="D217" s="186" t="s">
        <v>2877</v>
      </c>
      <c r="E217" s="183" t="s">
        <v>1464</v>
      </c>
      <c r="F217" s="186"/>
      <c r="G217" s="186" t="s">
        <v>1519</v>
      </c>
    </row>
    <row r="218" spans="1:7" ht="37.5" x14ac:dyDescent="0.25">
      <c r="A218" s="200">
        <v>213</v>
      </c>
      <c r="B218" s="183" t="e">
        <f>DEEMSuite1&amp;" CRAC Gallery"</f>
        <v>#N/A</v>
      </c>
      <c r="C218" s="183" t="s">
        <v>2774</v>
      </c>
      <c r="D218" s="186" t="s">
        <v>2878</v>
      </c>
      <c r="E218" s="183" t="s">
        <v>1464</v>
      </c>
      <c r="F218" s="186"/>
      <c r="G218" s="186" t="s">
        <v>1519</v>
      </c>
    </row>
    <row r="219" spans="1:7" ht="37.5" x14ac:dyDescent="0.25">
      <c r="A219" s="200">
        <v>214</v>
      </c>
      <c r="B219" s="183" t="e">
        <f>DEEMSuite1&amp;" CRAC Gallery"</f>
        <v>#N/A</v>
      </c>
      <c r="C219" s="183" t="s">
        <v>2774</v>
      </c>
      <c r="D219" s="186" t="s">
        <v>2879</v>
      </c>
      <c r="E219" s="183" t="s">
        <v>1464</v>
      </c>
      <c r="F219" s="186"/>
      <c r="G219" s="186" t="s">
        <v>1519</v>
      </c>
    </row>
    <row r="220" spans="1:7" ht="37.5" x14ac:dyDescent="0.25">
      <c r="A220" s="200">
        <v>215</v>
      </c>
      <c r="B220" s="183" t="e">
        <f>DEEMSuite1&amp;" CRAC Gallery"</f>
        <v>#N/A</v>
      </c>
      <c r="C220" s="183" t="s">
        <v>2774</v>
      </c>
      <c r="D220" s="186" t="s">
        <v>2880</v>
      </c>
      <c r="E220" s="183" t="s">
        <v>1464</v>
      </c>
      <c r="F220" s="186"/>
      <c r="G220" s="186" t="s">
        <v>1519</v>
      </c>
    </row>
    <row r="221" spans="1:7" ht="37.5" x14ac:dyDescent="0.25">
      <c r="A221" s="200">
        <v>216</v>
      </c>
      <c r="B221" s="183" t="e">
        <f>DEEMSuite1&amp;" CRAC Gallery"</f>
        <v>#N/A</v>
      </c>
      <c r="C221" s="183" t="s">
        <v>2774</v>
      </c>
      <c r="D221" s="186" t="s">
        <v>2792</v>
      </c>
      <c r="E221" s="183" t="s">
        <v>1464</v>
      </c>
      <c r="F221" s="186"/>
      <c r="G221" s="186" t="s">
        <v>1519</v>
      </c>
    </row>
    <row r="222" spans="1:7" ht="75" x14ac:dyDescent="0.25">
      <c r="A222" s="200">
        <v>217</v>
      </c>
      <c r="B222" s="183" t="e">
        <f>DEEMSuite1&amp;" CRAC Gallery"</f>
        <v>#N/A</v>
      </c>
      <c r="C222" s="183" t="s">
        <v>2774</v>
      </c>
      <c r="D222" s="186" t="s">
        <v>2881</v>
      </c>
      <c r="E222" s="183" t="s">
        <v>1464</v>
      </c>
      <c r="F222" s="186"/>
      <c r="G222" s="186" t="s">
        <v>1519</v>
      </c>
    </row>
    <row r="223" spans="1:7" ht="37.5" x14ac:dyDescent="0.25">
      <c r="A223" s="200">
        <v>218</v>
      </c>
      <c r="B223" s="183" t="e">
        <f>DEEMSuite1&amp;" CRAC Gallery"</f>
        <v>#N/A</v>
      </c>
      <c r="C223" s="183" t="s">
        <v>2774</v>
      </c>
      <c r="D223" s="186" t="s">
        <v>2882</v>
      </c>
      <c r="E223" s="183" t="s">
        <v>1464</v>
      </c>
      <c r="F223" s="186"/>
      <c r="G223" s="186" t="s">
        <v>1519</v>
      </c>
    </row>
    <row r="224" spans="1:7" ht="37.5" x14ac:dyDescent="0.25">
      <c r="A224" s="200">
        <v>219</v>
      </c>
      <c r="B224" s="183" t="e">
        <f>DEEMSuite1&amp;" CRAC Gallery"</f>
        <v>#N/A</v>
      </c>
      <c r="C224" s="183" t="s">
        <v>2774</v>
      </c>
      <c r="D224" s="186" t="s">
        <v>2883</v>
      </c>
      <c r="E224" s="183" t="s">
        <v>1464</v>
      </c>
      <c r="F224" s="186"/>
      <c r="G224" s="186" t="s">
        <v>1519</v>
      </c>
    </row>
    <row r="225" spans="1:7" ht="37.5" x14ac:dyDescent="0.25">
      <c r="A225" s="200">
        <v>220</v>
      </c>
      <c r="B225" s="183" t="e">
        <f>DEEMSuite1&amp;" CRAC Gallery"</f>
        <v>#N/A</v>
      </c>
      <c r="C225" s="183" t="s">
        <v>2774</v>
      </c>
      <c r="D225" s="186" t="s">
        <v>2884</v>
      </c>
      <c r="E225" s="183" t="s">
        <v>1464</v>
      </c>
      <c r="F225" s="186"/>
      <c r="G225" s="186" t="s">
        <v>1519</v>
      </c>
    </row>
    <row r="226" spans="1:7" ht="37.5" x14ac:dyDescent="0.25">
      <c r="A226" s="200">
        <v>221</v>
      </c>
      <c r="B226" s="183" t="e">
        <f>DEEMSuite1&amp;" CRAC Gallery"</f>
        <v>#N/A</v>
      </c>
      <c r="C226" s="183" t="s">
        <v>2774</v>
      </c>
      <c r="D226" s="186" t="s">
        <v>2792</v>
      </c>
      <c r="E226" s="183" t="s">
        <v>1464</v>
      </c>
      <c r="F226" s="186"/>
      <c r="G226" s="186" t="s">
        <v>1519</v>
      </c>
    </row>
    <row r="227" spans="1:7" ht="75" x14ac:dyDescent="0.25">
      <c r="A227" s="200">
        <v>222</v>
      </c>
      <c r="B227" s="183" t="e">
        <f>DEEMSuite1&amp;" CRAC Gallery"</f>
        <v>#N/A</v>
      </c>
      <c r="C227" s="183" t="s">
        <v>2774</v>
      </c>
      <c r="D227" s="186" t="s">
        <v>2885</v>
      </c>
      <c r="E227" s="183" t="s">
        <v>1464</v>
      </c>
      <c r="F227" s="186"/>
      <c r="G227" s="186" t="s">
        <v>1519</v>
      </c>
    </row>
    <row r="228" spans="1:7" ht="37.5" x14ac:dyDescent="0.25">
      <c r="A228" s="200">
        <v>223</v>
      </c>
      <c r="B228" s="183" t="e">
        <f>DEEMSuite1&amp;" CRAC Gallery"</f>
        <v>#N/A</v>
      </c>
      <c r="C228" s="183" t="s">
        <v>2774</v>
      </c>
      <c r="D228" s="186" t="s">
        <v>2886</v>
      </c>
      <c r="E228" s="183" t="s">
        <v>1464</v>
      </c>
      <c r="F228" s="186"/>
      <c r="G228" s="186" t="s">
        <v>1519</v>
      </c>
    </row>
    <row r="229" spans="1:7" ht="37.5" x14ac:dyDescent="0.25">
      <c r="A229" s="200">
        <v>224</v>
      </c>
      <c r="B229" s="183" t="e">
        <f>DEEMSuite1&amp;" CRAC Gallery"</f>
        <v>#N/A</v>
      </c>
      <c r="C229" s="183" t="s">
        <v>2774</v>
      </c>
      <c r="D229" s="186" t="s">
        <v>2887</v>
      </c>
      <c r="E229" s="183" t="s">
        <v>1464</v>
      </c>
      <c r="F229" s="186"/>
      <c r="G229" s="186" t="s">
        <v>1519</v>
      </c>
    </row>
    <row r="230" spans="1:7" ht="37.5" x14ac:dyDescent="0.25">
      <c r="A230" s="200">
        <v>225</v>
      </c>
      <c r="B230" s="183" t="e">
        <f>DEEMSuite1&amp;" CRAC Gallery"</f>
        <v>#N/A</v>
      </c>
      <c r="C230" s="183" t="s">
        <v>2774</v>
      </c>
      <c r="D230" s="186" t="s">
        <v>2888</v>
      </c>
      <c r="E230" s="183" t="s">
        <v>1464</v>
      </c>
      <c r="F230" s="186"/>
      <c r="G230" s="186" t="s">
        <v>1519</v>
      </c>
    </row>
    <row r="231" spans="1:7" ht="37.5" x14ac:dyDescent="0.25">
      <c r="A231" s="200">
        <v>226</v>
      </c>
      <c r="B231" s="183" t="e">
        <f>DEEMSuite1&amp;" CRAC Gallery"</f>
        <v>#N/A</v>
      </c>
      <c r="C231" s="183" t="s">
        <v>2774</v>
      </c>
      <c r="D231" s="186" t="s">
        <v>2792</v>
      </c>
      <c r="E231" s="183" t="s">
        <v>1464</v>
      </c>
      <c r="F231" s="186"/>
      <c r="G231" s="186" t="s">
        <v>1519</v>
      </c>
    </row>
    <row r="232" spans="1:7" ht="75" x14ac:dyDescent="0.25">
      <c r="A232" s="200">
        <v>227</v>
      </c>
      <c r="B232" s="183" t="e">
        <f>DEEMSuite1&amp;" CRAC Gallery"</f>
        <v>#N/A</v>
      </c>
      <c r="C232" s="183" t="s">
        <v>2774</v>
      </c>
      <c r="D232" s="186" t="s">
        <v>2889</v>
      </c>
      <c r="E232" s="183" t="s">
        <v>1464</v>
      </c>
      <c r="F232" s="186"/>
      <c r="G232" s="186" t="s">
        <v>1519</v>
      </c>
    </row>
    <row r="233" spans="1:7" ht="37.5" x14ac:dyDescent="0.25">
      <c r="A233" s="200">
        <v>228</v>
      </c>
      <c r="B233" s="183" t="e">
        <f>DEEMSuite1&amp;" CRAC Gallery"</f>
        <v>#N/A</v>
      </c>
      <c r="C233" s="183" t="s">
        <v>2774</v>
      </c>
      <c r="D233" s="186" t="s">
        <v>2890</v>
      </c>
      <c r="E233" s="183" t="s">
        <v>1464</v>
      </c>
      <c r="F233" s="186"/>
      <c r="G233" s="186" t="s">
        <v>1519</v>
      </c>
    </row>
    <row r="234" spans="1:7" ht="37.5" x14ac:dyDescent="0.25">
      <c r="A234" s="200">
        <v>229</v>
      </c>
      <c r="B234" s="183" t="e">
        <f>DEEMSuite1&amp;" CRAC Gallery"</f>
        <v>#N/A</v>
      </c>
      <c r="C234" s="183" t="s">
        <v>2774</v>
      </c>
      <c r="D234" s="186" t="s">
        <v>2891</v>
      </c>
      <c r="E234" s="183" t="s">
        <v>1464</v>
      </c>
      <c r="F234" s="186"/>
      <c r="G234" s="186" t="s">
        <v>1519</v>
      </c>
    </row>
    <row r="235" spans="1:7" ht="37.5" x14ac:dyDescent="0.25">
      <c r="A235" s="200">
        <v>230</v>
      </c>
      <c r="B235" s="183" t="e">
        <f>DEEMSuite1&amp;" CRAC Gallery"</f>
        <v>#N/A</v>
      </c>
      <c r="C235" s="183" t="s">
        <v>2774</v>
      </c>
      <c r="D235" s="186" t="s">
        <v>2892</v>
      </c>
      <c r="E235" s="183" t="s">
        <v>1464</v>
      </c>
      <c r="F235" s="186"/>
      <c r="G235" s="186" t="s">
        <v>1519</v>
      </c>
    </row>
    <row r="236" spans="1:7" ht="37.5" x14ac:dyDescent="0.25">
      <c r="A236" s="200">
        <v>231</v>
      </c>
      <c r="B236" s="183" t="e">
        <f>DEEMSuite1&amp;" CRAC Gallery"</f>
        <v>#N/A</v>
      </c>
      <c r="C236" s="183" t="s">
        <v>2774</v>
      </c>
      <c r="D236" s="186" t="s">
        <v>2792</v>
      </c>
      <c r="E236" s="183" t="s">
        <v>1464</v>
      </c>
      <c r="F236" s="186"/>
      <c r="G236" s="186" t="s">
        <v>1519</v>
      </c>
    </row>
    <row r="237" spans="1:7" ht="75" x14ac:dyDescent="0.25">
      <c r="A237" s="200">
        <v>232</v>
      </c>
      <c r="B237" s="183" t="e">
        <f>DEEMSuite1&amp;" CRAC Gallery"</f>
        <v>#N/A</v>
      </c>
      <c r="C237" s="183" t="s">
        <v>2774</v>
      </c>
      <c r="D237" s="186" t="s">
        <v>2893</v>
      </c>
      <c r="E237" s="183" t="s">
        <v>1464</v>
      </c>
      <c r="F237" s="186"/>
      <c r="G237" s="186" t="s">
        <v>1519</v>
      </c>
    </row>
    <row r="238" spans="1:7" ht="37.5" x14ac:dyDescent="0.25">
      <c r="A238" s="200">
        <v>233</v>
      </c>
      <c r="B238" s="183" t="e">
        <f>DEEMSuite1&amp;" CRAC Gallery"</f>
        <v>#N/A</v>
      </c>
      <c r="C238" s="183" t="s">
        <v>2774</v>
      </c>
      <c r="D238" s="186" t="s">
        <v>2894</v>
      </c>
      <c r="E238" s="183" t="s">
        <v>1464</v>
      </c>
      <c r="F238" s="186"/>
      <c r="G238" s="186" t="s">
        <v>1519</v>
      </c>
    </row>
    <row r="239" spans="1:7" ht="37.5" x14ac:dyDescent="0.25">
      <c r="A239" s="200">
        <v>234</v>
      </c>
      <c r="B239" s="183" t="e">
        <f>DEEMSuite1&amp;" CRAC Gallery"</f>
        <v>#N/A</v>
      </c>
      <c r="C239" s="183" t="s">
        <v>2774</v>
      </c>
      <c r="D239" s="186" t="s">
        <v>2895</v>
      </c>
      <c r="E239" s="183" t="s">
        <v>1464</v>
      </c>
      <c r="F239" s="186"/>
      <c r="G239" s="186" t="s">
        <v>1519</v>
      </c>
    </row>
    <row r="240" spans="1:7" ht="37.5" x14ac:dyDescent="0.25">
      <c r="A240" s="200">
        <v>235</v>
      </c>
      <c r="B240" s="183" t="e">
        <f>DEEMSuite1&amp;" CRAC Gallery"</f>
        <v>#N/A</v>
      </c>
      <c r="C240" s="183" t="s">
        <v>2774</v>
      </c>
      <c r="D240" s="186" t="s">
        <v>2896</v>
      </c>
      <c r="E240" s="183" t="s">
        <v>1464</v>
      </c>
      <c r="F240" s="186"/>
      <c r="G240" s="186" t="s">
        <v>1519</v>
      </c>
    </row>
    <row r="241" spans="1:7" ht="37.5" x14ac:dyDescent="0.25">
      <c r="A241" s="200">
        <v>236</v>
      </c>
      <c r="B241" s="183" t="e">
        <f>DEEMSuite1&amp;" CRAC Gallery"</f>
        <v>#N/A</v>
      </c>
      <c r="C241" s="183" t="s">
        <v>2774</v>
      </c>
      <c r="D241" s="186" t="s">
        <v>2792</v>
      </c>
      <c r="E241" s="183" t="s">
        <v>1464</v>
      </c>
      <c r="F241" s="186"/>
      <c r="G241" s="186" t="s">
        <v>1519</v>
      </c>
    </row>
    <row r="242" spans="1:7" ht="75" x14ac:dyDescent="0.25">
      <c r="A242" s="200">
        <v>237</v>
      </c>
      <c r="B242" s="183" t="e">
        <f>DEEMSuite1&amp;" CRAC Gallery"</f>
        <v>#N/A</v>
      </c>
      <c r="C242" s="183" t="s">
        <v>2774</v>
      </c>
      <c r="D242" s="186" t="s">
        <v>2897</v>
      </c>
      <c r="E242" s="183" t="s">
        <v>1464</v>
      </c>
      <c r="F242" s="186"/>
      <c r="G242" s="186" t="s">
        <v>1519</v>
      </c>
    </row>
    <row r="243" spans="1:7" ht="37.5" x14ac:dyDescent="0.25">
      <c r="A243" s="200">
        <v>238</v>
      </c>
      <c r="B243" s="183" t="e">
        <f>DEEMSuite1&amp;" CRAC Gallery"</f>
        <v>#N/A</v>
      </c>
      <c r="C243" s="183" t="s">
        <v>2774</v>
      </c>
      <c r="D243" s="186" t="s">
        <v>2898</v>
      </c>
      <c r="E243" s="183" t="s">
        <v>1464</v>
      </c>
      <c r="F243" s="186"/>
      <c r="G243" s="186" t="s">
        <v>1519</v>
      </c>
    </row>
    <row r="244" spans="1:7" ht="37.5" x14ac:dyDescent="0.25">
      <c r="A244" s="200">
        <v>239</v>
      </c>
      <c r="B244" s="183" t="e">
        <f>DEEMSuite1&amp;" CRAC Gallery"</f>
        <v>#N/A</v>
      </c>
      <c r="C244" s="183" t="s">
        <v>2774</v>
      </c>
      <c r="D244" s="186" t="s">
        <v>2899</v>
      </c>
      <c r="E244" s="183" t="s">
        <v>1464</v>
      </c>
      <c r="F244" s="186"/>
      <c r="G244" s="186" t="s">
        <v>1519</v>
      </c>
    </row>
    <row r="245" spans="1:7" ht="37.5" x14ac:dyDescent="0.25">
      <c r="A245" s="200">
        <v>240</v>
      </c>
      <c r="B245" s="183" t="e">
        <f>DEEMSuite1&amp;" CRAC Gallery"</f>
        <v>#N/A</v>
      </c>
      <c r="C245" s="183" t="s">
        <v>2779</v>
      </c>
      <c r="D245" s="186" t="s">
        <v>2900</v>
      </c>
      <c r="E245" s="183" t="s">
        <v>1464</v>
      </c>
      <c r="F245" s="186"/>
      <c r="G245" s="186" t="s">
        <v>1519</v>
      </c>
    </row>
    <row r="246" spans="1:7" ht="37.5" x14ac:dyDescent="0.25">
      <c r="A246" s="200">
        <v>241</v>
      </c>
      <c r="B246" s="183" t="e">
        <f>DEEMSuite1&amp;" CRAC Gallery"</f>
        <v>#N/A</v>
      </c>
      <c r="C246" s="183" t="s">
        <v>2779</v>
      </c>
      <c r="D246" s="186" t="s">
        <v>2901</v>
      </c>
      <c r="E246" s="183" t="s">
        <v>1464</v>
      </c>
      <c r="F246" s="186"/>
      <c r="G246" s="186" t="s">
        <v>1519</v>
      </c>
    </row>
    <row r="247" spans="1:7" ht="37.5" x14ac:dyDescent="0.25">
      <c r="A247" s="200">
        <v>242</v>
      </c>
      <c r="B247" s="183" t="e">
        <f>DEEMSuite1&amp;" CRAC Gallery"</f>
        <v>#N/A</v>
      </c>
      <c r="C247" s="183" t="s">
        <v>2779</v>
      </c>
      <c r="D247" s="186" t="s">
        <v>2902</v>
      </c>
      <c r="E247" s="183" t="s">
        <v>1464</v>
      </c>
      <c r="F247" s="186"/>
      <c r="G247" s="186" t="s">
        <v>1519</v>
      </c>
    </row>
    <row r="248" spans="1:7" ht="37.5" x14ac:dyDescent="0.25">
      <c r="A248" s="200">
        <v>243</v>
      </c>
      <c r="B248" s="183" t="e">
        <f>DEEMSuite1&amp;" CRAC Gallery"</f>
        <v>#N/A</v>
      </c>
      <c r="C248" s="183" t="s">
        <v>2779</v>
      </c>
      <c r="D248" s="186" t="s">
        <v>2903</v>
      </c>
      <c r="E248" s="183" t="s">
        <v>1464</v>
      </c>
      <c r="F248" s="186"/>
      <c r="G248" s="186" t="s">
        <v>1519</v>
      </c>
    </row>
    <row r="249" spans="1:7" ht="37.5" x14ac:dyDescent="0.25">
      <c r="A249" s="200">
        <v>244</v>
      </c>
      <c r="B249" s="183" t="e">
        <f>DEEMSuite1&amp;" CRAC Gallery"</f>
        <v>#N/A</v>
      </c>
      <c r="C249" s="183" t="s">
        <v>2779</v>
      </c>
      <c r="D249" s="186" t="s">
        <v>2904</v>
      </c>
      <c r="E249" s="183" t="s">
        <v>1464</v>
      </c>
      <c r="F249" s="186"/>
      <c r="G249" s="186" t="s">
        <v>1519</v>
      </c>
    </row>
    <row r="250" spans="1:7" ht="37.5" x14ac:dyDescent="0.25">
      <c r="A250" s="200">
        <v>245</v>
      </c>
      <c r="B250" s="183" t="e">
        <f>DEEMSuite1&amp;" CRAC Gallery"</f>
        <v>#N/A</v>
      </c>
      <c r="C250" s="183" t="s">
        <v>2779</v>
      </c>
      <c r="D250" s="186" t="s">
        <v>2792</v>
      </c>
      <c r="E250" s="183" t="s">
        <v>1464</v>
      </c>
      <c r="F250" s="186"/>
      <c r="G250" s="186" t="s">
        <v>1519</v>
      </c>
    </row>
    <row r="251" spans="1:7" ht="75" x14ac:dyDescent="0.25">
      <c r="A251" s="200">
        <v>246</v>
      </c>
      <c r="B251" s="183" t="e">
        <f>DEEMSuite1&amp;" CRAC Gallery"</f>
        <v>#N/A</v>
      </c>
      <c r="C251" s="183" t="s">
        <v>2779</v>
      </c>
      <c r="D251" s="186" t="s">
        <v>2905</v>
      </c>
      <c r="E251" s="183" t="s">
        <v>1464</v>
      </c>
      <c r="F251" s="186"/>
      <c r="G251" s="186" t="s">
        <v>1519</v>
      </c>
    </row>
    <row r="252" spans="1:7" ht="37.5" x14ac:dyDescent="0.25">
      <c r="A252" s="200">
        <v>247</v>
      </c>
      <c r="B252" s="183" t="e">
        <f>DEEMSuite1&amp;" CRAC Gallery"</f>
        <v>#N/A</v>
      </c>
      <c r="C252" s="183" t="s">
        <v>2779</v>
      </c>
      <c r="D252" s="186" t="s">
        <v>2906</v>
      </c>
      <c r="E252" s="183" t="s">
        <v>1464</v>
      </c>
      <c r="F252" s="186"/>
      <c r="G252" s="186" t="s">
        <v>1519</v>
      </c>
    </row>
    <row r="253" spans="1:7" ht="37.5" x14ac:dyDescent="0.25">
      <c r="A253" s="200">
        <v>248</v>
      </c>
      <c r="B253" s="183" t="e">
        <f>DEEMSuite1&amp;" CRAC Gallery"</f>
        <v>#N/A</v>
      </c>
      <c r="C253" s="183" t="s">
        <v>2779</v>
      </c>
      <c r="D253" s="186" t="s">
        <v>2907</v>
      </c>
      <c r="E253" s="183" t="s">
        <v>1464</v>
      </c>
      <c r="F253" s="186"/>
      <c r="G253" s="186" t="s">
        <v>1519</v>
      </c>
    </row>
    <row r="254" spans="1:7" ht="37.5" x14ac:dyDescent="0.25">
      <c r="A254" s="200">
        <v>249</v>
      </c>
      <c r="B254" s="183" t="e">
        <f>DEEMSuite1&amp;" CRAC Gallery"</f>
        <v>#N/A</v>
      </c>
      <c r="C254" s="183" t="s">
        <v>2779</v>
      </c>
      <c r="D254" s="186" t="s">
        <v>2908</v>
      </c>
      <c r="E254" s="183" t="s">
        <v>1464</v>
      </c>
      <c r="F254" s="186"/>
      <c r="G254" s="186" t="s">
        <v>1519</v>
      </c>
    </row>
    <row r="255" spans="1:7" ht="37.5" x14ac:dyDescent="0.25">
      <c r="A255" s="200">
        <v>250</v>
      </c>
      <c r="B255" s="183" t="e">
        <f>DEEMSuite1&amp;" CRAC Gallery"</f>
        <v>#N/A</v>
      </c>
      <c r="C255" s="183" t="s">
        <v>2779</v>
      </c>
      <c r="D255" s="186" t="s">
        <v>2792</v>
      </c>
      <c r="E255" s="183" t="s">
        <v>1464</v>
      </c>
      <c r="F255" s="186"/>
      <c r="G255" s="186" t="s">
        <v>1519</v>
      </c>
    </row>
    <row r="256" spans="1:7" ht="75" x14ac:dyDescent="0.25">
      <c r="A256" s="200">
        <v>251</v>
      </c>
      <c r="B256" s="183" t="e">
        <f>DEEMSuite1&amp;" CRAC Gallery"</f>
        <v>#N/A</v>
      </c>
      <c r="C256" s="183" t="s">
        <v>2779</v>
      </c>
      <c r="D256" s="186" t="s">
        <v>2909</v>
      </c>
      <c r="E256" s="183" t="s">
        <v>1464</v>
      </c>
      <c r="F256" s="186"/>
      <c r="G256" s="186" t="s">
        <v>1519</v>
      </c>
    </row>
    <row r="257" spans="1:7" ht="37.5" x14ac:dyDescent="0.25">
      <c r="A257" s="200">
        <v>252</v>
      </c>
      <c r="B257" s="183" t="e">
        <f>DEEMSuite1&amp;" CRAC Gallery"</f>
        <v>#N/A</v>
      </c>
      <c r="C257" s="183" t="s">
        <v>2779</v>
      </c>
      <c r="D257" s="186" t="s">
        <v>2910</v>
      </c>
      <c r="E257" s="183" t="s">
        <v>1464</v>
      </c>
      <c r="F257" s="186"/>
      <c r="G257" s="186" t="s">
        <v>1519</v>
      </c>
    </row>
    <row r="258" spans="1:7" ht="37.5" x14ac:dyDescent="0.25">
      <c r="A258" s="200">
        <v>253</v>
      </c>
      <c r="B258" s="183" t="e">
        <f>DEEMSuite1&amp;" CRAC Gallery"</f>
        <v>#N/A</v>
      </c>
      <c r="C258" s="183" t="s">
        <v>2779</v>
      </c>
      <c r="D258" s="186" t="s">
        <v>2911</v>
      </c>
      <c r="E258" s="183" t="s">
        <v>1464</v>
      </c>
      <c r="F258" s="186"/>
      <c r="G258" s="186" t="s">
        <v>1519</v>
      </c>
    </row>
    <row r="259" spans="1:7" ht="37.5" x14ac:dyDescent="0.25">
      <c r="A259" s="200">
        <v>254</v>
      </c>
      <c r="B259" s="183" t="e">
        <f>DEEMSuite1&amp;" CRAC Gallery"</f>
        <v>#N/A</v>
      </c>
      <c r="C259" s="183" t="s">
        <v>2779</v>
      </c>
      <c r="D259" s="186" t="s">
        <v>2912</v>
      </c>
      <c r="E259" s="183" t="s">
        <v>1464</v>
      </c>
      <c r="F259" s="186"/>
      <c r="G259" s="186" t="s">
        <v>1519</v>
      </c>
    </row>
    <row r="260" spans="1:7" ht="37.5" x14ac:dyDescent="0.25">
      <c r="A260" s="200">
        <v>255</v>
      </c>
      <c r="B260" s="183" t="e">
        <f>DEEMSuite1&amp;" CRAC Gallery"</f>
        <v>#N/A</v>
      </c>
      <c r="C260" s="183" t="s">
        <v>2779</v>
      </c>
      <c r="D260" s="186" t="s">
        <v>2792</v>
      </c>
      <c r="E260" s="183" t="s">
        <v>1464</v>
      </c>
      <c r="F260" s="186"/>
      <c r="G260" s="186" t="s">
        <v>1519</v>
      </c>
    </row>
    <row r="261" spans="1:7" ht="75" x14ac:dyDescent="0.25">
      <c r="A261" s="200">
        <v>256</v>
      </c>
      <c r="B261" s="183" t="e">
        <f>DEEMSuite1&amp;" CRAC Gallery"</f>
        <v>#N/A</v>
      </c>
      <c r="C261" s="183" t="s">
        <v>2779</v>
      </c>
      <c r="D261" s="186" t="s">
        <v>2913</v>
      </c>
      <c r="E261" s="183" t="s">
        <v>1464</v>
      </c>
      <c r="F261" s="186"/>
      <c r="G261" s="186" t="s">
        <v>1519</v>
      </c>
    </row>
    <row r="262" spans="1:7" ht="37.5" x14ac:dyDescent="0.25">
      <c r="A262" s="200">
        <v>257</v>
      </c>
      <c r="B262" s="183" t="e">
        <f>DEEMSuite1&amp;" CRAC Gallery"</f>
        <v>#N/A</v>
      </c>
      <c r="C262" s="183" t="s">
        <v>2779</v>
      </c>
      <c r="D262" s="186" t="s">
        <v>2914</v>
      </c>
      <c r="E262" s="183" t="s">
        <v>1464</v>
      </c>
      <c r="F262" s="186"/>
      <c r="G262" s="186" t="s">
        <v>1519</v>
      </c>
    </row>
    <row r="263" spans="1:7" ht="37.5" x14ac:dyDescent="0.25">
      <c r="A263" s="200">
        <v>258</v>
      </c>
      <c r="B263" s="183" t="e">
        <f>DEEMSuite1&amp;" CRAC Gallery"</f>
        <v>#N/A</v>
      </c>
      <c r="C263" s="183" t="s">
        <v>2779</v>
      </c>
      <c r="D263" s="186" t="s">
        <v>2915</v>
      </c>
      <c r="E263" s="183" t="s">
        <v>1464</v>
      </c>
      <c r="F263" s="186"/>
      <c r="G263" s="186" t="s">
        <v>1519</v>
      </c>
    </row>
    <row r="264" spans="1:7" ht="37.5" x14ac:dyDescent="0.25">
      <c r="A264" s="200">
        <v>259</v>
      </c>
      <c r="B264" s="183" t="e">
        <f>DEEMSuite1&amp;" CRAC Gallery"</f>
        <v>#N/A</v>
      </c>
      <c r="C264" s="183" t="s">
        <v>2779</v>
      </c>
      <c r="D264" s="186" t="s">
        <v>2916</v>
      </c>
      <c r="E264" s="183" t="s">
        <v>1464</v>
      </c>
      <c r="F264" s="186"/>
      <c r="G264" s="186" t="s">
        <v>1519</v>
      </c>
    </row>
    <row r="265" spans="1:7" ht="37.5" x14ac:dyDescent="0.25">
      <c r="A265" s="200">
        <v>260</v>
      </c>
      <c r="B265" s="183" t="e">
        <f>DEEMSuite1&amp;" CRAC Gallery"</f>
        <v>#N/A</v>
      </c>
      <c r="C265" s="183" t="s">
        <v>2779</v>
      </c>
      <c r="D265" s="186" t="s">
        <v>2792</v>
      </c>
      <c r="E265" s="183" t="s">
        <v>1464</v>
      </c>
      <c r="F265" s="186"/>
      <c r="G265" s="186" t="s">
        <v>1519</v>
      </c>
    </row>
    <row r="266" spans="1:7" ht="75" x14ac:dyDescent="0.25">
      <c r="A266" s="200">
        <v>261</v>
      </c>
      <c r="B266" s="183" t="e">
        <f>DEEMSuite1&amp;" CRAC Gallery"</f>
        <v>#N/A</v>
      </c>
      <c r="C266" s="183" t="s">
        <v>2779</v>
      </c>
      <c r="D266" s="186" t="s">
        <v>2917</v>
      </c>
      <c r="E266" s="183" t="s">
        <v>1464</v>
      </c>
      <c r="F266" s="186"/>
      <c r="G266" s="186" t="s">
        <v>1519</v>
      </c>
    </row>
    <row r="267" spans="1:7" ht="37.5" x14ac:dyDescent="0.25">
      <c r="A267" s="200">
        <v>262</v>
      </c>
      <c r="B267" s="183" t="e">
        <f>DEEMSuite1&amp;" CRAC Gallery"</f>
        <v>#N/A</v>
      </c>
      <c r="C267" s="183" t="s">
        <v>2779</v>
      </c>
      <c r="D267" s="186" t="s">
        <v>2918</v>
      </c>
      <c r="E267" s="183" t="s">
        <v>1464</v>
      </c>
      <c r="F267" s="186"/>
      <c r="G267" s="186" t="s">
        <v>1519</v>
      </c>
    </row>
    <row r="268" spans="1:7" ht="37.5" x14ac:dyDescent="0.25">
      <c r="A268" s="200">
        <v>263</v>
      </c>
      <c r="B268" s="183" t="e">
        <f>DEEMSuite1&amp;" CRAC Gallery"</f>
        <v>#N/A</v>
      </c>
      <c r="C268" s="183" t="s">
        <v>2779</v>
      </c>
      <c r="D268" s="186" t="s">
        <v>2919</v>
      </c>
      <c r="E268" s="183" t="s">
        <v>1464</v>
      </c>
      <c r="F268" s="186"/>
      <c r="G268" s="186" t="s">
        <v>1519</v>
      </c>
    </row>
    <row r="269" spans="1:7" ht="37.5" x14ac:dyDescent="0.25">
      <c r="A269" s="200">
        <v>264</v>
      </c>
      <c r="B269" s="183" t="e">
        <f>DEEMSuite1&amp;" CRAC Gallery"</f>
        <v>#N/A</v>
      </c>
      <c r="C269" s="183" t="s">
        <v>2779</v>
      </c>
      <c r="D269" s="186" t="s">
        <v>2920</v>
      </c>
      <c r="E269" s="183" t="s">
        <v>1464</v>
      </c>
      <c r="F269" s="186"/>
      <c r="G269" s="186" t="s">
        <v>1519</v>
      </c>
    </row>
    <row r="270" spans="1:7" ht="37.5" x14ac:dyDescent="0.25">
      <c r="A270" s="200">
        <v>265</v>
      </c>
      <c r="B270" s="183" t="e">
        <f>DEEMSuite1&amp;" CRAC Gallery"</f>
        <v>#N/A</v>
      </c>
      <c r="C270" s="183" t="s">
        <v>2779</v>
      </c>
      <c r="D270" s="186" t="s">
        <v>2792</v>
      </c>
      <c r="E270" s="183" t="s">
        <v>1464</v>
      </c>
      <c r="F270" s="186"/>
      <c r="G270" s="186" t="s">
        <v>1519</v>
      </c>
    </row>
    <row r="271" spans="1:7" ht="75" x14ac:dyDescent="0.25">
      <c r="A271" s="200">
        <v>266</v>
      </c>
      <c r="B271" s="183" t="e">
        <f>DEEMSuite1&amp;" CRAC Gallery"</f>
        <v>#N/A</v>
      </c>
      <c r="C271" s="183" t="s">
        <v>2779</v>
      </c>
      <c r="D271" s="186" t="s">
        <v>2921</v>
      </c>
      <c r="E271" s="183" t="s">
        <v>1464</v>
      </c>
      <c r="F271" s="186"/>
      <c r="G271" s="186" t="s">
        <v>1519</v>
      </c>
    </row>
    <row r="272" spans="1:7" ht="37.5" x14ac:dyDescent="0.25">
      <c r="A272" s="200">
        <v>267</v>
      </c>
      <c r="B272" s="183" t="e">
        <f>DEEMSuite1&amp;" CRAC Gallery"</f>
        <v>#N/A</v>
      </c>
      <c r="C272" s="183" t="s">
        <v>2779</v>
      </c>
      <c r="D272" s="186" t="s">
        <v>2922</v>
      </c>
      <c r="E272" s="183" t="s">
        <v>1464</v>
      </c>
      <c r="F272" s="186"/>
      <c r="G272" s="186" t="s">
        <v>1519</v>
      </c>
    </row>
    <row r="273" spans="1:7" ht="37.5" x14ac:dyDescent="0.25">
      <c r="A273" s="200">
        <v>268</v>
      </c>
      <c r="B273" s="183" t="e">
        <f>DEEMSuite1&amp;" CRAC Gallery"</f>
        <v>#N/A</v>
      </c>
      <c r="C273" s="183" t="s">
        <v>2779</v>
      </c>
      <c r="D273" s="186" t="s">
        <v>2923</v>
      </c>
      <c r="E273" s="183" t="s">
        <v>1464</v>
      </c>
      <c r="F273" s="186"/>
      <c r="G273" s="186" t="s">
        <v>1519</v>
      </c>
    </row>
    <row r="274" spans="1:7" ht="37.5" x14ac:dyDescent="0.25">
      <c r="A274" s="200">
        <v>269</v>
      </c>
      <c r="B274" s="183" t="e">
        <f>DEEMSuite1&amp;" CRAC Gallery"</f>
        <v>#N/A</v>
      </c>
      <c r="C274" s="183" t="s">
        <v>2779</v>
      </c>
      <c r="D274" s="186" t="s">
        <v>2924</v>
      </c>
      <c r="E274" s="183" t="s">
        <v>1464</v>
      </c>
      <c r="F274" s="186"/>
      <c r="G274" s="186" t="s">
        <v>1519</v>
      </c>
    </row>
    <row r="275" spans="1:7" ht="37.5" x14ac:dyDescent="0.25">
      <c r="A275" s="200">
        <v>270</v>
      </c>
      <c r="B275" s="183" t="e">
        <f>DEEMSuite1&amp;" CRAC Gallery"</f>
        <v>#N/A</v>
      </c>
      <c r="C275" s="183" t="s">
        <v>2779</v>
      </c>
      <c r="D275" s="186" t="s">
        <v>2792</v>
      </c>
      <c r="E275" s="183" t="s">
        <v>1464</v>
      </c>
      <c r="F275" s="186"/>
      <c r="G275" s="186" t="s">
        <v>1519</v>
      </c>
    </row>
    <row r="276" spans="1:7" ht="75" x14ac:dyDescent="0.25">
      <c r="A276" s="200">
        <v>271</v>
      </c>
      <c r="B276" s="183" t="e">
        <f>DEEMSuite1&amp;" CRAC Gallery"</f>
        <v>#N/A</v>
      </c>
      <c r="C276" s="183" t="s">
        <v>2779</v>
      </c>
      <c r="D276" s="186" t="s">
        <v>2925</v>
      </c>
      <c r="E276" s="183" t="s">
        <v>1464</v>
      </c>
      <c r="F276" s="186"/>
      <c r="G276" s="186" t="s">
        <v>1519</v>
      </c>
    </row>
    <row r="277" spans="1:7" ht="37.5" x14ac:dyDescent="0.25">
      <c r="A277" s="200">
        <v>272</v>
      </c>
      <c r="B277" s="183" t="e">
        <f>DEEMSuite1&amp;" CRAC Gallery"</f>
        <v>#N/A</v>
      </c>
      <c r="C277" s="183" t="s">
        <v>2779</v>
      </c>
      <c r="D277" s="186" t="s">
        <v>2926</v>
      </c>
      <c r="E277" s="183" t="s">
        <v>1464</v>
      </c>
      <c r="F277" s="186"/>
      <c r="G277" s="186" t="s">
        <v>1519</v>
      </c>
    </row>
    <row r="278" spans="1:7" ht="37.5" x14ac:dyDescent="0.25">
      <c r="A278" s="200">
        <v>273</v>
      </c>
      <c r="B278" s="183" t="e">
        <f>DEEMSuite1&amp;" CRAC Gallery"</f>
        <v>#N/A</v>
      </c>
      <c r="C278" s="183" t="s">
        <v>2779</v>
      </c>
      <c r="D278" s="186" t="s">
        <v>2927</v>
      </c>
      <c r="E278" s="183" t="s">
        <v>1464</v>
      </c>
      <c r="F278" s="186"/>
      <c r="G278" s="186" t="s">
        <v>1519</v>
      </c>
    </row>
    <row r="279" spans="1:7" x14ac:dyDescent="0.25">
      <c r="A279" s="200">
        <v>274</v>
      </c>
      <c r="B279" s="756" t="s">
        <v>2928</v>
      </c>
      <c r="C279" s="757"/>
      <c r="D279" s="759"/>
      <c r="E279" s="757"/>
      <c r="F279" s="757"/>
      <c r="G279" s="758"/>
    </row>
    <row r="280" spans="1:7" ht="37.5" x14ac:dyDescent="0.25">
      <c r="A280" s="200">
        <v>275</v>
      </c>
      <c r="B280" s="183" t="e">
        <f>DEEMSuite1&amp;" Electrical Room A"</f>
        <v>#N/A</v>
      </c>
      <c r="C280" s="201" t="s">
        <v>2929</v>
      </c>
      <c r="D280" s="202" t="s">
        <v>2692</v>
      </c>
      <c r="E280" s="183" t="s">
        <v>1464</v>
      </c>
      <c r="F280" s="186"/>
      <c r="G280" s="186" t="s">
        <v>1519</v>
      </c>
    </row>
    <row r="281" spans="1:7" ht="37.5" x14ac:dyDescent="0.25">
      <c r="A281" s="200">
        <v>276</v>
      </c>
      <c r="B281" s="183" t="e">
        <f>DEEMSuite1&amp;" Electrical Room B"</f>
        <v>#N/A</v>
      </c>
      <c r="C281" s="201" t="s">
        <v>2930</v>
      </c>
      <c r="D281" s="202" t="s">
        <v>2693</v>
      </c>
      <c r="E281" s="183" t="s">
        <v>1464</v>
      </c>
      <c r="F281" s="186"/>
      <c r="G281" s="186" t="s">
        <v>1519</v>
      </c>
    </row>
    <row r="282" spans="1:7" ht="56.25" x14ac:dyDescent="0.25">
      <c r="A282" s="200">
        <v>277</v>
      </c>
      <c r="B282" s="183" t="e">
        <f>DEEMSuite1&amp;" Electrical Rooms"</f>
        <v>#N/A</v>
      </c>
      <c r="C282" s="183" t="s">
        <v>2931</v>
      </c>
      <c r="D282" s="186" t="str">
        <f>"Add the UPA and UPB kW readings: ________ and compare to step " &amp; A79 &amp; ":________."</f>
        <v>Add the UPA and UPB kW readings: ________ and compare to step 74:________.</v>
      </c>
      <c r="E282" s="183" t="s">
        <v>1464</v>
      </c>
      <c r="F282" s="186"/>
      <c r="G282" s="186" t="s">
        <v>1519</v>
      </c>
    </row>
    <row r="283" spans="1:7" ht="56.25" x14ac:dyDescent="0.25">
      <c r="A283" s="200">
        <v>278</v>
      </c>
      <c r="B283" s="183" t="e">
        <f>DEEMSuite1&amp;" Electrical Rooms"</f>
        <v>#N/A</v>
      </c>
      <c r="C283" s="183" t="s">
        <v>2931</v>
      </c>
      <c r="D283" s="186" t="s">
        <v>2932</v>
      </c>
      <c r="E283" s="183" t="s">
        <v>1464</v>
      </c>
      <c r="F283" s="186"/>
      <c r="G283" s="186" t="s">
        <v>1519</v>
      </c>
    </row>
    <row r="284" spans="1:7" ht="37.5" x14ac:dyDescent="0.25">
      <c r="A284" s="200">
        <v>279</v>
      </c>
      <c r="B284" s="183" t="e">
        <f>DEEMSuite1&amp;" Electrical Room A"</f>
        <v>#N/A</v>
      </c>
      <c r="C284" s="201" t="s">
        <v>2929</v>
      </c>
      <c r="D284" s="202" t="s">
        <v>2748</v>
      </c>
      <c r="E284" s="183" t="s">
        <v>1464</v>
      </c>
      <c r="F284" s="186"/>
      <c r="G284" s="186" t="s">
        <v>1519</v>
      </c>
    </row>
    <row r="285" spans="1:7" ht="37.5" x14ac:dyDescent="0.25">
      <c r="A285" s="200">
        <v>280</v>
      </c>
      <c r="B285" s="183" t="e">
        <f>DEEMSuite1&amp;" Electrical Room A"</f>
        <v>#N/A</v>
      </c>
      <c r="C285" s="201" t="s">
        <v>2929</v>
      </c>
      <c r="D285" s="202" t="s">
        <v>2749</v>
      </c>
      <c r="E285" s="183" t="s">
        <v>1464</v>
      </c>
      <c r="F285" s="186"/>
      <c r="G285" s="186" t="s">
        <v>1519</v>
      </c>
    </row>
    <row r="286" spans="1:7" ht="37.5" x14ac:dyDescent="0.25">
      <c r="A286" s="200">
        <v>281</v>
      </c>
      <c r="B286" s="183" t="e">
        <f>DEEMSuite1&amp;" Electrical Room A"</f>
        <v>#N/A</v>
      </c>
      <c r="C286" s="201" t="s">
        <v>2929</v>
      </c>
      <c r="D286" s="202" t="s">
        <v>2750</v>
      </c>
      <c r="E286" s="183" t="s">
        <v>1464</v>
      </c>
      <c r="F286" s="186"/>
      <c r="G286" s="186" t="s">
        <v>1519</v>
      </c>
    </row>
    <row r="287" spans="1:7" ht="37.5" x14ac:dyDescent="0.25">
      <c r="A287" s="200">
        <v>282</v>
      </c>
      <c r="B287" s="183" t="e">
        <f>DEEMSuite1&amp;" Electrical Room A"</f>
        <v>#N/A</v>
      </c>
      <c r="C287" s="201" t="s">
        <v>2929</v>
      </c>
      <c r="D287" s="202" t="s">
        <v>2751</v>
      </c>
      <c r="E287" s="183" t="s">
        <v>1464</v>
      </c>
      <c r="F287" s="186"/>
      <c r="G287" s="186" t="s">
        <v>1519</v>
      </c>
    </row>
    <row r="288" spans="1:7" ht="37.5" x14ac:dyDescent="0.25">
      <c r="A288" s="200">
        <v>283</v>
      </c>
      <c r="B288" s="183" t="e">
        <f>DEEMSuite1&amp;" Electrical Room A"</f>
        <v>#N/A</v>
      </c>
      <c r="C288" s="201" t="s">
        <v>2929</v>
      </c>
      <c r="D288" s="202" t="s">
        <v>2752</v>
      </c>
      <c r="E288" s="183" t="s">
        <v>1464</v>
      </c>
      <c r="F288" s="186"/>
      <c r="G288" s="186" t="s">
        <v>1519</v>
      </c>
    </row>
    <row r="289" spans="1:7" ht="37.5" x14ac:dyDescent="0.25">
      <c r="A289" s="200">
        <v>284</v>
      </c>
      <c r="B289" s="183" t="e">
        <f>DEEMSuite1&amp;" Electrical Room B"</f>
        <v>#N/A</v>
      </c>
      <c r="C289" s="201" t="s">
        <v>2930</v>
      </c>
      <c r="D289" s="202" t="s">
        <v>2753</v>
      </c>
      <c r="E289" s="183" t="s">
        <v>1464</v>
      </c>
      <c r="F289" s="186"/>
      <c r="G289" s="186" t="s">
        <v>1519</v>
      </c>
    </row>
    <row r="290" spans="1:7" ht="37.5" x14ac:dyDescent="0.25">
      <c r="A290" s="200">
        <v>285</v>
      </c>
      <c r="B290" s="183" t="e">
        <f>DEEMSuite1&amp;" Electrical Room B"</f>
        <v>#N/A</v>
      </c>
      <c r="C290" s="201" t="s">
        <v>2930</v>
      </c>
      <c r="D290" s="202" t="s">
        <v>2754</v>
      </c>
      <c r="E290" s="183" t="s">
        <v>1464</v>
      </c>
      <c r="F290" s="186"/>
      <c r="G290" s="186" t="s">
        <v>1519</v>
      </c>
    </row>
    <row r="291" spans="1:7" ht="37.5" x14ac:dyDescent="0.25">
      <c r="A291" s="200">
        <v>286</v>
      </c>
      <c r="B291" s="183" t="e">
        <f>DEEMSuite1&amp;" Electrical Room B"</f>
        <v>#N/A</v>
      </c>
      <c r="C291" s="201" t="s">
        <v>2930</v>
      </c>
      <c r="D291" s="202" t="s">
        <v>2755</v>
      </c>
      <c r="E291" s="183" t="s">
        <v>1464</v>
      </c>
      <c r="F291" s="186"/>
      <c r="G291" s="186" t="s">
        <v>1519</v>
      </c>
    </row>
    <row r="292" spans="1:7" ht="37.5" x14ac:dyDescent="0.25">
      <c r="A292" s="200">
        <v>287</v>
      </c>
      <c r="B292" s="183" t="e">
        <f>DEEMSuite1&amp;" Electrical Room B"</f>
        <v>#N/A</v>
      </c>
      <c r="C292" s="201" t="s">
        <v>2930</v>
      </c>
      <c r="D292" s="202" t="s">
        <v>2756</v>
      </c>
      <c r="E292" s="183" t="s">
        <v>1464</v>
      </c>
      <c r="F292" s="186"/>
      <c r="G292" s="186" t="s">
        <v>1519</v>
      </c>
    </row>
    <row r="293" spans="1:7" ht="37.5" x14ac:dyDescent="0.25">
      <c r="A293" s="200">
        <v>288</v>
      </c>
      <c r="B293" s="183" t="e">
        <f>DEEMSuite1&amp;" Electrical Room B"</f>
        <v>#N/A</v>
      </c>
      <c r="C293" s="201" t="s">
        <v>2930</v>
      </c>
      <c r="D293" s="202" t="s">
        <v>2757</v>
      </c>
      <c r="E293" s="183" t="s">
        <v>1464</v>
      </c>
      <c r="F293" s="186"/>
      <c r="G293" s="186" t="s">
        <v>1519</v>
      </c>
    </row>
    <row r="294" spans="1:7" ht="37.5" x14ac:dyDescent="0.25">
      <c r="A294" s="200">
        <v>289</v>
      </c>
      <c r="B294" s="183" t="e">
        <f>DEEMSuite1&amp;" CRAC Gallery"</f>
        <v>#N/A</v>
      </c>
      <c r="C294" s="183" t="s">
        <v>2758</v>
      </c>
      <c r="D294" s="202" t="s">
        <v>2759</v>
      </c>
      <c r="E294" s="183" t="s">
        <v>1464</v>
      </c>
      <c r="F294" s="186"/>
      <c r="G294" s="186" t="s">
        <v>1519</v>
      </c>
    </row>
    <row r="295" spans="1:7" ht="37.5" x14ac:dyDescent="0.25">
      <c r="A295" s="200">
        <v>290</v>
      </c>
      <c r="B295" s="183" t="e">
        <f>DEEMSuite1&amp;" CRAC Gallery"</f>
        <v>#N/A</v>
      </c>
      <c r="C295" s="183" t="s">
        <v>2933</v>
      </c>
      <c r="D295" s="202" t="s">
        <v>2761</v>
      </c>
      <c r="E295" s="183" t="s">
        <v>1464</v>
      </c>
      <c r="F295" s="186"/>
      <c r="G295" s="186" t="s">
        <v>1519</v>
      </c>
    </row>
    <row r="296" spans="1:7" ht="56.25" x14ac:dyDescent="0.25">
      <c r="A296" s="200">
        <v>291</v>
      </c>
      <c r="B296" s="183" t="e">
        <f>DEEMSuite1&amp;" CRAC Gallery"</f>
        <v>#N/A</v>
      </c>
      <c r="C296" s="183" t="s">
        <v>2762</v>
      </c>
      <c r="D296" s="186" t="str">
        <f>"Add readings from previous 2 steps:  __________ kW and compare to step " &amp; A93 &amp; ":________. If the combined load on the paired PDUs has changed by more than 10 kW stop and inform the MOP facilitator."</f>
        <v>Add readings from previous 2 steps:  __________ kW and compare to step 88:________. If the combined load on the paired PDUs has changed by more than 10 kW stop and inform the MOP facilitator.</v>
      </c>
      <c r="E296" s="183" t="s">
        <v>1464</v>
      </c>
      <c r="F296" s="186"/>
      <c r="G296" s="186" t="s">
        <v>1519</v>
      </c>
    </row>
    <row r="297" spans="1:7" ht="37.5" x14ac:dyDescent="0.25">
      <c r="A297" s="200">
        <v>292</v>
      </c>
      <c r="B297" s="183" t="e">
        <f>DEEMSuite1&amp;" CRAC Gallery"</f>
        <v>#N/A</v>
      </c>
      <c r="C297" s="183" t="s">
        <v>2764</v>
      </c>
      <c r="D297" s="202" t="s">
        <v>2765</v>
      </c>
      <c r="E297" s="183" t="s">
        <v>1464</v>
      </c>
      <c r="F297" s="186"/>
      <c r="G297" s="186" t="s">
        <v>1519</v>
      </c>
    </row>
    <row r="298" spans="1:7" ht="37.5" x14ac:dyDescent="0.25">
      <c r="A298" s="200">
        <v>293</v>
      </c>
      <c r="B298" s="183" t="e">
        <f>DEEMSuite1&amp;" CRAC Gallery"</f>
        <v>#N/A</v>
      </c>
      <c r="C298" s="183" t="s">
        <v>2934</v>
      </c>
      <c r="D298" s="202" t="s">
        <v>2767</v>
      </c>
      <c r="E298" s="183" t="s">
        <v>1464</v>
      </c>
      <c r="F298" s="186"/>
      <c r="G298" s="186" t="s">
        <v>1519</v>
      </c>
    </row>
    <row r="299" spans="1:7" ht="56.25" x14ac:dyDescent="0.25">
      <c r="A299" s="200">
        <v>294</v>
      </c>
      <c r="B299" s="183" t="e">
        <f>DEEMSuite1&amp;" CRAC Gallery"</f>
        <v>#N/A</v>
      </c>
      <c r="C299" s="183" t="s">
        <v>2768</v>
      </c>
      <c r="D299" s="186" t="str">
        <f>"Add readings from previous 2 steps:  __________ kW and compare to step " &amp; A96 &amp; ":________. If the combined load on the paired PDUs has changed by more than 10 kW stop and inform the MOP facilitator."</f>
        <v>Add readings from previous 2 steps:  __________ kW and compare to step 91:________. If the combined load on the paired PDUs has changed by more than 10 kW stop and inform the MOP facilitator.</v>
      </c>
      <c r="E299" s="183" t="s">
        <v>1464</v>
      </c>
      <c r="F299" s="186"/>
      <c r="G299" s="186" t="s">
        <v>1519</v>
      </c>
    </row>
    <row r="300" spans="1:7" ht="37.5" x14ac:dyDescent="0.25">
      <c r="A300" s="200">
        <v>295</v>
      </c>
      <c r="B300" s="183" t="e">
        <f>DEEMSuite1&amp;" CRAC Gallery"</f>
        <v>#N/A</v>
      </c>
      <c r="C300" s="183" t="s">
        <v>2769</v>
      </c>
      <c r="D300" s="202" t="s">
        <v>2770</v>
      </c>
      <c r="E300" s="183" t="s">
        <v>1464</v>
      </c>
      <c r="F300" s="186"/>
      <c r="G300" s="186" t="s">
        <v>1519</v>
      </c>
    </row>
    <row r="301" spans="1:7" ht="37.5" x14ac:dyDescent="0.25">
      <c r="A301" s="200">
        <v>296</v>
      </c>
      <c r="B301" s="183" t="e">
        <f>DEEMSuite1&amp;" CRAC Gallery"</f>
        <v>#N/A</v>
      </c>
      <c r="C301" s="183" t="s">
        <v>2935</v>
      </c>
      <c r="D301" s="202" t="s">
        <v>2772</v>
      </c>
      <c r="E301" s="183" t="s">
        <v>1464</v>
      </c>
      <c r="F301" s="186"/>
      <c r="G301" s="186" t="s">
        <v>1519</v>
      </c>
    </row>
    <row r="302" spans="1:7" ht="56.25" x14ac:dyDescent="0.25">
      <c r="A302" s="200">
        <v>297</v>
      </c>
      <c r="B302" s="183" t="e">
        <f>DEEMSuite1&amp;" CRAC Gallery"</f>
        <v>#N/A</v>
      </c>
      <c r="C302" s="183" t="s">
        <v>2773</v>
      </c>
      <c r="D302" s="186" t="str">
        <f>"Add readings from previous 2 steps:  __________ kW and compare to step " &amp; A99 &amp; ":________. If the combined load on the paired PDUs has changed by more than 10 kW stop and inform the MOP facilitator."</f>
        <v>Add readings from previous 2 steps:  __________ kW and compare to step 94:________. If the combined load on the paired PDUs has changed by more than 10 kW stop and inform the MOP facilitator.</v>
      </c>
      <c r="E302" s="183" t="s">
        <v>1464</v>
      </c>
      <c r="F302" s="186"/>
      <c r="G302" s="186" t="s">
        <v>1519</v>
      </c>
    </row>
    <row r="303" spans="1:7" ht="37.5" x14ac:dyDescent="0.25">
      <c r="A303" s="200">
        <v>298</v>
      </c>
      <c r="B303" s="183" t="e">
        <f>DEEMSuite1&amp;" CRAC Gallery"</f>
        <v>#N/A</v>
      </c>
      <c r="C303" s="183" t="s">
        <v>2774</v>
      </c>
      <c r="D303" s="202" t="s">
        <v>2775</v>
      </c>
      <c r="E303" s="183" t="s">
        <v>1464</v>
      </c>
      <c r="F303" s="186"/>
      <c r="G303" s="186" t="s">
        <v>1519</v>
      </c>
    </row>
    <row r="304" spans="1:7" ht="37.5" x14ac:dyDescent="0.25">
      <c r="A304" s="200">
        <v>299</v>
      </c>
      <c r="B304" s="183" t="e">
        <f>DEEMSuite1&amp;" CRAC Gallery"</f>
        <v>#N/A</v>
      </c>
      <c r="C304" s="183" t="s">
        <v>2936</v>
      </c>
      <c r="D304" s="202" t="s">
        <v>2777</v>
      </c>
      <c r="E304" s="183" t="s">
        <v>1464</v>
      </c>
      <c r="F304" s="186"/>
      <c r="G304" s="186" t="s">
        <v>1519</v>
      </c>
    </row>
    <row r="305" spans="1:7" ht="56.25" x14ac:dyDescent="0.25">
      <c r="A305" s="200">
        <v>300</v>
      </c>
      <c r="B305" s="183" t="e">
        <f>DEEMSuite1&amp;" CRAC Gallery"</f>
        <v>#N/A</v>
      </c>
      <c r="C305" s="183" t="s">
        <v>2778</v>
      </c>
      <c r="D305" s="186" t="str">
        <f>"Add readings from previous 2 steps:  __________ kW and compare to step " &amp; A102 &amp; ":________. If the combined load on the paired PDUs has changed by more than 10 kW stop and inform the MOP facilitator."</f>
        <v>Add readings from previous 2 steps:  __________ kW and compare to step 97:________. If the combined load on the paired PDUs has changed by more than 10 kW stop and inform the MOP facilitator.</v>
      </c>
      <c r="E305" s="183" t="s">
        <v>1464</v>
      </c>
      <c r="F305" s="186"/>
      <c r="G305" s="186" t="s">
        <v>1519</v>
      </c>
    </row>
    <row r="306" spans="1:7" ht="37.5" x14ac:dyDescent="0.25">
      <c r="A306" s="200">
        <v>301</v>
      </c>
      <c r="B306" s="183" t="e">
        <f>DEEMSuite1&amp;" CRAC Gallery"</f>
        <v>#N/A</v>
      </c>
      <c r="C306" s="183" t="s">
        <v>2779</v>
      </c>
      <c r="D306" s="202" t="s">
        <v>2780</v>
      </c>
      <c r="E306" s="183" t="s">
        <v>1464</v>
      </c>
      <c r="F306" s="186"/>
      <c r="G306" s="186" t="s">
        <v>1519</v>
      </c>
    </row>
    <row r="307" spans="1:7" ht="37.5" x14ac:dyDescent="0.25">
      <c r="A307" s="200">
        <v>302</v>
      </c>
      <c r="B307" s="183" t="e">
        <f>DEEMSuite1&amp;" CRAC Gallery"</f>
        <v>#N/A</v>
      </c>
      <c r="C307" s="183" t="s">
        <v>2937</v>
      </c>
      <c r="D307" s="202" t="s">
        <v>2782</v>
      </c>
      <c r="E307" s="183" t="s">
        <v>1464</v>
      </c>
      <c r="F307" s="186"/>
      <c r="G307" s="186" t="s">
        <v>1519</v>
      </c>
    </row>
    <row r="308" spans="1:7" ht="56.25" x14ac:dyDescent="0.25">
      <c r="A308" s="200">
        <v>303</v>
      </c>
      <c r="B308" s="183" t="e">
        <f>DEEMSuite1&amp;" CRAC Gallery"</f>
        <v>#N/A</v>
      </c>
      <c r="C308" s="183" t="s">
        <v>2783</v>
      </c>
      <c r="D308" s="186" t="str">
        <f>"Add readings from previous 2 steps:  __________ kW and compare to step " &amp; A105 &amp; ":________. If the combined load on the paired PDUs has changed by more than 10 kW stop and inform the MOP facilitator."</f>
        <v>Add readings from previous 2 steps:  __________ kW and compare to step 100:________. If the combined load on the paired PDUs has changed by more than 10 kW stop and inform the MOP facilitator.</v>
      </c>
      <c r="E308" s="183" t="s">
        <v>1464</v>
      </c>
      <c r="F308" s="186"/>
      <c r="G308" s="186" t="s">
        <v>1519</v>
      </c>
    </row>
    <row r="309" spans="1:7" x14ac:dyDescent="0.25">
      <c r="A309" s="200">
        <v>304</v>
      </c>
      <c r="B309" s="756" t="s">
        <v>2938</v>
      </c>
      <c r="C309" s="757"/>
      <c r="D309" s="759"/>
      <c r="E309" s="757"/>
      <c r="F309" s="757"/>
      <c r="G309" s="758"/>
    </row>
    <row r="310" spans="1:7" ht="37.5" x14ac:dyDescent="0.25">
      <c r="A310" s="200">
        <v>305</v>
      </c>
      <c r="B310" s="183" t="e">
        <f>DEEMSuite1&amp;" CRAC Gallery"</f>
        <v>#N/A</v>
      </c>
      <c r="C310" s="183" t="s">
        <v>2758</v>
      </c>
      <c r="D310" s="186" t="s">
        <v>2939</v>
      </c>
      <c r="E310" s="183" t="s">
        <v>1464</v>
      </c>
      <c r="F310" s="186"/>
      <c r="G310" s="186" t="s">
        <v>1519</v>
      </c>
    </row>
    <row r="311" spans="1:7" ht="37.5" x14ac:dyDescent="0.25">
      <c r="A311" s="200">
        <v>306</v>
      </c>
      <c r="B311" s="183" t="e">
        <f>DEEMSuite1&amp;" CRAC Gallery"</f>
        <v>#N/A</v>
      </c>
      <c r="C311" s="183" t="s">
        <v>2758</v>
      </c>
      <c r="D311" s="186" t="s">
        <v>2940</v>
      </c>
      <c r="E311" s="183" t="s">
        <v>1464</v>
      </c>
      <c r="F311" s="186"/>
      <c r="G311" s="186" t="s">
        <v>1519</v>
      </c>
    </row>
    <row r="312" spans="1:7" ht="37.5" x14ac:dyDescent="0.25">
      <c r="A312" s="200">
        <v>307</v>
      </c>
      <c r="B312" s="183" t="e">
        <f>DEEMSuite1&amp;" CRAC Gallery"</f>
        <v>#N/A</v>
      </c>
      <c r="C312" s="183" t="s">
        <v>2758</v>
      </c>
      <c r="D312" s="186" t="s">
        <v>2941</v>
      </c>
      <c r="E312" s="183" t="s">
        <v>1464</v>
      </c>
      <c r="F312" s="186"/>
      <c r="G312" s="186" t="s">
        <v>1519</v>
      </c>
    </row>
    <row r="313" spans="1:7" ht="37.5" x14ac:dyDescent="0.25">
      <c r="A313" s="200">
        <v>308</v>
      </c>
      <c r="B313" s="183" t="e">
        <f>DEEMSuite1&amp;" CRAC Gallery"</f>
        <v>#N/A</v>
      </c>
      <c r="C313" s="183" t="s">
        <v>2758</v>
      </c>
      <c r="D313" s="186" t="s">
        <v>2942</v>
      </c>
      <c r="E313" s="183" t="s">
        <v>1464</v>
      </c>
      <c r="F313" s="186"/>
      <c r="G313" s="186" t="s">
        <v>1519</v>
      </c>
    </row>
    <row r="314" spans="1:7" ht="37.5" x14ac:dyDescent="0.25">
      <c r="A314" s="200">
        <v>309</v>
      </c>
      <c r="B314" s="183" t="e">
        <f>DEEMSuite1&amp;" CRAC Gallery"</f>
        <v>#N/A</v>
      </c>
      <c r="C314" s="183" t="s">
        <v>2758</v>
      </c>
      <c r="D314" s="186" t="s">
        <v>2943</v>
      </c>
      <c r="E314" s="183" t="s">
        <v>1464</v>
      </c>
      <c r="F314" s="186"/>
      <c r="G314" s="186" t="s">
        <v>1519</v>
      </c>
    </row>
    <row r="315" spans="1:7" ht="37.5" x14ac:dyDescent="0.25">
      <c r="A315" s="200">
        <v>310</v>
      </c>
      <c r="B315" s="183" t="e">
        <f>DEEMSuite1&amp;" CRAC Gallery"</f>
        <v>#N/A</v>
      </c>
      <c r="C315" s="183" t="s">
        <v>2758</v>
      </c>
      <c r="D315" s="186" t="s">
        <v>2944</v>
      </c>
      <c r="E315" s="183" t="s">
        <v>1464</v>
      </c>
      <c r="F315" s="186"/>
      <c r="G315" s="186" t="s">
        <v>1519</v>
      </c>
    </row>
    <row r="316" spans="1:7" ht="37.5" x14ac:dyDescent="0.25">
      <c r="A316" s="200">
        <v>311</v>
      </c>
      <c r="B316" s="183" t="e">
        <f>DEEMSuite1&amp;" CRAC Gallery"</f>
        <v>#N/A</v>
      </c>
      <c r="C316" s="183" t="s">
        <v>2758</v>
      </c>
      <c r="D316" s="186" t="s">
        <v>2945</v>
      </c>
      <c r="E316" s="183" t="s">
        <v>1464</v>
      </c>
      <c r="F316" s="186"/>
      <c r="G316" s="186" t="s">
        <v>1519</v>
      </c>
    </row>
    <row r="317" spans="1:7" ht="37.5" x14ac:dyDescent="0.25">
      <c r="A317" s="200">
        <v>312</v>
      </c>
      <c r="B317" s="183" t="e">
        <f>DEEMSuite1&amp;" CRAC Gallery"</f>
        <v>#N/A</v>
      </c>
      <c r="C317" s="183" t="s">
        <v>2758</v>
      </c>
      <c r="D317" s="186" t="s">
        <v>2946</v>
      </c>
      <c r="E317" s="183" t="s">
        <v>1464</v>
      </c>
      <c r="F317" s="186"/>
      <c r="G317" s="186" t="s">
        <v>1519</v>
      </c>
    </row>
    <row r="318" spans="1:7" ht="37.5" x14ac:dyDescent="0.25">
      <c r="A318" s="200">
        <v>313</v>
      </c>
      <c r="B318" s="183" t="e">
        <f>DEEMSuite1&amp;" CRAC Gallery"</f>
        <v>#N/A</v>
      </c>
      <c r="C318" s="183" t="s">
        <v>2758</v>
      </c>
      <c r="D318" s="186" t="s">
        <v>2947</v>
      </c>
      <c r="E318" s="183" t="s">
        <v>1464</v>
      </c>
      <c r="F318" s="186"/>
      <c r="G318" s="186" t="s">
        <v>1519</v>
      </c>
    </row>
    <row r="319" spans="1:7" ht="37.5" x14ac:dyDescent="0.25">
      <c r="A319" s="200">
        <v>314</v>
      </c>
      <c r="B319" s="183" t="e">
        <f>DEEMSuite1&amp;" CRAC Gallery"</f>
        <v>#N/A</v>
      </c>
      <c r="C319" s="183" t="s">
        <v>2758</v>
      </c>
      <c r="D319" s="186" t="s">
        <v>2948</v>
      </c>
      <c r="E319" s="183" t="s">
        <v>1464</v>
      </c>
      <c r="F319" s="186"/>
      <c r="G319" s="186" t="s">
        <v>1519</v>
      </c>
    </row>
    <row r="320" spans="1:7" ht="37.5" x14ac:dyDescent="0.25">
      <c r="A320" s="200">
        <v>315</v>
      </c>
      <c r="B320" s="183" t="e">
        <f>DEEMSuite1&amp;" CRAC Gallery"</f>
        <v>#N/A</v>
      </c>
      <c r="C320" s="183" t="s">
        <v>2758</v>
      </c>
      <c r="D320" s="186" t="s">
        <v>2949</v>
      </c>
      <c r="E320" s="183" t="s">
        <v>1464</v>
      </c>
      <c r="F320" s="186"/>
      <c r="G320" s="186" t="s">
        <v>1519</v>
      </c>
    </row>
    <row r="321" spans="1:7" ht="37.5" x14ac:dyDescent="0.25">
      <c r="A321" s="200">
        <v>316</v>
      </c>
      <c r="B321" s="183" t="e">
        <f>DEEMSuite1&amp;" CRAC Gallery"</f>
        <v>#N/A</v>
      </c>
      <c r="C321" s="183" t="s">
        <v>2758</v>
      </c>
      <c r="D321" s="186" t="s">
        <v>2950</v>
      </c>
      <c r="E321" s="183" t="s">
        <v>1464</v>
      </c>
      <c r="F321" s="186"/>
      <c r="G321" s="186" t="s">
        <v>1519</v>
      </c>
    </row>
    <row r="322" spans="1:7" ht="37.5" x14ac:dyDescent="0.25">
      <c r="A322" s="200">
        <v>317</v>
      </c>
      <c r="B322" s="183" t="e">
        <f>DEEMSuite1&amp;" CRAC Gallery"</f>
        <v>#N/A</v>
      </c>
      <c r="C322" s="183" t="s">
        <v>2758</v>
      </c>
      <c r="D322" s="186" t="s">
        <v>2951</v>
      </c>
      <c r="E322" s="183" t="s">
        <v>1464</v>
      </c>
      <c r="F322" s="186"/>
      <c r="G322" s="186" t="s">
        <v>1519</v>
      </c>
    </row>
    <row r="323" spans="1:7" ht="37.5" x14ac:dyDescent="0.25">
      <c r="A323" s="200">
        <v>318</v>
      </c>
      <c r="B323" s="183" t="e">
        <f>DEEMSuite1&amp;" CRAC Gallery"</f>
        <v>#N/A</v>
      </c>
      <c r="C323" s="183" t="s">
        <v>2758</v>
      </c>
      <c r="D323" s="186" t="s">
        <v>2952</v>
      </c>
      <c r="E323" s="183" t="s">
        <v>1464</v>
      </c>
      <c r="F323" s="186"/>
      <c r="G323" s="186" t="s">
        <v>1519</v>
      </c>
    </row>
    <row r="324" spans="1:7" ht="37.5" x14ac:dyDescent="0.25">
      <c r="A324" s="200">
        <v>319</v>
      </c>
      <c r="B324" s="183" t="e">
        <f>DEEMSuite1&amp;" CRAC Gallery"</f>
        <v>#N/A</v>
      </c>
      <c r="C324" s="183" t="s">
        <v>2758</v>
      </c>
      <c r="D324" s="202" t="s">
        <v>2759</v>
      </c>
      <c r="E324" s="183" t="s">
        <v>1464</v>
      </c>
      <c r="F324" s="186"/>
      <c r="G324" s="186" t="s">
        <v>1519</v>
      </c>
    </row>
    <row r="325" spans="1:7" ht="37.5" x14ac:dyDescent="0.25">
      <c r="A325" s="200">
        <v>320</v>
      </c>
      <c r="B325" s="183" t="e">
        <f>DEEMSuite1&amp;" CRAC Gallery"</f>
        <v>#N/A</v>
      </c>
      <c r="C325" s="183" t="s">
        <v>2933</v>
      </c>
      <c r="D325" s="202" t="s">
        <v>2761</v>
      </c>
      <c r="E325" s="183" t="s">
        <v>1464</v>
      </c>
      <c r="F325" s="186"/>
      <c r="G325" s="186" t="s">
        <v>1519</v>
      </c>
    </row>
    <row r="326" spans="1:7" ht="56.25" x14ac:dyDescent="0.25">
      <c r="A326" s="200">
        <v>321</v>
      </c>
      <c r="B326" s="183" t="e">
        <f>DEEMSuite1&amp;" CRAC Gallery"</f>
        <v>#N/A</v>
      </c>
      <c r="C326" s="183" t="s">
        <v>2762</v>
      </c>
      <c r="D326" s="186" t="str">
        <f>"Add readings from previous 2 steps:  __________ kW and compare to step " &amp; A296 &amp; ":________. If the combined load on the paired PDUs has changed by more than 10 kW stop and inform the MOP facilitator."</f>
        <v>Add readings from previous 2 steps:  __________ kW and compare to step 291:________. If the combined load on the paired PDUs has changed by more than 10 kW stop and inform the MOP facilitator.</v>
      </c>
      <c r="E326" s="183" t="s">
        <v>1464</v>
      </c>
      <c r="F326" s="186"/>
      <c r="G326" s="186" t="s">
        <v>1519</v>
      </c>
    </row>
    <row r="327" spans="1:7" ht="37.5" x14ac:dyDescent="0.25">
      <c r="A327" s="200">
        <v>322</v>
      </c>
      <c r="B327" s="183" t="e">
        <f>DEEMSuite1&amp;" CRAC Gallery"</f>
        <v>#N/A</v>
      </c>
      <c r="C327" s="183" t="s">
        <v>2764</v>
      </c>
      <c r="D327" s="186" t="s">
        <v>2953</v>
      </c>
      <c r="E327" s="183" t="s">
        <v>1464</v>
      </c>
      <c r="F327" s="186"/>
      <c r="G327" s="186" t="s">
        <v>1519</v>
      </c>
    </row>
    <row r="328" spans="1:7" ht="37.5" x14ac:dyDescent="0.25">
      <c r="A328" s="200">
        <v>323</v>
      </c>
      <c r="B328" s="183" t="e">
        <f>DEEMSuite1&amp;" CRAC Gallery"</f>
        <v>#N/A</v>
      </c>
      <c r="C328" s="183" t="s">
        <v>2764</v>
      </c>
      <c r="D328" s="186" t="s">
        <v>2940</v>
      </c>
      <c r="E328" s="183" t="s">
        <v>1464</v>
      </c>
      <c r="F328" s="186"/>
      <c r="G328" s="186" t="s">
        <v>1519</v>
      </c>
    </row>
    <row r="329" spans="1:7" ht="37.5" x14ac:dyDescent="0.25">
      <c r="A329" s="200">
        <v>324</v>
      </c>
      <c r="B329" s="183" t="e">
        <f>DEEMSuite1&amp;" CRAC Gallery"</f>
        <v>#N/A</v>
      </c>
      <c r="C329" s="183" t="s">
        <v>2764</v>
      </c>
      <c r="D329" s="186" t="s">
        <v>2941</v>
      </c>
      <c r="E329" s="183" t="s">
        <v>1464</v>
      </c>
      <c r="F329" s="186"/>
      <c r="G329" s="186" t="s">
        <v>1519</v>
      </c>
    </row>
    <row r="330" spans="1:7" ht="37.5" x14ac:dyDescent="0.25">
      <c r="A330" s="200">
        <v>325</v>
      </c>
      <c r="B330" s="183" t="e">
        <f>DEEMSuite1&amp;" CRAC Gallery"</f>
        <v>#N/A</v>
      </c>
      <c r="C330" s="183" t="s">
        <v>2764</v>
      </c>
      <c r="D330" s="186" t="s">
        <v>2942</v>
      </c>
      <c r="E330" s="183" t="s">
        <v>1464</v>
      </c>
      <c r="F330" s="186"/>
      <c r="G330" s="186" t="s">
        <v>1519</v>
      </c>
    </row>
    <row r="331" spans="1:7" ht="37.5" x14ac:dyDescent="0.25">
      <c r="A331" s="200">
        <v>326</v>
      </c>
      <c r="B331" s="183" t="e">
        <f>DEEMSuite1&amp;" CRAC Gallery"</f>
        <v>#N/A</v>
      </c>
      <c r="C331" s="183" t="s">
        <v>2764</v>
      </c>
      <c r="D331" s="186" t="s">
        <v>2943</v>
      </c>
      <c r="E331" s="183" t="s">
        <v>1464</v>
      </c>
      <c r="F331" s="186"/>
      <c r="G331" s="186" t="s">
        <v>1519</v>
      </c>
    </row>
    <row r="332" spans="1:7" ht="37.5" x14ac:dyDescent="0.25">
      <c r="A332" s="200">
        <v>327</v>
      </c>
      <c r="B332" s="183" t="e">
        <f>DEEMSuite1&amp;" CRAC Gallery"</f>
        <v>#N/A</v>
      </c>
      <c r="C332" s="183" t="s">
        <v>2764</v>
      </c>
      <c r="D332" s="186" t="s">
        <v>2944</v>
      </c>
      <c r="E332" s="183" t="s">
        <v>1464</v>
      </c>
      <c r="F332" s="186"/>
      <c r="G332" s="186" t="s">
        <v>1519</v>
      </c>
    </row>
    <row r="333" spans="1:7" ht="37.5" x14ac:dyDescent="0.25">
      <c r="A333" s="200">
        <v>328</v>
      </c>
      <c r="B333" s="183" t="e">
        <f>DEEMSuite1&amp;" CRAC Gallery"</f>
        <v>#N/A</v>
      </c>
      <c r="C333" s="183" t="s">
        <v>2764</v>
      </c>
      <c r="D333" s="186" t="s">
        <v>2945</v>
      </c>
      <c r="E333" s="183" t="s">
        <v>1464</v>
      </c>
      <c r="F333" s="186"/>
      <c r="G333" s="186" t="s">
        <v>1519</v>
      </c>
    </row>
    <row r="334" spans="1:7" ht="37.5" x14ac:dyDescent="0.25">
      <c r="A334" s="200">
        <v>329</v>
      </c>
      <c r="B334" s="183" t="e">
        <f>DEEMSuite1&amp;" CRAC Gallery"</f>
        <v>#N/A</v>
      </c>
      <c r="C334" s="183" t="s">
        <v>2764</v>
      </c>
      <c r="D334" s="186" t="s">
        <v>2946</v>
      </c>
      <c r="E334" s="183" t="s">
        <v>1464</v>
      </c>
      <c r="F334" s="186"/>
      <c r="G334" s="186" t="s">
        <v>1519</v>
      </c>
    </row>
    <row r="335" spans="1:7" ht="37.5" x14ac:dyDescent="0.25">
      <c r="A335" s="200">
        <v>330</v>
      </c>
      <c r="B335" s="183" t="e">
        <f>DEEMSuite1&amp;" CRAC Gallery"</f>
        <v>#N/A</v>
      </c>
      <c r="C335" s="183" t="s">
        <v>2764</v>
      </c>
      <c r="D335" s="186" t="s">
        <v>2947</v>
      </c>
      <c r="E335" s="183" t="s">
        <v>1464</v>
      </c>
      <c r="F335" s="186"/>
      <c r="G335" s="186" t="s">
        <v>1519</v>
      </c>
    </row>
    <row r="336" spans="1:7" ht="37.5" x14ac:dyDescent="0.25">
      <c r="A336" s="200">
        <v>331</v>
      </c>
      <c r="B336" s="183" t="e">
        <f>DEEMSuite1&amp;" CRAC Gallery"</f>
        <v>#N/A</v>
      </c>
      <c r="C336" s="183" t="s">
        <v>2764</v>
      </c>
      <c r="D336" s="186" t="s">
        <v>2948</v>
      </c>
      <c r="E336" s="183" t="s">
        <v>1464</v>
      </c>
      <c r="F336" s="186"/>
      <c r="G336" s="186" t="s">
        <v>1519</v>
      </c>
    </row>
    <row r="337" spans="1:7" ht="37.5" x14ac:dyDescent="0.25">
      <c r="A337" s="200">
        <v>332</v>
      </c>
      <c r="B337" s="183" t="e">
        <f>DEEMSuite1&amp;" CRAC Gallery"</f>
        <v>#N/A</v>
      </c>
      <c r="C337" s="183" t="s">
        <v>2764</v>
      </c>
      <c r="D337" s="186" t="s">
        <v>2949</v>
      </c>
      <c r="E337" s="183" t="s">
        <v>1464</v>
      </c>
      <c r="F337" s="186"/>
      <c r="G337" s="186" t="s">
        <v>1519</v>
      </c>
    </row>
    <row r="338" spans="1:7" ht="37.5" x14ac:dyDescent="0.25">
      <c r="A338" s="200">
        <v>333</v>
      </c>
      <c r="B338" s="183" t="e">
        <f>DEEMSuite1&amp;" CRAC Gallery"</f>
        <v>#N/A</v>
      </c>
      <c r="C338" s="183" t="s">
        <v>2764</v>
      </c>
      <c r="D338" s="186" t="s">
        <v>2950</v>
      </c>
      <c r="E338" s="183" t="s">
        <v>1464</v>
      </c>
      <c r="F338" s="186"/>
      <c r="G338" s="186" t="s">
        <v>1519</v>
      </c>
    </row>
    <row r="339" spans="1:7" ht="37.5" x14ac:dyDescent="0.25">
      <c r="A339" s="200">
        <v>334</v>
      </c>
      <c r="B339" s="183" t="e">
        <f>DEEMSuite1&amp;" CRAC Gallery"</f>
        <v>#N/A</v>
      </c>
      <c r="C339" s="183" t="s">
        <v>2764</v>
      </c>
      <c r="D339" s="186" t="s">
        <v>2951</v>
      </c>
      <c r="E339" s="183" t="s">
        <v>1464</v>
      </c>
      <c r="F339" s="186"/>
      <c r="G339" s="186" t="s">
        <v>1519</v>
      </c>
    </row>
    <row r="340" spans="1:7" ht="37.5" x14ac:dyDescent="0.25">
      <c r="A340" s="200">
        <v>335</v>
      </c>
      <c r="B340" s="183" t="e">
        <f>DEEMSuite1&amp;" CRAC Gallery"</f>
        <v>#N/A</v>
      </c>
      <c r="C340" s="183" t="s">
        <v>2764</v>
      </c>
      <c r="D340" s="186" t="s">
        <v>2954</v>
      </c>
      <c r="E340" s="183" t="s">
        <v>1464</v>
      </c>
      <c r="F340" s="186"/>
      <c r="G340" s="186" t="s">
        <v>1519</v>
      </c>
    </row>
    <row r="341" spans="1:7" ht="37.5" x14ac:dyDescent="0.25">
      <c r="A341" s="200">
        <v>336</v>
      </c>
      <c r="B341" s="183" t="e">
        <f>DEEMSuite1&amp;" CRAC Gallery"</f>
        <v>#N/A</v>
      </c>
      <c r="C341" s="183" t="s">
        <v>2764</v>
      </c>
      <c r="D341" s="202" t="s">
        <v>2765</v>
      </c>
      <c r="E341" s="183" t="s">
        <v>1464</v>
      </c>
      <c r="F341" s="186"/>
      <c r="G341" s="186" t="s">
        <v>1519</v>
      </c>
    </row>
    <row r="342" spans="1:7" ht="37.5" x14ac:dyDescent="0.25">
      <c r="A342" s="200">
        <v>337</v>
      </c>
      <c r="B342" s="183" t="e">
        <f>DEEMSuite1&amp;" CRAC Gallery"</f>
        <v>#N/A</v>
      </c>
      <c r="C342" s="183" t="s">
        <v>2934</v>
      </c>
      <c r="D342" s="202" t="s">
        <v>2767</v>
      </c>
      <c r="E342" s="183" t="s">
        <v>1464</v>
      </c>
      <c r="F342" s="186"/>
      <c r="G342" s="186" t="s">
        <v>1519</v>
      </c>
    </row>
    <row r="343" spans="1:7" ht="56.25" x14ac:dyDescent="0.25">
      <c r="A343" s="200">
        <v>338</v>
      </c>
      <c r="B343" s="183" t="e">
        <f>DEEMSuite1&amp;" CRAC Gallery"</f>
        <v>#N/A</v>
      </c>
      <c r="C343" s="183" t="s">
        <v>2768</v>
      </c>
      <c r="D343" s="186" t="str">
        <f>"Add readings from previous 2 steps:  __________ kW and compare to step " &amp; A299 &amp; ":________. If the combined load on the paired PDUs has changed by more than 10 kW stop and inform the MOP facilitator."</f>
        <v>Add readings from previous 2 steps:  __________ kW and compare to step 294:________. If the combined load on the paired PDUs has changed by more than 10 kW stop and inform the MOP facilitator.</v>
      </c>
      <c r="E343" s="183" t="s">
        <v>1464</v>
      </c>
      <c r="F343" s="186"/>
      <c r="G343" s="186" t="s">
        <v>1519</v>
      </c>
    </row>
    <row r="344" spans="1:7" ht="37.5" x14ac:dyDescent="0.25">
      <c r="A344" s="200">
        <v>339</v>
      </c>
      <c r="B344" s="183" t="e">
        <f>DEEMSuite1&amp;" CRAC Gallery"</f>
        <v>#N/A</v>
      </c>
      <c r="C344" s="183" t="s">
        <v>2769</v>
      </c>
      <c r="D344" s="186" t="s">
        <v>2955</v>
      </c>
      <c r="E344" s="183" t="s">
        <v>1464</v>
      </c>
      <c r="F344" s="186"/>
      <c r="G344" s="186" t="s">
        <v>1519</v>
      </c>
    </row>
    <row r="345" spans="1:7" ht="37.5" x14ac:dyDescent="0.25">
      <c r="A345" s="200">
        <v>340</v>
      </c>
      <c r="B345" s="183" t="e">
        <f>DEEMSuite1&amp;" CRAC Gallery"</f>
        <v>#N/A</v>
      </c>
      <c r="C345" s="183" t="s">
        <v>2769</v>
      </c>
      <c r="D345" s="186" t="s">
        <v>2940</v>
      </c>
      <c r="E345" s="183" t="s">
        <v>1464</v>
      </c>
      <c r="F345" s="186"/>
      <c r="G345" s="186" t="s">
        <v>1519</v>
      </c>
    </row>
    <row r="346" spans="1:7" ht="37.5" x14ac:dyDescent="0.25">
      <c r="A346" s="200">
        <v>341</v>
      </c>
      <c r="B346" s="183" t="e">
        <f>DEEMSuite1&amp;" CRAC Gallery"</f>
        <v>#N/A</v>
      </c>
      <c r="C346" s="183" t="s">
        <v>2769</v>
      </c>
      <c r="D346" s="186" t="s">
        <v>2941</v>
      </c>
      <c r="E346" s="183" t="s">
        <v>1464</v>
      </c>
      <c r="F346" s="186"/>
      <c r="G346" s="186" t="s">
        <v>1519</v>
      </c>
    </row>
    <row r="347" spans="1:7" ht="37.5" x14ac:dyDescent="0.25">
      <c r="A347" s="200">
        <v>342</v>
      </c>
      <c r="B347" s="183" t="e">
        <f>DEEMSuite1&amp;" CRAC Gallery"</f>
        <v>#N/A</v>
      </c>
      <c r="C347" s="183" t="s">
        <v>2769</v>
      </c>
      <c r="D347" s="186" t="s">
        <v>2942</v>
      </c>
      <c r="E347" s="183" t="s">
        <v>1464</v>
      </c>
      <c r="F347" s="186"/>
      <c r="G347" s="186" t="s">
        <v>1519</v>
      </c>
    </row>
    <row r="348" spans="1:7" ht="37.5" x14ac:dyDescent="0.25">
      <c r="A348" s="200">
        <v>343</v>
      </c>
      <c r="B348" s="183" t="e">
        <f>DEEMSuite1&amp;" CRAC Gallery"</f>
        <v>#N/A</v>
      </c>
      <c r="C348" s="183" t="s">
        <v>2769</v>
      </c>
      <c r="D348" s="186" t="s">
        <v>2943</v>
      </c>
      <c r="E348" s="183" t="s">
        <v>1464</v>
      </c>
      <c r="F348" s="186"/>
      <c r="G348" s="186" t="s">
        <v>1519</v>
      </c>
    </row>
    <row r="349" spans="1:7" ht="37.5" x14ac:dyDescent="0.25">
      <c r="A349" s="200">
        <v>344</v>
      </c>
      <c r="B349" s="183" t="e">
        <f>DEEMSuite1&amp;" CRAC Gallery"</f>
        <v>#N/A</v>
      </c>
      <c r="C349" s="183" t="s">
        <v>2769</v>
      </c>
      <c r="D349" s="186" t="s">
        <v>2944</v>
      </c>
      <c r="E349" s="183" t="s">
        <v>1464</v>
      </c>
      <c r="F349" s="186"/>
      <c r="G349" s="186" t="s">
        <v>1519</v>
      </c>
    </row>
    <row r="350" spans="1:7" ht="37.5" x14ac:dyDescent="0.25">
      <c r="A350" s="200">
        <v>345</v>
      </c>
      <c r="B350" s="183" t="e">
        <f>DEEMSuite1&amp;" CRAC Gallery"</f>
        <v>#N/A</v>
      </c>
      <c r="C350" s="183" t="s">
        <v>2769</v>
      </c>
      <c r="D350" s="186" t="s">
        <v>2945</v>
      </c>
      <c r="E350" s="183" t="s">
        <v>1464</v>
      </c>
      <c r="F350" s="186"/>
      <c r="G350" s="186" t="s">
        <v>1519</v>
      </c>
    </row>
    <row r="351" spans="1:7" ht="37.5" x14ac:dyDescent="0.25">
      <c r="A351" s="200">
        <v>346</v>
      </c>
      <c r="B351" s="183" t="e">
        <f>DEEMSuite1&amp;" CRAC Gallery"</f>
        <v>#N/A</v>
      </c>
      <c r="C351" s="183" t="s">
        <v>2769</v>
      </c>
      <c r="D351" s="186" t="s">
        <v>2946</v>
      </c>
      <c r="E351" s="183" t="s">
        <v>1464</v>
      </c>
      <c r="F351" s="186"/>
      <c r="G351" s="186" t="s">
        <v>1519</v>
      </c>
    </row>
    <row r="352" spans="1:7" ht="37.5" x14ac:dyDescent="0.25">
      <c r="A352" s="200">
        <v>347</v>
      </c>
      <c r="B352" s="183" t="e">
        <f>DEEMSuite1&amp;" CRAC Gallery"</f>
        <v>#N/A</v>
      </c>
      <c r="C352" s="183" t="s">
        <v>2769</v>
      </c>
      <c r="D352" s="186" t="s">
        <v>2947</v>
      </c>
      <c r="E352" s="183" t="s">
        <v>1464</v>
      </c>
      <c r="F352" s="186"/>
      <c r="G352" s="186" t="s">
        <v>1519</v>
      </c>
    </row>
    <row r="353" spans="1:7" ht="37.5" x14ac:dyDescent="0.25">
      <c r="A353" s="200">
        <v>348</v>
      </c>
      <c r="B353" s="183" t="e">
        <f>DEEMSuite1&amp;" CRAC Gallery"</f>
        <v>#N/A</v>
      </c>
      <c r="C353" s="183" t="s">
        <v>2769</v>
      </c>
      <c r="D353" s="186" t="s">
        <v>2948</v>
      </c>
      <c r="E353" s="183" t="s">
        <v>1464</v>
      </c>
      <c r="F353" s="186"/>
      <c r="G353" s="186" t="s">
        <v>1519</v>
      </c>
    </row>
    <row r="354" spans="1:7" ht="37.5" x14ac:dyDescent="0.25">
      <c r="A354" s="200">
        <v>349</v>
      </c>
      <c r="B354" s="183" t="e">
        <f>DEEMSuite1&amp;" CRAC Gallery"</f>
        <v>#N/A</v>
      </c>
      <c r="C354" s="183" t="s">
        <v>2769</v>
      </c>
      <c r="D354" s="186" t="s">
        <v>2949</v>
      </c>
      <c r="E354" s="183" t="s">
        <v>1464</v>
      </c>
      <c r="F354" s="186"/>
      <c r="G354" s="186" t="s">
        <v>1519</v>
      </c>
    </row>
    <row r="355" spans="1:7" ht="37.5" x14ac:dyDescent="0.25">
      <c r="A355" s="200">
        <v>350</v>
      </c>
      <c r="B355" s="183" t="e">
        <f>DEEMSuite1&amp;" CRAC Gallery"</f>
        <v>#N/A</v>
      </c>
      <c r="C355" s="183" t="s">
        <v>2769</v>
      </c>
      <c r="D355" s="186" t="s">
        <v>2950</v>
      </c>
      <c r="E355" s="183" t="s">
        <v>1464</v>
      </c>
      <c r="F355" s="186"/>
      <c r="G355" s="186" t="s">
        <v>1519</v>
      </c>
    </row>
    <row r="356" spans="1:7" ht="37.5" x14ac:dyDescent="0.25">
      <c r="A356" s="200">
        <v>351</v>
      </c>
      <c r="B356" s="183" t="e">
        <f>DEEMSuite1&amp;" CRAC Gallery"</f>
        <v>#N/A</v>
      </c>
      <c r="C356" s="183" t="s">
        <v>2769</v>
      </c>
      <c r="D356" s="186" t="s">
        <v>2951</v>
      </c>
      <c r="E356" s="183" t="s">
        <v>1464</v>
      </c>
      <c r="F356" s="186"/>
      <c r="G356" s="186" t="s">
        <v>1519</v>
      </c>
    </row>
    <row r="357" spans="1:7" ht="37.5" x14ac:dyDescent="0.25">
      <c r="A357" s="200">
        <v>352</v>
      </c>
      <c r="B357" s="183" t="e">
        <f>DEEMSuite1&amp;" CRAC Gallery"</f>
        <v>#N/A</v>
      </c>
      <c r="C357" s="183" t="s">
        <v>2769</v>
      </c>
      <c r="D357" s="186" t="s">
        <v>2956</v>
      </c>
      <c r="E357" s="183" t="s">
        <v>1464</v>
      </c>
      <c r="F357" s="186"/>
      <c r="G357" s="186" t="s">
        <v>1519</v>
      </c>
    </row>
    <row r="358" spans="1:7" ht="37.5" x14ac:dyDescent="0.25">
      <c r="A358" s="200">
        <v>353</v>
      </c>
      <c r="B358" s="183" t="e">
        <f>DEEMSuite1&amp;" CRAC Gallery"</f>
        <v>#N/A</v>
      </c>
      <c r="C358" s="183" t="s">
        <v>2769</v>
      </c>
      <c r="D358" s="202" t="s">
        <v>2770</v>
      </c>
      <c r="E358" s="183" t="s">
        <v>1464</v>
      </c>
      <c r="F358" s="186"/>
      <c r="G358" s="186" t="s">
        <v>1519</v>
      </c>
    </row>
    <row r="359" spans="1:7" ht="37.5" x14ac:dyDescent="0.25">
      <c r="A359" s="200">
        <v>354</v>
      </c>
      <c r="B359" s="183" t="e">
        <f>DEEMSuite1&amp;" CRAC Gallery"</f>
        <v>#N/A</v>
      </c>
      <c r="C359" s="183" t="s">
        <v>2935</v>
      </c>
      <c r="D359" s="202" t="s">
        <v>2772</v>
      </c>
      <c r="E359" s="183" t="s">
        <v>1464</v>
      </c>
      <c r="F359" s="186"/>
      <c r="G359" s="186" t="s">
        <v>1519</v>
      </c>
    </row>
    <row r="360" spans="1:7" ht="56.25" x14ac:dyDescent="0.25">
      <c r="A360" s="200">
        <v>355</v>
      </c>
      <c r="B360" s="183" t="e">
        <f>DEEMSuite1&amp;" CRAC Gallery"</f>
        <v>#N/A</v>
      </c>
      <c r="C360" s="183" t="s">
        <v>2773</v>
      </c>
      <c r="D360" s="186" t="str">
        <f>"Add readings from previous 2 steps:  __________ kW and compare to step " &amp; A302 &amp; ":________. If the combined load on the paired PDUs has changed by more than 10 kW stop and inform the MOP facilitator."</f>
        <v>Add readings from previous 2 steps:  __________ kW and compare to step 297:________. If the combined load on the paired PDUs has changed by more than 10 kW stop and inform the MOP facilitator.</v>
      </c>
      <c r="E360" s="183" t="s">
        <v>1464</v>
      </c>
      <c r="F360" s="186"/>
      <c r="G360" s="186" t="s">
        <v>1519</v>
      </c>
    </row>
    <row r="361" spans="1:7" ht="37.5" x14ac:dyDescent="0.25">
      <c r="A361" s="200">
        <v>356</v>
      </c>
      <c r="B361" s="183" t="e">
        <f>DEEMSuite1&amp;" CRAC Gallery"</f>
        <v>#N/A</v>
      </c>
      <c r="C361" s="183" t="s">
        <v>2774</v>
      </c>
      <c r="D361" s="186" t="s">
        <v>2957</v>
      </c>
      <c r="E361" s="183" t="s">
        <v>1464</v>
      </c>
      <c r="F361" s="186"/>
      <c r="G361" s="186" t="s">
        <v>1519</v>
      </c>
    </row>
    <row r="362" spans="1:7" ht="37.5" x14ac:dyDescent="0.25">
      <c r="A362" s="200">
        <v>357</v>
      </c>
      <c r="B362" s="183" t="e">
        <f>DEEMSuite1&amp;" CRAC Gallery"</f>
        <v>#N/A</v>
      </c>
      <c r="C362" s="183" t="s">
        <v>2774</v>
      </c>
      <c r="D362" s="186" t="s">
        <v>2940</v>
      </c>
      <c r="E362" s="183" t="s">
        <v>1464</v>
      </c>
      <c r="F362" s="186"/>
      <c r="G362" s="186" t="s">
        <v>1519</v>
      </c>
    </row>
    <row r="363" spans="1:7" ht="37.5" x14ac:dyDescent="0.25">
      <c r="A363" s="200">
        <v>358</v>
      </c>
      <c r="B363" s="183" t="e">
        <f>DEEMSuite1&amp;" CRAC Gallery"</f>
        <v>#N/A</v>
      </c>
      <c r="C363" s="183" t="s">
        <v>2774</v>
      </c>
      <c r="D363" s="186" t="s">
        <v>2941</v>
      </c>
      <c r="E363" s="183" t="s">
        <v>1464</v>
      </c>
      <c r="F363" s="186"/>
      <c r="G363" s="186" t="s">
        <v>1519</v>
      </c>
    </row>
    <row r="364" spans="1:7" ht="37.5" x14ac:dyDescent="0.25">
      <c r="A364" s="200">
        <v>359</v>
      </c>
      <c r="B364" s="183" t="e">
        <f>DEEMSuite1&amp;" CRAC Gallery"</f>
        <v>#N/A</v>
      </c>
      <c r="C364" s="183" t="s">
        <v>2774</v>
      </c>
      <c r="D364" s="186" t="s">
        <v>2942</v>
      </c>
      <c r="E364" s="183" t="s">
        <v>1464</v>
      </c>
      <c r="F364" s="186"/>
      <c r="G364" s="186" t="s">
        <v>1519</v>
      </c>
    </row>
    <row r="365" spans="1:7" ht="37.5" x14ac:dyDescent="0.25">
      <c r="A365" s="200">
        <v>360</v>
      </c>
      <c r="B365" s="183" t="e">
        <f>DEEMSuite1&amp;" CRAC Gallery"</f>
        <v>#N/A</v>
      </c>
      <c r="C365" s="183" t="s">
        <v>2774</v>
      </c>
      <c r="D365" s="186" t="s">
        <v>2943</v>
      </c>
      <c r="E365" s="183" t="s">
        <v>1464</v>
      </c>
      <c r="F365" s="186"/>
      <c r="G365" s="186" t="s">
        <v>1519</v>
      </c>
    </row>
    <row r="366" spans="1:7" ht="37.5" x14ac:dyDescent="0.25">
      <c r="A366" s="200">
        <v>361</v>
      </c>
      <c r="B366" s="183" t="e">
        <f>DEEMSuite1&amp;" CRAC Gallery"</f>
        <v>#N/A</v>
      </c>
      <c r="C366" s="183" t="s">
        <v>2774</v>
      </c>
      <c r="D366" s="186" t="s">
        <v>2944</v>
      </c>
      <c r="E366" s="183" t="s">
        <v>1464</v>
      </c>
      <c r="F366" s="186"/>
      <c r="G366" s="186" t="s">
        <v>1519</v>
      </c>
    </row>
    <row r="367" spans="1:7" ht="37.5" x14ac:dyDescent="0.25">
      <c r="A367" s="200">
        <v>362</v>
      </c>
      <c r="B367" s="183" t="e">
        <f>DEEMSuite1&amp;" CRAC Gallery"</f>
        <v>#N/A</v>
      </c>
      <c r="C367" s="183" t="s">
        <v>2774</v>
      </c>
      <c r="D367" s="186" t="s">
        <v>2945</v>
      </c>
      <c r="E367" s="183" t="s">
        <v>1464</v>
      </c>
      <c r="F367" s="186"/>
      <c r="G367" s="186" t="s">
        <v>1519</v>
      </c>
    </row>
    <row r="368" spans="1:7" ht="37.5" x14ac:dyDescent="0.25">
      <c r="A368" s="200">
        <v>363</v>
      </c>
      <c r="B368" s="183" t="e">
        <f>DEEMSuite1&amp;" CRAC Gallery"</f>
        <v>#N/A</v>
      </c>
      <c r="C368" s="183" t="s">
        <v>2774</v>
      </c>
      <c r="D368" s="186" t="s">
        <v>2946</v>
      </c>
      <c r="E368" s="183" t="s">
        <v>1464</v>
      </c>
      <c r="F368" s="186"/>
      <c r="G368" s="186" t="s">
        <v>1519</v>
      </c>
    </row>
    <row r="369" spans="1:7" ht="37.5" x14ac:dyDescent="0.25">
      <c r="A369" s="200">
        <v>364</v>
      </c>
      <c r="B369" s="183" t="e">
        <f>DEEMSuite1&amp;" CRAC Gallery"</f>
        <v>#N/A</v>
      </c>
      <c r="C369" s="183" t="s">
        <v>2774</v>
      </c>
      <c r="D369" s="186" t="s">
        <v>2947</v>
      </c>
      <c r="E369" s="183" t="s">
        <v>1464</v>
      </c>
      <c r="F369" s="186"/>
      <c r="G369" s="186" t="s">
        <v>1519</v>
      </c>
    </row>
    <row r="370" spans="1:7" ht="37.5" x14ac:dyDescent="0.25">
      <c r="A370" s="200">
        <v>365</v>
      </c>
      <c r="B370" s="183" t="e">
        <f>DEEMSuite1&amp;" CRAC Gallery"</f>
        <v>#N/A</v>
      </c>
      <c r="C370" s="183" t="s">
        <v>2774</v>
      </c>
      <c r="D370" s="186" t="s">
        <v>2948</v>
      </c>
      <c r="E370" s="183" t="s">
        <v>1464</v>
      </c>
      <c r="F370" s="186"/>
      <c r="G370" s="186" t="s">
        <v>1519</v>
      </c>
    </row>
    <row r="371" spans="1:7" ht="37.5" x14ac:dyDescent="0.25">
      <c r="A371" s="200">
        <v>366</v>
      </c>
      <c r="B371" s="183" t="e">
        <f>DEEMSuite1&amp;" CRAC Gallery"</f>
        <v>#N/A</v>
      </c>
      <c r="C371" s="183" t="s">
        <v>2774</v>
      </c>
      <c r="D371" s="186" t="s">
        <v>2949</v>
      </c>
      <c r="E371" s="183" t="s">
        <v>1464</v>
      </c>
      <c r="F371" s="186"/>
      <c r="G371" s="186" t="s">
        <v>1519</v>
      </c>
    </row>
    <row r="372" spans="1:7" ht="37.5" x14ac:dyDescent="0.25">
      <c r="A372" s="200">
        <v>367</v>
      </c>
      <c r="B372" s="183" t="e">
        <f>DEEMSuite1&amp;" CRAC Gallery"</f>
        <v>#N/A</v>
      </c>
      <c r="C372" s="183" t="s">
        <v>2774</v>
      </c>
      <c r="D372" s="186" t="s">
        <v>2950</v>
      </c>
      <c r="E372" s="183" t="s">
        <v>1464</v>
      </c>
      <c r="F372" s="186"/>
      <c r="G372" s="186" t="s">
        <v>1519</v>
      </c>
    </row>
    <row r="373" spans="1:7" ht="37.5" x14ac:dyDescent="0.25">
      <c r="A373" s="200">
        <v>368</v>
      </c>
      <c r="B373" s="183" t="e">
        <f>DEEMSuite1&amp;" CRAC Gallery"</f>
        <v>#N/A</v>
      </c>
      <c r="C373" s="183" t="s">
        <v>2774</v>
      </c>
      <c r="D373" s="186" t="s">
        <v>2951</v>
      </c>
      <c r="E373" s="183" t="s">
        <v>1464</v>
      </c>
      <c r="F373" s="186"/>
      <c r="G373" s="186" t="s">
        <v>1519</v>
      </c>
    </row>
    <row r="374" spans="1:7" ht="37.5" x14ac:dyDescent="0.25">
      <c r="A374" s="200">
        <v>369</v>
      </c>
      <c r="B374" s="183" t="e">
        <f>DEEMSuite1&amp;" CRAC Gallery"</f>
        <v>#N/A</v>
      </c>
      <c r="C374" s="183" t="s">
        <v>2774</v>
      </c>
      <c r="D374" s="186" t="s">
        <v>2958</v>
      </c>
      <c r="E374" s="183" t="s">
        <v>1464</v>
      </c>
      <c r="F374" s="186"/>
      <c r="G374" s="186" t="s">
        <v>1519</v>
      </c>
    </row>
    <row r="375" spans="1:7" ht="37.5" x14ac:dyDescent="0.25">
      <c r="A375" s="200">
        <v>370</v>
      </c>
      <c r="B375" s="183" t="e">
        <f>DEEMSuite1&amp;" CRAC Gallery"</f>
        <v>#N/A</v>
      </c>
      <c r="C375" s="183" t="s">
        <v>2774</v>
      </c>
      <c r="D375" s="202" t="s">
        <v>2775</v>
      </c>
      <c r="E375" s="183" t="s">
        <v>1464</v>
      </c>
      <c r="F375" s="186"/>
      <c r="G375" s="186" t="s">
        <v>1519</v>
      </c>
    </row>
    <row r="376" spans="1:7" ht="37.5" x14ac:dyDescent="0.25">
      <c r="A376" s="200">
        <v>371</v>
      </c>
      <c r="B376" s="183" t="e">
        <f>DEEMSuite1&amp;" CRAC Gallery"</f>
        <v>#N/A</v>
      </c>
      <c r="C376" s="183" t="s">
        <v>2936</v>
      </c>
      <c r="D376" s="202" t="s">
        <v>2777</v>
      </c>
      <c r="E376" s="183" t="s">
        <v>1464</v>
      </c>
      <c r="F376" s="186"/>
      <c r="G376" s="186" t="s">
        <v>1519</v>
      </c>
    </row>
    <row r="377" spans="1:7" ht="56.25" x14ac:dyDescent="0.25">
      <c r="A377" s="200">
        <v>372</v>
      </c>
      <c r="B377" s="183" t="e">
        <f>DEEMSuite1&amp;" CRAC Gallery"</f>
        <v>#N/A</v>
      </c>
      <c r="C377" s="183" t="s">
        <v>2778</v>
      </c>
      <c r="D377" s="186" t="str">
        <f>"Add readings from previous 2 steps:  __________ kW and compare to step " &amp; A305 &amp; ":________. If the combined load on the paired PDUs has changed by more than 10 kW stop and inform the MOP facilitator."</f>
        <v>Add readings from previous 2 steps:  __________ kW and compare to step 300:________. If the combined load on the paired PDUs has changed by more than 10 kW stop and inform the MOP facilitator.</v>
      </c>
      <c r="E377" s="183" t="s">
        <v>1464</v>
      </c>
      <c r="F377" s="186"/>
      <c r="G377" s="186" t="s">
        <v>1519</v>
      </c>
    </row>
    <row r="378" spans="1:7" ht="37.5" x14ac:dyDescent="0.25">
      <c r="A378" s="200">
        <v>373</v>
      </c>
      <c r="B378" s="183" t="e">
        <f>DEEMSuite1&amp;" CRAC Gallery"</f>
        <v>#N/A</v>
      </c>
      <c r="C378" s="183" t="s">
        <v>2779</v>
      </c>
      <c r="D378" s="186" t="s">
        <v>2959</v>
      </c>
      <c r="E378" s="183" t="s">
        <v>1464</v>
      </c>
      <c r="F378" s="186"/>
      <c r="G378" s="186" t="s">
        <v>1519</v>
      </c>
    </row>
    <row r="379" spans="1:7" ht="37.5" x14ac:dyDescent="0.25">
      <c r="A379" s="200">
        <v>374</v>
      </c>
      <c r="B379" s="183" t="e">
        <f>DEEMSuite1&amp;" CRAC Gallery"</f>
        <v>#N/A</v>
      </c>
      <c r="C379" s="183" t="s">
        <v>2779</v>
      </c>
      <c r="D379" s="186" t="s">
        <v>2940</v>
      </c>
      <c r="E379" s="183" t="s">
        <v>1464</v>
      </c>
      <c r="F379" s="186"/>
      <c r="G379" s="186" t="s">
        <v>1519</v>
      </c>
    </row>
    <row r="380" spans="1:7" ht="37.5" x14ac:dyDescent="0.25">
      <c r="A380" s="200">
        <v>375</v>
      </c>
      <c r="B380" s="183" t="e">
        <f>DEEMSuite1&amp;" CRAC Gallery"</f>
        <v>#N/A</v>
      </c>
      <c r="C380" s="183" t="s">
        <v>2779</v>
      </c>
      <c r="D380" s="186" t="s">
        <v>2941</v>
      </c>
      <c r="E380" s="183" t="s">
        <v>1464</v>
      </c>
      <c r="F380" s="186"/>
      <c r="G380" s="186" t="s">
        <v>1519</v>
      </c>
    </row>
    <row r="381" spans="1:7" ht="37.5" x14ac:dyDescent="0.25">
      <c r="A381" s="200">
        <v>376</v>
      </c>
      <c r="B381" s="183" t="e">
        <f>DEEMSuite1&amp;" CRAC Gallery"</f>
        <v>#N/A</v>
      </c>
      <c r="C381" s="183" t="s">
        <v>2779</v>
      </c>
      <c r="D381" s="186" t="s">
        <v>2942</v>
      </c>
      <c r="E381" s="183" t="s">
        <v>1464</v>
      </c>
      <c r="F381" s="186"/>
      <c r="G381" s="186" t="s">
        <v>1519</v>
      </c>
    </row>
    <row r="382" spans="1:7" ht="37.5" x14ac:dyDescent="0.25">
      <c r="A382" s="200">
        <v>377</v>
      </c>
      <c r="B382" s="183" t="e">
        <f>DEEMSuite1&amp;" CRAC Gallery"</f>
        <v>#N/A</v>
      </c>
      <c r="C382" s="183" t="s">
        <v>2779</v>
      </c>
      <c r="D382" s="186" t="s">
        <v>2943</v>
      </c>
      <c r="E382" s="183" t="s">
        <v>1464</v>
      </c>
      <c r="F382" s="186"/>
      <c r="G382" s="186" t="s">
        <v>1519</v>
      </c>
    </row>
    <row r="383" spans="1:7" ht="37.5" x14ac:dyDescent="0.25">
      <c r="A383" s="200">
        <v>378</v>
      </c>
      <c r="B383" s="183" t="e">
        <f>DEEMSuite1&amp;" CRAC Gallery"</f>
        <v>#N/A</v>
      </c>
      <c r="C383" s="183" t="s">
        <v>2779</v>
      </c>
      <c r="D383" s="186" t="s">
        <v>2944</v>
      </c>
      <c r="E383" s="183" t="s">
        <v>1464</v>
      </c>
      <c r="F383" s="186"/>
      <c r="G383" s="186" t="s">
        <v>1519</v>
      </c>
    </row>
    <row r="384" spans="1:7" ht="37.5" x14ac:dyDescent="0.25">
      <c r="A384" s="200">
        <v>379</v>
      </c>
      <c r="B384" s="183" t="e">
        <f>DEEMSuite1&amp;" CRAC Gallery"</f>
        <v>#N/A</v>
      </c>
      <c r="C384" s="183" t="s">
        <v>2779</v>
      </c>
      <c r="D384" s="186" t="s">
        <v>2945</v>
      </c>
      <c r="E384" s="183" t="s">
        <v>1464</v>
      </c>
      <c r="F384" s="186"/>
      <c r="G384" s="186" t="s">
        <v>1519</v>
      </c>
    </row>
    <row r="385" spans="1:7" ht="37.5" x14ac:dyDescent="0.25">
      <c r="A385" s="200">
        <v>380</v>
      </c>
      <c r="B385" s="183" t="e">
        <f>DEEMSuite1&amp;" CRAC Gallery"</f>
        <v>#N/A</v>
      </c>
      <c r="C385" s="183" t="s">
        <v>2779</v>
      </c>
      <c r="D385" s="186" t="s">
        <v>2946</v>
      </c>
      <c r="E385" s="183" t="s">
        <v>1464</v>
      </c>
      <c r="F385" s="186"/>
      <c r="G385" s="186" t="s">
        <v>1519</v>
      </c>
    </row>
    <row r="386" spans="1:7" ht="37.5" x14ac:dyDescent="0.25">
      <c r="A386" s="200">
        <v>381</v>
      </c>
      <c r="B386" s="183" t="e">
        <f>DEEMSuite1&amp;" CRAC Gallery"</f>
        <v>#N/A</v>
      </c>
      <c r="C386" s="183" t="s">
        <v>2779</v>
      </c>
      <c r="D386" s="186" t="s">
        <v>2947</v>
      </c>
      <c r="E386" s="183" t="s">
        <v>1464</v>
      </c>
      <c r="F386" s="186"/>
      <c r="G386" s="186" t="s">
        <v>1519</v>
      </c>
    </row>
    <row r="387" spans="1:7" ht="37.5" x14ac:dyDescent="0.25">
      <c r="A387" s="200">
        <v>382</v>
      </c>
      <c r="B387" s="183" t="e">
        <f>DEEMSuite1&amp;" CRAC Gallery"</f>
        <v>#N/A</v>
      </c>
      <c r="C387" s="183" t="s">
        <v>2779</v>
      </c>
      <c r="D387" s="186" t="s">
        <v>2948</v>
      </c>
      <c r="E387" s="183" t="s">
        <v>1464</v>
      </c>
      <c r="F387" s="186"/>
      <c r="G387" s="186" t="s">
        <v>1519</v>
      </c>
    </row>
    <row r="388" spans="1:7" ht="37.5" x14ac:dyDescent="0.25">
      <c r="A388" s="200">
        <v>383</v>
      </c>
      <c r="B388" s="183" t="e">
        <f>DEEMSuite1&amp;" CRAC Gallery"</f>
        <v>#N/A</v>
      </c>
      <c r="C388" s="183" t="s">
        <v>2779</v>
      </c>
      <c r="D388" s="186" t="s">
        <v>2949</v>
      </c>
      <c r="E388" s="183" t="s">
        <v>1464</v>
      </c>
      <c r="F388" s="186"/>
      <c r="G388" s="186" t="s">
        <v>1519</v>
      </c>
    </row>
    <row r="389" spans="1:7" ht="37.5" x14ac:dyDescent="0.25">
      <c r="A389" s="200">
        <v>384</v>
      </c>
      <c r="B389" s="183" t="e">
        <f>DEEMSuite1&amp;" CRAC Gallery"</f>
        <v>#N/A</v>
      </c>
      <c r="C389" s="183" t="s">
        <v>2779</v>
      </c>
      <c r="D389" s="186" t="s">
        <v>2950</v>
      </c>
      <c r="E389" s="183" t="s">
        <v>1464</v>
      </c>
      <c r="F389" s="186"/>
      <c r="G389" s="186" t="s">
        <v>1519</v>
      </c>
    </row>
    <row r="390" spans="1:7" ht="37.5" x14ac:dyDescent="0.25">
      <c r="A390" s="200">
        <v>385</v>
      </c>
      <c r="B390" s="183" t="e">
        <f>DEEMSuite1&amp;" CRAC Gallery"</f>
        <v>#N/A</v>
      </c>
      <c r="C390" s="183" t="s">
        <v>2779</v>
      </c>
      <c r="D390" s="186" t="s">
        <v>2951</v>
      </c>
      <c r="E390" s="183" t="s">
        <v>1464</v>
      </c>
      <c r="F390" s="186"/>
      <c r="G390" s="186" t="s">
        <v>1519</v>
      </c>
    </row>
    <row r="391" spans="1:7" ht="37.5" x14ac:dyDescent="0.25">
      <c r="A391" s="200">
        <v>386</v>
      </c>
      <c r="B391" s="183" t="e">
        <f>DEEMSuite1&amp;" CRAC Gallery"</f>
        <v>#N/A</v>
      </c>
      <c r="C391" s="183" t="s">
        <v>2779</v>
      </c>
      <c r="D391" s="186" t="s">
        <v>2960</v>
      </c>
      <c r="E391" s="183" t="s">
        <v>1464</v>
      </c>
      <c r="F391" s="186"/>
      <c r="G391" s="186" t="s">
        <v>1519</v>
      </c>
    </row>
    <row r="392" spans="1:7" ht="37.5" x14ac:dyDescent="0.25">
      <c r="A392" s="200">
        <v>387</v>
      </c>
      <c r="B392" s="183" t="e">
        <f>DEEMSuite1&amp;" CRAC Gallery"</f>
        <v>#N/A</v>
      </c>
      <c r="C392" s="183" t="s">
        <v>2779</v>
      </c>
      <c r="D392" s="202" t="s">
        <v>2780</v>
      </c>
      <c r="E392" s="183" t="s">
        <v>1464</v>
      </c>
      <c r="F392" s="186"/>
      <c r="G392" s="186" t="s">
        <v>1519</v>
      </c>
    </row>
    <row r="393" spans="1:7" ht="37.5" x14ac:dyDescent="0.25">
      <c r="A393" s="200">
        <v>388</v>
      </c>
      <c r="B393" s="183" t="e">
        <f>DEEMSuite1&amp;" CRAC Gallery"</f>
        <v>#N/A</v>
      </c>
      <c r="C393" s="183" t="s">
        <v>2937</v>
      </c>
      <c r="D393" s="202" t="s">
        <v>2782</v>
      </c>
      <c r="E393" s="183" t="s">
        <v>1464</v>
      </c>
      <c r="F393" s="186"/>
      <c r="G393" s="186" t="s">
        <v>1519</v>
      </c>
    </row>
    <row r="394" spans="1:7" ht="56.25" x14ac:dyDescent="0.25">
      <c r="A394" s="200">
        <v>389</v>
      </c>
      <c r="B394" s="183" t="e">
        <f>DEEMSuite1&amp;" CRAC Gallery"</f>
        <v>#N/A</v>
      </c>
      <c r="C394" s="183" t="s">
        <v>2783</v>
      </c>
      <c r="D394" s="186" t="str">
        <f>"Add readings from previous 2 steps:  __________ kW and compare to step " &amp; A308 &amp; ":________. If the combined load on the paired PDUs has changed by more than 10 kW stop and inform the MOP facilitator."</f>
        <v>Add readings from previous 2 steps:  __________ kW and compare to step 303:________. If the combined load on the paired PDUs has changed by more than 10 kW stop and inform the MOP facilitator.</v>
      </c>
      <c r="E394" s="183" t="s">
        <v>1464</v>
      </c>
      <c r="F394" s="186"/>
      <c r="G394" s="186" t="s">
        <v>1519</v>
      </c>
    </row>
    <row r="395" spans="1:7" x14ac:dyDescent="0.25">
      <c r="A395" s="200">
        <v>390</v>
      </c>
      <c r="B395" s="756" t="s">
        <v>2961</v>
      </c>
      <c r="C395" s="757"/>
      <c r="D395" s="759"/>
      <c r="E395" s="757"/>
      <c r="F395" s="757"/>
      <c r="G395" s="758"/>
    </row>
    <row r="396" spans="1:7" ht="37.5" x14ac:dyDescent="0.25">
      <c r="A396" s="200">
        <v>391</v>
      </c>
      <c r="B396" s="183" t="e">
        <f>DEEMSuite1&amp;" Electrical Room A"</f>
        <v>#N/A</v>
      </c>
      <c r="C396" s="201" t="s">
        <v>2929</v>
      </c>
      <c r="D396" s="186" t="s">
        <v>2962</v>
      </c>
      <c r="E396" s="183" t="s">
        <v>1464</v>
      </c>
      <c r="F396" s="186"/>
      <c r="G396" s="186"/>
    </row>
    <row r="397" spans="1:7" ht="37.5" x14ac:dyDescent="0.25">
      <c r="A397" s="200">
        <v>392</v>
      </c>
      <c r="B397" s="183" t="e">
        <f>DEEMSuite1&amp;" Electrical Room A"</f>
        <v>#N/A</v>
      </c>
      <c r="C397" s="201" t="s">
        <v>2929</v>
      </c>
      <c r="D397" s="186" t="s">
        <v>2963</v>
      </c>
      <c r="E397" s="183" t="s">
        <v>1464</v>
      </c>
      <c r="F397" s="186"/>
      <c r="G397" s="186"/>
    </row>
    <row r="398" spans="1:7" ht="37.5" x14ac:dyDescent="0.25">
      <c r="A398" s="200">
        <v>393</v>
      </c>
      <c r="B398" s="183" t="e">
        <f>DEEMSuite1&amp;" Electrical Room A"</f>
        <v>#N/A</v>
      </c>
      <c r="C398" s="201" t="s">
        <v>2929</v>
      </c>
      <c r="D398" s="186" t="s">
        <v>2964</v>
      </c>
      <c r="E398" s="183" t="s">
        <v>1464</v>
      </c>
      <c r="F398" s="186"/>
      <c r="G398" s="186"/>
    </row>
    <row r="399" spans="1:7" ht="37.5" x14ac:dyDescent="0.25">
      <c r="A399" s="200">
        <v>394</v>
      </c>
      <c r="B399" s="183" t="e">
        <f>DEEMSuite1&amp;" Electrical Room A"</f>
        <v>#N/A</v>
      </c>
      <c r="C399" s="201" t="s">
        <v>2929</v>
      </c>
      <c r="D399" s="186" t="s">
        <v>2965</v>
      </c>
      <c r="E399" s="183" t="s">
        <v>1464</v>
      </c>
      <c r="F399" s="186"/>
      <c r="G399" s="186"/>
    </row>
    <row r="400" spans="1:7" ht="37.5" x14ac:dyDescent="0.25">
      <c r="A400" s="200">
        <v>395</v>
      </c>
      <c r="B400" s="183" t="e">
        <f>DEEMSuite1&amp;" Electrical Room A"</f>
        <v>#N/A</v>
      </c>
      <c r="C400" s="201" t="s">
        <v>2929</v>
      </c>
      <c r="D400" s="186" t="s">
        <v>2966</v>
      </c>
      <c r="E400" s="183" t="s">
        <v>1464</v>
      </c>
      <c r="F400" s="186"/>
      <c r="G400" s="186"/>
    </row>
    <row r="401" spans="1:7" ht="37.5" x14ac:dyDescent="0.25">
      <c r="A401" s="200">
        <v>396</v>
      </c>
      <c r="B401" s="183" t="e">
        <f>DEEMSuite1&amp;" Electrical Room A"</f>
        <v>#N/A</v>
      </c>
      <c r="C401" s="201" t="s">
        <v>2929</v>
      </c>
      <c r="D401" s="186" t="s">
        <v>2967</v>
      </c>
      <c r="E401" s="183" t="s">
        <v>1464</v>
      </c>
      <c r="F401" s="186"/>
      <c r="G401" s="186"/>
    </row>
    <row r="402" spans="1:7" ht="37.5" x14ac:dyDescent="0.25">
      <c r="A402" s="200">
        <v>397</v>
      </c>
      <c r="B402" s="183" t="e">
        <f>DEEMSuite1&amp;" Electrical Room A"</f>
        <v>#N/A</v>
      </c>
      <c r="C402" s="201" t="s">
        <v>2929</v>
      </c>
      <c r="D402" s="186" t="s">
        <v>2968</v>
      </c>
      <c r="E402" s="183" t="s">
        <v>1464</v>
      </c>
      <c r="F402" s="186"/>
      <c r="G402" s="186"/>
    </row>
    <row r="403" spans="1:7" ht="37.5" x14ac:dyDescent="0.25">
      <c r="A403" s="200">
        <v>398</v>
      </c>
      <c r="B403" s="183" t="e">
        <f>DEEMSuite1&amp;" Electrical Room A"</f>
        <v>#N/A</v>
      </c>
      <c r="C403" s="201" t="s">
        <v>2929</v>
      </c>
      <c r="D403" s="186" t="s">
        <v>2969</v>
      </c>
      <c r="E403" s="183" t="s">
        <v>1464</v>
      </c>
      <c r="F403" s="186"/>
      <c r="G403" s="186"/>
    </row>
    <row r="404" spans="1:7" ht="37.5" x14ac:dyDescent="0.25">
      <c r="A404" s="200">
        <v>399</v>
      </c>
      <c r="B404" s="183" t="e">
        <f>DEEMSuite1&amp;" Electrical Room A"</f>
        <v>#N/A</v>
      </c>
      <c r="C404" s="201" t="s">
        <v>2929</v>
      </c>
      <c r="D404" s="186" t="s">
        <v>2970</v>
      </c>
      <c r="E404" s="183" t="s">
        <v>1464</v>
      </c>
      <c r="F404" s="186"/>
      <c r="G404" s="186"/>
    </row>
    <row r="405" spans="1:7" ht="37.5" x14ac:dyDescent="0.25">
      <c r="A405" s="200">
        <v>400</v>
      </c>
      <c r="B405" s="183" t="e">
        <f>DEEMSuite1&amp;" Electrical Room A"</f>
        <v>#N/A</v>
      </c>
      <c r="C405" s="201" t="s">
        <v>2929</v>
      </c>
      <c r="D405" s="186" t="s">
        <v>2971</v>
      </c>
      <c r="E405" s="183" t="s">
        <v>1464</v>
      </c>
      <c r="F405" s="186"/>
      <c r="G405" s="186" t="s">
        <v>1519</v>
      </c>
    </row>
    <row r="406" spans="1:7" ht="37.5" x14ac:dyDescent="0.25">
      <c r="A406" s="200">
        <v>401</v>
      </c>
      <c r="B406" s="183" t="e">
        <f>DEEMSuite1&amp;" Electrical Room A"</f>
        <v>#N/A</v>
      </c>
      <c r="C406" s="201" t="s">
        <v>2929</v>
      </c>
      <c r="D406" s="186" t="s">
        <v>2972</v>
      </c>
      <c r="E406" s="183" t="s">
        <v>1464</v>
      </c>
      <c r="F406" s="186"/>
      <c r="G406" s="186" t="s">
        <v>1519</v>
      </c>
    </row>
    <row r="407" spans="1:7" ht="37.5" x14ac:dyDescent="0.25">
      <c r="A407" s="200">
        <v>402</v>
      </c>
      <c r="B407" s="183" t="e">
        <f>DEEMSuite1&amp;" Electrical Room A"</f>
        <v>#N/A</v>
      </c>
      <c r="C407" s="201" t="s">
        <v>2929</v>
      </c>
      <c r="D407" s="186" t="s">
        <v>2973</v>
      </c>
      <c r="E407" s="183" t="s">
        <v>1464</v>
      </c>
      <c r="F407" s="186"/>
      <c r="G407" s="186" t="s">
        <v>1519</v>
      </c>
    </row>
    <row r="408" spans="1:7" ht="37.5" x14ac:dyDescent="0.25">
      <c r="A408" s="200">
        <v>403</v>
      </c>
      <c r="B408" s="183" t="e">
        <f>DEEMSuite1&amp;" Electrical Room A"</f>
        <v>#N/A</v>
      </c>
      <c r="C408" s="201" t="s">
        <v>2929</v>
      </c>
      <c r="D408" s="186" t="s">
        <v>2974</v>
      </c>
      <c r="E408" s="183" t="s">
        <v>1464</v>
      </c>
      <c r="F408" s="186"/>
      <c r="G408" s="186" t="s">
        <v>1519</v>
      </c>
    </row>
    <row r="409" spans="1:7" ht="37.5" x14ac:dyDescent="0.25">
      <c r="A409" s="200">
        <v>404</v>
      </c>
      <c r="B409" s="183" t="s">
        <v>1462</v>
      </c>
      <c r="C409" s="183" t="s">
        <v>84</v>
      </c>
      <c r="D409" s="186" t="e">
        <f>"Verify all BMS indications for suite " &amp; DEEMSuite1 &amp; " are normal by contacting the Engineer stationed on base."</f>
        <v>#N/A</v>
      </c>
      <c r="E409" s="183" t="s">
        <v>1464</v>
      </c>
      <c r="F409" s="186"/>
      <c r="G409" s="186" t="s">
        <v>1519</v>
      </c>
    </row>
    <row r="410" spans="1:7" ht="37.5" x14ac:dyDescent="0.25">
      <c r="A410" s="200">
        <v>405</v>
      </c>
      <c r="B410" s="183" t="e">
        <f>DEEMSuite1&amp;" Suite"</f>
        <v>#N/A</v>
      </c>
      <c r="C410" s="201" t="s">
        <v>2687</v>
      </c>
      <c r="D410" s="186" t="s">
        <v>2975</v>
      </c>
      <c r="E410" s="183" t="s">
        <v>1464</v>
      </c>
      <c r="F410" s="186"/>
      <c r="G410" s="186" t="s">
        <v>1519</v>
      </c>
    </row>
    <row r="411" spans="1:7" ht="37.5" x14ac:dyDescent="0.25">
      <c r="A411" s="200">
        <v>406</v>
      </c>
      <c r="B411" s="183" t="e">
        <f>DEEMSuite1&amp;" Suite"</f>
        <v>#N/A</v>
      </c>
      <c r="C411" s="201" t="s">
        <v>2687</v>
      </c>
      <c r="D411" s="186" t="s">
        <v>2976</v>
      </c>
      <c r="E411" s="183" t="s">
        <v>1464</v>
      </c>
      <c r="F411" s="186"/>
      <c r="G411" s="186" t="s">
        <v>1519</v>
      </c>
    </row>
    <row r="412" spans="1:7" ht="37.5" x14ac:dyDescent="0.25">
      <c r="A412" s="200">
        <v>407</v>
      </c>
      <c r="B412" s="183" t="e">
        <f>DEEMSuite1&amp;" Electrical Room A"</f>
        <v>#N/A</v>
      </c>
      <c r="C412" s="201" t="s">
        <v>2929</v>
      </c>
      <c r="D412" s="202" t="s">
        <v>2977</v>
      </c>
      <c r="E412" s="183" t="s">
        <v>1464</v>
      </c>
      <c r="F412" s="186"/>
      <c r="G412" s="186" t="s">
        <v>1519</v>
      </c>
    </row>
    <row r="413" spans="1:7" x14ac:dyDescent="0.25">
      <c r="A413" s="200">
        <v>408</v>
      </c>
      <c r="B413" s="756" t="s">
        <v>2978</v>
      </c>
      <c r="C413" s="757"/>
      <c r="D413" s="759"/>
      <c r="E413" s="757"/>
      <c r="F413" s="757"/>
      <c r="G413" s="758"/>
    </row>
    <row r="414" spans="1:7" ht="37.5" x14ac:dyDescent="0.25">
      <c r="A414" s="200">
        <v>409</v>
      </c>
      <c r="B414" s="183" t="e">
        <f>DEEMSuite1&amp;" Electrical Room A"</f>
        <v>#N/A</v>
      </c>
      <c r="C414" s="183" t="s">
        <v>2979</v>
      </c>
      <c r="D414" s="187" t="s">
        <v>2980</v>
      </c>
      <c r="E414" s="183" t="s">
        <v>1464</v>
      </c>
      <c r="F414" s="186"/>
      <c r="G414" s="186" t="s">
        <v>1519</v>
      </c>
    </row>
    <row r="415" spans="1:7" ht="37.5" x14ac:dyDescent="0.25">
      <c r="A415" s="200">
        <v>410</v>
      </c>
      <c r="B415" s="183" t="e">
        <f>DEEMSuite1&amp;" Electrical Room A"</f>
        <v>#N/A</v>
      </c>
      <c r="C415" s="183" t="s">
        <v>2979</v>
      </c>
      <c r="D415" s="187" t="s">
        <v>2981</v>
      </c>
      <c r="E415" s="183" t="s">
        <v>1464</v>
      </c>
      <c r="F415" s="186"/>
      <c r="G415" s="187" t="s">
        <v>1519</v>
      </c>
    </row>
    <row r="416" spans="1:7" ht="37.5" x14ac:dyDescent="0.25">
      <c r="A416" s="200">
        <v>411</v>
      </c>
      <c r="B416" s="183" t="e">
        <f>DEEMSuite1&amp;" Electrical Room A"</f>
        <v>#N/A</v>
      </c>
      <c r="C416" s="183" t="s">
        <v>2979</v>
      </c>
      <c r="D416" s="187" t="s">
        <v>2982</v>
      </c>
      <c r="E416" s="183" t="s">
        <v>1464</v>
      </c>
      <c r="F416" s="186"/>
      <c r="G416" s="187" t="s">
        <v>1519</v>
      </c>
    </row>
    <row r="417" spans="1:7" ht="37.5" x14ac:dyDescent="0.25">
      <c r="A417" s="200">
        <v>412</v>
      </c>
      <c r="B417" s="183" t="e">
        <f>DEEMSuite1&amp;" Electrical Room A"</f>
        <v>#N/A</v>
      </c>
      <c r="C417" s="183" t="s">
        <v>2979</v>
      </c>
      <c r="D417" s="186" t="s">
        <v>2983</v>
      </c>
      <c r="E417" s="183" t="s">
        <v>1464</v>
      </c>
      <c r="F417" s="186"/>
      <c r="G417" s="187" t="s">
        <v>1519</v>
      </c>
    </row>
    <row r="418" spans="1:7" ht="37.5" x14ac:dyDescent="0.25">
      <c r="A418" s="200">
        <v>413</v>
      </c>
      <c r="B418" s="183" t="e">
        <f>DEEMSuite1&amp;" Electrical Room A"</f>
        <v>#N/A</v>
      </c>
      <c r="C418" s="183" t="s">
        <v>2979</v>
      </c>
      <c r="D418" s="186" t="s">
        <v>2984</v>
      </c>
      <c r="E418" s="183" t="s">
        <v>1464</v>
      </c>
      <c r="F418" s="186"/>
      <c r="G418" s="187" t="s">
        <v>1519</v>
      </c>
    </row>
    <row r="419" spans="1:7" ht="37.5" x14ac:dyDescent="0.25">
      <c r="A419" s="200">
        <v>414</v>
      </c>
      <c r="B419" s="183" t="e">
        <f>DEEMSuite1&amp;" Electrical Room A"</f>
        <v>#N/A</v>
      </c>
      <c r="C419" s="183" t="s">
        <v>2979</v>
      </c>
      <c r="D419" s="186" t="s">
        <v>2985</v>
      </c>
      <c r="E419" s="183" t="s">
        <v>1464</v>
      </c>
      <c r="F419" s="186"/>
      <c r="G419" s="187" t="s">
        <v>1519</v>
      </c>
    </row>
    <row r="420" spans="1:7" ht="37.5" x14ac:dyDescent="0.25">
      <c r="A420" s="200">
        <v>415</v>
      </c>
      <c r="B420" s="183" t="e">
        <f>DEEMSuite1&amp;" Electrical Room A"</f>
        <v>#N/A</v>
      </c>
      <c r="C420" s="183" t="s">
        <v>2979</v>
      </c>
      <c r="D420" s="187" t="s">
        <v>2986</v>
      </c>
      <c r="E420" s="183" t="s">
        <v>1464</v>
      </c>
      <c r="F420" s="186"/>
      <c r="G420" s="187" t="s">
        <v>1519</v>
      </c>
    </row>
    <row r="421" spans="1:7" ht="37.5" x14ac:dyDescent="0.25">
      <c r="A421" s="200">
        <v>416</v>
      </c>
      <c r="B421" s="183" t="e">
        <f>DEEMSuite1&amp;" Electrical Room A"</f>
        <v>#N/A</v>
      </c>
      <c r="C421" s="183" t="s">
        <v>2987</v>
      </c>
      <c r="D421" s="186" t="s">
        <v>2988</v>
      </c>
      <c r="E421" s="183" t="s">
        <v>1464</v>
      </c>
      <c r="F421" s="186"/>
      <c r="G421" s="187" t="s">
        <v>1519</v>
      </c>
    </row>
    <row r="422" spans="1:7" ht="37.5" x14ac:dyDescent="0.25">
      <c r="A422" s="200">
        <v>417</v>
      </c>
      <c r="B422" s="183" t="e">
        <f>DEEMSuite1&amp;" Electrical Room A"</f>
        <v>#N/A</v>
      </c>
      <c r="C422" s="183" t="s">
        <v>84</v>
      </c>
      <c r="D422" s="204" t="s">
        <v>1501</v>
      </c>
      <c r="E422" s="183" t="s">
        <v>1464</v>
      </c>
      <c r="F422" s="186"/>
      <c r="G422" s="187" t="s">
        <v>1519</v>
      </c>
    </row>
    <row r="423" spans="1:7" ht="37.5" x14ac:dyDescent="0.25">
      <c r="A423" s="200">
        <v>418</v>
      </c>
      <c r="B423" s="183" t="e">
        <f>DEEMSuite1&amp;" Electrical Room A"</f>
        <v>#N/A</v>
      </c>
      <c r="C423" s="183" t="s">
        <v>2979</v>
      </c>
      <c r="D423" s="186" t="s">
        <v>2989</v>
      </c>
      <c r="E423" s="183" t="s">
        <v>1464</v>
      </c>
      <c r="F423" s="186"/>
      <c r="G423" s="187" t="s">
        <v>1519</v>
      </c>
    </row>
    <row r="424" spans="1:7" ht="37.5" x14ac:dyDescent="0.25">
      <c r="A424" s="200">
        <v>419</v>
      </c>
      <c r="B424" s="183" t="e">
        <f>DEEMSuite1&amp;" Electrical Room A"</f>
        <v>#N/A</v>
      </c>
      <c r="C424" s="183" t="s">
        <v>2990</v>
      </c>
      <c r="D424" s="186" t="s">
        <v>2991</v>
      </c>
      <c r="E424" s="183" t="s">
        <v>1464</v>
      </c>
      <c r="F424" s="186"/>
      <c r="G424" s="187"/>
    </row>
    <row r="425" spans="1:7" ht="37.5" x14ac:dyDescent="0.25">
      <c r="A425" s="200">
        <v>420</v>
      </c>
      <c r="B425" s="183" t="e">
        <f>DEEMSuite1&amp;" Electrical Room A"</f>
        <v>#N/A</v>
      </c>
      <c r="C425" s="183" t="s">
        <v>1470</v>
      </c>
      <c r="D425" s="187" t="s">
        <v>1648</v>
      </c>
      <c r="E425" s="183" t="s">
        <v>1464</v>
      </c>
      <c r="F425" s="186"/>
      <c r="G425" s="187" t="s">
        <v>1519</v>
      </c>
    </row>
    <row r="426" spans="1:7" ht="37.5" x14ac:dyDescent="0.25">
      <c r="A426" s="200">
        <v>421</v>
      </c>
      <c r="B426" s="183" t="e">
        <f>DEEMSuite1&amp;" Electrical Room A"</f>
        <v>#N/A</v>
      </c>
      <c r="C426" s="183" t="s">
        <v>2979</v>
      </c>
      <c r="D426" s="186" t="s">
        <v>1650</v>
      </c>
      <c r="E426" s="183" t="s">
        <v>1464</v>
      </c>
      <c r="F426" s="186"/>
      <c r="G426" s="187" t="s">
        <v>1519</v>
      </c>
    </row>
    <row r="427" spans="1:7" ht="37.5" x14ac:dyDescent="0.25">
      <c r="A427" s="200">
        <v>422</v>
      </c>
      <c r="B427" s="183" t="e">
        <f>DEEMSuite1&amp;" Electrical Room A"</f>
        <v>#N/A</v>
      </c>
      <c r="C427" s="183" t="s">
        <v>1470</v>
      </c>
      <c r="D427" s="187" t="s">
        <v>1651</v>
      </c>
      <c r="E427" s="183" t="s">
        <v>1464</v>
      </c>
      <c r="F427" s="186"/>
      <c r="G427" s="187" t="s">
        <v>1519</v>
      </c>
    </row>
    <row r="428" spans="1:7" ht="37.5" x14ac:dyDescent="0.25">
      <c r="A428" s="200">
        <v>423</v>
      </c>
      <c r="B428" s="183" t="e">
        <f>DEEMSuite1&amp;" Electrical Room A"</f>
        <v>#N/A</v>
      </c>
      <c r="C428" s="183" t="s">
        <v>2990</v>
      </c>
      <c r="D428" s="186" t="s">
        <v>1650</v>
      </c>
      <c r="E428" s="183" t="s">
        <v>1464</v>
      </c>
      <c r="F428" s="186"/>
      <c r="G428" s="187" t="s">
        <v>1519</v>
      </c>
    </row>
    <row r="429" spans="1:7" ht="37.5" x14ac:dyDescent="0.25">
      <c r="A429" s="200">
        <v>424</v>
      </c>
      <c r="B429" s="183" t="e">
        <f>DEEMSuite1&amp;" Battery Room A"</f>
        <v>#N/A</v>
      </c>
      <c r="C429" s="183" t="s">
        <v>1770</v>
      </c>
      <c r="D429" s="186" t="s">
        <v>2992</v>
      </c>
      <c r="E429" s="183" t="s">
        <v>1464</v>
      </c>
      <c r="F429" s="186"/>
      <c r="G429" s="187"/>
    </row>
    <row r="430" spans="1:7" ht="56.25" x14ac:dyDescent="0.25">
      <c r="A430" s="200">
        <v>425</v>
      </c>
      <c r="B430" s="183" t="e">
        <f>DEEMSuite1&amp;" Battery Room A"</f>
        <v>#N/A</v>
      </c>
      <c r="C430" s="183" t="s">
        <v>2993</v>
      </c>
      <c r="D430" s="187" t="s">
        <v>2994</v>
      </c>
      <c r="E430" s="183" t="s">
        <v>1464</v>
      </c>
      <c r="F430" s="186"/>
      <c r="G430" s="187" t="s">
        <v>1519</v>
      </c>
    </row>
    <row r="431" spans="1:7" ht="56.25" x14ac:dyDescent="0.25">
      <c r="A431" s="200">
        <v>426</v>
      </c>
      <c r="B431" s="183" t="e">
        <f>DEEMSuite1&amp;" Battery Room A"</f>
        <v>#N/A</v>
      </c>
      <c r="C431" s="183" t="s">
        <v>2993</v>
      </c>
      <c r="D431" s="187" t="s">
        <v>2995</v>
      </c>
      <c r="E431" s="183" t="s">
        <v>1464</v>
      </c>
      <c r="F431" s="186"/>
      <c r="G431" s="187"/>
    </row>
    <row r="432" spans="1:7" ht="56.25" x14ac:dyDescent="0.25">
      <c r="A432" s="200">
        <v>427</v>
      </c>
      <c r="B432" s="183" t="e">
        <f>DEEMSuite1&amp;" Battery Room A"</f>
        <v>#N/A</v>
      </c>
      <c r="C432" s="183" t="s">
        <v>2996</v>
      </c>
      <c r="D432" s="187" t="s">
        <v>2997</v>
      </c>
      <c r="E432" s="183" t="s">
        <v>1464</v>
      </c>
      <c r="F432" s="186"/>
      <c r="G432" s="187" t="s">
        <v>1519</v>
      </c>
    </row>
    <row r="433" spans="1:7" ht="56.25" x14ac:dyDescent="0.25">
      <c r="A433" s="200">
        <v>428</v>
      </c>
      <c r="B433" s="183" t="e">
        <f>DEEMSuite1&amp;" Battery Room A"</f>
        <v>#N/A</v>
      </c>
      <c r="C433" s="183" t="s">
        <v>2996</v>
      </c>
      <c r="D433" s="187" t="s">
        <v>2998</v>
      </c>
      <c r="E433" s="183" t="s">
        <v>1464</v>
      </c>
      <c r="F433" s="186"/>
      <c r="G433" s="187"/>
    </row>
    <row r="434" spans="1:7" ht="56.25" x14ac:dyDescent="0.25">
      <c r="A434" s="200">
        <v>429</v>
      </c>
      <c r="B434" s="183" t="e">
        <f>DEEMSuite1&amp;" Battery Room A"</f>
        <v>#N/A</v>
      </c>
      <c r="C434" s="183" t="s">
        <v>2999</v>
      </c>
      <c r="D434" s="187" t="s">
        <v>3000</v>
      </c>
      <c r="E434" s="183" t="s">
        <v>1464</v>
      </c>
      <c r="F434" s="186"/>
      <c r="G434" s="187" t="s">
        <v>1519</v>
      </c>
    </row>
    <row r="435" spans="1:7" ht="56.25" x14ac:dyDescent="0.25">
      <c r="A435" s="200">
        <v>430</v>
      </c>
      <c r="B435" s="183" t="e">
        <f>DEEMSuite1&amp;" Battery Room A"</f>
        <v>#N/A</v>
      </c>
      <c r="C435" s="183" t="s">
        <v>2999</v>
      </c>
      <c r="D435" s="187" t="s">
        <v>3001</v>
      </c>
      <c r="E435" s="183" t="s">
        <v>1464</v>
      </c>
      <c r="F435" s="186"/>
      <c r="G435" s="187"/>
    </row>
    <row r="436" spans="1:7" ht="56.25" x14ac:dyDescent="0.25">
      <c r="A436" s="200">
        <v>431</v>
      </c>
      <c r="B436" s="183" t="e">
        <f>DEEMSuite1&amp;" Battery Room A"</f>
        <v>#N/A</v>
      </c>
      <c r="C436" s="183" t="s">
        <v>3002</v>
      </c>
      <c r="D436" s="187" t="s">
        <v>3003</v>
      </c>
      <c r="E436" s="183" t="s">
        <v>1464</v>
      </c>
      <c r="F436" s="186"/>
      <c r="G436" s="187" t="s">
        <v>1519</v>
      </c>
    </row>
    <row r="437" spans="1:7" ht="56.25" x14ac:dyDescent="0.25">
      <c r="A437" s="200">
        <v>432</v>
      </c>
      <c r="B437" s="183" t="e">
        <f>DEEMSuite1&amp;" Battery Room A"</f>
        <v>#N/A</v>
      </c>
      <c r="C437" s="183" t="s">
        <v>3002</v>
      </c>
      <c r="D437" s="187" t="s">
        <v>3004</v>
      </c>
      <c r="E437" s="183" t="s">
        <v>1464</v>
      </c>
      <c r="F437" s="186"/>
      <c r="G437" s="187"/>
    </row>
    <row r="438" spans="1:7" ht="37.5" x14ac:dyDescent="0.25">
      <c r="A438" s="200">
        <v>433</v>
      </c>
      <c r="B438" s="183" t="e">
        <f>DEEMSuite1&amp;" Battery Room A"</f>
        <v>#N/A</v>
      </c>
      <c r="C438" s="183" t="s">
        <v>1791</v>
      </c>
      <c r="D438" s="186" t="s">
        <v>2992</v>
      </c>
      <c r="E438" s="183" t="s">
        <v>1464</v>
      </c>
      <c r="F438" s="186"/>
      <c r="G438" s="187"/>
    </row>
    <row r="439" spans="1:7" ht="56.25" x14ac:dyDescent="0.25">
      <c r="A439" s="200">
        <v>434</v>
      </c>
      <c r="B439" s="183" t="e">
        <f>DEEMSuite1&amp;" Battery Room A"</f>
        <v>#N/A</v>
      </c>
      <c r="C439" s="183" t="s">
        <v>3005</v>
      </c>
      <c r="D439" s="187" t="s">
        <v>2994</v>
      </c>
      <c r="E439" s="183" t="s">
        <v>1464</v>
      </c>
      <c r="F439" s="186"/>
      <c r="G439" s="187" t="s">
        <v>1519</v>
      </c>
    </row>
    <row r="440" spans="1:7" ht="56.25" x14ac:dyDescent="0.25">
      <c r="A440" s="200">
        <v>435</v>
      </c>
      <c r="B440" s="183" t="e">
        <f>DEEMSuite1&amp;" Battery Room A"</f>
        <v>#N/A</v>
      </c>
      <c r="C440" s="183" t="s">
        <v>3005</v>
      </c>
      <c r="D440" s="187" t="s">
        <v>2995</v>
      </c>
      <c r="E440" s="183" t="s">
        <v>1464</v>
      </c>
      <c r="F440" s="186"/>
      <c r="G440" s="187"/>
    </row>
    <row r="441" spans="1:7" ht="56.25" x14ac:dyDescent="0.25">
      <c r="A441" s="200">
        <v>436</v>
      </c>
      <c r="B441" s="183" t="e">
        <f>DEEMSuite1&amp;" Battery Room A"</f>
        <v>#N/A</v>
      </c>
      <c r="C441" s="183" t="s">
        <v>3006</v>
      </c>
      <c r="D441" s="187" t="s">
        <v>2997</v>
      </c>
      <c r="E441" s="183" t="s">
        <v>1464</v>
      </c>
      <c r="F441" s="186"/>
      <c r="G441" s="187" t="s">
        <v>1519</v>
      </c>
    </row>
    <row r="442" spans="1:7" ht="56.25" x14ac:dyDescent="0.25">
      <c r="A442" s="200">
        <v>437</v>
      </c>
      <c r="B442" s="183" t="e">
        <f>DEEMSuite1&amp;" Battery Room A"</f>
        <v>#N/A</v>
      </c>
      <c r="C442" s="183" t="s">
        <v>3006</v>
      </c>
      <c r="D442" s="187" t="s">
        <v>2998</v>
      </c>
      <c r="E442" s="183" t="s">
        <v>1464</v>
      </c>
      <c r="F442" s="186"/>
      <c r="G442" s="187"/>
    </row>
    <row r="443" spans="1:7" ht="56.25" x14ac:dyDescent="0.25">
      <c r="A443" s="200">
        <v>438</v>
      </c>
      <c r="B443" s="183" t="e">
        <f>DEEMSuite1&amp;" Battery Room A"</f>
        <v>#N/A</v>
      </c>
      <c r="C443" s="183" t="s">
        <v>3007</v>
      </c>
      <c r="D443" s="187" t="s">
        <v>3000</v>
      </c>
      <c r="E443" s="183" t="s">
        <v>1464</v>
      </c>
      <c r="F443" s="186"/>
      <c r="G443" s="187" t="s">
        <v>1519</v>
      </c>
    </row>
    <row r="444" spans="1:7" ht="56.25" x14ac:dyDescent="0.25">
      <c r="A444" s="200">
        <v>439</v>
      </c>
      <c r="B444" s="183" t="e">
        <f>DEEMSuite1&amp;" Battery Room A"</f>
        <v>#N/A</v>
      </c>
      <c r="C444" s="183" t="s">
        <v>3007</v>
      </c>
      <c r="D444" s="187" t="s">
        <v>3001</v>
      </c>
      <c r="E444" s="183" t="s">
        <v>1464</v>
      </c>
      <c r="F444" s="186"/>
      <c r="G444" s="187"/>
    </row>
    <row r="445" spans="1:7" ht="56.25" x14ac:dyDescent="0.25">
      <c r="A445" s="200">
        <v>440</v>
      </c>
      <c r="B445" s="183" t="e">
        <f>DEEMSuite1&amp;" Battery Room A"</f>
        <v>#N/A</v>
      </c>
      <c r="C445" s="183" t="s">
        <v>3008</v>
      </c>
      <c r="D445" s="187" t="s">
        <v>3003</v>
      </c>
      <c r="E445" s="183" t="s">
        <v>1464</v>
      </c>
      <c r="F445" s="186"/>
      <c r="G445" s="187" t="s">
        <v>1519</v>
      </c>
    </row>
    <row r="446" spans="1:7" ht="56.25" x14ac:dyDescent="0.25">
      <c r="A446" s="200">
        <v>441</v>
      </c>
      <c r="B446" s="183" t="e">
        <f>DEEMSuite1&amp;" Battery Room A"</f>
        <v>#N/A</v>
      </c>
      <c r="C446" s="183" t="s">
        <v>3008</v>
      </c>
      <c r="D446" s="187" t="s">
        <v>3004</v>
      </c>
      <c r="E446" s="183" t="s">
        <v>1464</v>
      </c>
      <c r="F446" s="186"/>
      <c r="G446" s="187"/>
    </row>
    <row r="447" spans="1:7" ht="37.5" x14ac:dyDescent="0.25">
      <c r="A447" s="200">
        <v>442</v>
      </c>
      <c r="B447" s="183" t="e">
        <f>DEEMSuite1&amp;" Electrical Room A"</f>
        <v>#N/A</v>
      </c>
      <c r="C447" s="183" t="s">
        <v>2737</v>
      </c>
      <c r="D447" s="187" t="s">
        <v>3009</v>
      </c>
      <c r="E447" s="183" t="s">
        <v>1464</v>
      </c>
      <c r="F447" s="186"/>
      <c r="G447" s="187" t="s">
        <v>1519</v>
      </c>
    </row>
    <row r="448" spans="1:7" ht="37.5" x14ac:dyDescent="0.25">
      <c r="A448" s="200">
        <v>443</v>
      </c>
      <c r="B448" s="183" t="e">
        <f>DEEMSuite1&amp;" Electrical Room A"</f>
        <v>#N/A</v>
      </c>
      <c r="C448" s="183" t="s">
        <v>2737</v>
      </c>
      <c r="D448" s="187" t="s">
        <v>3010</v>
      </c>
      <c r="E448" s="183" t="s">
        <v>1464</v>
      </c>
      <c r="F448" s="186"/>
      <c r="G448" s="187" t="s">
        <v>1519</v>
      </c>
    </row>
    <row r="449" spans="1:7" ht="37.5" x14ac:dyDescent="0.25">
      <c r="A449" s="200">
        <v>444</v>
      </c>
      <c r="B449" s="183" t="e">
        <f>DEEMSuite1&amp;" Electrical Room A"</f>
        <v>#N/A</v>
      </c>
      <c r="C449" s="183" t="s">
        <v>1470</v>
      </c>
      <c r="D449" s="187" t="s">
        <v>1639</v>
      </c>
      <c r="E449" s="183" t="s">
        <v>1464</v>
      </c>
      <c r="F449" s="186"/>
      <c r="G449" s="187" t="s">
        <v>1519</v>
      </c>
    </row>
    <row r="450" spans="1:7" x14ac:dyDescent="0.25">
      <c r="A450" s="200">
        <v>445</v>
      </c>
      <c r="B450" s="756" t="s">
        <v>3011</v>
      </c>
      <c r="C450" s="757"/>
      <c r="D450" s="759"/>
      <c r="E450" s="757"/>
      <c r="F450" s="757"/>
      <c r="G450" s="758"/>
    </row>
    <row r="451" spans="1:7" ht="37.5" x14ac:dyDescent="0.25">
      <c r="A451" s="200">
        <v>446</v>
      </c>
      <c r="B451" s="183" t="e">
        <f>DEEMSuite1&amp;" Electrical Room A"</f>
        <v>#N/A</v>
      </c>
      <c r="C451" s="183" t="s">
        <v>2737</v>
      </c>
      <c r="D451" s="186" t="s">
        <v>3012</v>
      </c>
      <c r="E451" s="183" t="s">
        <v>1464</v>
      </c>
      <c r="F451" s="186"/>
      <c r="G451" s="187" t="s">
        <v>1519</v>
      </c>
    </row>
    <row r="452" spans="1:7" ht="37.5" x14ac:dyDescent="0.25">
      <c r="A452" s="200">
        <v>447</v>
      </c>
      <c r="B452" s="183" t="e">
        <f>DEEMSuite1&amp;" CRAC Gallery"</f>
        <v>#N/A</v>
      </c>
      <c r="C452" s="201" t="s">
        <v>2056</v>
      </c>
      <c r="D452" s="186" t="s">
        <v>3013</v>
      </c>
      <c r="E452" s="183" t="s">
        <v>1464</v>
      </c>
      <c r="F452" s="186"/>
      <c r="G452" s="187" t="s">
        <v>1519</v>
      </c>
    </row>
    <row r="453" spans="1:7" ht="37.5" x14ac:dyDescent="0.25">
      <c r="A453" s="200">
        <v>448</v>
      </c>
      <c r="B453" s="183" t="e">
        <f>DEEMSuite1&amp;" Electrical Room A"</f>
        <v>#N/A</v>
      </c>
      <c r="C453" s="183" t="s">
        <v>3014</v>
      </c>
      <c r="D453" s="186" t="s">
        <v>3015</v>
      </c>
      <c r="E453" s="183" t="s">
        <v>1464</v>
      </c>
      <c r="F453" s="186"/>
      <c r="G453" s="187" t="s">
        <v>1519</v>
      </c>
    </row>
    <row r="454" spans="1:7" ht="37.5" x14ac:dyDescent="0.25">
      <c r="A454" s="200">
        <v>449</v>
      </c>
      <c r="B454" s="183" t="e">
        <f>DEEMSuite1&amp;" Electrical Room A"</f>
        <v>#N/A</v>
      </c>
      <c r="C454" s="183" t="s">
        <v>3014</v>
      </c>
      <c r="D454" s="186" t="s">
        <v>3016</v>
      </c>
      <c r="E454" s="183" t="s">
        <v>1464</v>
      </c>
      <c r="F454" s="186"/>
      <c r="G454" s="187" t="s">
        <v>1519</v>
      </c>
    </row>
    <row r="455" spans="1:7" ht="37.5" x14ac:dyDescent="0.25">
      <c r="A455" s="200">
        <v>450</v>
      </c>
      <c r="B455" s="183" t="e">
        <f>DEEMSuite1&amp;" Electrical Room A"</f>
        <v>#N/A</v>
      </c>
      <c r="C455" s="183" t="s">
        <v>3014</v>
      </c>
      <c r="D455" s="186" t="s">
        <v>3017</v>
      </c>
      <c r="E455" s="183" t="s">
        <v>1464</v>
      </c>
      <c r="F455" s="186"/>
      <c r="G455" s="187" t="s">
        <v>1519</v>
      </c>
    </row>
    <row r="456" spans="1:7" ht="37.5" x14ac:dyDescent="0.25">
      <c r="A456" s="200">
        <v>451</v>
      </c>
      <c r="B456" s="183" t="e">
        <f>DEEMSuite1&amp;" Electrical Room A"</f>
        <v>#N/A</v>
      </c>
      <c r="C456" s="183" t="s">
        <v>3014</v>
      </c>
      <c r="D456" s="186" t="s">
        <v>3018</v>
      </c>
      <c r="E456" s="183" t="s">
        <v>1464</v>
      </c>
      <c r="F456" s="186"/>
      <c r="G456" s="187" t="s">
        <v>1519</v>
      </c>
    </row>
    <row r="457" spans="1:7" ht="37.5" x14ac:dyDescent="0.25">
      <c r="A457" s="200">
        <v>452</v>
      </c>
      <c r="B457" s="183" t="e">
        <f>DEEMSuite1&amp;" Electrical Room A"</f>
        <v>#N/A</v>
      </c>
      <c r="C457" s="183" t="s">
        <v>3014</v>
      </c>
      <c r="D457" s="186" t="s">
        <v>3019</v>
      </c>
      <c r="E457" s="183" t="s">
        <v>1464</v>
      </c>
      <c r="F457" s="186"/>
      <c r="G457" s="187" t="s">
        <v>1519</v>
      </c>
    </row>
    <row r="458" spans="1:7" ht="37.5" x14ac:dyDescent="0.25">
      <c r="A458" s="200">
        <v>453</v>
      </c>
      <c r="B458" s="183" t="e">
        <f>DEEMSuite1&amp;" Electrical Room A"</f>
        <v>#N/A</v>
      </c>
      <c r="C458" s="183" t="s">
        <v>3014</v>
      </c>
      <c r="D458" s="186" t="s">
        <v>3020</v>
      </c>
      <c r="E458" s="183" t="s">
        <v>1464</v>
      </c>
      <c r="F458" s="183"/>
      <c r="G458" s="187" t="s">
        <v>1519</v>
      </c>
    </row>
    <row r="459" spans="1:7" ht="37.5" x14ac:dyDescent="0.25">
      <c r="A459" s="200">
        <v>454</v>
      </c>
      <c r="B459" s="183" t="e">
        <f>DEEMSuite1&amp;" CRAC Gallery"</f>
        <v>#N/A</v>
      </c>
      <c r="C459" s="183" t="e">
        <f>DEEMSuite1 &amp; " Humidifier-1"</f>
        <v>#N/A</v>
      </c>
      <c r="D459" s="186" t="e">
        <f>"Verify " &amp; DEEMSuite1 &amp; " Humidifier-1 transfers to secondary source via bodine switch."</f>
        <v>#N/A</v>
      </c>
      <c r="E459" s="183" t="s">
        <v>1464</v>
      </c>
      <c r="F459" s="183"/>
      <c r="G459" s="187" t="s">
        <v>1519</v>
      </c>
    </row>
    <row r="460" spans="1:7" ht="37.5" x14ac:dyDescent="0.25">
      <c r="A460" s="200">
        <v>455</v>
      </c>
      <c r="B460" s="183" t="e">
        <f>DEEMSuite1&amp;" Electrical Room A"</f>
        <v>#N/A</v>
      </c>
      <c r="C460" s="183" t="s">
        <v>3021</v>
      </c>
      <c r="D460" s="186" t="s">
        <v>3022</v>
      </c>
      <c r="E460" s="183" t="s">
        <v>1464</v>
      </c>
      <c r="F460" s="186"/>
      <c r="G460" s="187" t="s">
        <v>1519</v>
      </c>
    </row>
    <row r="461" spans="1:7" ht="37.5" x14ac:dyDescent="0.25">
      <c r="A461" s="200">
        <v>456</v>
      </c>
      <c r="B461" s="183" t="e">
        <f>DEEMSuite1&amp;" Electrical Room A"</f>
        <v>#N/A</v>
      </c>
      <c r="C461" s="183" t="s">
        <v>3021</v>
      </c>
      <c r="D461" s="186" t="s">
        <v>3023</v>
      </c>
      <c r="E461" s="183" t="s">
        <v>1464</v>
      </c>
      <c r="F461" s="186"/>
      <c r="G461" s="187" t="s">
        <v>1519</v>
      </c>
    </row>
    <row r="462" spans="1:7" ht="37.5" x14ac:dyDescent="0.25">
      <c r="A462" s="200">
        <v>457</v>
      </c>
      <c r="B462" s="183" t="e">
        <f>DEEMSuite1&amp;" Electrical Room A"</f>
        <v>#N/A</v>
      </c>
      <c r="C462" s="183" t="s">
        <v>3021</v>
      </c>
      <c r="D462" s="186" t="s">
        <v>3024</v>
      </c>
      <c r="E462" s="183" t="s">
        <v>1464</v>
      </c>
      <c r="F462" s="186"/>
      <c r="G462" s="187" t="s">
        <v>1519</v>
      </c>
    </row>
    <row r="463" spans="1:7" ht="37.5" x14ac:dyDescent="0.25">
      <c r="A463" s="200">
        <v>458</v>
      </c>
      <c r="B463" s="183" t="e">
        <f>DEEMSuite1&amp;" Electrical Room A"</f>
        <v>#N/A</v>
      </c>
      <c r="C463" s="183" t="s">
        <v>3021</v>
      </c>
      <c r="D463" s="186" t="s">
        <v>3025</v>
      </c>
      <c r="E463" s="183" t="s">
        <v>1464</v>
      </c>
      <c r="F463" s="186"/>
      <c r="G463" s="187" t="s">
        <v>1519</v>
      </c>
    </row>
    <row r="464" spans="1:7" ht="37.5" x14ac:dyDescent="0.25">
      <c r="A464" s="200">
        <v>459</v>
      </c>
      <c r="B464" s="183" t="e">
        <f>DEEMSuite1&amp;" Electrical Room A"</f>
        <v>#N/A</v>
      </c>
      <c r="C464" s="183" t="s">
        <v>3021</v>
      </c>
      <c r="D464" s="186" t="s">
        <v>3026</v>
      </c>
      <c r="E464" s="183" t="s">
        <v>1464</v>
      </c>
      <c r="F464" s="186"/>
      <c r="G464" s="187" t="s">
        <v>1519</v>
      </c>
    </row>
    <row r="465" spans="1:7" ht="37.5" x14ac:dyDescent="0.25">
      <c r="A465" s="200">
        <v>460</v>
      </c>
      <c r="B465" s="183" t="e">
        <f>DEEMSuite1&amp;" Electrical Room A"</f>
        <v>#N/A</v>
      </c>
      <c r="C465" s="183" t="e">
        <f>"ATS RTU " &amp; DEEMSuite1 &amp; "-2"</f>
        <v>#N/A</v>
      </c>
      <c r="D465" s="186" t="e">
        <f>"Verify ATS RTU " &amp; DEEMSuite1 &amp; "-2 transfers to alternate source."</f>
        <v>#N/A</v>
      </c>
      <c r="E465" s="183" t="s">
        <v>1464</v>
      </c>
      <c r="F465" s="186"/>
      <c r="G465" s="187" t="s">
        <v>1519</v>
      </c>
    </row>
    <row r="466" spans="1:7" ht="37.5" x14ac:dyDescent="0.25">
      <c r="A466" s="200">
        <v>461</v>
      </c>
      <c r="B466" s="183" t="e">
        <f>DEEMSuite1&amp;" Electrical Room A"</f>
        <v>#N/A</v>
      </c>
      <c r="C466" s="183" t="s">
        <v>2737</v>
      </c>
      <c r="D466" s="186" t="s">
        <v>3027</v>
      </c>
      <c r="E466" s="183" t="s">
        <v>1464</v>
      </c>
      <c r="F466" s="186"/>
      <c r="G466" s="187" t="s">
        <v>1519</v>
      </c>
    </row>
    <row r="467" spans="1:7" ht="37.5" x14ac:dyDescent="0.25">
      <c r="A467" s="200">
        <v>462</v>
      </c>
      <c r="B467" s="183" t="e">
        <f>DEEMSuite1&amp;" Electrical Room A"</f>
        <v>#N/A</v>
      </c>
      <c r="C467" s="183" t="s">
        <v>2737</v>
      </c>
      <c r="D467" s="186" t="s">
        <v>3028</v>
      </c>
      <c r="E467" s="183" t="s">
        <v>1464</v>
      </c>
      <c r="F467" s="186"/>
      <c r="G467" s="187" t="s">
        <v>1519</v>
      </c>
    </row>
    <row r="468" spans="1:7" ht="37.5" x14ac:dyDescent="0.25">
      <c r="A468" s="200">
        <v>463</v>
      </c>
      <c r="B468" s="183" t="e">
        <f>DEEMSuite1&amp;" Electrical Room A"</f>
        <v>#N/A</v>
      </c>
      <c r="C468" s="183" t="s">
        <v>2737</v>
      </c>
      <c r="D468" s="186" t="s">
        <v>3029</v>
      </c>
      <c r="E468" s="183" t="s">
        <v>1464</v>
      </c>
      <c r="F468" s="186"/>
      <c r="G468" s="187" t="s">
        <v>1519</v>
      </c>
    </row>
    <row r="469" spans="1:7" ht="37.5" x14ac:dyDescent="0.25">
      <c r="A469" s="200">
        <v>464</v>
      </c>
      <c r="B469" s="183" t="e">
        <f>DEEMSuite1&amp;" Electrical Room A"</f>
        <v>#N/A</v>
      </c>
      <c r="C469" s="183" t="s">
        <v>3030</v>
      </c>
      <c r="D469" s="186" t="s">
        <v>3031</v>
      </c>
      <c r="E469" s="183" t="s">
        <v>1464</v>
      </c>
      <c r="F469" s="186"/>
      <c r="G469" s="187" t="s">
        <v>1519</v>
      </c>
    </row>
    <row r="470" spans="1:7" ht="37.5" x14ac:dyDescent="0.25">
      <c r="A470" s="200">
        <v>465</v>
      </c>
      <c r="B470" s="183" t="e">
        <f>DEEMSuite1&amp;" Electrical Room A"</f>
        <v>#N/A</v>
      </c>
      <c r="C470" s="183" t="e">
        <f>"ATS RTU " &amp; DEEMSuite1 &amp; "-3"</f>
        <v>#N/A</v>
      </c>
      <c r="D470" s="186" t="e">
        <f>"Verify ATS RTU " &amp; DEEMSuite1 &amp; "-3 transfers to alternate source."</f>
        <v>#N/A</v>
      </c>
      <c r="E470" s="183" t="s">
        <v>1464</v>
      </c>
      <c r="F470" s="186"/>
      <c r="G470" s="187" t="s">
        <v>1519</v>
      </c>
    </row>
    <row r="471" spans="1:7" ht="37.5" x14ac:dyDescent="0.25">
      <c r="A471" s="200">
        <v>466</v>
      </c>
      <c r="B471" s="183" t="e">
        <f>DEEMSuite1&amp;" Electrical Room A"</f>
        <v>#N/A</v>
      </c>
      <c r="C471" s="183" t="e">
        <f>"ATS RTU " &amp; DEEMSuite1 &amp; "-4"</f>
        <v>#N/A</v>
      </c>
      <c r="D471" s="186" t="e">
        <f>"Verify ATS RTU " &amp; DEEMSuite1 &amp; "-4 remains on primary source."</f>
        <v>#N/A</v>
      </c>
      <c r="E471" s="183" t="s">
        <v>1464</v>
      </c>
      <c r="F471" s="186"/>
      <c r="G471" s="187" t="s">
        <v>1519</v>
      </c>
    </row>
    <row r="472" spans="1:7" ht="37.5" x14ac:dyDescent="0.25">
      <c r="A472" s="200">
        <v>467</v>
      </c>
      <c r="B472" s="183" t="s">
        <v>3032</v>
      </c>
      <c r="C472" s="183" t="s">
        <v>3033</v>
      </c>
      <c r="D472" s="186" t="s">
        <v>3034</v>
      </c>
      <c r="E472" s="183" t="s">
        <v>1464</v>
      </c>
      <c r="F472" s="186"/>
      <c r="G472" s="187" t="s">
        <v>1519</v>
      </c>
    </row>
    <row r="473" spans="1:7" ht="37.5" x14ac:dyDescent="0.25">
      <c r="A473" s="200">
        <v>468</v>
      </c>
      <c r="B473" s="183" t="e">
        <f>DEEMSuite1 &amp; " Suite"</f>
        <v>#N/A</v>
      </c>
      <c r="C473" s="183" t="s">
        <v>2058</v>
      </c>
      <c r="D473" s="186" t="s">
        <v>3035</v>
      </c>
      <c r="E473" s="183" t="s">
        <v>1464</v>
      </c>
      <c r="F473" s="186"/>
      <c r="G473" s="187" t="s">
        <v>1519</v>
      </c>
    </row>
    <row r="474" spans="1:7" ht="37.5" x14ac:dyDescent="0.25">
      <c r="A474" s="200">
        <v>469</v>
      </c>
      <c r="B474" s="183" t="e">
        <f>DEEMSuite1&amp;" Electrical Room A"</f>
        <v>#N/A</v>
      </c>
      <c r="C474" s="183" t="s">
        <v>3036</v>
      </c>
      <c r="D474" s="186" t="s">
        <v>3037</v>
      </c>
      <c r="E474" s="183" t="s">
        <v>1464</v>
      </c>
      <c r="F474" s="186"/>
      <c r="G474" s="187" t="s">
        <v>1519</v>
      </c>
    </row>
    <row r="475" spans="1:7" ht="37.5" x14ac:dyDescent="0.25">
      <c r="A475" s="200">
        <v>470</v>
      </c>
      <c r="B475" s="183" t="e">
        <f>DEEMSuite1&amp;" Electrical Room A"</f>
        <v>#N/A</v>
      </c>
      <c r="C475" s="183" t="s">
        <v>3038</v>
      </c>
      <c r="D475" s="186" t="s">
        <v>3039</v>
      </c>
      <c r="E475" s="183" t="s">
        <v>1464</v>
      </c>
      <c r="F475" s="186"/>
      <c r="G475" s="187" t="s">
        <v>1519</v>
      </c>
    </row>
    <row r="476" spans="1:7" ht="37.5" x14ac:dyDescent="0.25">
      <c r="A476" s="200">
        <v>471</v>
      </c>
      <c r="B476" s="183" t="e">
        <f>DEEMSuite1 &amp; " Suite &amp; Electrical Rooms"</f>
        <v>#N/A</v>
      </c>
      <c r="C476" s="183" t="s">
        <v>3040</v>
      </c>
      <c r="D476" s="186" t="s">
        <v>3041</v>
      </c>
      <c r="E476" s="183" t="s">
        <v>1464</v>
      </c>
      <c r="F476" s="186"/>
      <c r="G476" s="187" t="s">
        <v>1519</v>
      </c>
    </row>
    <row r="477" spans="1:7" ht="37.5" x14ac:dyDescent="0.25">
      <c r="A477" s="200">
        <v>472</v>
      </c>
      <c r="B477" s="183" t="e">
        <f>DEEMSuite1&amp;" CRAC Gallery"</f>
        <v>#N/A</v>
      </c>
      <c r="C477" s="183" t="e">
        <f>DEEMSuite1 &amp; " Humidifier-1"</f>
        <v>#N/A</v>
      </c>
      <c r="D477" s="186" t="e">
        <f>"Verify " &amp; DEEMSuite1 &amp; " Humidifier-1 remains energized via bodine switch."</f>
        <v>#N/A</v>
      </c>
      <c r="E477" s="183" t="s">
        <v>1464</v>
      </c>
      <c r="F477" s="186"/>
      <c r="G477" s="187" t="s">
        <v>1519</v>
      </c>
    </row>
    <row r="478" spans="1:7" ht="37.5" x14ac:dyDescent="0.25">
      <c r="A478" s="200">
        <v>473</v>
      </c>
      <c r="B478" s="183" t="e">
        <f>DEEMSuite1&amp;" CRAC Gallery"</f>
        <v>#N/A</v>
      </c>
      <c r="C478" s="183" t="e">
        <f>DEEMSuite1 &amp; " Humidifier-2"</f>
        <v>#N/A</v>
      </c>
      <c r="D478" s="186" t="e">
        <f>"Verify " &amp; DEEMSuite1 &amp; " Humidifier-2 remains energized via bodine switch."</f>
        <v>#N/A</v>
      </c>
      <c r="E478" s="183" t="s">
        <v>1464</v>
      </c>
      <c r="F478" s="186"/>
      <c r="G478" s="187" t="s">
        <v>1519</v>
      </c>
    </row>
    <row r="479" spans="1:7" ht="37.5" x14ac:dyDescent="0.25">
      <c r="A479" s="200">
        <v>474</v>
      </c>
      <c r="B479" s="183" t="e">
        <f>DEEMSuite1&amp;" Electrical Room A"</f>
        <v>#N/A</v>
      </c>
      <c r="C479" s="183" t="s">
        <v>3042</v>
      </c>
      <c r="D479" s="187" t="s">
        <v>2709</v>
      </c>
      <c r="E479" s="183" t="s">
        <v>1464</v>
      </c>
      <c r="F479" s="186"/>
      <c r="G479" s="187" t="s">
        <v>1519</v>
      </c>
    </row>
    <row r="480" spans="1:7" ht="37.5" x14ac:dyDescent="0.25">
      <c r="A480" s="200">
        <v>475</v>
      </c>
      <c r="B480" s="183" t="e">
        <f>DEEMSuite1&amp;" Electrical Room A"</f>
        <v>#N/A</v>
      </c>
      <c r="C480" s="183" t="s">
        <v>3042</v>
      </c>
      <c r="D480" s="186" t="s">
        <v>2120</v>
      </c>
      <c r="E480" s="183" t="s">
        <v>1464</v>
      </c>
      <c r="F480" s="186"/>
      <c r="G480" s="187" t="s">
        <v>1519</v>
      </c>
    </row>
    <row r="481" spans="1:7" ht="37.5" x14ac:dyDescent="0.25">
      <c r="A481" s="200">
        <v>476</v>
      </c>
      <c r="B481" s="183" t="e">
        <f>DEEMSuite1&amp;" Electrical Room A"</f>
        <v>#N/A</v>
      </c>
      <c r="C481" s="183" t="s">
        <v>3042</v>
      </c>
      <c r="D481" s="187" t="s">
        <v>2710</v>
      </c>
      <c r="E481" s="183" t="s">
        <v>1464</v>
      </c>
      <c r="F481" s="186"/>
      <c r="G481" s="187" t="s">
        <v>1519</v>
      </c>
    </row>
    <row r="482" spans="1:7" ht="37.5" x14ac:dyDescent="0.25">
      <c r="A482" s="200">
        <v>477</v>
      </c>
      <c r="B482" s="183" t="e">
        <f>DEEMSuite1&amp;" Electrical Room A"</f>
        <v>#N/A</v>
      </c>
      <c r="C482" s="183" t="s">
        <v>3042</v>
      </c>
      <c r="D482" s="186" t="s">
        <v>3043</v>
      </c>
      <c r="E482" s="183" t="s">
        <v>1464</v>
      </c>
      <c r="F482" s="186"/>
      <c r="G482" s="187" t="s">
        <v>1519</v>
      </c>
    </row>
    <row r="483" spans="1:7" ht="37.5" x14ac:dyDescent="0.25">
      <c r="A483" s="200">
        <v>478</v>
      </c>
      <c r="B483" s="183" t="e">
        <f>DEEMSuite1&amp;" Electrical Room A"</f>
        <v>#N/A</v>
      </c>
      <c r="C483" s="183" t="s">
        <v>3042</v>
      </c>
      <c r="D483" s="186" t="s">
        <v>3044</v>
      </c>
      <c r="E483" s="183" t="s">
        <v>1464</v>
      </c>
      <c r="F483" s="186"/>
      <c r="G483" s="187" t="s">
        <v>1519</v>
      </c>
    </row>
    <row r="484" spans="1:7" ht="37.5" x14ac:dyDescent="0.25">
      <c r="A484" s="200">
        <v>479</v>
      </c>
      <c r="B484" s="183" t="e">
        <f>DEEMSuite1&amp;" Electrical Room A"</f>
        <v>#N/A</v>
      </c>
      <c r="C484" s="183" t="s">
        <v>3042</v>
      </c>
      <c r="D484" s="186" t="s">
        <v>3045</v>
      </c>
      <c r="E484" s="183" t="s">
        <v>1464</v>
      </c>
      <c r="F484" s="186"/>
      <c r="G484" s="187" t="s">
        <v>1519</v>
      </c>
    </row>
    <row r="485" spans="1:7" ht="37.5" x14ac:dyDescent="0.25">
      <c r="A485" s="200">
        <v>480</v>
      </c>
      <c r="B485" s="183" t="e">
        <f>DEEMSuite1&amp;" Electrical Room A"</f>
        <v>#N/A</v>
      </c>
      <c r="C485" s="183" t="s">
        <v>3042</v>
      </c>
      <c r="D485" s="186" t="s">
        <v>3046</v>
      </c>
      <c r="E485" s="183" t="s">
        <v>1464</v>
      </c>
      <c r="F485" s="186"/>
      <c r="G485" s="187" t="s">
        <v>1519</v>
      </c>
    </row>
    <row r="486" spans="1:7" ht="37.5" x14ac:dyDescent="0.25">
      <c r="A486" s="200">
        <v>481</v>
      </c>
      <c r="B486" s="183" t="e">
        <f>DEEMSuite1&amp;" Electrical Room A"</f>
        <v>#N/A</v>
      </c>
      <c r="C486" s="183" t="s">
        <v>3042</v>
      </c>
      <c r="D486" s="186" t="s">
        <v>3047</v>
      </c>
      <c r="E486" s="183" t="s">
        <v>1464</v>
      </c>
      <c r="F486" s="186"/>
      <c r="G486" s="187" t="s">
        <v>1519</v>
      </c>
    </row>
    <row r="487" spans="1:7" ht="37.5" x14ac:dyDescent="0.25">
      <c r="A487" s="200">
        <v>482</v>
      </c>
      <c r="B487" s="183" t="e">
        <f>DEEMSuite1&amp;" Electrical Room A"</f>
        <v>#N/A</v>
      </c>
      <c r="C487" s="183" t="s">
        <v>2737</v>
      </c>
      <c r="D487" s="186" t="s">
        <v>3048</v>
      </c>
      <c r="E487" s="183" t="s">
        <v>1464</v>
      </c>
      <c r="F487" s="186"/>
      <c r="G487" s="187" t="s">
        <v>1519</v>
      </c>
    </row>
    <row r="488" spans="1:7" ht="37.5" x14ac:dyDescent="0.25">
      <c r="A488" s="200">
        <v>483</v>
      </c>
      <c r="B488" s="183" t="e">
        <f>DEEMSuite1&amp;" Electrical Room A"</f>
        <v>#N/A</v>
      </c>
      <c r="C488" s="183" t="s">
        <v>3042</v>
      </c>
      <c r="D488" s="186" t="s">
        <v>3049</v>
      </c>
      <c r="E488" s="183" t="s">
        <v>1464</v>
      </c>
      <c r="F488" s="186"/>
      <c r="G488" s="187" t="s">
        <v>1519</v>
      </c>
    </row>
    <row r="489" spans="1:7" ht="37.5" x14ac:dyDescent="0.25">
      <c r="A489" s="200">
        <v>484</v>
      </c>
      <c r="B489" s="183" t="e">
        <f>DEEMSuite1 &amp; " Utility Input Room"</f>
        <v>#N/A</v>
      </c>
      <c r="C489" s="183" t="s">
        <v>598</v>
      </c>
      <c r="D489" s="186" t="s">
        <v>3050</v>
      </c>
      <c r="E489" s="183" t="s">
        <v>1464</v>
      </c>
      <c r="F489" s="186"/>
      <c r="G489" s="187" t="s">
        <v>1519</v>
      </c>
    </row>
    <row r="490" spans="1:7" ht="37.5" x14ac:dyDescent="0.25">
      <c r="A490" s="200">
        <v>485</v>
      </c>
      <c r="B490" s="183" t="s">
        <v>1462</v>
      </c>
      <c r="C490" s="183" t="s">
        <v>84</v>
      </c>
      <c r="D490" s="187" t="s">
        <v>2119</v>
      </c>
      <c r="E490" s="183" t="s">
        <v>1464</v>
      </c>
      <c r="F490" s="186"/>
      <c r="G490" s="187" t="s">
        <v>1519</v>
      </c>
    </row>
    <row r="491" spans="1:7" ht="37.5" x14ac:dyDescent="0.25">
      <c r="A491" s="200">
        <v>486</v>
      </c>
      <c r="B491" s="183" t="s">
        <v>724</v>
      </c>
      <c r="C491" s="183" t="s">
        <v>3051</v>
      </c>
      <c r="D491" s="187" t="s">
        <v>2709</v>
      </c>
      <c r="E491" s="183" t="s">
        <v>1464</v>
      </c>
      <c r="F491" s="186"/>
      <c r="G491" s="187" t="s">
        <v>1519</v>
      </c>
    </row>
    <row r="492" spans="1:7" ht="37.5" x14ac:dyDescent="0.25">
      <c r="A492" s="200">
        <v>487</v>
      </c>
      <c r="B492" s="183" t="s">
        <v>724</v>
      </c>
      <c r="C492" s="183" t="s">
        <v>3051</v>
      </c>
      <c r="D492" s="186" t="s">
        <v>2120</v>
      </c>
      <c r="E492" s="183" t="s">
        <v>1464</v>
      </c>
      <c r="F492" s="186"/>
      <c r="G492" s="187" t="s">
        <v>1519</v>
      </c>
    </row>
    <row r="493" spans="1:7" ht="37.5" x14ac:dyDescent="0.25">
      <c r="A493" s="200">
        <v>488</v>
      </c>
      <c r="B493" s="183" t="s">
        <v>724</v>
      </c>
      <c r="C493" s="183" t="s">
        <v>3051</v>
      </c>
      <c r="D493" s="187" t="s">
        <v>2710</v>
      </c>
      <c r="E493" s="183" t="s">
        <v>1464</v>
      </c>
      <c r="F493" s="186"/>
      <c r="G493" s="187" t="s">
        <v>1519</v>
      </c>
    </row>
    <row r="494" spans="1:7" ht="37.5" x14ac:dyDescent="0.25">
      <c r="A494" s="200">
        <v>489</v>
      </c>
      <c r="B494" s="183" t="s">
        <v>724</v>
      </c>
      <c r="C494" s="183" t="s">
        <v>3051</v>
      </c>
      <c r="D494" s="186" t="s">
        <v>3052</v>
      </c>
      <c r="E494" s="183" t="s">
        <v>1464</v>
      </c>
      <c r="F494" s="186"/>
      <c r="G494" s="187" t="s">
        <v>1519</v>
      </c>
    </row>
    <row r="495" spans="1:7" ht="37.5" x14ac:dyDescent="0.25">
      <c r="A495" s="200">
        <v>490</v>
      </c>
      <c r="B495" s="183" t="s">
        <v>724</v>
      </c>
      <c r="C495" s="183" t="s">
        <v>1363</v>
      </c>
      <c r="D495" s="186" t="e">
        <f>"OPEN " &amp; DEEMSuite1 &amp; "-RA1 Breaker, by pressing the BLUE “OPEN” graphic on the " &amp; DEEMSuite1 &amp; "-RA1 breaker on the touchscreen."</f>
        <v>#N/A</v>
      </c>
      <c r="E495" s="183" t="s">
        <v>1464</v>
      </c>
      <c r="F495" s="186"/>
      <c r="G495" s="187" t="s">
        <v>1519</v>
      </c>
    </row>
    <row r="496" spans="1:7" ht="37.5" x14ac:dyDescent="0.25">
      <c r="A496" s="200">
        <v>491</v>
      </c>
      <c r="B496" s="183" t="s">
        <v>724</v>
      </c>
      <c r="C496" s="183" t="s">
        <v>1363</v>
      </c>
      <c r="D496" s="186" t="e">
        <f>"Verify breaker " &amp; DEEMSuite1 &amp; " RA1 is OPEN."</f>
        <v>#N/A</v>
      </c>
      <c r="E496" s="183" t="s">
        <v>1464</v>
      </c>
      <c r="F496" s="186"/>
      <c r="G496" s="187" t="s">
        <v>1519</v>
      </c>
    </row>
    <row r="497" spans="1:7" ht="37.5" x14ac:dyDescent="0.25">
      <c r="A497" s="200">
        <v>492</v>
      </c>
      <c r="B497" s="183" t="s">
        <v>724</v>
      </c>
      <c r="C497" s="183" t="s">
        <v>1363</v>
      </c>
      <c r="D497" s="186" t="e">
        <f>"Apply LOTO to breaker " &amp; DEEMSuite1 &amp; "-RA1."</f>
        <v>#N/A</v>
      </c>
      <c r="E497" s="183" t="s">
        <v>1464</v>
      </c>
      <c r="F497" s="186"/>
      <c r="G497" s="187" t="s">
        <v>1519</v>
      </c>
    </row>
    <row r="498" spans="1:7" ht="37.5" x14ac:dyDescent="0.25">
      <c r="A498" s="200">
        <v>493</v>
      </c>
      <c r="B498" s="183" t="s">
        <v>724</v>
      </c>
      <c r="C498" s="183" t="s">
        <v>1363</v>
      </c>
      <c r="D498" s="186" t="s">
        <v>3053</v>
      </c>
      <c r="E498" s="183" t="s">
        <v>1464</v>
      </c>
      <c r="F498" s="186"/>
      <c r="G498" s="187" t="s">
        <v>1519</v>
      </c>
    </row>
    <row r="499" spans="1:7" ht="37.5" x14ac:dyDescent="0.25">
      <c r="A499" s="200">
        <v>494</v>
      </c>
      <c r="B499" s="183" t="s">
        <v>724</v>
      </c>
      <c r="C499" s="183" t="s">
        <v>1363</v>
      </c>
      <c r="D499" s="186" t="s">
        <v>3054</v>
      </c>
      <c r="E499" s="183" t="s">
        <v>1464</v>
      </c>
      <c r="F499" s="186"/>
      <c r="G499" s="187" t="s">
        <v>1519</v>
      </c>
    </row>
    <row r="500" spans="1:7" ht="37.5" x14ac:dyDescent="0.25">
      <c r="A500" s="200">
        <v>495</v>
      </c>
      <c r="B500" s="183" t="e">
        <f>DEEMSuite1&amp;" Electrical Room A"</f>
        <v>#N/A</v>
      </c>
      <c r="C500" s="183" t="s">
        <v>2737</v>
      </c>
      <c r="D500" s="186" t="s">
        <v>3055</v>
      </c>
      <c r="E500" s="183" t="s">
        <v>1464</v>
      </c>
      <c r="F500" s="186"/>
      <c r="G500" s="187" t="s">
        <v>1519</v>
      </c>
    </row>
    <row r="501" spans="1:7" ht="37.5" x14ac:dyDescent="0.25">
      <c r="A501" s="200">
        <v>496</v>
      </c>
      <c r="B501" s="183" t="e">
        <f>DEEMSuite1&amp;" Electrical Room A"</f>
        <v>#N/A</v>
      </c>
      <c r="C501" s="183" t="s">
        <v>2737</v>
      </c>
      <c r="D501" s="186" t="s">
        <v>3056</v>
      </c>
      <c r="E501" s="183" t="s">
        <v>1464</v>
      </c>
      <c r="F501" s="186"/>
      <c r="G501" s="187" t="s">
        <v>1519</v>
      </c>
    </row>
    <row r="502" spans="1:7" ht="56.25" x14ac:dyDescent="0.25">
      <c r="A502" s="200">
        <v>497</v>
      </c>
      <c r="B502" s="183" t="s">
        <v>724</v>
      </c>
      <c r="C502" s="183" t="s">
        <v>3057</v>
      </c>
      <c r="D502" s="186" t="e">
        <f>"Direct Dominion Power to de-energize the " &amp; DEEMSuite1 &amp; " utility transformer by opening Vista switch " &amp; DEEMXFMR &amp; " which supplies it."</f>
        <v>#N/A</v>
      </c>
      <c r="E502" s="183" t="s">
        <v>1464</v>
      </c>
      <c r="F502" s="186"/>
      <c r="G502" s="187" t="s">
        <v>1519</v>
      </c>
    </row>
    <row r="503" spans="1:7" ht="37.5" x14ac:dyDescent="0.25">
      <c r="A503" s="200">
        <v>498</v>
      </c>
      <c r="B503" s="183" t="e">
        <f>DEEMSuite1&amp;" Electrical Room A"</f>
        <v>#N/A</v>
      </c>
      <c r="C503" s="183" t="s">
        <v>3042</v>
      </c>
      <c r="D503" s="186" t="e">
        <f>"Verify the " &amp; DEEMSuite1 &amp; " transformer is de-energized as indicated by the SW1 incoming utility status being unavailable (Green)."</f>
        <v>#N/A</v>
      </c>
      <c r="E503" s="183" t="s">
        <v>1464</v>
      </c>
      <c r="F503" s="186"/>
      <c r="G503" s="187" t="s">
        <v>1519</v>
      </c>
    </row>
    <row r="504" spans="1:7" ht="37.5" x14ac:dyDescent="0.25">
      <c r="A504" s="200">
        <v>499</v>
      </c>
      <c r="B504" s="183" t="e">
        <f>DEEMSuite1&amp;" Electrical Room A and Utility Input Room"</f>
        <v>#N/A</v>
      </c>
      <c r="C504" s="183" t="s">
        <v>3058</v>
      </c>
      <c r="D504" s="186" t="s">
        <v>3059</v>
      </c>
      <c r="E504" s="183" t="s">
        <v>1464</v>
      </c>
      <c r="F504" s="186"/>
      <c r="G504" s="187" t="s">
        <v>1519</v>
      </c>
    </row>
    <row r="505" spans="1:7" x14ac:dyDescent="0.25">
      <c r="A505" s="200">
        <v>500</v>
      </c>
      <c r="B505" s="712" t="s">
        <v>3060</v>
      </c>
      <c r="C505" s="712"/>
      <c r="D505" s="712"/>
      <c r="E505" s="712"/>
      <c r="F505" s="712"/>
      <c r="G505" s="712"/>
    </row>
    <row r="506" spans="1:7" ht="56.25" x14ac:dyDescent="0.25">
      <c r="A506" s="200">
        <v>501</v>
      </c>
      <c r="B506" s="206" t="s">
        <v>2737</v>
      </c>
      <c r="C506" s="206" t="s">
        <v>84</v>
      </c>
      <c r="D506" s="187" t="s">
        <v>3061</v>
      </c>
      <c r="E506" s="206" t="s">
        <v>3062</v>
      </c>
      <c r="F506" s="187"/>
      <c r="G506" s="187" t="s">
        <v>1519</v>
      </c>
    </row>
    <row r="507" spans="1:7" ht="37.5" x14ac:dyDescent="0.25">
      <c r="A507" s="200">
        <v>502</v>
      </c>
      <c r="B507" s="206" t="s">
        <v>2737</v>
      </c>
      <c r="C507" s="206" t="s">
        <v>84</v>
      </c>
      <c r="D507" s="187" t="s">
        <v>3063</v>
      </c>
      <c r="E507" s="206" t="s">
        <v>3062</v>
      </c>
      <c r="F507" s="187"/>
      <c r="G507" s="187" t="s">
        <v>1519</v>
      </c>
    </row>
    <row r="508" spans="1:7" ht="37.5" x14ac:dyDescent="0.25">
      <c r="A508" s="200">
        <v>503</v>
      </c>
      <c r="B508" s="206" t="s">
        <v>2737</v>
      </c>
      <c r="C508" s="206" t="s">
        <v>84</v>
      </c>
      <c r="D508" s="187" t="s">
        <v>3064</v>
      </c>
      <c r="E508" s="206" t="s">
        <v>3062</v>
      </c>
      <c r="F508" s="187"/>
      <c r="G508" s="187" t="s">
        <v>1519</v>
      </c>
    </row>
    <row r="509" spans="1:7" x14ac:dyDescent="0.25">
      <c r="A509" s="200">
        <v>504</v>
      </c>
      <c r="B509" s="712" t="s">
        <v>3065</v>
      </c>
      <c r="C509" s="712"/>
      <c r="D509" s="712"/>
      <c r="E509" s="712"/>
      <c r="F509" s="712"/>
      <c r="G509" s="712"/>
    </row>
    <row r="510" spans="1:7" ht="56.25" x14ac:dyDescent="0.25">
      <c r="A510" s="200">
        <v>505</v>
      </c>
      <c r="B510" s="183" t="s">
        <v>724</v>
      </c>
      <c r="C510" s="183" t="s">
        <v>3057</v>
      </c>
      <c r="D510" s="186" t="e">
        <f>"Direct Dominion Power to energize the " &amp; DEEMSuite1 &amp; " utility transformer by closing Vista switch " &amp; DEEMXFMR &amp; " which supplies it."</f>
        <v>#N/A</v>
      </c>
      <c r="E510" s="183" t="s">
        <v>1464</v>
      </c>
      <c r="F510" s="186"/>
      <c r="G510" s="187" t="s">
        <v>1519</v>
      </c>
    </row>
    <row r="511" spans="1:7" ht="37.5" x14ac:dyDescent="0.25">
      <c r="A511" s="200">
        <v>506</v>
      </c>
      <c r="B511" s="183" t="e">
        <f>DEEMSuite1&amp;" Electrical Room A"</f>
        <v>#N/A</v>
      </c>
      <c r="C511" s="183" t="s">
        <v>3042</v>
      </c>
      <c r="D511" s="186" t="e">
        <f>"Verify the " &amp; DEEMSuite1 &amp; " transformer is energized as indicated by the SW1 incoming utility status being available (Red)."</f>
        <v>#N/A</v>
      </c>
      <c r="E511" s="183" t="s">
        <v>1464</v>
      </c>
      <c r="F511" s="186"/>
      <c r="G511" s="187" t="s">
        <v>1519</v>
      </c>
    </row>
    <row r="512" spans="1:7" ht="37.5" x14ac:dyDescent="0.25">
      <c r="A512" s="200">
        <v>507</v>
      </c>
      <c r="B512" s="183" t="s">
        <v>724</v>
      </c>
      <c r="C512" s="183" t="s">
        <v>1363</v>
      </c>
      <c r="D512" s="186" t="e">
        <f>"Remove LOTO from breaker " &amp; DEEMSuite1 &amp; "-RA1."</f>
        <v>#N/A</v>
      </c>
      <c r="E512" s="183" t="s">
        <v>1464</v>
      </c>
      <c r="F512" s="186"/>
      <c r="G512" s="187" t="s">
        <v>1519</v>
      </c>
    </row>
    <row r="513" spans="1:7" ht="37.5" x14ac:dyDescent="0.25">
      <c r="A513" s="200">
        <v>508</v>
      </c>
      <c r="B513" s="183" t="s">
        <v>724</v>
      </c>
      <c r="C513" s="183" t="s">
        <v>3051</v>
      </c>
      <c r="D513" s="187" t="s">
        <v>2709</v>
      </c>
      <c r="E513" s="183" t="s">
        <v>1464</v>
      </c>
      <c r="F513" s="186"/>
      <c r="G513" s="187" t="s">
        <v>1519</v>
      </c>
    </row>
    <row r="514" spans="1:7" ht="37.5" x14ac:dyDescent="0.25">
      <c r="A514" s="200">
        <v>509</v>
      </c>
      <c r="B514" s="183" t="s">
        <v>724</v>
      </c>
      <c r="C514" s="183" t="s">
        <v>3051</v>
      </c>
      <c r="D514" s="186" t="s">
        <v>2120</v>
      </c>
      <c r="E514" s="183" t="s">
        <v>1464</v>
      </c>
      <c r="F514" s="186"/>
      <c r="G514" s="187" t="s">
        <v>1519</v>
      </c>
    </row>
    <row r="515" spans="1:7" ht="37.5" x14ac:dyDescent="0.25">
      <c r="A515" s="200">
        <v>510</v>
      </c>
      <c r="B515" s="183" t="s">
        <v>724</v>
      </c>
      <c r="C515" s="183" t="s">
        <v>3051</v>
      </c>
      <c r="D515" s="187" t="s">
        <v>2710</v>
      </c>
      <c r="E515" s="183" t="s">
        <v>1464</v>
      </c>
      <c r="F515" s="186"/>
      <c r="G515" s="187" t="s">
        <v>1519</v>
      </c>
    </row>
    <row r="516" spans="1:7" ht="37.5" x14ac:dyDescent="0.25">
      <c r="A516" s="200">
        <v>511</v>
      </c>
      <c r="B516" s="183" t="s">
        <v>724</v>
      </c>
      <c r="C516" s="183" t="s">
        <v>3051</v>
      </c>
      <c r="D516" s="186" t="s">
        <v>3066</v>
      </c>
      <c r="E516" s="183" t="s">
        <v>1464</v>
      </c>
      <c r="F516" s="186"/>
      <c r="G516" s="187" t="s">
        <v>1519</v>
      </c>
    </row>
    <row r="517" spans="1:7" ht="37.5" x14ac:dyDescent="0.25">
      <c r="A517" s="200">
        <v>512</v>
      </c>
      <c r="B517" s="183" t="s">
        <v>724</v>
      </c>
      <c r="C517" s="183" t="s">
        <v>3051</v>
      </c>
      <c r="D517" s="186" t="s">
        <v>3067</v>
      </c>
      <c r="E517" s="183" t="s">
        <v>1464</v>
      </c>
      <c r="F517" s="186"/>
      <c r="G517" s="187" t="s">
        <v>1519</v>
      </c>
    </row>
    <row r="518" spans="1:7" ht="37.5" x14ac:dyDescent="0.25">
      <c r="A518" s="200">
        <v>513</v>
      </c>
      <c r="B518" s="183" t="e">
        <f>DEEMSuite1&amp;" Electrical Room A"</f>
        <v>#N/A</v>
      </c>
      <c r="C518" s="183" t="s">
        <v>3042</v>
      </c>
      <c r="D518" s="187" t="s">
        <v>2709</v>
      </c>
      <c r="E518" s="183" t="s">
        <v>1464</v>
      </c>
      <c r="F518" s="186"/>
      <c r="G518" s="187" t="s">
        <v>1519</v>
      </c>
    </row>
    <row r="519" spans="1:7" ht="37.5" x14ac:dyDescent="0.25">
      <c r="A519" s="200">
        <v>514</v>
      </c>
      <c r="B519" s="183" t="e">
        <f>DEEMSuite1&amp;" Electrical Room A"</f>
        <v>#N/A</v>
      </c>
      <c r="C519" s="183" t="s">
        <v>3042</v>
      </c>
      <c r="D519" s="186" t="s">
        <v>2120</v>
      </c>
      <c r="E519" s="183" t="s">
        <v>1464</v>
      </c>
      <c r="F519" s="186"/>
      <c r="G519" s="187" t="s">
        <v>1519</v>
      </c>
    </row>
    <row r="520" spans="1:7" ht="37.5" x14ac:dyDescent="0.25">
      <c r="A520" s="200">
        <v>515</v>
      </c>
      <c r="B520" s="183" t="e">
        <f>DEEMSuite1&amp;" Electrical Room A"</f>
        <v>#N/A</v>
      </c>
      <c r="C520" s="183" t="s">
        <v>3042</v>
      </c>
      <c r="D520" s="187" t="s">
        <v>2710</v>
      </c>
      <c r="E520" s="183" t="s">
        <v>1464</v>
      </c>
      <c r="F520" s="186"/>
      <c r="G520" s="187" t="s">
        <v>1519</v>
      </c>
    </row>
    <row r="521" spans="1:7" ht="37.5" x14ac:dyDescent="0.25">
      <c r="A521" s="200">
        <v>516</v>
      </c>
      <c r="B521" s="183" t="e">
        <f>DEEMSuite1&amp;" Electrical Room A"</f>
        <v>#N/A</v>
      </c>
      <c r="C521" s="183" t="s">
        <v>3042</v>
      </c>
      <c r="D521" s="186" t="s">
        <v>3068</v>
      </c>
      <c r="E521" s="183" t="s">
        <v>1464</v>
      </c>
      <c r="F521" s="186"/>
      <c r="G521" s="187" t="s">
        <v>1519</v>
      </c>
    </row>
    <row r="522" spans="1:7" ht="37.5" x14ac:dyDescent="0.25">
      <c r="A522" s="200">
        <v>517</v>
      </c>
      <c r="B522" s="183" t="e">
        <f>DEEMSuite1&amp;" Electrical Room A"</f>
        <v>#N/A</v>
      </c>
      <c r="C522" s="183" t="s">
        <v>3042</v>
      </c>
      <c r="D522" s="186" t="s">
        <v>3069</v>
      </c>
      <c r="E522" s="183" t="s">
        <v>1464</v>
      </c>
      <c r="F522" s="186"/>
      <c r="G522" s="187" t="s">
        <v>1519</v>
      </c>
    </row>
    <row r="523" spans="1:7" ht="37.5" x14ac:dyDescent="0.25">
      <c r="A523" s="200">
        <v>518</v>
      </c>
      <c r="B523" s="183" t="e">
        <f>DEEMSuite1&amp;" Electrical Room A"</f>
        <v>#N/A</v>
      </c>
      <c r="C523" s="183" t="s">
        <v>3042</v>
      </c>
      <c r="D523" s="186" t="s">
        <v>3070</v>
      </c>
      <c r="E523" s="183" t="s">
        <v>1464</v>
      </c>
      <c r="F523" s="186"/>
      <c r="G523" s="187" t="s">
        <v>1519</v>
      </c>
    </row>
    <row r="524" spans="1:7" ht="37.5" x14ac:dyDescent="0.25">
      <c r="A524" s="200">
        <v>519</v>
      </c>
      <c r="B524" s="183" t="e">
        <f>DEEMSuite1&amp;" Electrical Room A"</f>
        <v>#N/A</v>
      </c>
      <c r="C524" s="183" t="s">
        <v>3042</v>
      </c>
      <c r="D524" s="186" t="s">
        <v>3071</v>
      </c>
      <c r="E524" s="183" t="s">
        <v>1464</v>
      </c>
      <c r="F524" s="186"/>
      <c r="G524" s="187" t="s">
        <v>1519</v>
      </c>
    </row>
    <row r="525" spans="1:7" ht="37.5" x14ac:dyDescent="0.25">
      <c r="A525" s="200">
        <v>520</v>
      </c>
      <c r="B525" s="183" t="e">
        <f>DEEMSuite1 &amp; " Utility Input Room"</f>
        <v>#N/A</v>
      </c>
      <c r="C525" s="183" t="s">
        <v>598</v>
      </c>
      <c r="D525" s="186" t="s">
        <v>2736</v>
      </c>
      <c r="E525" s="183" t="s">
        <v>1464</v>
      </c>
      <c r="F525" s="186"/>
      <c r="G525" s="187" t="s">
        <v>1519</v>
      </c>
    </row>
    <row r="526" spans="1:7" ht="37.5" x14ac:dyDescent="0.25">
      <c r="A526" s="200">
        <v>521</v>
      </c>
      <c r="B526" s="183" t="e">
        <f>DEEMSuite1&amp;" Electrical Room A"</f>
        <v>#N/A</v>
      </c>
      <c r="C526" s="183" t="s">
        <v>3042</v>
      </c>
      <c r="D526" s="186" t="s">
        <v>3072</v>
      </c>
      <c r="E526" s="183" t="s">
        <v>1464</v>
      </c>
      <c r="F526" s="186"/>
      <c r="G526" s="187" t="s">
        <v>1519</v>
      </c>
    </row>
    <row r="527" spans="1:7" ht="37.5" x14ac:dyDescent="0.25">
      <c r="A527" s="200">
        <v>522</v>
      </c>
      <c r="B527" s="183" t="e">
        <f>DEEMSuite1&amp;" Electrical Room A"</f>
        <v>#N/A</v>
      </c>
      <c r="C527" s="183" t="s">
        <v>2737</v>
      </c>
      <c r="D527" s="186" t="s">
        <v>2739</v>
      </c>
      <c r="E527" s="183" t="s">
        <v>1464</v>
      </c>
      <c r="F527" s="186"/>
      <c r="G527" s="187" t="s">
        <v>1519</v>
      </c>
    </row>
    <row r="528" spans="1:7" ht="37.5" x14ac:dyDescent="0.25">
      <c r="A528" s="200">
        <v>523</v>
      </c>
      <c r="B528" s="183" t="e">
        <f>DEEMSuite1&amp;" Electrical Room A"</f>
        <v>#N/A</v>
      </c>
      <c r="C528" s="183" t="s">
        <v>2737</v>
      </c>
      <c r="D528" s="186" t="s">
        <v>3073</v>
      </c>
      <c r="E528" s="183" t="s">
        <v>1464</v>
      </c>
      <c r="F528" s="186"/>
      <c r="G528" s="187" t="s">
        <v>1519</v>
      </c>
    </row>
    <row r="529" spans="1:7" ht="37.5" x14ac:dyDescent="0.25">
      <c r="A529" s="200">
        <v>524</v>
      </c>
      <c r="B529" s="183" t="e">
        <f>DEEMSuite1&amp;" Electrical Room A"</f>
        <v>#N/A</v>
      </c>
      <c r="C529" s="183" t="s">
        <v>3030</v>
      </c>
      <c r="D529" s="186" t="s">
        <v>3031</v>
      </c>
      <c r="E529" s="183" t="s">
        <v>1464</v>
      </c>
      <c r="F529" s="186"/>
      <c r="G529" s="187" t="s">
        <v>1519</v>
      </c>
    </row>
    <row r="530" spans="1:7" ht="37.5" x14ac:dyDescent="0.25">
      <c r="A530" s="200">
        <v>525</v>
      </c>
      <c r="B530" s="183" t="e">
        <f>DEEMSuite1&amp;" Electrical Room A"</f>
        <v>#N/A</v>
      </c>
      <c r="C530" s="183" t="e">
        <f>"ATS RTU " &amp; DEEMSuite1 &amp; "-3"</f>
        <v>#N/A</v>
      </c>
      <c r="D530" s="186" t="e">
        <f>"Verify ATS RTU " &amp; DEEMSuite1 &amp; "-3 returns to primary source."</f>
        <v>#N/A</v>
      </c>
      <c r="E530" s="183" t="s">
        <v>1464</v>
      </c>
      <c r="F530" s="186"/>
      <c r="G530" s="187" t="s">
        <v>1519</v>
      </c>
    </row>
    <row r="531" spans="1:7" ht="37.5" x14ac:dyDescent="0.25">
      <c r="A531" s="200">
        <v>526</v>
      </c>
      <c r="B531" s="183" t="e">
        <f>DEEMSuite1&amp;" Electrical Room A"</f>
        <v>#N/A</v>
      </c>
      <c r="C531" s="183" t="e">
        <f>"ATS RTU " &amp; DEEMSuite1 &amp; "-4"</f>
        <v>#N/A</v>
      </c>
      <c r="D531" s="186" t="e">
        <f>"Verify ATS RTU " &amp; DEEMSuite1 &amp; "-4 remains on primary source."</f>
        <v>#N/A</v>
      </c>
      <c r="E531" s="183" t="s">
        <v>1464</v>
      </c>
      <c r="F531" s="186"/>
      <c r="G531" s="187" t="s">
        <v>1519</v>
      </c>
    </row>
    <row r="532" spans="1:7" ht="37.5" x14ac:dyDescent="0.25">
      <c r="A532" s="200">
        <v>527</v>
      </c>
      <c r="B532" s="183" t="s">
        <v>3032</v>
      </c>
      <c r="C532" s="183" t="s">
        <v>3033</v>
      </c>
      <c r="D532" s="186" t="s">
        <v>3034</v>
      </c>
      <c r="E532" s="183" t="s">
        <v>1464</v>
      </c>
      <c r="F532" s="186"/>
      <c r="G532" s="187" t="s">
        <v>1519</v>
      </c>
    </row>
    <row r="533" spans="1:7" ht="37.5" x14ac:dyDescent="0.25">
      <c r="A533" s="200">
        <v>528</v>
      </c>
      <c r="B533" s="183" t="e">
        <f>DEEMSuite1 &amp; " Suite"</f>
        <v>#N/A</v>
      </c>
      <c r="C533" s="183" t="s">
        <v>2058</v>
      </c>
      <c r="D533" s="186" t="s">
        <v>3035</v>
      </c>
      <c r="E533" s="183" t="s">
        <v>1464</v>
      </c>
      <c r="F533" s="186"/>
      <c r="G533" s="187" t="s">
        <v>1519</v>
      </c>
    </row>
    <row r="534" spans="1:7" ht="37.5" x14ac:dyDescent="0.25">
      <c r="A534" s="200">
        <v>529</v>
      </c>
      <c r="B534" s="183" t="e">
        <f>DEEMSuite1&amp;" Electrical Room A"</f>
        <v>#N/A</v>
      </c>
      <c r="C534" s="183" t="s">
        <v>3074</v>
      </c>
      <c r="D534" s="186" t="s">
        <v>3075</v>
      </c>
      <c r="E534" s="183" t="s">
        <v>1464</v>
      </c>
      <c r="F534" s="186"/>
      <c r="G534" s="187" t="s">
        <v>1519</v>
      </c>
    </row>
    <row r="535" spans="1:7" ht="37.5" x14ac:dyDescent="0.25">
      <c r="A535" s="200">
        <v>530</v>
      </c>
      <c r="B535" s="183" t="e">
        <f>DEEMSuite1&amp;" Electrical Room A"</f>
        <v>#N/A</v>
      </c>
      <c r="C535" s="183" t="s">
        <v>3038</v>
      </c>
      <c r="D535" s="186" t="s">
        <v>3039</v>
      </c>
      <c r="E535" s="183" t="s">
        <v>1464</v>
      </c>
      <c r="F535" s="186"/>
      <c r="G535" s="187" t="s">
        <v>1519</v>
      </c>
    </row>
    <row r="536" spans="1:7" ht="37.5" x14ac:dyDescent="0.25">
      <c r="A536" s="200">
        <v>531</v>
      </c>
      <c r="B536" s="183" t="e">
        <f>DEEMSuite1 &amp; " Suite &amp; Electrical Rooms"</f>
        <v>#N/A</v>
      </c>
      <c r="C536" s="183" t="s">
        <v>3040</v>
      </c>
      <c r="D536" s="186" t="s">
        <v>3041</v>
      </c>
      <c r="E536" s="183" t="s">
        <v>1464</v>
      </c>
      <c r="F536" s="186"/>
      <c r="G536" s="187" t="s">
        <v>1519</v>
      </c>
    </row>
    <row r="537" spans="1:7" ht="37.5" x14ac:dyDescent="0.25">
      <c r="A537" s="200">
        <v>532</v>
      </c>
      <c r="B537" s="183" t="e">
        <f>DEEMSuite1&amp;" CRAC Gallery"</f>
        <v>#N/A</v>
      </c>
      <c r="C537" s="183" t="e">
        <f>DEEMSuite1 &amp; " Humidifier-1"</f>
        <v>#N/A</v>
      </c>
      <c r="D537" s="186" t="e">
        <f>"Verify " &amp; DEEMSuite1 &amp; " Humidifier-1 remains energized via bodine switch."</f>
        <v>#N/A</v>
      </c>
      <c r="E537" s="183" t="s">
        <v>1464</v>
      </c>
      <c r="F537" s="186"/>
      <c r="G537" s="187" t="s">
        <v>1519</v>
      </c>
    </row>
    <row r="538" spans="1:7" ht="37.5" x14ac:dyDescent="0.25">
      <c r="A538" s="200">
        <v>533</v>
      </c>
      <c r="B538" s="183" t="e">
        <f>DEEMSuite1&amp;" CRAC Gallery"</f>
        <v>#N/A</v>
      </c>
      <c r="C538" s="183" t="e">
        <f>DEEMSuite1 &amp; " Humidifier-2"</f>
        <v>#N/A</v>
      </c>
      <c r="D538" s="186" t="e">
        <f>"Verify " &amp; DEEMSuite1 &amp; " Humidifier-2 remains energized via bodine switch."</f>
        <v>#N/A</v>
      </c>
      <c r="E538" s="183" t="s">
        <v>1464</v>
      </c>
      <c r="F538" s="186"/>
      <c r="G538" s="187" t="s">
        <v>1519</v>
      </c>
    </row>
    <row r="539" spans="1:7" ht="37.5" x14ac:dyDescent="0.25">
      <c r="A539" s="200">
        <v>534</v>
      </c>
      <c r="B539" s="183" t="e">
        <f>DEEMSuite1&amp;" Electrical Room A"</f>
        <v>#N/A</v>
      </c>
      <c r="C539" s="183" t="s">
        <v>2737</v>
      </c>
      <c r="D539" s="186" t="s">
        <v>3076</v>
      </c>
      <c r="E539" s="183" t="s">
        <v>1464</v>
      </c>
      <c r="F539" s="186"/>
      <c r="G539" s="187" t="s">
        <v>1519</v>
      </c>
    </row>
    <row r="540" spans="1:7" ht="37.5" x14ac:dyDescent="0.25">
      <c r="A540" s="200">
        <v>535</v>
      </c>
      <c r="B540" s="183" t="e">
        <f>DEEMSuite1&amp;" Electrical Room A"</f>
        <v>#N/A</v>
      </c>
      <c r="C540" s="183" t="s">
        <v>2737</v>
      </c>
      <c r="D540" s="186" t="s">
        <v>3077</v>
      </c>
      <c r="E540" s="183" t="s">
        <v>1464</v>
      </c>
      <c r="F540" s="186"/>
      <c r="G540" s="187" t="s">
        <v>1519</v>
      </c>
    </row>
    <row r="541" spans="1:7" ht="37.5" x14ac:dyDescent="0.25">
      <c r="A541" s="200">
        <v>536</v>
      </c>
      <c r="B541" s="183" t="e">
        <f>DEEMSuite1&amp;" CRAC Gallery"</f>
        <v>#N/A</v>
      </c>
      <c r="C541" s="201" t="s">
        <v>2056</v>
      </c>
      <c r="D541" s="186" t="s">
        <v>3078</v>
      </c>
      <c r="E541" s="183" t="s">
        <v>1464</v>
      </c>
      <c r="F541" s="186"/>
      <c r="G541" s="187" t="s">
        <v>1519</v>
      </c>
    </row>
    <row r="542" spans="1:7" ht="37.5" x14ac:dyDescent="0.25">
      <c r="A542" s="200">
        <v>537</v>
      </c>
      <c r="B542" s="183" t="e">
        <f>DEEMSuite1&amp;" Electrical Room A"</f>
        <v>#N/A</v>
      </c>
      <c r="C542" s="183" t="s">
        <v>3014</v>
      </c>
      <c r="D542" s="186" t="s">
        <v>3079</v>
      </c>
      <c r="E542" s="183" t="s">
        <v>1464</v>
      </c>
      <c r="F542" s="186"/>
      <c r="G542" s="187" t="s">
        <v>1519</v>
      </c>
    </row>
    <row r="543" spans="1:7" ht="37.5" x14ac:dyDescent="0.25">
      <c r="A543" s="200">
        <v>538</v>
      </c>
      <c r="B543" s="183" t="e">
        <f>DEEMSuite1&amp;" Electrical Room A"</f>
        <v>#N/A</v>
      </c>
      <c r="C543" s="183" t="s">
        <v>3014</v>
      </c>
      <c r="D543" s="186" t="s">
        <v>3080</v>
      </c>
      <c r="E543" s="183" t="s">
        <v>1464</v>
      </c>
      <c r="F543" s="186"/>
      <c r="G543" s="187" t="s">
        <v>1519</v>
      </c>
    </row>
    <row r="544" spans="1:7" ht="37.5" x14ac:dyDescent="0.25">
      <c r="A544" s="200">
        <v>539</v>
      </c>
      <c r="B544" s="183" t="e">
        <f>DEEMSuite1&amp;" Electrical Room A"</f>
        <v>#N/A</v>
      </c>
      <c r="C544" s="183" t="s">
        <v>3014</v>
      </c>
      <c r="D544" s="186" t="s">
        <v>3081</v>
      </c>
      <c r="E544" s="183" t="s">
        <v>1464</v>
      </c>
      <c r="F544" s="186"/>
      <c r="G544" s="187" t="s">
        <v>1519</v>
      </c>
    </row>
    <row r="545" spans="1:7" ht="37.5" x14ac:dyDescent="0.25">
      <c r="A545" s="200">
        <v>540</v>
      </c>
      <c r="B545" s="183" t="e">
        <f>DEEMSuite1&amp;" Electrical Room A"</f>
        <v>#N/A</v>
      </c>
      <c r="C545" s="183" t="s">
        <v>3014</v>
      </c>
      <c r="D545" s="186" t="s">
        <v>3082</v>
      </c>
      <c r="E545" s="183" t="s">
        <v>1464</v>
      </c>
      <c r="F545" s="186"/>
      <c r="G545" s="187" t="s">
        <v>1519</v>
      </c>
    </row>
    <row r="546" spans="1:7" ht="37.5" x14ac:dyDescent="0.25">
      <c r="A546" s="200">
        <v>541</v>
      </c>
      <c r="B546" s="183" t="e">
        <f>DEEMSuite1&amp;" Electrical Room A"</f>
        <v>#N/A</v>
      </c>
      <c r="C546" s="183" t="s">
        <v>3014</v>
      </c>
      <c r="D546" s="186" t="s">
        <v>3083</v>
      </c>
      <c r="E546" s="183" t="s">
        <v>1464</v>
      </c>
      <c r="F546" s="186"/>
      <c r="G546" s="187" t="s">
        <v>1519</v>
      </c>
    </row>
    <row r="547" spans="1:7" ht="37.5" x14ac:dyDescent="0.25">
      <c r="A547" s="200">
        <v>542</v>
      </c>
      <c r="B547" s="183" t="e">
        <f>DEEMSuite1&amp;" Electrical Room A"</f>
        <v>#N/A</v>
      </c>
      <c r="C547" s="183" t="s">
        <v>3014</v>
      </c>
      <c r="D547" s="186" t="s">
        <v>3084</v>
      </c>
      <c r="E547" s="183" t="s">
        <v>1464</v>
      </c>
      <c r="F547" s="183"/>
      <c r="G547" s="187" t="s">
        <v>1519</v>
      </c>
    </row>
    <row r="548" spans="1:7" ht="37.5" x14ac:dyDescent="0.25">
      <c r="A548" s="200">
        <v>543</v>
      </c>
      <c r="B548" s="183" t="e">
        <f>DEEMSuite1&amp;" CRAC Gallery"</f>
        <v>#N/A</v>
      </c>
      <c r="C548" s="183" t="e">
        <f>DEEMSuite1 &amp; " Humidifier-1"</f>
        <v>#N/A</v>
      </c>
      <c r="D548" s="186" t="e">
        <f>"Verify " &amp; DEEMSuite1 &amp; " Humidifier-1 returns to normal source via bodine switch."</f>
        <v>#N/A</v>
      </c>
      <c r="E548" s="183" t="s">
        <v>1464</v>
      </c>
      <c r="F548" s="183"/>
      <c r="G548" s="187" t="s">
        <v>1519</v>
      </c>
    </row>
    <row r="549" spans="1:7" ht="37.5" x14ac:dyDescent="0.25">
      <c r="A549" s="200">
        <v>544</v>
      </c>
      <c r="B549" s="183" t="e">
        <f>DEEMSuite1&amp;" Electrical Room A"</f>
        <v>#N/A</v>
      </c>
      <c r="C549" s="183" t="s">
        <v>3021</v>
      </c>
      <c r="D549" s="186" t="s">
        <v>3085</v>
      </c>
      <c r="E549" s="183" t="s">
        <v>1464</v>
      </c>
      <c r="F549" s="186"/>
      <c r="G549" s="187" t="s">
        <v>1519</v>
      </c>
    </row>
    <row r="550" spans="1:7" ht="37.5" x14ac:dyDescent="0.25">
      <c r="A550" s="200">
        <v>545</v>
      </c>
      <c r="B550" s="183" t="e">
        <f>DEEMSuite1&amp;" Electrical Room A"</f>
        <v>#N/A</v>
      </c>
      <c r="C550" s="183" t="s">
        <v>3021</v>
      </c>
      <c r="D550" s="186" t="s">
        <v>3086</v>
      </c>
      <c r="E550" s="183" t="s">
        <v>1464</v>
      </c>
      <c r="F550" s="186"/>
      <c r="G550" s="187" t="s">
        <v>1519</v>
      </c>
    </row>
    <row r="551" spans="1:7" ht="37.5" x14ac:dyDescent="0.25">
      <c r="A551" s="200">
        <v>546</v>
      </c>
      <c r="B551" s="183" t="e">
        <f>DEEMSuite1&amp;" Electrical Room A"</f>
        <v>#N/A</v>
      </c>
      <c r="C551" s="183" t="s">
        <v>3021</v>
      </c>
      <c r="D551" s="186" t="s">
        <v>3087</v>
      </c>
      <c r="E551" s="183" t="s">
        <v>1464</v>
      </c>
      <c r="F551" s="186"/>
      <c r="G551" s="187" t="s">
        <v>1519</v>
      </c>
    </row>
    <row r="552" spans="1:7" ht="37.5" x14ac:dyDescent="0.25">
      <c r="A552" s="200">
        <v>547</v>
      </c>
      <c r="B552" s="183" t="e">
        <f>DEEMSuite1&amp;" Electrical Room A"</f>
        <v>#N/A</v>
      </c>
      <c r="C552" s="183" t="s">
        <v>3021</v>
      </c>
      <c r="D552" s="186" t="s">
        <v>3088</v>
      </c>
      <c r="E552" s="183" t="s">
        <v>1464</v>
      </c>
      <c r="F552" s="186"/>
      <c r="G552" s="187" t="s">
        <v>1519</v>
      </c>
    </row>
    <row r="553" spans="1:7" ht="37.5" x14ac:dyDescent="0.25">
      <c r="A553" s="200">
        <v>548</v>
      </c>
      <c r="B553" s="183" t="e">
        <f>DEEMSuite1&amp;" Electrical Room A"</f>
        <v>#N/A</v>
      </c>
      <c r="C553" s="183" t="s">
        <v>3021</v>
      </c>
      <c r="D553" s="186" t="s">
        <v>3089</v>
      </c>
      <c r="E553" s="183" t="s">
        <v>1464</v>
      </c>
      <c r="F553" s="186"/>
      <c r="G553" s="187" t="s">
        <v>1519</v>
      </c>
    </row>
    <row r="554" spans="1:7" ht="37.5" x14ac:dyDescent="0.25">
      <c r="A554" s="200">
        <v>549</v>
      </c>
      <c r="B554" s="183" t="e">
        <f>DEEMSuite1&amp;" Electrical Room A"</f>
        <v>#N/A</v>
      </c>
      <c r="C554" s="183" t="e">
        <f>"ATS RTU " &amp; DEEMSuite1 &amp; "-2"</f>
        <v>#N/A</v>
      </c>
      <c r="D554" s="186" t="e">
        <f>"Verify ATS RTU " &amp; DEEMSuite1 &amp; "-2 returns to primary source."</f>
        <v>#N/A</v>
      </c>
      <c r="E554" s="183" t="s">
        <v>1464</v>
      </c>
      <c r="F554" s="186"/>
      <c r="G554" s="187" t="s">
        <v>1519</v>
      </c>
    </row>
    <row r="555" spans="1:7" x14ac:dyDescent="0.25">
      <c r="A555" s="200">
        <v>550</v>
      </c>
      <c r="B555" s="756" t="s">
        <v>3090</v>
      </c>
      <c r="C555" s="757"/>
      <c r="D555" s="757"/>
      <c r="E555" s="757"/>
      <c r="F555" s="757"/>
      <c r="G555" s="758"/>
    </row>
    <row r="556" spans="1:7" ht="56.25" x14ac:dyDescent="0.25">
      <c r="A556" s="200">
        <v>551</v>
      </c>
      <c r="B556" s="183" t="e">
        <f>DEEMSuite1&amp;" Battery Room A"</f>
        <v>#N/A</v>
      </c>
      <c r="C556" s="183" t="s">
        <v>2993</v>
      </c>
      <c r="D556" s="187" t="s">
        <v>3091</v>
      </c>
      <c r="E556" s="183" t="s">
        <v>1464</v>
      </c>
      <c r="F556" s="186"/>
      <c r="G556" s="187" t="s">
        <v>1519</v>
      </c>
    </row>
    <row r="557" spans="1:7" ht="56.25" x14ac:dyDescent="0.25">
      <c r="A557" s="200">
        <v>552</v>
      </c>
      <c r="B557" s="183" t="e">
        <f>DEEMSuite1&amp;" Battery Room A"</f>
        <v>#N/A</v>
      </c>
      <c r="C557" s="183" t="s">
        <v>2996</v>
      </c>
      <c r="D557" s="187" t="s">
        <v>3092</v>
      </c>
      <c r="E557" s="183" t="s">
        <v>1464</v>
      </c>
      <c r="F557" s="186"/>
      <c r="G557" s="187" t="s">
        <v>1519</v>
      </c>
    </row>
    <row r="558" spans="1:7" ht="56.25" x14ac:dyDescent="0.25">
      <c r="A558" s="200">
        <v>553</v>
      </c>
      <c r="B558" s="183" t="e">
        <f>DEEMSuite1&amp;" Battery Room A"</f>
        <v>#N/A</v>
      </c>
      <c r="C558" s="183" t="s">
        <v>2999</v>
      </c>
      <c r="D558" s="187" t="s">
        <v>3093</v>
      </c>
      <c r="E558" s="183" t="s">
        <v>1464</v>
      </c>
      <c r="F558" s="186"/>
      <c r="G558" s="187" t="s">
        <v>1519</v>
      </c>
    </row>
    <row r="559" spans="1:7" ht="56.25" x14ac:dyDescent="0.25">
      <c r="A559" s="200">
        <v>554</v>
      </c>
      <c r="B559" s="183" t="e">
        <f>DEEMSuite1&amp;" Battery Room A"</f>
        <v>#N/A</v>
      </c>
      <c r="C559" s="183" t="s">
        <v>3002</v>
      </c>
      <c r="D559" s="187" t="s">
        <v>3094</v>
      </c>
      <c r="E559" s="183" t="s">
        <v>1464</v>
      </c>
      <c r="F559" s="186"/>
      <c r="G559" s="187" t="s">
        <v>1519</v>
      </c>
    </row>
    <row r="560" spans="1:7" ht="56.25" x14ac:dyDescent="0.25">
      <c r="A560" s="200">
        <v>555</v>
      </c>
      <c r="B560" s="183" t="e">
        <f>DEEMSuite1&amp;" Battery Room A"</f>
        <v>#N/A</v>
      </c>
      <c r="C560" s="183" t="s">
        <v>3005</v>
      </c>
      <c r="D560" s="187" t="s">
        <v>3091</v>
      </c>
      <c r="E560" s="183" t="s">
        <v>1464</v>
      </c>
      <c r="F560" s="186"/>
      <c r="G560" s="187" t="s">
        <v>1519</v>
      </c>
    </row>
    <row r="561" spans="1:7" ht="56.25" x14ac:dyDescent="0.25">
      <c r="A561" s="200">
        <v>556</v>
      </c>
      <c r="B561" s="183" t="e">
        <f>DEEMSuite1&amp;" Battery Room A"</f>
        <v>#N/A</v>
      </c>
      <c r="C561" s="183" t="s">
        <v>3006</v>
      </c>
      <c r="D561" s="187" t="s">
        <v>3092</v>
      </c>
      <c r="E561" s="183" t="s">
        <v>1464</v>
      </c>
      <c r="F561" s="186"/>
      <c r="G561" s="187" t="s">
        <v>1519</v>
      </c>
    </row>
    <row r="562" spans="1:7" ht="56.25" x14ac:dyDescent="0.25">
      <c r="A562" s="200">
        <v>557</v>
      </c>
      <c r="B562" s="183" t="e">
        <f>DEEMSuite1&amp;" Battery Room A"</f>
        <v>#N/A</v>
      </c>
      <c r="C562" s="183" t="s">
        <v>3007</v>
      </c>
      <c r="D562" s="187" t="s">
        <v>3093</v>
      </c>
      <c r="E562" s="183" t="s">
        <v>1464</v>
      </c>
      <c r="F562" s="186"/>
      <c r="G562" s="187" t="s">
        <v>1519</v>
      </c>
    </row>
    <row r="563" spans="1:7" ht="56.25" x14ac:dyDescent="0.25">
      <c r="A563" s="200">
        <v>558</v>
      </c>
      <c r="B563" s="183" t="e">
        <f>DEEMSuite1&amp;" Battery Room A"</f>
        <v>#N/A</v>
      </c>
      <c r="C563" s="183" t="s">
        <v>3008</v>
      </c>
      <c r="D563" s="187" t="s">
        <v>3094</v>
      </c>
      <c r="E563" s="183" t="s">
        <v>1464</v>
      </c>
      <c r="F563" s="186"/>
      <c r="G563" s="187" t="s">
        <v>1519</v>
      </c>
    </row>
    <row r="564" spans="1:7" ht="37.5" x14ac:dyDescent="0.25">
      <c r="A564" s="200">
        <v>559</v>
      </c>
      <c r="B564" s="183" t="e">
        <f>DEEMSuite1&amp;" Electrical Room A"</f>
        <v>#N/A</v>
      </c>
      <c r="C564" s="183" t="s">
        <v>2737</v>
      </c>
      <c r="D564" s="187" t="s">
        <v>3095</v>
      </c>
      <c r="E564" s="183" t="s">
        <v>1464</v>
      </c>
      <c r="F564" s="186"/>
      <c r="G564" s="187" t="s">
        <v>1519</v>
      </c>
    </row>
    <row r="565" spans="1:7" ht="37.5" x14ac:dyDescent="0.25">
      <c r="A565" s="200">
        <v>560</v>
      </c>
      <c r="B565" s="183" t="e">
        <f>DEEMSuite1&amp;" Electrical Room A"</f>
        <v>#N/A</v>
      </c>
      <c r="C565" s="183" t="s">
        <v>2737</v>
      </c>
      <c r="D565" s="187" t="s">
        <v>3096</v>
      </c>
      <c r="E565" s="183" t="s">
        <v>1464</v>
      </c>
      <c r="F565" s="186"/>
      <c r="G565" s="187" t="s">
        <v>1519</v>
      </c>
    </row>
    <row r="566" spans="1:7" ht="37.5" x14ac:dyDescent="0.25">
      <c r="A566" s="200">
        <v>561</v>
      </c>
      <c r="B566" s="183" t="e">
        <f>DEEMSuite1&amp;" Electrical Room A"</f>
        <v>#N/A</v>
      </c>
      <c r="C566" s="183" t="s">
        <v>2987</v>
      </c>
      <c r="D566" s="186" t="s">
        <v>3097</v>
      </c>
      <c r="E566" s="183" t="s">
        <v>1464</v>
      </c>
      <c r="F566" s="186"/>
      <c r="G566" s="187" t="s">
        <v>1519</v>
      </c>
    </row>
    <row r="567" spans="1:7" ht="37.5" x14ac:dyDescent="0.25">
      <c r="A567" s="200">
        <v>562</v>
      </c>
      <c r="B567" s="183" t="e">
        <f>DEEMSuite1&amp;" Electrical Room A"</f>
        <v>#N/A</v>
      </c>
      <c r="C567" s="183" t="s">
        <v>2979</v>
      </c>
      <c r="D567" s="187" t="s">
        <v>2980</v>
      </c>
      <c r="E567" s="183" t="s">
        <v>1464</v>
      </c>
      <c r="F567" s="186"/>
      <c r="G567" s="187" t="s">
        <v>1519</v>
      </c>
    </row>
    <row r="568" spans="1:7" ht="37.5" x14ac:dyDescent="0.25">
      <c r="A568" s="200">
        <v>563</v>
      </c>
      <c r="B568" s="183" t="e">
        <f>DEEMSuite1&amp;" Electrical Room A"</f>
        <v>#N/A</v>
      </c>
      <c r="C568" s="183" t="s">
        <v>2979</v>
      </c>
      <c r="D568" s="187" t="s">
        <v>2981</v>
      </c>
      <c r="E568" s="183" t="s">
        <v>1464</v>
      </c>
      <c r="F568" s="186"/>
      <c r="G568" s="187" t="s">
        <v>1519</v>
      </c>
    </row>
    <row r="569" spans="1:7" ht="37.5" x14ac:dyDescent="0.25">
      <c r="A569" s="200">
        <v>564</v>
      </c>
      <c r="B569" s="183" t="e">
        <f>DEEMSuite1&amp;" Electrical Room A"</f>
        <v>#N/A</v>
      </c>
      <c r="C569" s="183" t="s">
        <v>2979</v>
      </c>
      <c r="D569" s="187" t="s">
        <v>3098</v>
      </c>
      <c r="E569" s="183" t="s">
        <v>1464</v>
      </c>
      <c r="F569" s="186"/>
      <c r="G569" s="187" t="s">
        <v>1519</v>
      </c>
    </row>
    <row r="570" spans="1:7" ht="37.5" x14ac:dyDescent="0.25">
      <c r="A570" s="200">
        <v>565</v>
      </c>
      <c r="B570" s="183" t="e">
        <f>DEEMSuite1&amp;" Electrical Room A"</f>
        <v>#N/A</v>
      </c>
      <c r="C570" s="183" t="s">
        <v>2979</v>
      </c>
      <c r="D570" s="186" t="s">
        <v>2983</v>
      </c>
      <c r="E570" s="183" t="s">
        <v>1464</v>
      </c>
      <c r="F570" s="186"/>
      <c r="G570" s="187" t="s">
        <v>1519</v>
      </c>
    </row>
    <row r="571" spans="1:7" ht="37.5" x14ac:dyDescent="0.25">
      <c r="A571" s="200">
        <v>566</v>
      </c>
      <c r="B571" s="183" t="e">
        <f>DEEMSuite1&amp;" Electrical Room A"</f>
        <v>#N/A</v>
      </c>
      <c r="C571" s="183" t="s">
        <v>2979</v>
      </c>
      <c r="D571" s="186" t="s">
        <v>2984</v>
      </c>
      <c r="E571" s="183" t="s">
        <v>1464</v>
      </c>
      <c r="F571" s="186"/>
      <c r="G571" s="187" t="s">
        <v>1519</v>
      </c>
    </row>
    <row r="572" spans="1:7" ht="37.5" x14ac:dyDescent="0.25">
      <c r="A572" s="200">
        <v>567</v>
      </c>
      <c r="B572" s="183" t="e">
        <f>DEEMSuite1&amp;" Electrical Room A"</f>
        <v>#N/A</v>
      </c>
      <c r="C572" s="183" t="s">
        <v>2979</v>
      </c>
      <c r="D572" s="186" t="s">
        <v>2985</v>
      </c>
      <c r="E572" s="183" t="s">
        <v>1464</v>
      </c>
      <c r="F572" s="186"/>
      <c r="G572" s="187" t="s">
        <v>1519</v>
      </c>
    </row>
    <row r="573" spans="1:7" ht="37.5" x14ac:dyDescent="0.25">
      <c r="A573" s="200">
        <v>568</v>
      </c>
      <c r="B573" s="183" t="e">
        <f>DEEMSuite1&amp;" Electrical Room A"</f>
        <v>#N/A</v>
      </c>
      <c r="C573" s="183" t="s">
        <v>2979</v>
      </c>
      <c r="D573" s="187" t="s">
        <v>3099</v>
      </c>
      <c r="E573" s="183" t="s">
        <v>1464</v>
      </c>
      <c r="F573" s="186"/>
      <c r="G573" s="187" t="s">
        <v>1519</v>
      </c>
    </row>
    <row r="574" spans="1:7" ht="168.75" x14ac:dyDescent="0.25">
      <c r="A574" s="200">
        <v>569</v>
      </c>
      <c r="B574" s="183" t="e">
        <f>DEEMSuite1&amp;" Electrical Room A"</f>
        <v>#N/A</v>
      </c>
      <c r="C574" s="183" t="s">
        <v>2979</v>
      </c>
      <c r="D574" s="187" t="s">
        <v>3100</v>
      </c>
      <c r="E574" s="183" t="s">
        <v>1464</v>
      </c>
      <c r="F574" s="186"/>
      <c r="G574" s="187" t="s">
        <v>1519</v>
      </c>
    </row>
    <row r="575" spans="1:7" ht="37.5" x14ac:dyDescent="0.25">
      <c r="A575" s="200">
        <v>570</v>
      </c>
      <c r="B575" s="183" t="e">
        <f>DEEMSuite1&amp;" Electrical Room A"</f>
        <v>#N/A</v>
      </c>
      <c r="C575" s="183" t="s">
        <v>2979</v>
      </c>
      <c r="D575" s="187" t="s">
        <v>3101</v>
      </c>
      <c r="E575" s="183" t="s">
        <v>1464</v>
      </c>
      <c r="F575" s="186"/>
      <c r="G575" s="187" t="s">
        <v>1519</v>
      </c>
    </row>
    <row r="576" spans="1:7" ht="37.5" x14ac:dyDescent="0.25">
      <c r="A576" s="200">
        <v>571</v>
      </c>
      <c r="B576" s="183" t="e">
        <f>DEEMSuite1&amp;" Electrical Room A"</f>
        <v>#N/A</v>
      </c>
      <c r="C576" s="183" t="s">
        <v>2979</v>
      </c>
      <c r="D576" s="186" t="s">
        <v>3102</v>
      </c>
      <c r="E576" s="183" t="s">
        <v>1464</v>
      </c>
      <c r="F576" s="186"/>
      <c r="G576" s="187" t="s">
        <v>1519</v>
      </c>
    </row>
    <row r="577" spans="1:7" ht="37.5" x14ac:dyDescent="0.25">
      <c r="A577" s="200">
        <v>572</v>
      </c>
      <c r="B577" s="183" t="e">
        <f>DEEMSuite1&amp;" Battery Room A"</f>
        <v>#N/A</v>
      </c>
      <c r="C577" s="183" t="s">
        <v>1770</v>
      </c>
      <c r="D577" s="187" t="s">
        <v>3103</v>
      </c>
      <c r="E577" s="183" t="s">
        <v>1464</v>
      </c>
      <c r="F577" s="186"/>
      <c r="G577" s="187" t="s">
        <v>1519</v>
      </c>
    </row>
    <row r="578" spans="1:7" ht="56.25" x14ac:dyDescent="0.25">
      <c r="A578" s="200">
        <v>573</v>
      </c>
      <c r="B578" s="183" t="e">
        <f>DEEMSuite1&amp;" Battery Room A"</f>
        <v>#N/A</v>
      </c>
      <c r="C578" s="183" t="s">
        <v>2993</v>
      </c>
      <c r="D578" s="187" t="s">
        <v>3104</v>
      </c>
      <c r="E578" s="183" t="s">
        <v>1464</v>
      </c>
      <c r="F578" s="186"/>
      <c r="G578" s="187" t="s">
        <v>1519</v>
      </c>
    </row>
    <row r="579" spans="1:7" ht="56.25" x14ac:dyDescent="0.25">
      <c r="A579" s="200">
        <v>574</v>
      </c>
      <c r="B579" s="183" t="e">
        <f>DEEMSuite1&amp;" Battery Room A"</f>
        <v>#N/A</v>
      </c>
      <c r="C579" s="183" t="s">
        <v>2996</v>
      </c>
      <c r="D579" s="187" t="s">
        <v>3105</v>
      </c>
      <c r="E579" s="183" t="s">
        <v>1464</v>
      </c>
      <c r="F579" s="186"/>
      <c r="G579" s="187" t="s">
        <v>1519</v>
      </c>
    </row>
    <row r="580" spans="1:7" ht="56.25" x14ac:dyDescent="0.25">
      <c r="A580" s="200">
        <v>575</v>
      </c>
      <c r="B580" s="183" t="e">
        <f>DEEMSuite1&amp;" Battery Room A"</f>
        <v>#N/A</v>
      </c>
      <c r="C580" s="183" t="s">
        <v>2999</v>
      </c>
      <c r="D580" s="187" t="s">
        <v>3106</v>
      </c>
      <c r="E580" s="183" t="s">
        <v>1464</v>
      </c>
      <c r="F580" s="186"/>
      <c r="G580" s="187" t="s">
        <v>1519</v>
      </c>
    </row>
    <row r="581" spans="1:7" ht="56.25" x14ac:dyDescent="0.25">
      <c r="A581" s="200">
        <v>576</v>
      </c>
      <c r="B581" s="183" t="e">
        <f>DEEMSuite1&amp;" Battery Room A"</f>
        <v>#N/A</v>
      </c>
      <c r="C581" s="183" t="s">
        <v>3002</v>
      </c>
      <c r="D581" s="187" t="s">
        <v>3107</v>
      </c>
      <c r="E581" s="183" t="s">
        <v>1464</v>
      </c>
      <c r="F581" s="186"/>
      <c r="G581" s="187" t="s">
        <v>1519</v>
      </c>
    </row>
    <row r="582" spans="1:7" ht="37.5" x14ac:dyDescent="0.25">
      <c r="A582" s="200">
        <v>577</v>
      </c>
      <c r="B582" s="183" t="e">
        <f>DEEMSuite1&amp;" Electrical Room A"</f>
        <v>#N/A</v>
      </c>
      <c r="C582" s="183" t="s">
        <v>1470</v>
      </c>
      <c r="D582" s="187" t="s">
        <v>3108</v>
      </c>
      <c r="E582" s="183" t="s">
        <v>1464</v>
      </c>
      <c r="F582" s="186"/>
      <c r="G582" s="187" t="s">
        <v>1519</v>
      </c>
    </row>
    <row r="583" spans="1:7" ht="37.5" x14ac:dyDescent="0.25">
      <c r="A583" s="200">
        <v>578</v>
      </c>
      <c r="B583" s="183" t="e">
        <f>DEEMSuite1&amp;" Electrical Room A"</f>
        <v>#N/A</v>
      </c>
      <c r="C583" s="183" t="s">
        <v>2979</v>
      </c>
      <c r="D583" s="187" t="s">
        <v>3109</v>
      </c>
      <c r="E583" s="183" t="s">
        <v>1464</v>
      </c>
      <c r="F583" s="186"/>
      <c r="G583" s="187" t="s">
        <v>1519</v>
      </c>
    </row>
    <row r="584" spans="1:7" ht="37.5" x14ac:dyDescent="0.25">
      <c r="A584" s="200">
        <v>579</v>
      </c>
      <c r="B584" s="183" t="e">
        <f>DEEMSuite1&amp;" Electrical Room A"</f>
        <v>#N/A</v>
      </c>
      <c r="C584" s="183" t="s">
        <v>1566</v>
      </c>
      <c r="D584" s="186" t="s">
        <v>3110</v>
      </c>
      <c r="E584" s="183" t="s">
        <v>1464</v>
      </c>
      <c r="F584" s="186"/>
      <c r="G584" s="187" t="s">
        <v>1519</v>
      </c>
    </row>
    <row r="585" spans="1:7" ht="37.5" x14ac:dyDescent="0.25">
      <c r="A585" s="200">
        <v>580</v>
      </c>
      <c r="B585" s="183" t="e">
        <f>DEEMSuite1&amp;" Electrical Room A"</f>
        <v>#N/A</v>
      </c>
      <c r="C585" s="183" t="s">
        <v>2990</v>
      </c>
      <c r="D585" s="187" t="s">
        <v>3111</v>
      </c>
      <c r="E585" s="183" t="s">
        <v>1464</v>
      </c>
      <c r="F585" s="186"/>
      <c r="G585" s="187" t="s">
        <v>1519</v>
      </c>
    </row>
    <row r="586" spans="1:7" ht="37.5" x14ac:dyDescent="0.25">
      <c r="A586" s="200">
        <v>581</v>
      </c>
      <c r="B586" s="183" t="e">
        <f>DEEMSuite1&amp;" Electrical Room A"</f>
        <v>#N/A</v>
      </c>
      <c r="C586" s="183" t="s">
        <v>2990</v>
      </c>
      <c r="D586" s="187" t="s">
        <v>2981</v>
      </c>
      <c r="E586" s="183" t="s">
        <v>1464</v>
      </c>
      <c r="F586" s="186"/>
      <c r="G586" s="187" t="s">
        <v>1519</v>
      </c>
    </row>
    <row r="587" spans="1:7" ht="37.5" x14ac:dyDescent="0.25">
      <c r="A587" s="200">
        <v>582</v>
      </c>
      <c r="B587" s="183" t="e">
        <f>DEEMSuite1&amp;" Electrical Room A"</f>
        <v>#N/A</v>
      </c>
      <c r="C587" s="183" t="s">
        <v>2990</v>
      </c>
      <c r="D587" s="187" t="s">
        <v>3098</v>
      </c>
      <c r="E587" s="183" t="s">
        <v>1464</v>
      </c>
      <c r="F587" s="186"/>
      <c r="G587" s="187" t="s">
        <v>1519</v>
      </c>
    </row>
    <row r="588" spans="1:7" ht="37.5" x14ac:dyDescent="0.25">
      <c r="A588" s="200">
        <v>583</v>
      </c>
      <c r="B588" s="183" t="e">
        <f>DEEMSuite1&amp;" Electrical Room A"</f>
        <v>#N/A</v>
      </c>
      <c r="C588" s="183" t="s">
        <v>2990</v>
      </c>
      <c r="D588" s="186" t="s">
        <v>2983</v>
      </c>
      <c r="E588" s="183" t="s">
        <v>1464</v>
      </c>
      <c r="F588" s="186"/>
      <c r="G588" s="187" t="s">
        <v>1519</v>
      </c>
    </row>
    <row r="589" spans="1:7" ht="37.5" x14ac:dyDescent="0.25">
      <c r="A589" s="200">
        <v>584</v>
      </c>
      <c r="B589" s="183" t="e">
        <f>DEEMSuite1&amp;" Electrical Room A"</f>
        <v>#N/A</v>
      </c>
      <c r="C589" s="183" t="s">
        <v>2990</v>
      </c>
      <c r="D589" s="186" t="s">
        <v>2984</v>
      </c>
      <c r="E589" s="183" t="s">
        <v>1464</v>
      </c>
      <c r="F589" s="186"/>
      <c r="G589" s="187" t="s">
        <v>1519</v>
      </c>
    </row>
    <row r="590" spans="1:7" ht="37.5" x14ac:dyDescent="0.25">
      <c r="A590" s="200">
        <v>585</v>
      </c>
      <c r="B590" s="183" t="e">
        <f>DEEMSuite1&amp;" Electrical Room A"</f>
        <v>#N/A</v>
      </c>
      <c r="C590" s="183" t="s">
        <v>2990</v>
      </c>
      <c r="D590" s="186" t="s">
        <v>2985</v>
      </c>
      <c r="E590" s="183" t="s">
        <v>1464</v>
      </c>
      <c r="F590" s="186"/>
      <c r="G590" s="187" t="s">
        <v>1519</v>
      </c>
    </row>
    <row r="591" spans="1:7" ht="37.5" x14ac:dyDescent="0.25">
      <c r="A591" s="200">
        <v>586</v>
      </c>
      <c r="B591" s="183" t="e">
        <f>DEEMSuite1&amp;" Electrical Room A"</f>
        <v>#N/A</v>
      </c>
      <c r="C591" s="183" t="s">
        <v>2990</v>
      </c>
      <c r="D591" s="187" t="s">
        <v>3099</v>
      </c>
      <c r="E591" s="183" t="s">
        <v>1464</v>
      </c>
      <c r="F591" s="186"/>
      <c r="G591" s="187" t="s">
        <v>1519</v>
      </c>
    </row>
    <row r="592" spans="1:7" ht="168.75" x14ac:dyDescent="0.25">
      <c r="A592" s="200">
        <v>587</v>
      </c>
      <c r="B592" s="183" t="e">
        <f>DEEMSuite1&amp;" Electrical Room A"</f>
        <v>#N/A</v>
      </c>
      <c r="C592" s="183" t="s">
        <v>2990</v>
      </c>
      <c r="D592" s="187" t="s">
        <v>3100</v>
      </c>
      <c r="E592" s="183" t="s">
        <v>1464</v>
      </c>
      <c r="F592" s="186"/>
      <c r="G592" s="187" t="s">
        <v>1519</v>
      </c>
    </row>
    <row r="593" spans="1:7" ht="37.5" x14ac:dyDescent="0.25">
      <c r="A593" s="200">
        <v>588</v>
      </c>
      <c r="B593" s="183" t="e">
        <f>DEEMSuite1&amp;" Electrical Room A"</f>
        <v>#N/A</v>
      </c>
      <c r="C593" s="183" t="s">
        <v>2990</v>
      </c>
      <c r="D593" s="187" t="s">
        <v>3101</v>
      </c>
      <c r="E593" s="183" t="s">
        <v>1464</v>
      </c>
      <c r="F593" s="186"/>
      <c r="G593" s="187" t="s">
        <v>1519</v>
      </c>
    </row>
    <row r="594" spans="1:7" ht="37.5" x14ac:dyDescent="0.25">
      <c r="A594" s="200">
        <v>589</v>
      </c>
      <c r="B594" s="183" t="e">
        <f>DEEMSuite1&amp;" Electrical Room A"</f>
        <v>#N/A</v>
      </c>
      <c r="C594" s="183" t="s">
        <v>2990</v>
      </c>
      <c r="D594" s="186" t="s">
        <v>3102</v>
      </c>
      <c r="E594" s="183" t="s">
        <v>1464</v>
      </c>
      <c r="F594" s="186"/>
      <c r="G594" s="187" t="s">
        <v>1519</v>
      </c>
    </row>
    <row r="595" spans="1:7" ht="37.5" x14ac:dyDescent="0.25">
      <c r="A595" s="200">
        <v>590</v>
      </c>
      <c r="B595" s="183" t="e">
        <f>DEEMSuite1&amp;" Battery Room A"</f>
        <v>#N/A</v>
      </c>
      <c r="C595" s="183" t="s">
        <v>1791</v>
      </c>
      <c r="D595" s="187" t="s">
        <v>3103</v>
      </c>
      <c r="E595" s="183" t="s">
        <v>1464</v>
      </c>
      <c r="F595" s="186"/>
      <c r="G595" s="187" t="s">
        <v>1519</v>
      </c>
    </row>
    <row r="596" spans="1:7" ht="56.25" x14ac:dyDescent="0.25">
      <c r="A596" s="200">
        <v>591</v>
      </c>
      <c r="B596" s="183" t="e">
        <f>DEEMSuite1&amp;" Battery Room A"</f>
        <v>#N/A</v>
      </c>
      <c r="C596" s="183" t="s">
        <v>3005</v>
      </c>
      <c r="D596" s="187" t="s">
        <v>3104</v>
      </c>
      <c r="E596" s="183" t="s">
        <v>1464</v>
      </c>
      <c r="F596" s="186"/>
      <c r="G596" s="187" t="s">
        <v>1519</v>
      </c>
    </row>
    <row r="597" spans="1:7" ht="56.25" x14ac:dyDescent="0.25">
      <c r="A597" s="200">
        <v>592</v>
      </c>
      <c r="B597" s="183" t="e">
        <f>DEEMSuite1&amp;" Battery Room A"</f>
        <v>#N/A</v>
      </c>
      <c r="C597" s="183" t="s">
        <v>3006</v>
      </c>
      <c r="D597" s="187" t="s">
        <v>3105</v>
      </c>
      <c r="E597" s="183" t="s">
        <v>1464</v>
      </c>
      <c r="F597" s="186"/>
      <c r="G597" s="187" t="s">
        <v>1519</v>
      </c>
    </row>
    <row r="598" spans="1:7" ht="56.25" x14ac:dyDescent="0.25">
      <c r="A598" s="200">
        <v>593</v>
      </c>
      <c r="B598" s="183" t="e">
        <f>DEEMSuite1&amp;" Battery Room A"</f>
        <v>#N/A</v>
      </c>
      <c r="C598" s="183" t="s">
        <v>3007</v>
      </c>
      <c r="D598" s="187" t="s">
        <v>3106</v>
      </c>
      <c r="E598" s="183" t="s">
        <v>1464</v>
      </c>
      <c r="F598" s="186"/>
      <c r="G598" s="187" t="s">
        <v>1519</v>
      </c>
    </row>
    <row r="599" spans="1:7" ht="56.25" x14ac:dyDescent="0.25">
      <c r="A599" s="200">
        <v>594</v>
      </c>
      <c r="B599" s="183" t="e">
        <f>DEEMSuite1&amp;" Battery Room A"</f>
        <v>#N/A</v>
      </c>
      <c r="C599" s="183" t="s">
        <v>3008</v>
      </c>
      <c r="D599" s="187" t="s">
        <v>3107</v>
      </c>
      <c r="E599" s="183" t="s">
        <v>1464</v>
      </c>
      <c r="F599" s="186"/>
      <c r="G599" s="187" t="s">
        <v>1519</v>
      </c>
    </row>
    <row r="600" spans="1:7" ht="37.5" x14ac:dyDescent="0.25">
      <c r="A600" s="200">
        <v>595</v>
      </c>
      <c r="B600" s="183" t="e">
        <f>DEEMSuite1&amp;" Electrical Room A"</f>
        <v>#N/A</v>
      </c>
      <c r="C600" s="183" t="s">
        <v>1470</v>
      </c>
      <c r="D600" s="187" t="s">
        <v>3112</v>
      </c>
      <c r="E600" s="183" t="s">
        <v>1464</v>
      </c>
      <c r="F600" s="186"/>
      <c r="G600" s="187" t="s">
        <v>1519</v>
      </c>
    </row>
    <row r="601" spans="1:7" ht="37.5" x14ac:dyDescent="0.25">
      <c r="A601" s="200">
        <v>596</v>
      </c>
      <c r="B601" s="183" t="e">
        <f>DEEMSuite1&amp;" Electrical Room A"</f>
        <v>#N/A</v>
      </c>
      <c r="C601" s="183" t="s">
        <v>2990</v>
      </c>
      <c r="D601" s="187" t="s">
        <v>3109</v>
      </c>
      <c r="E601" s="183" t="s">
        <v>1464</v>
      </c>
      <c r="F601" s="186"/>
      <c r="G601" s="187" t="s">
        <v>1519</v>
      </c>
    </row>
    <row r="602" spans="1:7" ht="37.5" x14ac:dyDescent="0.25">
      <c r="A602" s="200">
        <v>597</v>
      </c>
      <c r="B602" s="183" t="e">
        <f>DEEMSuite1&amp;" Electrical Room A"</f>
        <v>#N/A</v>
      </c>
      <c r="C602" s="201" t="s">
        <v>1566</v>
      </c>
      <c r="D602" s="186" t="s">
        <v>3113</v>
      </c>
      <c r="E602" s="183" t="s">
        <v>1464</v>
      </c>
      <c r="F602" s="186"/>
      <c r="G602" s="187" t="s">
        <v>1519</v>
      </c>
    </row>
    <row r="603" spans="1:7" ht="37.5" x14ac:dyDescent="0.25">
      <c r="A603" s="200">
        <v>598</v>
      </c>
      <c r="B603" s="183" t="e">
        <f>DEEMSuite1&amp;" Electrical Room A"</f>
        <v>#N/A</v>
      </c>
      <c r="C603" s="183" t="s">
        <v>2979</v>
      </c>
      <c r="D603" s="187" t="s">
        <v>3114</v>
      </c>
      <c r="E603" s="183" t="s">
        <v>1464</v>
      </c>
      <c r="F603" s="186"/>
      <c r="G603" s="187" t="s">
        <v>1519</v>
      </c>
    </row>
    <row r="604" spans="1:7" ht="37.5" x14ac:dyDescent="0.25">
      <c r="A604" s="200">
        <v>599</v>
      </c>
      <c r="B604" s="183" t="e">
        <f>DEEMSuite1&amp;" Electrical Room A"</f>
        <v>#N/A</v>
      </c>
      <c r="C604" s="183" t="s">
        <v>2979</v>
      </c>
      <c r="D604" s="187" t="s">
        <v>2982</v>
      </c>
      <c r="E604" s="183" t="s">
        <v>1464</v>
      </c>
      <c r="F604" s="186"/>
      <c r="G604" s="187" t="s">
        <v>1519</v>
      </c>
    </row>
    <row r="605" spans="1:7" ht="37.5" x14ac:dyDescent="0.25">
      <c r="A605" s="200">
        <v>600</v>
      </c>
      <c r="B605" s="183" t="e">
        <f>DEEMSuite1&amp;" Electrical Room A"</f>
        <v>#N/A</v>
      </c>
      <c r="C605" s="183" t="s">
        <v>2979</v>
      </c>
      <c r="D605" s="187" t="s">
        <v>3115</v>
      </c>
      <c r="E605" s="183" t="s">
        <v>1464</v>
      </c>
      <c r="F605" s="186"/>
      <c r="G605" s="187" t="s">
        <v>1519</v>
      </c>
    </row>
    <row r="606" spans="1:7" ht="37.5" x14ac:dyDescent="0.25">
      <c r="A606" s="200">
        <v>601</v>
      </c>
      <c r="B606" s="183" t="e">
        <f>DEEMSuite1&amp;" Electrical Room A"</f>
        <v>#N/A</v>
      </c>
      <c r="C606" s="183" t="s">
        <v>1566</v>
      </c>
      <c r="D606" s="186" t="s">
        <v>3116</v>
      </c>
      <c r="E606" s="183" t="s">
        <v>1464</v>
      </c>
      <c r="F606" s="186"/>
      <c r="G606" s="187" t="s">
        <v>1519</v>
      </c>
    </row>
    <row r="607" spans="1:7" ht="37.5" x14ac:dyDescent="0.25">
      <c r="A607" s="200">
        <v>602</v>
      </c>
      <c r="B607" s="183" t="e">
        <f>DEEMSuite1&amp;" Electrical Room A"</f>
        <v>#N/A</v>
      </c>
      <c r="C607" s="183" t="s">
        <v>2987</v>
      </c>
      <c r="D607" s="186" t="s">
        <v>3117</v>
      </c>
      <c r="E607" s="183" t="s">
        <v>1464</v>
      </c>
      <c r="F607" s="186"/>
      <c r="G607" s="187" t="s">
        <v>1519</v>
      </c>
    </row>
    <row r="608" spans="1:7" x14ac:dyDescent="0.25">
      <c r="A608" s="200">
        <v>603</v>
      </c>
      <c r="B608" s="756" t="s">
        <v>3118</v>
      </c>
      <c r="C608" s="757"/>
      <c r="D608" s="759"/>
      <c r="E608" s="757"/>
      <c r="F608" s="757"/>
      <c r="G608" s="758"/>
    </row>
    <row r="609" spans="1:7" ht="37.5" x14ac:dyDescent="0.25">
      <c r="A609" s="200">
        <v>604</v>
      </c>
      <c r="B609" s="183" t="e">
        <f>DEEMSuite1&amp;" Electrical Room A"</f>
        <v>#N/A</v>
      </c>
      <c r="C609" s="183" t="s">
        <v>2737</v>
      </c>
      <c r="D609" s="186" t="s">
        <v>3119</v>
      </c>
      <c r="E609" s="183" t="s">
        <v>1464</v>
      </c>
      <c r="F609" s="186"/>
      <c r="G609" s="187" t="s">
        <v>1519</v>
      </c>
    </row>
    <row r="610" spans="1:7" ht="37.5" x14ac:dyDescent="0.25">
      <c r="A610" s="200">
        <v>605</v>
      </c>
      <c r="B610" s="183" t="e">
        <f>DEEMSuite1&amp;" Electrical Room A"</f>
        <v>#N/A</v>
      </c>
      <c r="C610" s="183" t="s">
        <v>2737</v>
      </c>
      <c r="D610" s="187" t="s">
        <v>1707</v>
      </c>
      <c r="E610" s="183" t="s">
        <v>1464</v>
      </c>
      <c r="F610" s="186"/>
      <c r="G610" s="187" t="s">
        <v>1519</v>
      </c>
    </row>
    <row r="611" spans="1:7" ht="37.5" x14ac:dyDescent="0.25">
      <c r="A611" s="200">
        <v>606</v>
      </c>
      <c r="B611" s="183" t="e">
        <f>DEEMSuite1&amp;" Electrical Room A"</f>
        <v>#N/A</v>
      </c>
      <c r="C611" s="183" t="s">
        <v>2737</v>
      </c>
      <c r="D611" s="187" t="s">
        <v>3120</v>
      </c>
      <c r="E611" s="183" t="s">
        <v>1464</v>
      </c>
      <c r="F611" s="186"/>
      <c r="G611" s="187" t="s">
        <v>1519</v>
      </c>
    </row>
    <row r="612" spans="1:7" ht="37.5" x14ac:dyDescent="0.25">
      <c r="A612" s="200">
        <v>607</v>
      </c>
      <c r="B612" s="183" t="e">
        <f>DEEMSuite1&amp;" Electrical Room A"</f>
        <v>#N/A</v>
      </c>
      <c r="C612" s="183" t="s">
        <v>1566</v>
      </c>
      <c r="D612" s="186" t="s">
        <v>3121</v>
      </c>
      <c r="E612" s="183" t="s">
        <v>1464</v>
      </c>
      <c r="F612" s="186"/>
      <c r="G612" s="187" t="s">
        <v>1519</v>
      </c>
    </row>
    <row r="613" spans="1:7" ht="37.5" x14ac:dyDescent="0.25">
      <c r="A613" s="200">
        <v>608</v>
      </c>
      <c r="B613" s="183" t="e">
        <f>DEEMSuite1&amp;" Electrical Room A"</f>
        <v>#N/A</v>
      </c>
      <c r="C613" s="183" t="s">
        <v>2737</v>
      </c>
      <c r="D613" s="186" t="s">
        <v>3122</v>
      </c>
      <c r="E613" s="183" t="s">
        <v>1464</v>
      </c>
      <c r="F613" s="186"/>
      <c r="G613" s="187" t="s">
        <v>1519</v>
      </c>
    </row>
    <row r="614" spans="1:7" ht="37.5" x14ac:dyDescent="0.25">
      <c r="A614" s="200">
        <v>609</v>
      </c>
      <c r="B614" s="183" t="e">
        <f>DEEMSuite1&amp;" Electrical Room A"</f>
        <v>#N/A</v>
      </c>
      <c r="C614" s="183" t="s">
        <v>2737</v>
      </c>
      <c r="D614" s="187" t="s">
        <v>3123</v>
      </c>
      <c r="E614" s="183" t="s">
        <v>1464</v>
      </c>
      <c r="F614" s="186"/>
      <c r="G614" s="187" t="s">
        <v>1519</v>
      </c>
    </row>
    <row r="615" spans="1:7" ht="37.5" x14ac:dyDescent="0.25">
      <c r="A615" s="200">
        <v>610</v>
      </c>
      <c r="B615" s="183" t="e">
        <f>DEEMSuite1&amp;" Electrical Room A"</f>
        <v>#N/A</v>
      </c>
      <c r="C615" s="183" t="s">
        <v>2737</v>
      </c>
      <c r="D615" s="187" t="s">
        <v>3124</v>
      </c>
      <c r="E615" s="183" t="s">
        <v>1464</v>
      </c>
      <c r="F615" s="186"/>
      <c r="G615" s="187" t="s">
        <v>1519</v>
      </c>
    </row>
    <row r="616" spans="1:7" ht="37.5" x14ac:dyDescent="0.25">
      <c r="A616" s="200">
        <v>611</v>
      </c>
      <c r="B616" s="183" t="e">
        <f>DEEMSuite1&amp;" Electrical Room A"</f>
        <v>#N/A</v>
      </c>
      <c r="C616" s="183" t="s">
        <v>2737</v>
      </c>
      <c r="D616" s="187" t="s">
        <v>3125</v>
      </c>
      <c r="E616" s="183" t="s">
        <v>1464</v>
      </c>
      <c r="F616" s="186"/>
      <c r="G616" s="187" t="s">
        <v>1519</v>
      </c>
    </row>
    <row r="617" spans="1:7" ht="37.5" x14ac:dyDescent="0.25">
      <c r="A617" s="200">
        <v>612</v>
      </c>
      <c r="B617" s="183" t="e">
        <f>DEEMSuite1&amp;" Electrical Room A"</f>
        <v>#N/A</v>
      </c>
      <c r="C617" s="183" t="s">
        <v>2737</v>
      </c>
      <c r="D617" s="187" t="s">
        <v>3126</v>
      </c>
      <c r="E617" s="183" t="s">
        <v>1464</v>
      </c>
      <c r="F617" s="186"/>
      <c r="G617" s="187" t="s">
        <v>1519</v>
      </c>
    </row>
    <row r="618" spans="1:7" ht="37.5" x14ac:dyDescent="0.25">
      <c r="A618" s="200">
        <v>613</v>
      </c>
      <c r="B618" s="183" t="e">
        <f>DEEMSuite1&amp;" Electrical Room A"</f>
        <v>#N/A</v>
      </c>
      <c r="C618" s="183" t="s">
        <v>2737</v>
      </c>
      <c r="D618" s="187" t="s">
        <v>3127</v>
      </c>
      <c r="E618" s="183" t="s">
        <v>1464</v>
      </c>
      <c r="F618" s="186"/>
      <c r="G618" s="187" t="s">
        <v>1519</v>
      </c>
    </row>
    <row r="619" spans="1:7" ht="37.5" x14ac:dyDescent="0.25">
      <c r="A619" s="200">
        <v>614</v>
      </c>
      <c r="B619" s="183" t="e">
        <f>DEEMSuite1&amp;" Electrical Room A"</f>
        <v>#N/A</v>
      </c>
      <c r="C619" s="183" t="s">
        <v>2737</v>
      </c>
      <c r="D619" s="187" t="s">
        <v>1632</v>
      </c>
      <c r="E619" s="183" t="s">
        <v>1464</v>
      </c>
      <c r="F619" s="186"/>
      <c r="G619" s="187" t="s">
        <v>1519</v>
      </c>
    </row>
    <row r="620" spans="1:7" ht="37.5" x14ac:dyDescent="0.25">
      <c r="A620" s="200">
        <v>615</v>
      </c>
      <c r="B620" s="183" t="e">
        <f>DEEMSuite1&amp;" Electrical Room A"</f>
        <v>#N/A</v>
      </c>
      <c r="C620" s="183" t="s">
        <v>2737</v>
      </c>
      <c r="D620" s="187" t="s">
        <v>3120</v>
      </c>
      <c r="E620" s="183" t="s">
        <v>1464</v>
      </c>
      <c r="F620" s="186"/>
      <c r="G620" s="187" t="s">
        <v>1519</v>
      </c>
    </row>
    <row r="621" spans="1:7" ht="37.5" x14ac:dyDescent="0.25">
      <c r="A621" s="200">
        <v>616</v>
      </c>
      <c r="B621" s="183" t="e">
        <f>DEEMSuite1&amp;" Electrical Room A"</f>
        <v>#N/A</v>
      </c>
      <c r="C621" s="183" t="s">
        <v>2737</v>
      </c>
      <c r="D621" s="187" t="s">
        <v>3128</v>
      </c>
      <c r="E621" s="183" t="s">
        <v>1464</v>
      </c>
      <c r="F621" s="186"/>
      <c r="G621" s="187" t="s">
        <v>1519</v>
      </c>
    </row>
    <row r="622" spans="1:7" ht="37.5" x14ac:dyDescent="0.25">
      <c r="A622" s="200">
        <v>617</v>
      </c>
      <c r="B622" s="183" t="e">
        <f>DEEMSuite1&amp;" Electrical Room A"</f>
        <v>#N/A</v>
      </c>
      <c r="C622" s="183" t="s">
        <v>2737</v>
      </c>
      <c r="D622" s="187" t="s">
        <v>3129</v>
      </c>
      <c r="E622" s="183" t="s">
        <v>1464</v>
      </c>
      <c r="F622" s="186"/>
      <c r="G622" s="187" t="s">
        <v>1519</v>
      </c>
    </row>
    <row r="623" spans="1:7" ht="37.5" x14ac:dyDescent="0.25">
      <c r="A623" s="200">
        <v>618</v>
      </c>
      <c r="B623" s="183" t="e">
        <f>DEEMSuite1&amp;" Electrical Room A"</f>
        <v>#N/A</v>
      </c>
      <c r="C623" s="183" t="s">
        <v>2737</v>
      </c>
      <c r="D623" s="187" t="s">
        <v>3125</v>
      </c>
      <c r="E623" s="183" t="s">
        <v>1464</v>
      </c>
      <c r="F623" s="186"/>
      <c r="G623" s="187" t="s">
        <v>1519</v>
      </c>
    </row>
    <row r="624" spans="1:7" ht="37.5" x14ac:dyDescent="0.25">
      <c r="A624" s="200">
        <v>619</v>
      </c>
      <c r="B624" s="183" t="e">
        <f>DEEMSuite1&amp;" Electrical Room A"</f>
        <v>#N/A</v>
      </c>
      <c r="C624" s="183" t="s">
        <v>2737</v>
      </c>
      <c r="D624" s="187" t="s">
        <v>3130</v>
      </c>
      <c r="E624" s="183" t="s">
        <v>1464</v>
      </c>
      <c r="F624" s="186"/>
      <c r="G624" s="187" t="s">
        <v>1519</v>
      </c>
    </row>
    <row r="625" spans="1:7" ht="37.5" x14ac:dyDescent="0.25">
      <c r="A625" s="200">
        <v>620</v>
      </c>
      <c r="B625" s="183" t="e">
        <f>DEEMSuite1&amp;" Electrical Room A"</f>
        <v>#N/A</v>
      </c>
      <c r="C625" s="183" t="s">
        <v>2737</v>
      </c>
      <c r="D625" s="207" t="s">
        <v>3131</v>
      </c>
      <c r="E625" s="183" t="s">
        <v>1464</v>
      </c>
      <c r="F625" s="186"/>
      <c r="G625" s="187" t="s">
        <v>1519</v>
      </c>
    </row>
    <row r="626" spans="1:7" ht="37.5" x14ac:dyDescent="0.25">
      <c r="A626" s="200">
        <v>621</v>
      </c>
      <c r="B626" s="183" t="e">
        <f>DEEMSuite1&amp;" Electrical Room A"</f>
        <v>#N/A</v>
      </c>
      <c r="C626" s="201" t="s">
        <v>2737</v>
      </c>
      <c r="D626" s="204" t="s">
        <v>1646</v>
      </c>
      <c r="E626" s="183" t="s">
        <v>1464</v>
      </c>
      <c r="F626" s="186"/>
      <c r="G626" s="187" t="s">
        <v>1519</v>
      </c>
    </row>
    <row r="627" spans="1:7" ht="37.5" x14ac:dyDescent="0.25">
      <c r="A627" s="200">
        <v>622</v>
      </c>
      <c r="B627" s="183" t="e">
        <f>DEEMSuite1&amp;" Electrical Room A"</f>
        <v>#N/A</v>
      </c>
      <c r="C627" s="183" t="s">
        <v>1470</v>
      </c>
      <c r="D627" s="208" t="s">
        <v>3132</v>
      </c>
      <c r="E627" s="183" t="s">
        <v>1464</v>
      </c>
      <c r="F627" s="186"/>
      <c r="G627" s="187" t="s">
        <v>1519</v>
      </c>
    </row>
    <row r="628" spans="1:7" x14ac:dyDescent="0.25">
      <c r="A628" s="200">
        <v>623</v>
      </c>
      <c r="B628" s="756" t="s">
        <v>3133</v>
      </c>
      <c r="C628" s="757"/>
      <c r="D628" s="757"/>
      <c r="E628" s="757"/>
      <c r="F628" s="757"/>
      <c r="G628" s="758"/>
    </row>
    <row r="629" spans="1:7" ht="37.5" x14ac:dyDescent="0.25">
      <c r="A629" s="200">
        <v>624</v>
      </c>
      <c r="B629" s="183" t="e">
        <f>DEEMSuite1&amp;" Electrical Room A"</f>
        <v>#N/A</v>
      </c>
      <c r="C629" s="201" t="s">
        <v>2929</v>
      </c>
      <c r="D629" s="186" t="str">
        <f>"Close the breaker marked as supplying PDU-A1 if it was initially in the closed position as recorded in step " &amp; A397 &amp; "."</f>
        <v>Close the breaker marked as supplying PDU-A1 if it was initially in the closed position as recorded in step 392.</v>
      </c>
      <c r="E629" s="183" t="s">
        <v>1464</v>
      </c>
      <c r="F629" s="186"/>
      <c r="G629" s="187" t="s">
        <v>1519</v>
      </c>
    </row>
    <row r="630" spans="1:7" ht="37.5" x14ac:dyDescent="0.25">
      <c r="A630" s="200">
        <v>625</v>
      </c>
      <c r="B630" s="183" t="e">
        <f>DEEMSuite1&amp;" Electrical Room A"</f>
        <v>#N/A</v>
      </c>
      <c r="C630" s="201" t="s">
        <v>2929</v>
      </c>
      <c r="D630" s="186" t="str">
        <f>"Close the breaker marked as supplying PDU-A2 if it was initially in the closed position as recorded in step " &amp; A398 &amp; "."</f>
        <v>Close the breaker marked as supplying PDU-A2 if it was initially in the closed position as recorded in step 393.</v>
      </c>
      <c r="E630" s="183" t="s">
        <v>1464</v>
      </c>
      <c r="F630" s="186"/>
      <c r="G630" s="187" t="s">
        <v>1519</v>
      </c>
    </row>
    <row r="631" spans="1:7" ht="37.5" x14ac:dyDescent="0.25">
      <c r="A631" s="200">
        <v>626</v>
      </c>
      <c r="B631" s="183" t="e">
        <f>DEEMSuite1&amp;" Electrical Room A"</f>
        <v>#N/A</v>
      </c>
      <c r="C631" s="201" t="s">
        <v>2929</v>
      </c>
      <c r="D631" s="186" t="str">
        <f>"Close the breaker marked as supplying PDU-A3 if it was initially in the closed position as recorded in step " &amp; A399 &amp; "."</f>
        <v>Close the breaker marked as supplying PDU-A3 if it was initially in the closed position as recorded in step 394.</v>
      </c>
      <c r="E631" s="183" t="s">
        <v>1464</v>
      </c>
      <c r="F631" s="186"/>
      <c r="G631" s="187" t="s">
        <v>1519</v>
      </c>
    </row>
    <row r="632" spans="1:7" ht="37.5" x14ac:dyDescent="0.25">
      <c r="A632" s="200">
        <v>627</v>
      </c>
      <c r="B632" s="183" t="e">
        <f>DEEMSuite1&amp;" Electrical Room A"</f>
        <v>#N/A</v>
      </c>
      <c r="C632" s="201" t="s">
        <v>2929</v>
      </c>
      <c r="D632" s="186" t="str">
        <f>"Close the breaker marked as supplying PDU-A4 if it was initially in the closed position as recorded in step " &amp; A400 &amp; "."</f>
        <v>Close the breaker marked as supplying PDU-A4 if it was initially in the closed position as recorded in step 395.</v>
      </c>
      <c r="E632" s="183" t="s">
        <v>1464</v>
      </c>
      <c r="F632" s="186"/>
      <c r="G632" s="187" t="s">
        <v>1519</v>
      </c>
    </row>
    <row r="633" spans="1:7" ht="37.5" x14ac:dyDescent="0.25">
      <c r="A633" s="200">
        <v>628</v>
      </c>
      <c r="B633" s="183" t="e">
        <f>DEEMSuite1&amp;" Electrical Room A"</f>
        <v>#N/A</v>
      </c>
      <c r="C633" s="201" t="s">
        <v>2929</v>
      </c>
      <c r="D633" s="186" t="str">
        <f>"Close the breaker marked as supplying PDU-A5 if it was initially in the closed position as recorded in step " &amp; A401 &amp; "."</f>
        <v>Close the breaker marked as supplying PDU-A5 if it was initially in the closed position as recorded in step 396.</v>
      </c>
      <c r="E633" s="183" t="s">
        <v>1464</v>
      </c>
      <c r="F633" s="186"/>
      <c r="G633" s="187" t="s">
        <v>1519</v>
      </c>
    </row>
    <row r="634" spans="1:7" ht="37.5" x14ac:dyDescent="0.25">
      <c r="A634" s="200">
        <v>629</v>
      </c>
      <c r="B634" s="183" t="e">
        <f>DEEMSuite1&amp;" Electrical Room A"</f>
        <v>#N/A</v>
      </c>
      <c r="C634" s="201" t="s">
        <v>2929</v>
      </c>
      <c r="D634" s="186" t="s">
        <v>3134</v>
      </c>
      <c r="E634" s="183" t="s">
        <v>1464</v>
      </c>
      <c r="F634" s="186"/>
      <c r="G634" s="187" t="s">
        <v>1519</v>
      </c>
    </row>
    <row r="635" spans="1:7" ht="37.5" x14ac:dyDescent="0.25">
      <c r="A635" s="200">
        <v>630</v>
      </c>
      <c r="B635" s="183" t="e">
        <f>DEEMSuite1&amp;" Electrical Room A"</f>
        <v>#N/A</v>
      </c>
      <c r="C635" s="201" t="s">
        <v>2929</v>
      </c>
      <c r="D635" s="186" t="s">
        <v>3135</v>
      </c>
      <c r="E635" s="183" t="s">
        <v>1464</v>
      </c>
      <c r="F635" s="186"/>
      <c r="G635" s="187" t="s">
        <v>1519</v>
      </c>
    </row>
    <row r="636" spans="1:7" ht="37.5" x14ac:dyDescent="0.25">
      <c r="A636" s="200">
        <v>631</v>
      </c>
      <c r="B636" s="183" t="s">
        <v>1462</v>
      </c>
      <c r="C636" s="183" t="s">
        <v>84</v>
      </c>
      <c r="D636" s="186" t="e">
        <f>"Verify all BMS indications for suite " &amp; DEEMSuite1 &amp; " are normal by contacting the Engineer stationed on base."</f>
        <v>#N/A</v>
      </c>
      <c r="E636" s="183" t="s">
        <v>1464</v>
      </c>
      <c r="F636" s="186"/>
      <c r="G636" s="187" t="s">
        <v>1519</v>
      </c>
    </row>
    <row r="637" spans="1:7" ht="37.5" x14ac:dyDescent="0.25">
      <c r="A637" s="200">
        <v>632</v>
      </c>
      <c r="B637" s="183" t="e">
        <f>DEEMSuite1&amp;" Suite"</f>
        <v>#N/A</v>
      </c>
      <c r="C637" s="201" t="s">
        <v>2687</v>
      </c>
      <c r="D637" s="186" t="s">
        <v>2975</v>
      </c>
      <c r="E637" s="183" t="s">
        <v>1464</v>
      </c>
      <c r="F637" s="186"/>
      <c r="G637" s="187" t="s">
        <v>1519</v>
      </c>
    </row>
    <row r="638" spans="1:7" ht="37.5" x14ac:dyDescent="0.25">
      <c r="A638" s="200">
        <v>633</v>
      </c>
      <c r="B638" s="183" t="e">
        <f>DEEMSuite1&amp;" Suite"</f>
        <v>#N/A</v>
      </c>
      <c r="C638" s="201" t="s">
        <v>2687</v>
      </c>
      <c r="D638" s="186" t="s">
        <v>2976</v>
      </c>
      <c r="E638" s="183" t="s">
        <v>1464</v>
      </c>
      <c r="F638" s="186"/>
      <c r="G638" s="187" t="s">
        <v>1519</v>
      </c>
    </row>
    <row r="639" spans="1:7" x14ac:dyDescent="0.25">
      <c r="A639" s="200">
        <v>634</v>
      </c>
      <c r="B639" s="756" t="s">
        <v>3136</v>
      </c>
      <c r="C639" s="757"/>
      <c r="D639" s="757"/>
      <c r="E639" s="757"/>
      <c r="F639" s="757"/>
      <c r="G639" s="758"/>
    </row>
    <row r="640" spans="1:7" ht="37.5" x14ac:dyDescent="0.25">
      <c r="A640" s="200">
        <v>635</v>
      </c>
      <c r="B640" s="183" t="e">
        <f>DEEMSuite1&amp;" CRAC Gallery"</f>
        <v>#N/A</v>
      </c>
      <c r="C640" s="183" t="s">
        <v>2758</v>
      </c>
      <c r="D640" s="186" t="s">
        <v>3137</v>
      </c>
      <c r="E640" s="183" t="s">
        <v>1464</v>
      </c>
      <c r="F640" s="186"/>
      <c r="G640" s="187" t="s">
        <v>1519</v>
      </c>
    </row>
    <row r="641" spans="1:7" ht="37.5" x14ac:dyDescent="0.25">
      <c r="A641" s="200">
        <v>636</v>
      </c>
      <c r="B641" s="183" t="e">
        <f>DEEMSuite1&amp;" CRAC Gallery"</f>
        <v>#N/A</v>
      </c>
      <c r="C641" s="183" t="s">
        <v>2758</v>
      </c>
      <c r="D641" s="186" t="str">
        <f>"Close subfeed breaker #1 if it was initially in the closed position as recorded in step " &amp; A311 &amp; "."</f>
        <v>Close subfeed breaker #1 if it was initially in the closed position as recorded in step 306.</v>
      </c>
      <c r="E641" s="183" t="s">
        <v>1464</v>
      </c>
      <c r="F641" s="186"/>
      <c r="G641" s="187" t="s">
        <v>1519</v>
      </c>
    </row>
    <row r="642" spans="1:7" ht="37.5" x14ac:dyDescent="0.25">
      <c r="A642" s="200">
        <v>637</v>
      </c>
      <c r="B642" s="183" t="e">
        <f>DEEMSuite1&amp;" CRAC Gallery"</f>
        <v>#N/A</v>
      </c>
      <c r="C642" s="183" t="s">
        <v>2758</v>
      </c>
      <c r="D642" s="186" t="str">
        <f>"Close subfeed breaker #2 if it was initially in the closed position as recorded in step " &amp; A312 &amp; "."</f>
        <v>Close subfeed breaker #2 if it was initially in the closed position as recorded in step 307.</v>
      </c>
      <c r="E642" s="183" t="s">
        <v>1464</v>
      </c>
      <c r="F642" s="186"/>
      <c r="G642" s="187" t="s">
        <v>1519</v>
      </c>
    </row>
    <row r="643" spans="1:7" ht="37.5" x14ac:dyDescent="0.25">
      <c r="A643" s="200">
        <v>638</v>
      </c>
      <c r="B643" s="183" t="e">
        <f>DEEMSuite1&amp;" CRAC Gallery"</f>
        <v>#N/A</v>
      </c>
      <c r="C643" s="183" t="s">
        <v>2758</v>
      </c>
      <c r="D643" s="186" t="str">
        <f>"Close subfeed breaker #3 if it was initially in the closed position as recorded in step " &amp; A313 &amp; "."</f>
        <v>Close subfeed breaker #3 if it was initially in the closed position as recorded in step 308.</v>
      </c>
      <c r="E643" s="183" t="s">
        <v>1464</v>
      </c>
      <c r="F643" s="186"/>
      <c r="G643" s="187" t="s">
        <v>1519</v>
      </c>
    </row>
    <row r="644" spans="1:7" ht="37.5" x14ac:dyDescent="0.25">
      <c r="A644" s="200">
        <v>639</v>
      </c>
      <c r="B644" s="183" t="e">
        <f>DEEMSuite1&amp;" CRAC Gallery"</f>
        <v>#N/A</v>
      </c>
      <c r="C644" s="183" t="s">
        <v>2758</v>
      </c>
      <c r="D644" s="186" t="str">
        <f>"Close subfeed breaker #4 if it was initially in the closed position as recorded in step " &amp; A314 &amp; "."</f>
        <v>Close subfeed breaker #4 if it was initially in the closed position as recorded in step 309.</v>
      </c>
      <c r="E644" s="183" t="s">
        <v>1464</v>
      </c>
      <c r="F644" s="186"/>
      <c r="G644" s="187" t="s">
        <v>1519</v>
      </c>
    </row>
    <row r="645" spans="1:7" ht="37.5" x14ac:dyDescent="0.25">
      <c r="A645" s="200">
        <v>640</v>
      </c>
      <c r="B645" s="183" t="e">
        <f>DEEMSuite1&amp;" CRAC Gallery"</f>
        <v>#N/A</v>
      </c>
      <c r="C645" s="183" t="s">
        <v>2758</v>
      </c>
      <c r="D645" s="186" t="str">
        <f>"Close subfeed breaker #5 if it was initially in the closed position as recorded in step " &amp; A315 &amp; "."</f>
        <v>Close subfeed breaker #5 if it was initially in the closed position as recorded in step 310.</v>
      </c>
      <c r="E645" s="183" t="s">
        <v>1464</v>
      </c>
      <c r="F645" s="186"/>
      <c r="G645" s="187" t="s">
        <v>1519</v>
      </c>
    </row>
    <row r="646" spans="1:7" ht="37.5" x14ac:dyDescent="0.25">
      <c r="A646" s="200">
        <v>641</v>
      </c>
      <c r="B646" s="183" t="e">
        <f>DEEMSuite1&amp;" CRAC Gallery"</f>
        <v>#N/A</v>
      </c>
      <c r="C646" s="183" t="s">
        <v>2758</v>
      </c>
      <c r="D646" s="186" t="str">
        <f>"Close subfeed breaker #6 if it was initially in the closed position as recorded in step " &amp; A316 &amp; "."</f>
        <v>Close subfeed breaker #6 if it was initially in the closed position as recorded in step 311.</v>
      </c>
      <c r="E646" s="183" t="s">
        <v>1464</v>
      </c>
      <c r="F646" s="186"/>
      <c r="G646" s="187" t="s">
        <v>1519</v>
      </c>
    </row>
    <row r="647" spans="1:7" ht="37.5" x14ac:dyDescent="0.25">
      <c r="A647" s="200">
        <v>642</v>
      </c>
      <c r="B647" s="183" t="e">
        <f>DEEMSuite1&amp;" CRAC Gallery"</f>
        <v>#N/A</v>
      </c>
      <c r="C647" s="183" t="s">
        <v>2764</v>
      </c>
      <c r="D647" s="186" t="s">
        <v>3138</v>
      </c>
      <c r="E647" s="183" t="s">
        <v>1464</v>
      </c>
      <c r="F647" s="186"/>
      <c r="G647" s="187" t="s">
        <v>1519</v>
      </c>
    </row>
    <row r="648" spans="1:7" ht="37.5" x14ac:dyDescent="0.25">
      <c r="A648" s="200">
        <v>643</v>
      </c>
      <c r="B648" s="183" t="e">
        <f>DEEMSuite1&amp;" CRAC Gallery"</f>
        <v>#N/A</v>
      </c>
      <c r="C648" s="183" t="s">
        <v>2764</v>
      </c>
      <c r="D648" s="186" t="str">
        <f>"Close subfeed breaker #1 if it was initially in the closed position as recorded in step " &amp; A328 &amp; "."</f>
        <v>Close subfeed breaker #1 if it was initially in the closed position as recorded in step 323.</v>
      </c>
      <c r="E648" s="183" t="s">
        <v>1464</v>
      </c>
      <c r="F648" s="186"/>
      <c r="G648" s="187" t="s">
        <v>1519</v>
      </c>
    </row>
    <row r="649" spans="1:7" ht="37.5" x14ac:dyDescent="0.25">
      <c r="A649" s="200">
        <v>644</v>
      </c>
      <c r="B649" s="183" t="e">
        <f>DEEMSuite1&amp;" CRAC Gallery"</f>
        <v>#N/A</v>
      </c>
      <c r="C649" s="183" t="s">
        <v>2764</v>
      </c>
      <c r="D649" s="186" t="str">
        <f>"Close subfeed breaker #2 if it was initially in the closed position as recorded in step " &amp; A329 &amp; "."</f>
        <v>Close subfeed breaker #2 if it was initially in the closed position as recorded in step 324.</v>
      </c>
      <c r="E649" s="183" t="s">
        <v>1464</v>
      </c>
      <c r="F649" s="186"/>
      <c r="G649" s="187" t="s">
        <v>1519</v>
      </c>
    </row>
    <row r="650" spans="1:7" ht="37.5" x14ac:dyDescent="0.25">
      <c r="A650" s="200">
        <v>645</v>
      </c>
      <c r="B650" s="183" t="e">
        <f>DEEMSuite1&amp;" CRAC Gallery"</f>
        <v>#N/A</v>
      </c>
      <c r="C650" s="183" t="s">
        <v>2764</v>
      </c>
      <c r="D650" s="186" t="str">
        <f>"Close subfeed breaker #3 if it was initially in the closed position as recorded in step " &amp; A330 &amp; "."</f>
        <v>Close subfeed breaker #3 if it was initially in the closed position as recorded in step 325.</v>
      </c>
      <c r="E650" s="183" t="s">
        <v>1464</v>
      </c>
      <c r="F650" s="186"/>
      <c r="G650" s="187" t="s">
        <v>1519</v>
      </c>
    </row>
    <row r="651" spans="1:7" ht="37.5" x14ac:dyDescent="0.25">
      <c r="A651" s="200">
        <v>646</v>
      </c>
      <c r="B651" s="183" t="e">
        <f>DEEMSuite1&amp;" CRAC Gallery"</f>
        <v>#N/A</v>
      </c>
      <c r="C651" s="183" t="s">
        <v>2764</v>
      </c>
      <c r="D651" s="186" t="str">
        <f>"Close subfeed breaker #4 if it was initially in the closed position as recorded in step " &amp; A331 &amp; "."</f>
        <v>Close subfeed breaker #4 if it was initially in the closed position as recorded in step 326.</v>
      </c>
      <c r="E651" s="183" t="s">
        <v>1464</v>
      </c>
      <c r="F651" s="186"/>
      <c r="G651" s="187" t="s">
        <v>1519</v>
      </c>
    </row>
    <row r="652" spans="1:7" ht="37.5" x14ac:dyDescent="0.25">
      <c r="A652" s="200">
        <v>647</v>
      </c>
      <c r="B652" s="183" t="e">
        <f>DEEMSuite1&amp;" CRAC Gallery"</f>
        <v>#N/A</v>
      </c>
      <c r="C652" s="183" t="s">
        <v>2764</v>
      </c>
      <c r="D652" s="186" t="str">
        <f>"Close subfeed breaker #5 if it was initially in the closed position as recorded in step " &amp; A332 &amp; "."</f>
        <v>Close subfeed breaker #5 if it was initially in the closed position as recorded in step 327.</v>
      </c>
      <c r="E652" s="183" t="s">
        <v>1464</v>
      </c>
      <c r="F652" s="186"/>
      <c r="G652" s="187" t="s">
        <v>1519</v>
      </c>
    </row>
    <row r="653" spans="1:7" ht="37.5" x14ac:dyDescent="0.25">
      <c r="A653" s="200">
        <v>648</v>
      </c>
      <c r="B653" s="183" t="e">
        <f>DEEMSuite1&amp;" CRAC Gallery"</f>
        <v>#N/A</v>
      </c>
      <c r="C653" s="183" t="s">
        <v>2764</v>
      </c>
      <c r="D653" s="186" t="str">
        <f>"Close subfeed breaker #6 if it was initially in the closed position as recorded in step " &amp; A333 &amp; "."</f>
        <v>Close subfeed breaker #6 if it was initially in the closed position as recorded in step 328.</v>
      </c>
      <c r="E653" s="183" t="s">
        <v>1464</v>
      </c>
      <c r="F653" s="186"/>
      <c r="G653" s="187" t="s">
        <v>1519</v>
      </c>
    </row>
    <row r="654" spans="1:7" ht="37.5" x14ac:dyDescent="0.25">
      <c r="A654" s="200">
        <v>649</v>
      </c>
      <c r="B654" s="183" t="e">
        <f>DEEMSuite1&amp;" CRAC Gallery"</f>
        <v>#N/A</v>
      </c>
      <c r="C654" s="183" t="s">
        <v>2769</v>
      </c>
      <c r="D654" s="186" t="s">
        <v>3139</v>
      </c>
      <c r="E654" s="183" t="s">
        <v>1464</v>
      </c>
      <c r="F654" s="186"/>
      <c r="G654" s="187" t="s">
        <v>1519</v>
      </c>
    </row>
    <row r="655" spans="1:7" ht="37.5" x14ac:dyDescent="0.25">
      <c r="A655" s="200">
        <v>650</v>
      </c>
      <c r="B655" s="183" t="e">
        <f>DEEMSuite1&amp;" CRAC Gallery"</f>
        <v>#N/A</v>
      </c>
      <c r="C655" s="183" t="s">
        <v>2769</v>
      </c>
      <c r="D655" s="186" t="str">
        <f>"Close subfeed breaker #1 if it was initially in the closed position as recorded in step " &amp; A345 &amp; "."</f>
        <v>Close subfeed breaker #1 if it was initially in the closed position as recorded in step 340.</v>
      </c>
      <c r="E655" s="183" t="s">
        <v>1464</v>
      </c>
      <c r="F655" s="186"/>
      <c r="G655" s="187" t="s">
        <v>1519</v>
      </c>
    </row>
    <row r="656" spans="1:7" ht="37.5" x14ac:dyDescent="0.25">
      <c r="A656" s="200">
        <v>651</v>
      </c>
      <c r="B656" s="183" t="e">
        <f>DEEMSuite1&amp;" CRAC Gallery"</f>
        <v>#N/A</v>
      </c>
      <c r="C656" s="183" t="s">
        <v>2769</v>
      </c>
      <c r="D656" s="186" t="str">
        <f>"Close subfeed breaker #2 if it was initially in the closed position as recorded in step " &amp; A346 &amp; "."</f>
        <v>Close subfeed breaker #2 if it was initially in the closed position as recorded in step 341.</v>
      </c>
      <c r="E656" s="183" t="s">
        <v>1464</v>
      </c>
      <c r="F656" s="186"/>
      <c r="G656" s="187" t="s">
        <v>1519</v>
      </c>
    </row>
    <row r="657" spans="1:7" ht="37.5" x14ac:dyDescent="0.25">
      <c r="A657" s="200">
        <v>652</v>
      </c>
      <c r="B657" s="183" t="e">
        <f>DEEMSuite1&amp;" CRAC Gallery"</f>
        <v>#N/A</v>
      </c>
      <c r="C657" s="183" t="s">
        <v>2769</v>
      </c>
      <c r="D657" s="186" t="str">
        <f>"Close subfeed breaker #3 if it was initially in the closed position as recorded in step " &amp; A347 &amp; "."</f>
        <v>Close subfeed breaker #3 if it was initially in the closed position as recorded in step 342.</v>
      </c>
      <c r="E657" s="183" t="s">
        <v>1464</v>
      </c>
      <c r="F657" s="186"/>
      <c r="G657" s="187" t="s">
        <v>1519</v>
      </c>
    </row>
    <row r="658" spans="1:7" ht="37.5" x14ac:dyDescent="0.25">
      <c r="A658" s="200">
        <v>653</v>
      </c>
      <c r="B658" s="183" t="e">
        <f>DEEMSuite1&amp;" CRAC Gallery"</f>
        <v>#N/A</v>
      </c>
      <c r="C658" s="183" t="s">
        <v>2769</v>
      </c>
      <c r="D658" s="186" t="str">
        <f>"Close subfeed breaker #4 if it was initially in the closed position as recorded in step " &amp; A348 &amp; "."</f>
        <v>Close subfeed breaker #4 if it was initially in the closed position as recorded in step 343.</v>
      </c>
      <c r="E658" s="183" t="s">
        <v>1464</v>
      </c>
      <c r="F658" s="186"/>
      <c r="G658" s="187" t="s">
        <v>1519</v>
      </c>
    </row>
    <row r="659" spans="1:7" ht="37.5" x14ac:dyDescent="0.25">
      <c r="A659" s="200">
        <v>654</v>
      </c>
      <c r="B659" s="183" t="e">
        <f>DEEMSuite1&amp;" CRAC Gallery"</f>
        <v>#N/A</v>
      </c>
      <c r="C659" s="183" t="s">
        <v>2769</v>
      </c>
      <c r="D659" s="186" t="str">
        <f>"Close subfeed breaker #5 if it was initially in the closed position as recorded in step " &amp; A349 &amp; "."</f>
        <v>Close subfeed breaker #5 if it was initially in the closed position as recorded in step 344.</v>
      </c>
      <c r="E659" s="183" t="s">
        <v>1464</v>
      </c>
      <c r="F659" s="186"/>
      <c r="G659" s="187" t="s">
        <v>1519</v>
      </c>
    </row>
    <row r="660" spans="1:7" ht="37.5" x14ac:dyDescent="0.25">
      <c r="A660" s="200">
        <v>655</v>
      </c>
      <c r="B660" s="183" t="e">
        <f>DEEMSuite1&amp;" CRAC Gallery"</f>
        <v>#N/A</v>
      </c>
      <c r="C660" s="183" t="s">
        <v>2769</v>
      </c>
      <c r="D660" s="186" t="str">
        <f>"Close subfeed breaker #6 if it was initially in the closed position as recorded in step " &amp; A350 &amp; "."</f>
        <v>Close subfeed breaker #6 if it was initially in the closed position as recorded in step 345.</v>
      </c>
      <c r="E660" s="183" t="s">
        <v>1464</v>
      </c>
      <c r="F660" s="186"/>
      <c r="G660" s="187" t="s">
        <v>1519</v>
      </c>
    </row>
    <row r="661" spans="1:7" ht="37.5" x14ac:dyDescent="0.25">
      <c r="A661" s="200">
        <v>656</v>
      </c>
      <c r="B661" s="183" t="e">
        <f>DEEMSuite1&amp;" CRAC Gallery"</f>
        <v>#N/A</v>
      </c>
      <c r="C661" s="183" t="s">
        <v>2774</v>
      </c>
      <c r="D661" s="186" t="s">
        <v>3140</v>
      </c>
      <c r="E661" s="183" t="s">
        <v>1464</v>
      </c>
      <c r="F661" s="186"/>
      <c r="G661" s="187" t="s">
        <v>1519</v>
      </c>
    </row>
    <row r="662" spans="1:7" ht="37.5" x14ac:dyDescent="0.25">
      <c r="A662" s="200">
        <v>657</v>
      </c>
      <c r="B662" s="183" t="e">
        <f>DEEMSuite1&amp;" CRAC Gallery"</f>
        <v>#N/A</v>
      </c>
      <c r="C662" s="183" t="s">
        <v>2774</v>
      </c>
      <c r="D662" s="186" t="str">
        <f>"Close subfeed breaker #1 if it was initially in the closed position as recorded in step " &amp; A362 &amp; "."</f>
        <v>Close subfeed breaker #1 if it was initially in the closed position as recorded in step 357.</v>
      </c>
      <c r="E662" s="183" t="s">
        <v>1464</v>
      </c>
      <c r="F662" s="186"/>
      <c r="G662" s="187" t="s">
        <v>1519</v>
      </c>
    </row>
    <row r="663" spans="1:7" ht="37.5" x14ac:dyDescent="0.25">
      <c r="A663" s="200">
        <v>658</v>
      </c>
      <c r="B663" s="183" t="e">
        <f>DEEMSuite1&amp;" CRAC Gallery"</f>
        <v>#N/A</v>
      </c>
      <c r="C663" s="183" t="s">
        <v>2774</v>
      </c>
      <c r="D663" s="186" t="str">
        <f>"Close subfeed breaker #2 if it was initially in the closed position as recorded in step " &amp; A363 &amp; "."</f>
        <v>Close subfeed breaker #2 if it was initially in the closed position as recorded in step 358.</v>
      </c>
      <c r="E663" s="183" t="s">
        <v>1464</v>
      </c>
      <c r="F663" s="186"/>
      <c r="G663" s="187" t="s">
        <v>1519</v>
      </c>
    </row>
    <row r="664" spans="1:7" ht="37.5" x14ac:dyDescent="0.25">
      <c r="A664" s="200">
        <v>659</v>
      </c>
      <c r="B664" s="183" t="e">
        <f>DEEMSuite1&amp;" CRAC Gallery"</f>
        <v>#N/A</v>
      </c>
      <c r="C664" s="183" t="s">
        <v>2774</v>
      </c>
      <c r="D664" s="186" t="str">
        <f>"Close subfeed breaker #3 if it was initially in the closed position as recorded in step " &amp; A364 &amp; "."</f>
        <v>Close subfeed breaker #3 if it was initially in the closed position as recorded in step 359.</v>
      </c>
      <c r="E664" s="183" t="s">
        <v>1464</v>
      </c>
      <c r="F664" s="186"/>
      <c r="G664" s="187" t="s">
        <v>1519</v>
      </c>
    </row>
    <row r="665" spans="1:7" ht="37.5" x14ac:dyDescent="0.25">
      <c r="A665" s="200">
        <v>660</v>
      </c>
      <c r="B665" s="183" t="e">
        <f>DEEMSuite1&amp;" CRAC Gallery"</f>
        <v>#N/A</v>
      </c>
      <c r="C665" s="183" t="s">
        <v>2774</v>
      </c>
      <c r="D665" s="186" t="str">
        <f>"Close subfeed breaker #4 if it was initially in the closed position as recorded in step " &amp; A365 &amp; "."</f>
        <v>Close subfeed breaker #4 if it was initially in the closed position as recorded in step 360.</v>
      </c>
      <c r="E665" s="183" t="s">
        <v>1464</v>
      </c>
      <c r="F665" s="186"/>
      <c r="G665" s="187" t="s">
        <v>1519</v>
      </c>
    </row>
    <row r="666" spans="1:7" ht="37.5" x14ac:dyDescent="0.25">
      <c r="A666" s="200">
        <v>661</v>
      </c>
      <c r="B666" s="183" t="e">
        <f>DEEMSuite1&amp;" CRAC Gallery"</f>
        <v>#N/A</v>
      </c>
      <c r="C666" s="183" t="s">
        <v>2774</v>
      </c>
      <c r="D666" s="186" t="str">
        <f>"Close subfeed breaker #5 if it was initially in the closed position as recorded in step " &amp; A366 &amp; "."</f>
        <v>Close subfeed breaker #5 if it was initially in the closed position as recorded in step 361.</v>
      </c>
      <c r="E666" s="183" t="s">
        <v>1464</v>
      </c>
      <c r="F666" s="186"/>
      <c r="G666" s="187" t="s">
        <v>1519</v>
      </c>
    </row>
    <row r="667" spans="1:7" ht="37.5" x14ac:dyDescent="0.25">
      <c r="A667" s="200">
        <v>662</v>
      </c>
      <c r="B667" s="183" t="e">
        <f>DEEMSuite1&amp;" CRAC Gallery"</f>
        <v>#N/A</v>
      </c>
      <c r="C667" s="183" t="s">
        <v>2774</v>
      </c>
      <c r="D667" s="186" t="str">
        <f>"Close subfeed breaker #6 if it was initially in the closed position as recorded in step " &amp; A367 &amp; "."</f>
        <v>Close subfeed breaker #6 if it was initially in the closed position as recorded in step 362.</v>
      </c>
      <c r="E667" s="183" t="s">
        <v>1464</v>
      </c>
      <c r="F667" s="186"/>
      <c r="G667" s="187" t="s">
        <v>1519</v>
      </c>
    </row>
    <row r="668" spans="1:7" ht="37.5" x14ac:dyDescent="0.25">
      <c r="A668" s="200">
        <v>663</v>
      </c>
      <c r="B668" s="183" t="e">
        <f>DEEMSuite1&amp;" CRAC Gallery"</f>
        <v>#N/A</v>
      </c>
      <c r="C668" s="183" t="s">
        <v>2779</v>
      </c>
      <c r="D668" s="186" t="s">
        <v>3141</v>
      </c>
      <c r="E668" s="183" t="s">
        <v>1464</v>
      </c>
      <c r="F668" s="186"/>
      <c r="G668" s="187" t="s">
        <v>1519</v>
      </c>
    </row>
    <row r="669" spans="1:7" ht="37.5" x14ac:dyDescent="0.25">
      <c r="A669" s="200">
        <v>664</v>
      </c>
      <c r="B669" s="183" t="e">
        <f>DEEMSuite1&amp;" CRAC Gallery"</f>
        <v>#N/A</v>
      </c>
      <c r="C669" s="183" t="s">
        <v>2779</v>
      </c>
      <c r="D669" s="186" t="str">
        <f>"Close subfeed breaker #1 if it was initially in the closed position as recorded in step " &amp; A379 &amp; "."</f>
        <v>Close subfeed breaker #1 if it was initially in the closed position as recorded in step 374.</v>
      </c>
      <c r="E669" s="183" t="s">
        <v>1464</v>
      </c>
      <c r="F669" s="186"/>
      <c r="G669" s="187" t="s">
        <v>1519</v>
      </c>
    </row>
    <row r="670" spans="1:7" ht="37.5" x14ac:dyDescent="0.25">
      <c r="A670" s="200">
        <v>665</v>
      </c>
      <c r="B670" s="183" t="e">
        <f>DEEMSuite1&amp;" CRAC Gallery"</f>
        <v>#N/A</v>
      </c>
      <c r="C670" s="183" t="s">
        <v>2779</v>
      </c>
      <c r="D670" s="186" t="str">
        <f>"Close subfeed breaker #2 if it was initially in the closed position as recorded in step " &amp; A380 &amp; "."</f>
        <v>Close subfeed breaker #2 if it was initially in the closed position as recorded in step 375.</v>
      </c>
      <c r="E670" s="183" t="s">
        <v>1464</v>
      </c>
      <c r="F670" s="186"/>
      <c r="G670" s="187" t="s">
        <v>1519</v>
      </c>
    </row>
    <row r="671" spans="1:7" ht="37.5" x14ac:dyDescent="0.25">
      <c r="A671" s="200">
        <v>666</v>
      </c>
      <c r="B671" s="183" t="e">
        <f>DEEMSuite1&amp;" CRAC Gallery"</f>
        <v>#N/A</v>
      </c>
      <c r="C671" s="183" t="s">
        <v>2779</v>
      </c>
      <c r="D671" s="186" t="str">
        <f>"Close subfeed breaker #3 if it was initially in the closed position as recorded in step " &amp; A381 &amp; "."</f>
        <v>Close subfeed breaker #3 if it was initially in the closed position as recorded in step 376.</v>
      </c>
      <c r="E671" s="183" t="s">
        <v>1464</v>
      </c>
      <c r="F671" s="186"/>
      <c r="G671" s="187" t="s">
        <v>1519</v>
      </c>
    </row>
    <row r="672" spans="1:7" ht="37.5" x14ac:dyDescent="0.25">
      <c r="A672" s="200">
        <v>667</v>
      </c>
      <c r="B672" s="183" t="e">
        <f>DEEMSuite1&amp;" CRAC Gallery"</f>
        <v>#N/A</v>
      </c>
      <c r="C672" s="183" t="s">
        <v>2779</v>
      </c>
      <c r="D672" s="186" t="str">
        <f>"Close subfeed breaker #4 if it was initially in the closed position as recorded in step " &amp; A382 &amp; "."</f>
        <v>Close subfeed breaker #4 if it was initially in the closed position as recorded in step 377.</v>
      </c>
      <c r="E672" s="183" t="s">
        <v>1464</v>
      </c>
      <c r="F672" s="186"/>
      <c r="G672" s="187" t="s">
        <v>1519</v>
      </c>
    </row>
    <row r="673" spans="1:7" ht="37.5" x14ac:dyDescent="0.25">
      <c r="A673" s="200">
        <v>668</v>
      </c>
      <c r="B673" s="183" t="e">
        <f>DEEMSuite1&amp;" CRAC Gallery"</f>
        <v>#N/A</v>
      </c>
      <c r="C673" s="183" t="s">
        <v>2779</v>
      </c>
      <c r="D673" s="186" t="str">
        <f>"Close subfeed breaker #5 if it was initially in the closed position as recorded in step " &amp; A383 &amp; "."</f>
        <v>Close subfeed breaker #5 if it was initially in the closed position as recorded in step 378.</v>
      </c>
      <c r="E673" s="183" t="s">
        <v>1464</v>
      </c>
      <c r="F673" s="186"/>
      <c r="G673" s="187" t="s">
        <v>1519</v>
      </c>
    </row>
    <row r="674" spans="1:7" ht="37.5" x14ac:dyDescent="0.25">
      <c r="A674" s="200">
        <v>669</v>
      </c>
      <c r="B674" s="183" t="e">
        <f>DEEMSuite1&amp;" CRAC Gallery"</f>
        <v>#N/A</v>
      </c>
      <c r="C674" s="183" t="s">
        <v>2779</v>
      </c>
      <c r="D674" s="186" t="str">
        <f>"Close subfeed breaker #6 if it was initially in the closed position as recorded in step " &amp; A384 &amp; "."</f>
        <v>Close subfeed breaker #6 if it was initially in the closed position as recorded in step 379.</v>
      </c>
      <c r="E674" s="183" t="s">
        <v>1464</v>
      </c>
      <c r="F674" s="186"/>
      <c r="G674" s="187" t="s">
        <v>1519</v>
      </c>
    </row>
    <row r="675" spans="1:7" x14ac:dyDescent="0.25">
      <c r="A675" s="200">
        <v>670</v>
      </c>
      <c r="B675" s="756" t="s">
        <v>3142</v>
      </c>
      <c r="C675" s="757"/>
      <c r="D675" s="757"/>
      <c r="E675" s="757"/>
      <c r="F675" s="757"/>
      <c r="G675" s="758"/>
    </row>
    <row r="676" spans="1:7" ht="37.5" x14ac:dyDescent="0.25">
      <c r="A676" s="200">
        <v>671</v>
      </c>
      <c r="B676" s="183" t="e">
        <f>DEEMSuite1&amp;" Electrical Room A"</f>
        <v>#N/A</v>
      </c>
      <c r="C676" s="183" t="s">
        <v>1566</v>
      </c>
      <c r="D676" s="186" t="s">
        <v>3116</v>
      </c>
      <c r="E676" s="183" t="s">
        <v>1464</v>
      </c>
      <c r="F676" s="186"/>
      <c r="G676" s="187" t="s">
        <v>1519</v>
      </c>
    </row>
    <row r="677" spans="1:7" ht="37.5" x14ac:dyDescent="0.25">
      <c r="A677" s="200">
        <v>672</v>
      </c>
      <c r="B677" s="183" t="e">
        <f>DEEMSuite1&amp;" Electrical Room A"</f>
        <v>#N/A</v>
      </c>
      <c r="C677" s="183" t="s">
        <v>2737</v>
      </c>
      <c r="D677" s="186" t="s">
        <v>3119</v>
      </c>
      <c r="E677" s="183" t="s">
        <v>1464</v>
      </c>
      <c r="F677" s="186"/>
      <c r="G677" s="187" t="s">
        <v>1519</v>
      </c>
    </row>
    <row r="678" spans="1:7" ht="37.5" x14ac:dyDescent="0.25">
      <c r="A678" s="200">
        <v>673</v>
      </c>
      <c r="B678" s="183" t="e">
        <f>DEEMSuite1&amp;" Electrical Room A"</f>
        <v>#N/A</v>
      </c>
      <c r="C678" s="183" t="s">
        <v>2737</v>
      </c>
      <c r="D678" s="187" t="s">
        <v>3123</v>
      </c>
      <c r="E678" s="183" t="s">
        <v>1464</v>
      </c>
      <c r="F678" s="186"/>
      <c r="G678" s="187" t="s">
        <v>1519</v>
      </c>
    </row>
    <row r="679" spans="1:7" ht="37.5" x14ac:dyDescent="0.25">
      <c r="A679" s="200">
        <v>674</v>
      </c>
      <c r="B679" s="183" t="e">
        <f>DEEMSuite1&amp;" Electrical Room A"</f>
        <v>#N/A</v>
      </c>
      <c r="C679" s="183" t="s">
        <v>2737</v>
      </c>
      <c r="D679" s="187" t="s">
        <v>3124</v>
      </c>
      <c r="E679" s="183" t="s">
        <v>1464</v>
      </c>
      <c r="F679" s="186"/>
      <c r="G679" s="187" t="s">
        <v>1519</v>
      </c>
    </row>
    <row r="680" spans="1:7" ht="37.5" x14ac:dyDescent="0.25">
      <c r="A680" s="200">
        <v>675</v>
      </c>
      <c r="B680" s="183" t="e">
        <f>DEEMSuite1&amp;" Electrical Room A"</f>
        <v>#N/A</v>
      </c>
      <c r="C680" s="183" t="s">
        <v>2737</v>
      </c>
      <c r="D680" s="187" t="s">
        <v>3125</v>
      </c>
      <c r="E680" s="183" t="s">
        <v>1464</v>
      </c>
      <c r="F680" s="186"/>
      <c r="G680" s="187" t="s">
        <v>1519</v>
      </c>
    </row>
    <row r="681" spans="1:7" ht="37.5" x14ac:dyDescent="0.25">
      <c r="A681" s="200">
        <v>676</v>
      </c>
      <c r="B681" s="183" t="e">
        <f>DEEMSuite1&amp;" Electrical Room A"</f>
        <v>#N/A</v>
      </c>
      <c r="C681" s="183" t="s">
        <v>2737</v>
      </c>
      <c r="D681" s="187" t="s">
        <v>3143</v>
      </c>
      <c r="E681" s="183" t="s">
        <v>1464</v>
      </c>
      <c r="F681" s="186"/>
      <c r="G681" s="187" t="s">
        <v>1519</v>
      </c>
    </row>
    <row r="682" spans="1:7" ht="37.5" x14ac:dyDescent="0.25">
      <c r="A682" s="200">
        <v>677</v>
      </c>
      <c r="B682" s="183" t="e">
        <f>DEEMSuite1&amp;" Electrical Room A"</f>
        <v>#N/A</v>
      </c>
      <c r="C682" s="183" t="s">
        <v>2737</v>
      </c>
      <c r="D682" s="187" t="s">
        <v>3127</v>
      </c>
      <c r="E682" s="183" t="s">
        <v>1464</v>
      </c>
      <c r="F682" s="186"/>
      <c r="G682" s="187" t="s">
        <v>1519</v>
      </c>
    </row>
    <row r="683" spans="1:7" ht="37.5" x14ac:dyDescent="0.25">
      <c r="A683" s="200">
        <v>678</v>
      </c>
      <c r="B683" s="183" t="e">
        <f>DEEMSuite1&amp;" Electrical Room A"</f>
        <v>#N/A</v>
      </c>
      <c r="C683" s="183" t="s">
        <v>2737</v>
      </c>
      <c r="D683" s="187" t="s">
        <v>1707</v>
      </c>
      <c r="E683" s="183" t="s">
        <v>1464</v>
      </c>
      <c r="F683" s="186"/>
      <c r="G683" s="187" t="s">
        <v>1519</v>
      </c>
    </row>
    <row r="684" spans="1:7" ht="37.5" x14ac:dyDescent="0.25">
      <c r="A684" s="200">
        <v>679</v>
      </c>
      <c r="B684" s="183" t="e">
        <f>DEEMSuite1&amp;" Electrical Room A"</f>
        <v>#N/A</v>
      </c>
      <c r="C684" s="183" t="s">
        <v>2737</v>
      </c>
      <c r="D684" s="187" t="s">
        <v>3120</v>
      </c>
      <c r="E684" s="183" t="s">
        <v>1464</v>
      </c>
      <c r="F684" s="186"/>
      <c r="G684" s="187" t="s">
        <v>1519</v>
      </c>
    </row>
    <row r="685" spans="1:7" ht="37.5" x14ac:dyDescent="0.25">
      <c r="A685" s="200">
        <v>680</v>
      </c>
      <c r="B685" s="183" t="e">
        <f>DEEMSuite1&amp;" Electrical Room A"</f>
        <v>#N/A</v>
      </c>
      <c r="C685" s="183" t="s">
        <v>2737</v>
      </c>
      <c r="D685" s="187" t="s">
        <v>3144</v>
      </c>
      <c r="E685" s="183" t="s">
        <v>1464</v>
      </c>
      <c r="F685" s="186"/>
      <c r="G685" s="187" t="s">
        <v>1519</v>
      </c>
    </row>
    <row r="686" spans="1:7" ht="37.5" x14ac:dyDescent="0.25">
      <c r="A686" s="200">
        <v>681</v>
      </c>
      <c r="B686" s="183" t="e">
        <f>DEEMSuite1&amp;" Electrical Room A"</f>
        <v>#N/A</v>
      </c>
      <c r="C686" s="183" t="s">
        <v>2737</v>
      </c>
      <c r="D686" s="187" t="s">
        <v>3129</v>
      </c>
      <c r="E686" s="183" t="s">
        <v>1464</v>
      </c>
      <c r="F686" s="186"/>
      <c r="G686" s="187" t="s">
        <v>1519</v>
      </c>
    </row>
    <row r="687" spans="1:7" ht="37.5" x14ac:dyDescent="0.25">
      <c r="A687" s="200">
        <v>682</v>
      </c>
      <c r="B687" s="183" t="e">
        <f>DEEMSuite1&amp;" Electrical Room A"</f>
        <v>#N/A</v>
      </c>
      <c r="C687" s="183" t="s">
        <v>2737</v>
      </c>
      <c r="D687" s="187" t="s">
        <v>3125</v>
      </c>
      <c r="E687" s="183" t="s">
        <v>1464</v>
      </c>
      <c r="F687" s="186"/>
      <c r="G687" s="187" t="s">
        <v>1519</v>
      </c>
    </row>
    <row r="688" spans="1:7" ht="37.5" x14ac:dyDescent="0.25">
      <c r="A688" s="200">
        <v>683</v>
      </c>
      <c r="B688" s="183" t="e">
        <f>DEEMSuite1&amp;" Electrical Room A"</f>
        <v>#N/A</v>
      </c>
      <c r="C688" s="183" t="s">
        <v>2737</v>
      </c>
      <c r="D688" s="187" t="s">
        <v>3130</v>
      </c>
      <c r="E688" s="183" t="s">
        <v>1464</v>
      </c>
      <c r="F688" s="186"/>
      <c r="G688" s="187" t="s">
        <v>1519</v>
      </c>
    </row>
    <row r="689" spans="1:7" ht="37.5" x14ac:dyDescent="0.25">
      <c r="A689" s="200">
        <v>684</v>
      </c>
      <c r="B689" s="183" t="e">
        <f>DEEMSuite1&amp;" Electrical Room A"</f>
        <v>#N/A</v>
      </c>
      <c r="C689" s="183" t="s">
        <v>2737</v>
      </c>
      <c r="D689" s="207" t="s">
        <v>3131</v>
      </c>
      <c r="E689" s="183" t="s">
        <v>1464</v>
      </c>
      <c r="F689" s="186"/>
      <c r="G689" s="187" t="s">
        <v>1519</v>
      </c>
    </row>
    <row r="690" spans="1:7" ht="37.5" x14ac:dyDescent="0.25">
      <c r="A690" s="200">
        <v>685</v>
      </c>
      <c r="B690" s="183" t="e">
        <f>DEEMSuite1&amp;" Electrical Room A"</f>
        <v>#N/A</v>
      </c>
      <c r="C690" s="201" t="s">
        <v>2737</v>
      </c>
      <c r="D690" s="204" t="s">
        <v>1646</v>
      </c>
      <c r="E690" s="183" t="s">
        <v>1464</v>
      </c>
      <c r="F690" s="186"/>
      <c r="G690" s="187" t="s">
        <v>1519</v>
      </c>
    </row>
    <row r="691" spans="1:7" ht="37.5" x14ac:dyDescent="0.25">
      <c r="A691" s="200">
        <v>686</v>
      </c>
      <c r="B691" s="183" t="e">
        <f>DEEMSuite1&amp;" Electrical Room A"</f>
        <v>#N/A</v>
      </c>
      <c r="C691" s="183" t="s">
        <v>1470</v>
      </c>
      <c r="D691" s="208" t="s">
        <v>3145</v>
      </c>
      <c r="E691" s="183" t="s">
        <v>1464</v>
      </c>
      <c r="F691" s="186"/>
      <c r="G691" s="187" t="s">
        <v>1519</v>
      </c>
    </row>
    <row r="692" spans="1:7" x14ac:dyDescent="0.25">
      <c r="A692" s="200">
        <v>687</v>
      </c>
      <c r="B692" s="756" t="s">
        <v>3146</v>
      </c>
      <c r="C692" s="757"/>
      <c r="D692" s="757"/>
      <c r="E692" s="757"/>
      <c r="F692" s="757"/>
      <c r="G692" s="758"/>
    </row>
    <row r="693" spans="1:7" ht="37.5" x14ac:dyDescent="0.25">
      <c r="A693" s="200">
        <v>688</v>
      </c>
      <c r="B693" s="183" t="e">
        <f>DEEMSuite1&amp;" Electrical Room A"</f>
        <v>#N/A</v>
      </c>
      <c r="C693" s="183" t="s">
        <v>2979</v>
      </c>
      <c r="D693" s="187" t="s">
        <v>2980</v>
      </c>
      <c r="E693" s="183" t="s">
        <v>1464</v>
      </c>
      <c r="F693" s="186"/>
      <c r="G693" s="187" t="s">
        <v>1519</v>
      </c>
    </row>
    <row r="694" spans="1:7" ht="37.5" x14ac:dyDescent="0.25">
      <c r="A694" s="200">
        <v>689</v>
      </c>
      <c r="B694" s="183" t="e">
        <f>DEEMSuite1&amp;" Electrical Room A"</f>
        <v>#N/A</v>
      </c>
      <c r="C694" s="183" t="s">
        <v>2979</v>
      </c>
      <c r="D694" s="187" t="s">
        <v>2981</v>
      </c>
      <c r="E694" s="183" t="s">
        <v>1464</v>
      </c>
      <c r="F694" s="186"/>
      <c r="G694" s="187" t="s">
        <v>1519</v>
      </c>
    </row>
    <row r="695" spans="1:7" ht="37.5" x14ac:dyDescent="0.25">
      <c r="A695" s="200">
        <v>690</v>
      </c>
      <c r="B695" s="183" t="e">
        <f>DEEMSuite1&amp;" Electrical Room A"</f>
        <v>#N/A</v>
      </c>
      <c r="C695" s="183" t="s">
        <v>2979</v>
      </c>
      <c r="D695" s="187" t="s">
        <v>3147</v>
      </c>
      <c r="E695" s="183" t="s">
        <v>1464</v>
      </c>
      <c r="F695" s="186"/>
      <c r="G695" s="187" t="s">
        <v>1519</v>
      </c>
    </row>
    <row r="696" spans="1:7" ht="37.5" x14ac:dyDescent="0.25">
      <c r="A696" s="200">
        <v>691</v>
      </c>
      <c r="B696" s="183" t="e">
        <f>DEEMSuite1&amp;" Electrical Room A"</f>
        <v>#N/A</v>
      </c>
      <c r="C696" s="183" t="s">
        <v>2979</v>
      </c>
      <c r="D696" s="187" t="s">
        <v>3148</v>
      </c>
      <c r="E696" s="183" t="s">
        <v>1464</v>
      </c>
      <c r="F696" s="186"/>
      <c r="G696" s="187" t="s">
        <v>1519</v>
      </c>
    </row>
    <row r="697" spans="1:7" ht="37.5" x14ac:dyDescent="0.25">
      <c r="A697" s="200">
        <v>692</v>
      </c>
      <c r="B697" s="183" t="e">
        <f>DEEMSuite1&amp;" Electrical Room A"</f>
        <v>#N/A</v>
      </c>
      <c r="C697" s="183" t="s">
        <v>2987</v>
      </c>
      <c r="D697" s="186" t="s">
        <v>3149</v>
      </c>
      <c r="E697" s="183" t="s">
        <v>1464</v>
      </c>
      <c r="F697" s="186"/>
      <c r="G697" s="187" t="s">
        <v>1519</v>
      </c>
    </row>
    <row r="698" spans="1:7" ht="37.5" x14ac:dyDescent="0.25">
      <c r="A698" s="200">
        <v>693</v>
      </c>
      <c r="B698" s="183" t="e">
        <f>DEEMSuite1&amp;" Electrical Room A"</f>
        <v>#N/A</v>
      </c>
      <c r="C698" s="183" t="s">
        <v>2987</v>
      </c>
      <c r="D698" s="204" t="s">
        <v>1557</v>
      </c>
      <c r="E698" s="183" t="s">
        <v>1464</v>
      </c>
      <c r="F698" s="186"/>
      <c r="G698" s="187" t="s">
        <v>1519</v>
      </c>
    </row>
    <row r="699" spans="1:7" ht="37.5" x14ac:dyDescent="0.25">
      <c r="A699" s="200">
        <v>694</v>
      </c>
      <c r="B699" s="183" t="e">
        <f>DEEMSuite1&amp;" Electrical Room A"</f>
        <v>#N/A</v>
      </c>
      <c r="C699" s="183" t="s">
        <v>2987</v>
      </c>
      <c r="D699" s="186" t="s">
        <v>3150</v>
      </c>
      <c r="E699" s="183" t="s">
        <v>1464</v>
      </c>
      <c r="F699" s="186"/>
      <c r="G699" s="187" t="s">
        <v>1519</v>
      </c>
    </row>
    <row r="700" spans="1:7" ht="37.5" x14ac:dyDescent="0.25">
      <c r="A700" s="200">
        <v>695</v>
      </c>
      <c r="B700" s="183" t="e">
        <f>DEEMSuite1&amp;" Electrical Room A"</f>
        <v>#N/A</v>
      </c>
      <c r="C700" s="183" t="s">
        <v>2979</v>
      </c>
      <c r="D700" s="186" t="s">
        <v>3151</v>
      </c>
      <c r="E700" s="183" t="s">
        <v>1464</v>
      </c>
      <c r="F700" s="186"/>
      <c r="G700" s="187" t="s">
        <v>1519</v>
      </c>
    </row>
    <row r="701" spans="1:7" ht="37.5" x14ac:dyDescent="0.25">
      <c r="A701" s="200">
        <v>696</v>
      </c>
      <c r="B701" s="183" t="e">
        <f>DEEMSuite1&amp;" Electrical Room A"</f>
        <v>#N/A</v>
      </c>
      <c r="C701" s="183" t="s">
        <v>2990</v>
      </c>
      <c r="D701" s="186" t="s">
        <v>3151</v>
      </c>
      <c r="E701" s="183" t="s">
        <v>1464</v>
      </c>
      <c r="F701" s="186"/>
      <c r="G701" s="187" t="s">
        <v>1519</v>
      </c>
    </row>
    <row r="702" spans="1:7" x14ac:dyDescent="0.25">
      <c r="A702" s="200">
        <v>697</v>
      </c>
      <c r="B702" s="756" t="s">
        <v>3152</v>
      </c>
      <c r="C702" s="757"/>
      <c r="D702" s="757"/>
      <c r="E702" s="757"/>
      <c r="F702" s="757"/>
      <c r="G702" s="758"/>
    </row>
    <row r="703" spans="1:7" ht="56.25" x14ac:dyDescent="0.25">
      <c r="A703" s="200">
        <v>698</v>
      </c>
      <c r="B703" s="183" t="e">
        <f>DEEMSuite1&amp;" CRAC Gallery"</f>
        <v>#N/A</v>
      </c>
      <c r="C703" s="183" t="s">
        <v>84</v>
      </c>
      <c r="D703" s="186" t="s">
        <v>3153</v>
      </c>
      <c r="E703" s="183" t="s">
        <v>1464</v>
      </c>
      <c r="F703" s="186"/>
      <c r="G703" s="187" t="s">
        <v>1519</v>
      </c>
    </row>
    <row r="704" spans="1:7" ht="37.5" x14ac:dyDescent="0.25">
      <c r="A704" s="200">
        <v>699</v>
      </c>
      <c r="B704" s="183" t="e">
        <f>DEEMSuite1&amp;" CRAC Gallery"</f>
        <v>#N/A</v>
      </c>
      <c r="C704" s="183" t="s">
        <v>2758</v>
      </c>
      <c r="D704" s="186" t="s">
        <v>3154</v>
      </c>
      <c r="E704" s="183" t="s">
        <v>1464</v>
      </c>
      <c r="F704" s="186"/>
      <c r="G704" s="187" t="s">
        <v>1519</v>
      </c>
    </row>
    <row r="705" spans="1:7" ht="37.5" x14ac:dyDescent="0.25">
      <c r="A705" s="200">
        <v>700</v>
      </c>
      <c r="B705" s="183" t="e">
        <f>DEEMSuite1&amp;" CRAC Gallery"</f>
        <v>#N/A</v>
      </c>
      <c r="C705" s="183" t="s">
        <v>2758</v>
      </c>
      <c r="D705" s="186" t="s">
        <v>3155</v>
      </c>
      <c r="E705" s="183" t="s">
        <v>1464</v>
      </c>
      <c r="F705" s="186"/>
      <c r="G705" s="187" t="s">
        <v>1519</v>
      </c>
    </row>
    <row r="706" spans="1:7" ht="37.5" x14ac:dyDescent="0.25">
      <c r="A706" s="200">
        <v>701</v>
      </c>
      <c r="B706" s="183" t="e">
        <f>DEEMSuite1&amp;" CRAC Gallery"</f>
        <v>#N/A</v>
      </c>
      <c r="C706" s="183" t="s">
        <v>2758</v>
      </c>
      <c r="D706" s="186" t="s">
        <v>3156</v>
      </c>
      <c r="E706" s="183" t="s">
        <v>1464</v>
      </c>
      <c r="F706" s="186"/>
      <c r="G706" s="187" t="s">
        <v>1519</v>
      </c>
    </row>
    <row r="707" spans="1:7" ht="37.5" x14ac:dyDescent="0.25">
      <c r="A707" s="200">
        <v>702</v>
      </c>
      <c r="B707" s="183" t="e">
        <f>DEEMSuite1&amp;" CRAC Gallery"</f>
        <v>#N/A</v>
      </c>
      <c r="C707" s="183" t="s">
        <v>2758</v>
      </c>
      <c r="D707" s="186" t="s">
        <v>3157</v>
      </c>
      <c r="E707" s="183" t="s">
        <v>1464</v>
      </c>
      <c r="F707" s="186"/>
      <c r="G707" s="187" t="s">
        <v>1519</v>
      </c>
    </row>
    <row r="708" spans="1:7" ht="37.5" x14ac:dyDescent="0.25">
      <c r="A708" s="200">
        <v>703</v>
      </c>
      <c r="B708" s="183" t="e">
        <f>DEEMSuite1&amp;" CRAC Gallery"</f>
        <v>#N/A</v>
      </c>
      <c r="C708" s="183" t="s">
        <v>2758</v>
      </c>
      <c r="D708" s="186" t="s">
        <v>3158</v>
      </c>
      <c r="E708" s="183" t="s">
        <v>1464</v>
      </c>
      <c r="F708" s="186"/>
      <c r="G708" s="187" t="s">
        <v>1519</v>
      </c>
    </row>
    <row r="709" spans="1:7" ht="37.5" x14ac:dyDescent="0.25">
      <c r="A709" s="200">
        <v>704</v>
      </c>
      <c r="B709" s="183" t="e">
        <f>DEEMSuite1&amp;" CRAC Gallery"</f>
        <v>#N/A</v>
      </c>
      <c r="C709" s="183" t="s">
        <v>2758</v>
      </c>
      <c r="D709" s="186" t="s">
        <v>3159</v>
      </c>
      <c r="E709" s="183" t="s">
        <v>1464</v>
      </c>
      <c r="F709" s="186"/>
      <c r="G709" s="187" t="s">
        <v>1519</v>
      </c>
    </row>
    <row r="710" spans="1:7" ht="37.5" x14ac:dyDescent="0.25">
      <c r="A710" s="200">
        <v>705</v>
      </c>
      <c r="B710" s="183" t="e">
        <f>DEEMSuite1&amp;" CRAC Gallery"</f>
        <v>#N/A</v>
      </c>
      <c r="C710" s="183" t="s">
        <v>2764</v>
      </c>
      <c r="D710" s="186" t="s">
        <v>3160</v>
      </c>
      <c r="E710" s="183" t="s">
        <v>1464</v>
      </c>
      <c r="F710" s="186"/>
      <c r="G710" s="187" t="s">
        <v>1519</v>
      </c>
    </row>
    <row r="711" spans="1:7" ht="37.5" x14ac:dyDescent="0.25">
      <c r="A711" s="200">
        <v>706</v>
      </c>
      <c r="B711" s="183" t="e">
        <f>DEEMSuite1&amp;" CRAC Gallery"</f>
        <v>#N/A</v>
      </c>
      <c r="C711" s="183" t="s">
        <v>2764</v>
      </c>
      <c r="D711" s="186" t="s">
        <v>3161</v>
      </c>
      <c r="E711" s="183" t="s">
        <v>1464</v>
      </c>
      <c r="F711" s="186"/>
      <c r="G711" s="187" t="s">
        <v>1519</v>
      </c>
    </row>
    <row r="712" spans="1:7" ht="37.5" x14ac:dyDescent="0.25">
      <c r="A712" s="200">
        <v>707</v>
      </c>
      <c r="B712" s="183" t="e">
        <f>DEEMSuite1&amp;" CRAC Gallery"</f>
        <v>#N/A</v>
      </c>
      <c r="C712" s="183" t="s">
        <v>2764</v>
      </c>
      <c r="D712" s="186" t="s">
        <v>3162</v>
      </c>
      <c r="E712" s="183" t="s">
        <v>1464</v>
      </c>
      <c r="F712" s="186"/>
      <c r="G712" s="187" t="s">
        <v>1519</v>
      </c>
    </row>
    <row r="713" spans="1:7" ht="37.5" x14ac:dyDescent="0.25">
      <c r="A713" s="200">
        <v>708</v>
      </c>
      <c r="B713" s="183" t="e">
        <f>DEEMSuite1&amp;" CRAC Gallery"</f>
        <v>#N/A</v>
      </c>
      <c r="C713" s="183" t="s">
        <v>2764</v>
      </c>
      <c r="D713" s="186" t="s">
        <v>3163</v>
      </c>
      <c r="E713" s="183" t="s">
        <v>1464</v>
      </c>
      <c r="F713" s="186"/>
      <c r="G713" s="187" t="s">
        <v>1519</v>
      </c>
    </row>
    <row r="714" spans="1:7" ht="37.5" x14ac:dyDescent="0.25">
      <c r="A714" s="200">
        <v>709</v>
      </c>
      <c r="B714" s="183" t="e">
        <f>DEEMSuite1&amp;" CRAC Gallery"</f>
        <v>#N/A</v>
      </c>
      <c r="C714" s="183" t="s">
        <v>2764</v>
      </c>
      <c r="D714" s="186" t="s">
        <v>3164</v>
      </c>
      <c r="E714" s="183" t="s">
        <v>1464</v>
      </c>
      <c r="F714" s="186"/>
      <c r="G714" s="187" t="s">
        <v>1519</v>
      </c>
    </row>
    <row r="715" spans="1:7" ht="37.5" x14ac:dyDescent="0.25">
      <c r="A715" s="200">
        <v>710</v>
      </c>
      <c r="B715" s="183" t="e">
        <f>DEEMSuite1&amp;" CRAC Gallery"</f>
        <v>#N/A</v>
      </c>
      <c r="C715" s="183" t="s">
        <v>2764</v>
      </c>
      <c r="D715" s="186" t="s">
        <v>3165</v>
      </c>
      <c r="E715" s="183" t="s">
        <v>1464</v>
      </c>
      <c r="F715" s="186"/>
      <c r="G715" s="187" t="s">
        <v>1519</v>
      </c>
    </row>
    <row r="716" spans="1:7" ht="37.5" x14ac:dyDescent="0.25">
      <c r="A716" s="200">
        <v>711</v>
      </c>
      <c r="B716" s="183" t="e">
        <f>DEEMSuite1&amp;" CRAC Gallery"</f>
        <v>#N/A</v>
      </c>
      <c r="C716" s="183" t="s">
        <v>2769</v>
      </c>
      <c r="D716" s="186" t="s">
        <v>3166</v>
      </c>
      <c r="E716" s="183" t="s">
        <v>1464</v>
      </c>
      <c r="F716" s="186"/>
      <c r="G716" s="187" t="s">
        <v>1519</v>
      </c>
    </row>
    <row r="717" spans="1:7" ht="37.5" x14ac:dyDescent="0.25">
      <c r="A717" s="200">
        <v>712</v>
      </c>
      <c r="B717" s="183" t="e">
        <f>DEEMSuite1&amp;" CRAC Gallery"</f>
        <v>#N/A</v>
      </c>
      <c r="C717" s="183" t="s">
        <v>2769</v>
      </c>
      <c r="D717" s="186" t="s">
        <v>3167</v>
      </c>
      <c r="E717" s="183" t="s">
        <v>1464</v>
      </c>
      <c r="F717" s="186"/>
      <c r="G717" s="187" t="s">
        <v>1519</v>
      </c>
    </row>
    <row r="718" spans="1:7" ht="37.5" x14ac:dyDescent="0.25">
      <c r="A718" s="200">
        <v>713</v>
      </c>
      <c r="B718" s="183" t="e">
        <f>DEEMSuite1&amp;" CRAC Gallery"</f>
        <v>#N/A</v>
      </c>
      <c r="C718" s="183" t="s">
        <v>2769</v>
      </c>
      <c r="D718" s="186" t="s">
        <v>3168</v>
      </c>
      <c r="E718" s="183" t="s">
        <v>1464</v>
      </c>
      <c r="F718" s="186"/>
      <c r="G718" s="187" t="s">
        <v>1519</v>
      </c>
    </row>
    <row r="719" spans="1:7" ht="37.5" x14ac:dyDescent="0.25">
      <c r="A719" s="200">
        <v>714</v>
      </c>
      <c r="B719" s="183" t="e">
        <f>DEEMSuite1&amp;" CRAC Gallery"</f>
        <v>#N/A</v>
      </c>
      <c r="C719" s="183" t="s">
        <v>2769</v>
      </c>
      <c r="D719" s="186" t="s">
        <v>3169</v>
      </c>
      <c r="E719" s="183" t="s">
        <v>1464</v>
      </c>
      <c r="F719" s="186"/>
      <c r="G719" s="187" t="s">
        <v>1519</v>
      </c>
    </row>
    <row r="720" spans="1:7" ht="37.5" x14ac:dyDescent="0.25">
      <c r="A720" s="200">
        <v>715</v>
      </c>
      <c r="B720" s="183" t="e">
        <f>DEEMSuite1&amp;" CRAC Gallery"</f>
        <v>#N/A</v>
      </c>
      <c r="C720" s="183" t="s">
        <v>2769</v>
      </c>
      <c r="D720" s="186" t="s">
        <v>3170</v>
      </c>
      <c r="E720" s="183" t="s">
        <v>1464</v>
      </c>
      <c r="F720" s="186"/>
      <c r="G720" s="187" t="s">
        <v>1519</v>
      </c>
    </row>
    <row r="721" spans="1:7" ht="37.5" x14ac:dyDescent="0.25">
      <c r="A721" s="200">
        <v>716</v>
      </c>
      <c r="B721" s="183" t="e">
        <f>DEEMSuite1&amp;" CRAC Gallery"</f>
        <v>#N/A</v>
      </c>
      <c r="C721" s="183" t="s">
        <v>2769</v>
      </c>
      <c r="D721" s="186" t="s">
        <v>3171</v>
      </c>
      <c r="E721" s="183" t="s">
        <v>1464</v>
      </c>
      <c r="F721" s="186"/>
      <c r="G721" s="187" t="s">
        <v>1519</v>
      </c>
    </row>
    <row r="722" spans="1:7" ht="37.5" x14ac:dyDescent="0.25">
      <c r="A722" s="200">
        <v>717</v>
      </c>
      <c r="B722" s="183" t="e">
        <f>DEEMSuite1&amp;" CRAC Gallery"</f>
        <v>#N/A</v>
      </c>
      <c r="C722" s="183" t="s">
        <v>2774</v>
      </c>
      <c r="D722" s="186" t="s">
        <v>3172</v>
      </c>
      <c r="E722" s="183" t="s">
        <v>1464</v>
      </c>
      <c r="F722" s="186"/>
      <c r="G722" s="187" t="s">
        <v>1519</v>
      </c>
    </row>
    <row r="723" spans="1:7" ht="37.5" x14ac:dyDescent="0.25">
      <c r="A723" s="200">
        <v>718</v>
      </c>
      <c r="B723" s="183" t="e">
        <f>DEEMSuite1&amp;" CRAC Gallery"</f>
        <v>#N/A</v>
      </c>
      <c r="C723" s="183" t="s">
        <v>2774</v>
      </c>
      <c r="D723" s="186" t="s">
        <v>3173</v>
      </c>
      <c r="E723" s="183" t="s">
        <v>1464</v>
      </c>
      <c r="F723" s="186"/>
      <c r="G723" s="187" t="s">
        <v>1519</v>
      </c>
    </row>
    <row r="724" spans="1:7" ht="37.5" x14ac:dyDescent="0.25">
      <c r="A724" s="200">
        <v>719</v>
      </c>
      <c r="B724" s="183" t="e">
        <f>DEEMSuite1&amp;" CRAC Gallery"</f>
        <v>#N/A</v>
      </c>
      <c r="C724" s="183" t="s">
        <v>2774</v>
      </c>
      <c r="D724" s="186" t="s">
        <v>3174</v>
      </c>
      <c r="E724" s="183" t="s">
        <v>1464</v>
      </c>
      <c r="F724" s="186"/>
      <c r="G724" s="187" t="s">
        <v>1519</v>
      </c>
    </row>
    <row r="725" spans="1:7" ht="37.5" x14ac:dyDescent="0.25">
      <c r="A725" s="200">
        <v>720</v>
      </c>
      <c r="B725" s="183" t="e">
        <f>DEEMSuite1&amp;" CRAC Gallery"</f>
        <v>#N/A</v>
      </c>
      <c r="C725" s="183" t="s">
        <v>2774</v>
      </c>
      <c r="D725" s="186" t="s">
        <v>3175</v>
      </c>
      <c r="E725" s="183" t="s">
        <v>1464</v>
      </c>
      <c r="F725" s="186"/>
      <c r="G725" s="187" t="s">
        <v>1519</v>
      </c>
    </row>
    <row r="726" spans="1:7" ht="37.5" x14ac:dyDescent="0.25">
      <c r="A726" s="200">
        <v>721</v>
      </c>
      <c r="B726" s="183" t="e">
        <f>DEEMSuite1&amp;" CRAC Gallery"</f>
        <v>#N/A</v>
      </c>
      <c r="C726" s="183" t="s">
        <v>2774</v>
      </c>
      <c r="D726" s="186" t="s">
        <v>3176</v>
      </c>
      <c r="E726" s="183" t="s">
        <v>1464</v>
      </c>
      <c r="F726" s="186"/>
      <c r="G726" s="187" t="s">
        <v>1519</v>
      </c>
    </row>
    <row r="727" spans="1:7" ht="37.5" x14ac:dyDescent="0.25">
      <c r="A727" s="200">
        <v>722</v>
      </c>
      <c r="B727" s="183" t="e">
        <f>DEEMSuite1&amp;" CRAC Gallery"</f>
        <v>#N/A</v>
      </c>
      <c r="C727" s="183" t="s">
        <v>2774</v>
      </c>
      <c r="D727" s="186" t="s">
        <v>3177</v>
      </c>
      <c r="E727" s="183" t="s">
        <v>1464</v>
      </c>
      <c r="F727" s="186"/>
      <c r="G727" s="187" t="s">
        <v>1519</v>
      </c>
    </row>
    <row r="728" spans="1:7" ht="37.5" x14ac:dyDescent="0.25">
      <c r="A728" s="200">
        <v>723</v>
      </c>
      <c r="B728" s="183" t="e">
        <f>DEEMSuite1&amp;" CRAC Gallery"</f>
        <v>#N/A</v>
      </c>
      <c r="C728" s="183" t="s">
        <v>2779</v>
      </c>
      <c r="D728" s="186" t="s">
        <v>3178</v>
      </c>
      <c r="E728" s="183" t="s">
        <v>1464</v>
      </c>
      <c r="F728" s="186"/>
      <c r="G728" s="187" t="s">
        <v>1519</v>
      </c>
    </row>
    <row r="729" spans="1:7" ht="37.5" x14ac:dyDescent="0.25">
      <c r="A729" s="200">
        <v>724</v>
      </c>
      <c r="B729" s="183" t="e">
        <f>DEEMSuite1&amp;" CRAC Gallery"</f>
        <v>#N/A</v>
      </c>
      <c r="C729" s="183" t="s">
        <v>2779</v>
      </c>
      <c r="D729" s="186" t="s">
        <v>3179</v>
      </c>
      <c r="E729" s="183" t="s">
        <v>1464</v>
      </c>
      <c r="F729" s="186"/>
      <c r="G729" s="187" t="s">
        <v>1519</v>
      </c>
    </row>
    <row r="730" spans="1:7" ht="37.5" x14ac:dyDescent="0.25">
      <c r="A730" s="200">
        <v>725</v>
      </c>
      <c r="B730" s="183" t="e">
        <f>DEEMSuite1&amp;" CRAC Gallery"</f>
        <v>#N/A</v>
      </c>
      <c r="C730" s="183" t="s">
        <v>2779</v>
      </c>
      <c r="D730" s="186" t="s">
        <v>3180</v>
      </c>
      <c r="E730" s="183" t="s">
        <v>1464</v>
      </c>
      <c r="F730" s="186"/>
      <c r="G730" s="187" t="s">
        <v>1519</v>
      </c>
    </row>
    <row r="731" spans="1:7" ht="37.5" x14ac:dyDescent="0.25">
      <c r="A731" s="200">
        <v>726</v>
      </c>
      <c r="B731" s="183" t="e">
        <f>DEEMSuite1&amp;" CRAC Gallery"</f>
        <v>#N/A</v>
      </c>
      <c r="C731" s="183" t="s">
        <v>2779</v>
      </c>
      <c r="D731" s="186" t="s">
        <v>3181</v>
      </c>
      <c r="E731" s="183" t="s">
        <v>1464</v>
      </c>
      <c r="F731" s="186"/>
      <c r="G731" s="187" t="s">
        <v>1519</v>
      </c>
    </row>
    <row r="732" spans="1:7" ht="37.5" x14ac:dyDescent="0.25">
      <c r="A732" s="200">
        <v>727</v>
      </c>
      <c r="B732" s="183" t="e">
        <f>DEEMSuite1&amp;" CRAC Gallery"</f>
        <v>#N/A</v>
      </c>
      <c r="C732" s="183" t="s">
        <v>2779</v>
      </c>
      <c r="D732" s="186" t="s">
        <v>3182</v>
      </c>
      <c r="E732" s="183" t="s">
        <v>1464</v>
      </c>
      <c r="F732" s="186"/>
      <c r="G732" s="187" t="s">
        <v>1519</v>
      </c>
    </row>
    <row r="733" spans="1:7" ht="37.5" x14ac:dyDescent="0.25">
      <c r="A733" s="200">
        <v>728</v>
      </c>
      <c r="B733" s="183" t="e">
        <f>DEEMSuite1&amp;" CRAC Gallery"</f>
        <v>#N/A</v>
      </c>
      <c r="C733" s="183" t="s">
        <v>2779</v>
      </c>
      <c r="D733" s="186" t="s">
        <v>3183</v>
      </c>
      <c r="E733" s="183" t="s">
        <v>1464</v>
      </c>
      <c r="F733" s="186"/>
      <c r="G733" s="187" t="s">
        <v>1519</v>
      </c>
    </row>
    <row r="734" spans="1:7" x14ac:dyDescent="0.25">
      <c r="A734" s="200">
        <v>729</v>
      </c>
      <c r="B734" s="756" t="s">
        <v>3184</v>
      </c>
      <c r="C734" s="757"/>
      <c r="D734" s="757"/>
      <c r="E734" s="757"/>
      <c r="F734" s="757"/>
      <c r="G734" s="758"/>
    </row>
    <row r="735" spans="1:7" ht="37.5" x14ac:dyDescent="0.25">
      <c r="A735" s="200">
        <v>730</v>
      </c>
      <c r="B735" s="183" t="e">
        <f>DEEMSuite1&amp;" Electrical Room A"</f>
        <v>#N/A</v>
      </c>
      <c r="C735" s="201" t="s">
        <v>2929</v>
      </c>
      <c r="D735" s="202" t="s">
        <v>2692</v>
      </c>
      <c r="E735" s="183" t="s">
        <v>1464</v>
      </c>
      <c r="F735" s="186"/>
      <c r="G735" s="187" t="s">
        <v>1519</v>
      </c>
    </row>
    <row r="736" spans="1:7" ht="37.5" x14ac:dyDescent="0.25">
      <c r="A736" s="200">
        <v>731</v>
      </c>
      <c r="B736" s="183" t="e">
        <f>DEEMSuite1&amp;" Electrical Room B"</f>
        <v>#N/A</v>
      </c>
      <c r="C736" s="201" t="s">
        <v>2930</v>
      </c>
      <c r="D736" s="202" t="s">
        <v>2693</v>
      </c>
      <c r="E736" s="183" t="s">
        <v>1464</v>
      </c>
      <c r="F736" s="186"/>
      <c r="G736" s="187" t="s">
        <v>1519</v>
      </c>
    </row>
    <row r="737" spans="1:7" ht="56.25" x14ac:dyDescent="0.25">
      <c r="A737" s="200">
        <v>732</v>
      </c>
      <c r="B737" s="183" t="e">
        <f>DEEMSuite1&amp;" Electrical Rooms"</f>
        <v>#N/A</v>
      </c>
      <c r="C737" s="183" t="s">
        <v>2931</v>
      </c>
      <c r="D737" s="186" t="str">
        <f>"Add the UPA and UPB kW readings: ________ and compare to step " &amp; A282 &amp; ":________."</f>
        <v>Add the UPA and UPB kW readings: ________ and compare to step 277:________.</v>
      </c>
      <c r="E737" s="183" t="s">
        <v>1464</v>
      </c>
      <c r="F737" s="186"/>
      <c r="G737" s="187" t="s">
        <v>1519</v>
      </c>
    </row>
    <row r="738" spans="1:7" ht="56.25" x14ac:dyDescent="0.25">
      <c r="A738" s="200">
        <v>733</v>
      </c>
      <c r="B738" s="183" t="e">
        <f>DEEMSuite1&amp;" Electrical Rooms"</f>
        <v>#N/A</v>
      </c>
      <c r="C738" s="183" t="s">
        <v>2931</v>
      </c>
      <c r="D738" s="186" t="s">
        <v>2932</v>
      </c>
      <c r="E738" s="183" t="s">
        <v>1464</v>
      </c>
      <c r="F738" s="186"/>
      <c r="G738" s="187" t="s">
        <v>1519</v>
      </c>
    </row>
    <row r="739" spans="1:7" ht="37.5" x14ac:dyDescent="0.25">
      <c r="A739" s="200">
        <v>734</v>
      </c>
      <c r="B739" s="183" t="e">
        <f>DEEMSuite1&amp;" Electrical Room A"</f>
        <v>#N/A</v>
      </c>
      <c r="C739" s="201" t="s">
        <v>2929</v>
      </c>
      <c r="D739" s="202" t="s">
        <v>2748</v>
      </c>
      <c r="E739" s="183" t="s">
        <v>1464</v>
      </c>
      <c r="F739" s="186"/>
      <c r="G739" s="187" t="s">
        <v>1519</v>
      </c>
    </row>
    <row r="740" spans="1:7" ht="37.5" x14ac:dyDescent="0.25">
      <c r="A740" s="200">
        <v>735</v>
      </c>
      <c r="B740" s="183" t="e">
        <f>DEEMSuite1&amp;" Electrical Room A"</f>
        <v>#N/A</v>
      </c>
      <c r="C740" s="201" t="s">
        <v>2929</v>
      </c>
      <c r="D740" s="202" t="s">
        <v>2749</v>
      </c>
      <c r="E740" s="183" t="s">
        <v>1464</v>
      </c>
      <c r="F740" s="186"/>
      <c r="G740" s="187" t="s">
        <v>1519</v>
      </c>
    </row>
    <row r="741" spans="1:7" ht="37.5" x14ac:dyDescent="0.25">
      <c r="A741" s="200">
        <v>736</v>
      </c>
      <c r="B741" s="183" t="e">
        <f>DEEMSuite1&amp;" Electrical Room A"</f>
        <v>#N/A</v>
      </c>
      <c r="C741" s="201" t="s">
        <v>2929</v>
      </c>
      <c r="D741" s="202" t="s">
        <v>2750</v>
      </c>
      <c r="E741" s="183" t="s">
        <v>1464</v>
      </c>
      <c r="F741" s="186"/>
      <c r="G741" s="187" t="s">
        <v>1519</v>
      </c>
    </row>
    <row r="742" spans="1:7" ht="37.5" x14ac:dyDescent="0.25">
      <c r="A742" s="200">
        <v>737</v>
      </c>
      <c r="B742" s="183" t="e">
        <f>DEEMSuite1&amp;" Electrical Room A"</f>
        <v>#N/A</v>
      </c>
      <c r="C742" s="201" t="s">
        <v>2929</v>
      </c>
      <c r="D742" s="202" t="s">
        <v>2751</v>
      </c>
      <c r="E742" s="183" t="s">
        <v>1464</v>
      </c>
      <c r="F742" s="186"/>
      <c r="G742" s="187" t="s">
        <v>1519</v>
      </c>
    </row>
    <row r="743" spans="1:7" ht="37.5" x14ac:dyDescent="0.25">
      <c r="A743" s="200">
        <v>738</v>
      </c>
      <c r="B743" s="183" t="e">
        <f>DEEMSuite1&amp;" Electrical Room A"</f>
        <v>#N/A</v>
      </c>
      <c r="C743" s="201" t="s">
        <v>2929</v>
      </c>
      <c r="D743" s="202" t="s">
        <v>2752</v>
      </c>
      <c r="E743" s="183" t="s">
        <v>1464</v>
      </c>
      <c r="F743" s="186"/>
      <c r="G743" s="187" t="s">
        <v>1519</v>
      </c>
    </row>
    <row r="744" spans="1:7" ht="37.5" x14ac:dyDescent="0.25">
      <c r="A744" s="200">
        <v>739</v>
      </c>
      <c r="B744" s="183" t="e">
        <f>DEEMSuite1&amp;" Electrical Room B"</f>
        <v>#N/A</v>
      </c>
      <c r="C744" s="201" t="s">
        <v>2930</v>
      </c>
      <c r="D744" s="202" t="s">
        <v>2753</v>
      </c>
      <c r="E744" s="183" t="s">
        <v>1464</v>
      </c>
      <c r="F744" s="186"/>
      <c r="G744" s="187" t="s">
        <v>1519</v>
      </c>
    </row>
    <row r="745" spans="1:7" ht="37.5" x14ac:dyDescent="0.25">
      <c r="A745" s="200">
        <v>740</v>
      </c>
      <c r="B745" s="183" t="e">
        <f>DEEMSuite1&amp;" Electrical Room B"</f>
        <v>#N/A</v>
      </c>
      <c r="C745" s="201" t="s">
        <v>2930</v>
      </c>
      <c r="D745" s="202" t="s">
        <v>2754</v>
      </c>
      <c r="E745" s="183" t="s">
        <v>1464</v>
      </c>
      <c r="F745" s="186"/>
      <c r="G745" s="187" t="s">
        <v>1519</v>
      </c>
    </row>
    <row r="746" spans="1:7" ht="37.5" x14ac:dyDescent="0.25">
      <c r="A746" s="200">
        <v>741</v>
      </c>
      <c r="B746" s="183" t="e">
        <f>DEEMSuite1&amp;" Electrical Room B"</f>
        <v>#N/A</v>
      </c>
      <c r="C746" s="201" t="s">
        <v>2930</v>
      </c>
      <c r="D746" s="202" t="s">
        <v>2755</v>
      </c>
      <c r="E746" s="183" t="s">
        <v>1464</v>
      </c>
      <c r="F746" s="186"/>
      <c r="G746" s="187" t="s">
        <v>1519</v>
      </c>
    </row>
    <row r="747" spans="1:7" ht="37.5" x14ac:dyDescent="0.25">
      <c r="A747" s="200">
        <v>742</v>
      </c>
      <c r="B747" s="183" t="e">
        <f>DEEMSuite1&amp;" Electrical Room B"</f>
        <v>#N/A</v>
      </c>
      <c r="C747" s="201" t="s">
        <v>2930</v>
      </c>
      <c r="D747" s="202" t="s">
        <v>2756</v>
      </c>
      <c r="E747" s="183" t="s">
        <v>1464</v>
      </c>
      <c r="F747" s="186"/>
      <c r="G747" s="187" t="s">
        <v>1519</v>
      </c>
    </row>
    <row r="748" spans="1:7" ht="37.5" x14ac:dyDescent="0.25">
      <c r="A748" s="200">
        <v>743</v>
      </c>
      <c r="B748" s="183" t="e">
        <f>DEEMSuite1&amp;" Electrical Room B"</f>
        <v>#N/A</v>
      </c>
      <c r="C748" s="201" t="s">
        <v>2930</v>
      </c>
      <c r="D748" s="202" t="s">
        <v>2757</v>
      </c>
      <c r="E748" s="183" t="s">
        <v>1464</v>
      </c>
      <c r="F748" s="186"/>
      <c r="G748" s="187" t="s">
        <v>1519</v>
      </c>
    </row>
    <row r="749" spans="1:7" ht="37.5" x14ac:dyDescent="0.25">
      <c r="A749" s="200">
        <v>744</v>
      </c>
      <c r="B749" s="183" t="e">
        <f>DEEMSuite1&amp;" CRAC Gallery"</f>
        <v>#N/A</v>
      </c>
      <c r="C749" s="183" t="s">
        <v>2758</v>
      </c>
      <c r="D749" s="202" t="s">
        <v>2759</v>
      </c>
      <c r="E749" s="183" t="s">
        <v>1464</v>
      </c>
      <c r="F749" s="186"/>
      <c r="G749" s="187" t="s">
        <v>1519</v>
      </c>
    </row>
    <row r="750" spans="1:7" ht="37.5" x14ac:dyDescent="0.25">
      <c r="A750" s="200">
        <v>745</v>
      </c>
      <c r="B750" s="183" t="e">
        <f>DEEMSuite1&amp;" CRAC Gallery"</f>
        <v>#N/A</v>
      </c>
      <c r="C750" s="183" t="s">
        <v>2933</v>
      </c>
      <c r="D750" s="202" t="s">
        <v>2761</v>
      </c>
      <c r="E750" s="183" t="s">
        <v>1464</v>
      </c>
      <c r="F750" s="186"/>
      <c r="G750" s="187" t="s">
        <v>1519</v>
      </c>
    </row>
    <row r="751" spans="1:7" ht="56.25" x14ac:dyDescent="0.25">
      <c r="A751" s="200">
        <v>746</v>
      </c>
      <c r="B751" s="183" t="e">
        <f>DEEMSuite1&amp;" CRAC Gallery"</f>
        <v>#N/A</v>
      </c>
      <c r="C751" s="183" t="s">
        <v>2762</v>
      </c>
      <c r="D751" s="186" t="str">
        <f>"Add readings from previous 2 steps:  __________ kW and compare to step " &amp; A326 &amp; ":________. If the combined load on the paired PDUs has changed by more than 10 kW stop and inform the MOP facilitator."</f>
        <v>Add readings from previous 2 steps:  __________ kW and compare to step 321:________. If the combined load on the paired PDUs has changed by more than 10 kW stop and inform the MOP facilitator.</v>
      </c>
      <c r="E751" s="183" t="s">
        <v>1464</v>
      </c>
      <c r="F751" s="186"/>
      <c r="G751" s="187" t="s">
        <v>1519</v>
      </c>
    </row>
    <row r="752" spans="1:7" ht="37.5" x14ac:dyDescent="0.25">
      <c r="A752" s="200">
        <v>747</v>
      </c>
      <c r="B752" s="183" t="e">
        <f>DEEMSuite1&amp;" CRAC Gallery"</f>
        <v>#N/A</v>
      </c>
      <c r="C752" s="183" t="s">
        <v>2764</v>
      </c>
      <c r="D752" s="202" t="s">
        <v>2765</v>
      </c>
      <c r="E752" s="183" t="s">
        <v>1464</v>
      </c>
      <c r="F752" s="186"/>
      <c r="G752" s="187" t="s">
        <v>1519</v>
      </c>
    </row>
    <row r="753" spans="1:7" ht="37.5" x14ac:dyDescent="0.25">
      <c r="A753" s="200">
        <v>748</v>
      </c>
      <c r="B753" s="183" t="e">
        <f>DEEMSuite1&amp;" CRAC Gallery"</f>
        <v>#N/A</v>
      </c>
      <c r="C753" s="183" t="s">
        <v>2934</v>
      </c>
      <c r="D753" s="202" t="s">
        <v>2767</v>
      </c>
      <c r="E753" s="183" t="s">
        <v>1464</v>
      </c>
      <c r="F753" s="186"/>
      <c r="G753" s="187" t="s">
        <v>1519</v>
      </c>
    </row>
    <row r="754" spans="1:7" ht="56.25" x14ac:dyDescent="0.25">
      <c r="A754" s="200">
        <v>749</v>
      </c>
      <c r="B754" s="183" t="e">
        <f>DEEMSuite1&amp;" CRAC Gallery"</f>
        <v>#N/A</v>
      </c>
      <c r="C754" s="183" t="s">
        <v>2768</v>
      </c>
      <c r="D754" s="186" t="str">
        <f>"Add readings from previous 2 steps:  __________ kW and compare to step " &amp; A343 &amp; ":________. If the combined load on the paired PDUs has changed by more than 10 kW stop and inform the MOP facilitator."</f>
        <v>Add readings from previous 2 steps:  __________ kW and compare to step 338:________. If the combined load on the paired PDUs has changed by more than 10 kW stop and inform the MOP facilitator.</v>
      </c>
      <c r="E754" s="183" t="s">
        <v>1464</v>
      </c>
      <c r="F754" s="186"/>
      <c r="G754" s="187" t="s">
        <v>1519</v>
      </c>
    </row>
    <row r="755" spans="1:7" ht="37.5" x14ac:dyDescent="0.25">
      <c r="A755" s="200">
        <v>750</v>
      </c>
      <c r="B755" s="183" t="e">
        <f>DEEMSuite1&amp;" CRAC Gallery"</f>
        <v>#N/A</v>
      </c>
      <c r="C755" s="183" t="s">
        <v>2769</v>
      </c>
      <c r="D755" s="202" t="s">
        <v>2770</v>
      </c>
      <c r="E755" s="183" t="s">
        <v>1464</v>
      </c>
      <c r="F755" s="186"/>
      <c r="G755" s="187" t="s">
        <v>1519</v>
      </c>
    </row>
    <row r="756" spans="1:7" ht="37.5" x14ac:dyDescent="0.25">
      <c r="A756" s="200">
        <v>751</v>
      </c>
      <c r="B756" s="183" t="e">
        <f>DEEMSuite1&amp;" CRAC Gallery"</f>
        <v>#N/A</v>
      </c>
      <c r="C756" s="183" t="s">
        <v>2935</v>
      </c>
      <c r="D756" s="202" t="s">
        <v>2772</v>
      </c>
      <c r="E756" s="183" t="s">
        <v>1464</v>
      </c>
      <c r="F756" s="186"/>
      <c r="G756" s="187" t="s">
        <v>1519</v>
      </c>
    </row>
    <row r="757" spans="1:7" ht="56.25" x14ac:dyDescent="0.25">
      <c r="A757" s="200">
        <v>752</v>
      </c>
      <c r="B757" s="183" t="e">
        <f>DEEMSuite1&amp;" CRAC Gallery"</f>
        <v>#N/A</v>
      </c>
      <c r="C757" s="183" t="s">
        <v>2773</v>
      </c>
      <c r="D757" s="186" t="str">
        <f>"Add readings from previous 2 steps:  __________ kW and compare to step " &amp; A360 &amp; ":________. If the combined load on the paired PDUs has changed by more than 10 kW stop and inform the MOP facilitator."</f>
        <v>Add readings from previous 2 steps:  __________ kW and compare to step 355:________. If the combined load on the paired PDUs has changed by more than 10 kW stop and inform the MOP facilitator.</v>
      </c>
      <c r="E757" s="183" t="s">
        <v>1464</v>
      </c>
      <c r="F757" s="186"/>
      <c r="G757" s="187" t="s">
        <v>1519</v>
      </c>
    </row>
    <row r="758" spans="1:7" ht="37.5" x14ac:dyDescent="0.25">
      <c r="A758" s="200">
        <v>753</v>
      </c>
      <c r="B758" s="183" t="e">
        <f>DEEMSuite1&amp;" CRAC Gallery"</f>
        <v>#N/A</v>
      </c>
      <c r="C758" s="183" t="s">
        <v>2774</v>
      </c>
      <c r="D758" s="202" t="s">
        <v>2775</v>
      </c>
      <c r="E758" s="183" t="s">
        <v>1464</v>
      </c>
      <c r="F758" s="186"/>
      <c r="G758" s="187" t="s">
        <v>1519</v>
      </c>
    </row>
    <row r="759" spans="1:7" ht="37.5" x14ac:dyDescent="0.25">
      <c r="A759" s="200">
        <v>754</v>
      </c>
      <c r="B759" s="183" t="e">
        <f>DEEMSuite1&amp;" CRAC Gallery"</f>
        <v>#N/A</v>
      </c>
      <c r="C759" s="183" t="s">
        <v>2936</v>
      </c>
      <c r="D759" s="202" t="s">
        <v>2777</v>
      </c>
      <c r="E759" s="183" t="s">
        <v>1464</v>
      </c>
      <c r="F759" s="186"/>
      <c r="G759" s="187" t="s">
        <v>1519</v>
      </c>
    </row>
    <row r="760" spans="1:7" ht="56.25" x14ac:dyDescent="0.25">
      <c r="A760" s="200">
        <v>755</v>
      </c>
      <c r="B760" s="183" t="e">
        <f>DEEMSuite1&amp;" CRAC Gallery"</f>
        <v>#N/A</v>
      </c>
      <c r="C760" s="183" t="s">
        <v>2778</v>
      </c>
      <c r="D760" s="186" t="str">
        <f>"Add readings from previous 2 steps:  __________ kW and compare to step " &amp; A377 &amp; ":________. If the combined load on the paired PDUs has changed by more than 10 kW stop and inform the MOP facilitator."</f>
        <v>Add readings from previous 2 steps:  __________ kW and compare to step 372:________. If the combined load on the paired PDUs has changed by more than 10 kW stop and inform the MOP facilitator.</v>
      </c>
      <c r="E760" s="183" t="s">
        <v>1464</v>
      </c>
      <c r="F760" s="186"/>
      <c r="G760" s="187" t="s">
        <v>1519</v>
      </c>
    </row>
    <row r="761" spans="1:7" ht="37.5" x14ac:dyDescent="0.25">
      <c r="A761" s="200">
        <v>756</v>
      </c>
      <c r="B761" s="183" t="e">
        <f>DEEMSuite1&amp;" CRAC Gallery"</f>
        <v>#N/A</v>
      </c>
      <c r="C761" s="183" t="s">
        <v>2779</v>
      </c>
      <c r="D761" s="202" t="s">
        <v>2780</v>
      </c>
      <c r="E761" s="183" t="s">
        <v>1464</v>
      </c>
      <c r="F761" s="186"/>
      <c r="G761" s="187" t="s">
        <v>1519</v>
      </c>
    </row>
    <row r="762" spans="1:7" ht="37.5" x14ac:dyDescent="0.25">
      <c r="A762" s="200">
        <v>757</v>
      </c>
      <c r="B762" s="183" t="e">
        <f>DEEMSuite1&amp;" CRAC Gallery"</f>
        <v>#N/A</v>
      </c>
      <c r="C762" s="183" t="s">
        <v>2937</v>
      </c>
      <c r="D762" s="202" t="s">
        <v>2782</v>
      </c>
      <c r="E762" s="183" t="s">
        <v>1464</v>
      </c>
      <c r="F762" s="186"/>
      <c r="G762" s="187" t="s">
        <v>1519</v>
      </c>
    </row>
    <row r="763" spans="1:7" ht="56.25" x14ac:dyDescent="0.25">
      <c r="A763" s="200">
        <v>758</v>
      </c>
      <c r="B763" s="183" t="e">
        <f>DEEMSuite1&amp;" CRAC Gallery"</f>
        <v>#N/A</v>
      </c>
      <c r="C763" s="183" t="s">
        <v>2783</v>
      </c>
      <c r="D763" s="186" t="str">
        <f>"Add readings from previous 2 steps:  __________ kW and compare to step " &amp; A394 &amp; ":________. If the combined load on the paired PDUs has changed by more than 10 kW stop and inform the MOP facilitator."</f>
        <v>Add readings from previous 2 steps:  __________ kW and compare to step 389:________. If the combined load on the paired PDUs has changed by more than 10 kW stop and inform the MOP facilitator.</v>
      </c>
      <c r="E763" s="183" t="s">
        <v>1464</v>
      </c>
      <c r="F763" s="186"/>
      <c r="G763" s="187" t="s">
        <v>1519</v>
      </c>
    </row>
    <row r="764" spans="1:7" x14ac:dyDescent="0.25">
      <c r="A764" s="200">
        <v>759</v>
      </c>
      <c r="B764" s="756" t="s">
        <v>3185</v>
      </c>
      <c r="C764" s="757"/>
      <c r="D764" s="757"/>
      <c r="E764" s="757"/>
      <c r="F764" s="757"/>
      <c r="G764" s="758"/>
    </row>
    <row r="765" spans="1:7" ht="37.5" x14ac:dyDescent="0.25">
      <c r="A765" s="200">
        <v>760</v>
      </c>
      <c r="B765" s="183" t="e">
        <f>DEEMSuite1&amp;" Electrical Room B"</f>
        <v>#N/A</v>
      </c>
      <c r="C765" s="183" t="s">
        <v>2729</v>
      </c>
      <c r="D765" s="186" t="s">
        <v>3186</v>
      </c>
      <c r="E765" s="183" t="s">
        <v>1464</v>
      </c>
      <c r="F765" s="186"/>
      <c r="G765" s="187" t="s">
        <v>1519</v>
      </c>
    </row>
    <row r="766" spans="1:7" ht="37.5" x14ac:dyDescent="0.25">
      <c r="A766" s="200">
        <v>761</v>
      </c>
      <c r="B766" s="183" t="e">
        <f>DEEMSuite1&amp;" Electrical Room B"</f>
        <v>#N/A</v>
      </c>
      <c r="C766" s="183" t="s">
        <v>2708</v>
      </c>
      <c r="D766" s="187" t="s">
        <v>2709</v>
      </c>
      <c r="E766" s="183" t="s">
        <v>1464</v>
      </c>
      <c r="F766" s="186"/>
      <c r="G766" s="187" t="s">
        <v>1519</v>
      </c>
    </row>
    <row r="767" spans="1:7" ht="37.5" x14ac:dyDescent="0.25">
      <c r="A767" s="200">
        <v>762</v>
      </c>
      <c r="B767" s="183" t="e">
        <f>DEEMSuite1&amp;" Electrical Room B"</f>
        <v>#N/A</v>
      </c>
      <c r="C767" s="183" t="s">
        <v>2708</v>
      </c>
      <c r="D767" s="186" t="s">
        <v>2120</v>
      </c>
      <c r="E767" s="183" t="s">
        <v>1464</v>
      </c>
      <c r="F767" s="186"/>
      <c r="G767" s="187" t="s">
        <v>1519</v>
      </c>
    </row>
    <row r="768" spans="1:7" ht="37.5" x14ac:dyDescent="0.25">
      <c r="A768" s="200">
        <v>763</v>
      </c>
      <c r="B768" s="183" t="e">
        <f>DEEMSuite1&amp;" Electrical Room B"</f>
        <v>#N/A</v>
      </c>
      <c r="C768" s="183" t="s">
        <v>2708</v>
      </c>
      <c r="D768" s="187" t="s">
        <v>2710</v>
      </c>
      <c r="E768" s="183" t="s">
        <v>1464</v>
      </c>
      <c r="F768" s="186"/>
      <c r="G768" s="187" t="s">
        <v>1519</v>
      </c>
    </row>
    <row r="769" spans="1:7" ht="37.5" x14ac:dyDescent="0.25">
      <c r="A769" s="200">
        <v>764</v>
      </c>
      <c r="B769" s="183" t="e">
        <f>DEEMSuite1&amp;" Electrical Room B"</f>
        <v>#N/A</v>
      </c>
      <c r="C769" s="183" t="s">
        <v>2708</v>
      </c>
      <c r="D769" s="186" t="s">
        <v>3187</v>
      </c>
      <c r="E769" s="183" t="s">
        <v>1464</v>
      </c>
      <c r="F769" s="186"/>
      <c r="G769" s="187" t="s">
        <v>1519</v>
      </c>
    </row>
    <row r="770" spans="1:7" ht="37.5" x14ac:dyDescent="0.25">
      <c r="A770" s="200">
        <v>765</v>
      </c>
      <c r="B770" s="183" t="e">
        <f>DEEMSuite1&amp;" Electrical Room B"</f>
        <v>#N/A</v>
      </c>
      <c r="C770" s="183" t="s">
        <v>2708</v>
      </c>
      <c r="D770" s="203" t="s">
        <v>2721</v>
      </c>
      <c r="E770" s="183" t="s">
        <v>1464</v>
      </c>
      <c r="F770" s="186"/>
      <c r="G770" s="187" t="s">
        <v>1519</v>
      </c>
    </row>
    <row r="771" spans="1:7" ht="56.25" x14ac:dyDescent="0.25">
      <c r="A771" s="200">
        <v>766</v>
      </c>
      <c r="B771" s="183" t="e">
        <f>DEEMSuite1&amp;" Electrical Room B"</f>
        <v>#N/A</v>
      </c>
      <c r="C771" s="183" t="s">
        <v>2708</v>
      </c>
      <c r="D771" s="187" t="s">
        <v>2722</v>
      </c>
      <c r="E771" s="183" t="s">
        <v>1464</v>
      </c>
      <c r="F771" s="186"/>
      <c r="G771" s="187" t="s">
        <v>1519</v>
      </c>
    </row>
    <row r="772" spans="1:7" ht="56.25" x14ac:dyDescent="0.25">
      <c r="A772" s="200">
        <v>767</v>
      </c>
      <c r="B772" s="183" t="e">
        <f>DEEMSuite1&amp;" Electrical Room B"</f>
        <v>#N/A</v>
      </c>
      <c r="C772" s="183" t="s">
        <v>2708</v>
      </c>
      <c r="D772" s="204" t="s">
        <v>2723</v>
      </c>
      <c r="E772" s="183" t="s">
        <v>1464</v>
      </c>
      <c r="F772" s="186"/>
      <c r="G772" s="187" t="s">
        <v>1519</v>
      </c>
    </row>
    <row r="773" spans="1:7" ht="37.5" x14ac:dyDescent="0.25">
      <c r="A773" s="200">
        <v>768</v>
      </c>
      <c r="B773" s="183" t="e">
        <f>DEEMSuite1&amp;" Electrical Room B"</f>
        <v>#N/A</v>
      </c>
      <c r="C773" s="183" t="s">
        <v>2708</v>
      </c>
      <c r="D773" s="187" t="s">
        <v>2724</v>
      </c>
      <c r="E773" s="183" t="s">
        <v>1464</v>
      </c>
      <c r="F773" s="186"/>
      <c r="G773" s="187" t="s">
        <v>1519</v>
      </c>
    </row>
    <row r="774" spans="1:7" ht="37.5" x14ac:dyDescent="0.25">
      <c r="A774" s="200">
        <v>769</v>
      </c>
      <c r="B774" s="183" t="e">
        <f>DEEMSuite1&amp;" Electrical Room B"</f>
        <v>#N/A</v>
      </c>
      <c r="C774" s="183" t="s">
        <v>2708</v>
      </c>
      <c r="D774" s="186" t="s">
        <v>3188</v>
      </c>
      <c r="E774" s="183" t="s">
        <v>1464</v>
      </c>
      <c r="F774" s="186"/>
      <c r="G774" s="187" t="s">
        <v>1519</v>
      </c>
    </row>
    <row r="775" spans="1:7" ht="37.5" x14ac:dyDescent="0.25">
      <c r="A775" s="200">
        <v>770</v>
      </c>
      <c r="B775" s="183" t="e">
        <f>DEEMSuite1&amp;" Electrical Room B"</f>
        <v>#N/A</v>
      </c>
      <c r="C775" s="183" t="s">
        <v>2708</v>
      </c>
      <c r="D775" s="186" t="s">
        <v>3189</v>
      </c>
      <c r="E775" s="183" t="s">
        <v>1464</v>
      </c>
      <c r="F775" s="186"/>
      <c r="G775" s="187" t="s">
        <v>1519</v>
      </c>
    </row>
    <row r="776" spans="1:7" ht="37.5" x14ac:dyDescent="0.25">
      <c r="A776" s="200">
        <v>771</v>
      </c>
      <c r="B776" s="183" t="e">
        <f>DEEMSuite1&amp;" Electrical Room A"</f>
        <v>#N/A</v>
      </c>
      <c r="C776" s="201" t="s">
        <v>1470</v>
      </c>
      <c r="D776" s="186" t="str">
        <f>"NOTATE the kW reading on UPA:  ___________and compare to step " &amp; A739 &amp; ":______"</f>
        <v>NOTATE the kW reading on UPA:  ___________and compare to step 734:______</v>
      </c>
      <c r="E776" s="183" t="s">
        <v>1464</v>
      </c>
      <c r="F776" s="186"/>
      <c r="G776" s="187" t="s">
        <v>1519</v>
      </c>
    </row>
    <row r="777" spans="1:7" ht="37.5" x14ac:dyDescent="0.25">
      <c r="A777" s="200">
        <v>772</v>
      </c>
      <c r="B777" s="183" t="e">
        <f>DEEMSuite1&amp;" Electrical Room B"</f>
        <v>#N/A</v>
      </c>
      <c r="C777" s="201" t="s">
        <v>1476</v>
      </c>
      <c r="D777" s="186" t="str">
        <f>"NOTATE the kW reading on UPB:  ___________and compare to step " &amp; A740 &amp; ":______"</f>
        <v>NOTATE the kW reading on UPB:  ___________and compare to step 735:______</v>
      </c>
      <c r="E777" s="183" t="s">
        <v>1464</v>
      </c>
      <c r="F777" s="186"/>
      <c r="G777" s="187" t="s">
        <v>1519</v>
      </c>
    </row>
    <row r="778" spans="1:7" ht="37.5" x14ac:dyDescent="0.25">
      <c r="A778" s="200">
        <v>773</v>
      </c>
      <c r="B778" s="183" t="e">
        <f>DEEMSuite1&amp;" Electrical Rooms"</f>
        <v>#N/A</v>
      </c>
      <c r="C778" s="201" t="s">
        <v>2694</v>
      </c>
      <c r="D778" s="186" t="s">
        <v>2728</v>
      </c>
      <c r="E778" s="183" t="s">
        <v>1464</v>
      </c>
      <c r="F778" s="186"/>
      <c r="G778" s="187" t="s">
        <v>1519</v>
      </c>
    </row>
    <row r="779" spans="1:7" ht="37.5" x14ac:dyDescent="0.25">
      <c r="A779" s="200">
        <v>774</v>
      </c>
      <c r="B779" s="183" t="e">
        <f>DEEMSuite1&amp;" Electrical Room B"</f>
        <v>#N/A</v>
      </c>
      <c r="C779" s="183" t="s">
        <v>2729</v>
      </c>
      <c r="D779" s="186" t="s">
        <v>3190</v>
      </c>
      <c r="E779" s="183" t="s">
        <v>1464</v>
      </c>
      <c r="F779" s="186"/>
      <c r="G779" s="187" t="s">
        <v>1519</v>
      </c>
    </row>
    <row r="780" spans="1:7" ht="37.5" x14ac:dyDescent="0.25">
      <c r="A780" s="200">
        <v>775</v>
      </c>
      <c r="B780" s="183" t="e">
        <f>DEEMSuite1&amp;" Electrical Room B"</f>
        <v>#N/A</v>
      </c>
      <c r="C780" s="183" t="s">
        <v>2729</v>
      </c>
      <c r="D780" s="186" t="s">
        <v>3191</v>
      </c>
      <c r="E780" s="183" t="s">
        <v>1464</v>
      </c>
      <c r="F780" s="186"/>
      <c r="G780" s="187" t="s">
        <v>1519</v>
      </c>
    </row>
    <row r="781" spans="1:7" ht="37.5" x14ac:dyDescent="0.25">
      <c r="A781" s="200">
        <v>776</v>
      </c>
      <c r="B781" s="183" t="e">
        <f>DEEMSuite1&amp;" Electrical Room B"</f>
        <v>#N/A</v>
      </c>
      <c r="C781" s="201" t="s">
        <v>1476</v>
      </c>
      <c r="D781" s="186" t="s">
        <v>2733</v>
      </c>
      <c r="E781" s="183" t="s">
        <v>1464</v>
      </c>
      <c r="F781" s="186"/>
      <c r="G781" s="187" t="s">
        <v>1519</v>
      </c>
    </row>
    <row r="782" spans="1:7" ht="37.5" x14ac:dyDescent="0.25">
      <c r="A782" s="200">
        <v>777</v>
      </c>
      <c r="B782" s="183" t="e">
        <f>DEEMSuite1&amp;" Electrical Room B"</f>
        <v>#N/A</v>
      </c>
      <c r="C782" s="201" t="s">
        <v>1476</v>
      </c>
      <c r="D782" s="186" t="s">
        <v>2734</v>
      </c>
      <c r="E782" s="183" t="s">
        <v>1464</v>
      </c>
      <c r="F782" s="186"/>
      <c r="G782" s="187" t="s">
        <v>1519</v>
      </c>
    </row>
    <row r="783" spans="1:7" ht="37.5" x14ac:dyDescent="0.25">
      <c r="A783" s="200">
        <v>778</v>
      </c>
      <c r="B783" s="183" t="e">
        <f>DEEMSuite1&amp;" Electrical Room B"</f>
        <v>#N/A</v>
      </c>
      <c r="C783" s="201" t="s">
        <v>1476</v>
      </c>
      <c r="D783" s="186" t="s">
        <v>2735</v>
      </c>
      <c r="E783" s="183" t="s">
        <v>1464</v>
      </c>
      <c r="F783" s="186"/>
      <c r="G783" s="187" t="s">
        <v>1519</v>
      </c>
    </row>
    <row r="784" spans="1:7" ht="37.5" x14ac:dyDescent="0.25">
      <c r="A784" s="200">
        <v>779</v>
      </c>
      <c r="B784" s="183" t="e">
        <f>DEEMSuite1 &amp; " Utility Input Room"</f>
        <v>#N/A</v>
      </c>
      <c r="C784" s="183" t="s">
        <v>598</v>
      </c>
      <c r="D784" s="186" t="s">
        <v>2736</v>
      </c>
      <c r="E784" s="183" t="s">
        <v>1464</v>
      </c>
      <c r="F784" s="186"/>
      <c r="G784" s="187" t="s">
        <v>1519</v>
      </c>
    </row>
    <row r="785" spans="1:7" ht="37.5" x14ac:dyDescent="0.25">
      <c r="A785" s="200">
        <v>780</v>
      </c>
      <c r="B785" s="183" t="e">
        <f>DEEMSuite1&amp;" Electrical Room A"</f>
        <v>#N/A</v>
      </c>
      <c r="C785" s="183" t="s">
        <v>2737</v>
      </c>
      <c r="D785" s="186" t="s">
        <v>2738</v>
      </c>
      <c r="E785" s="183" t="s">
        <v>1464</v>
      </c>
      <c r="F785" s="186"/>
      <c r="G785" s="187" t="s">
        <v>1519</v>
      </c>
    </row>
    <row r="786" spans="1:7" ht="37.5" x14ac:dyDescent="0.25">
      <c r="A786" s="200">
        <v>781</v>
      </c>
      <c r="B786" s="183" t="e">
        <f>DEEMSuite1&amp;" Electrical Room A"</f>
        <v>#N/A</v>
      </c>
      <c r="C786" s="183" t="s">
        <v>2737</v>
      </c>
      <c r="D786" s="186" t="s">
        <v>2739</v>
      </c>
      <c r="E786" s="183" t="s">
        <v>1464</v>
      </c>
      <c r="F786" s="186"/>
      <c r="G786" s="187" t="s">
        <v>1519</v>
      </c>
    </row>
    <row r="787" spans="1:7" ht="37.5" x14ac:dyDescent="0.25">
      <c r="A787" s="200">
        <v>782</v>
      </c>
      <c r="B787" s="183" t="e">
        <f>DEEMSuite1&amp;" Electrical Room A"</f>
        <v>#N/A</v>
      </c>
      <c r="C787" s="183" t="s">
        <v>1470</v>
      </c>
      <c r="D787" s="186" t="s">
        <v>2740</v>
      </c>
      <c r="E787" s="183" t="s">
        <v>1464</v>
      </c>
      <c r="F787" s="186"/>
      <c r="G787" s="187" t="s">
        <v>1519</v>
      </c>
    </row>
    <row r="788" spans="1:7" ht="37.5" x14ac:dyDescent="0.25">
      <c r="A788" s="200">
        <v>783</v>
      </c>
      <c r="B788" s="183" t="e">
        <f>DEEMSuite1&amp;" Electrical Room A"</f>
        <v>#N/A</v>
      </c>
      <c r="C788" s="183" t="s">
        <v>1470</v>
      </c>
      <c r="D788" s="186" t="s">
        <v>2741</v>
      </c>
      <c r="E788" s="183" t="s">
        <v>1464</v>
      </c>
      <c r="F788" s="186"/>
      <c r="G788" s="187" t="s">
        <v>1519</v>
      </c>
    </row>
    <row r="789" spans="1:7" ht="37.5" x14ac:dyDescent="0.25">
      <c r="A789" s="200">
        <v>784</v>
      </c>
      <c r="B789" s="183" t="e">
        <f>DEEMSuite1&amp;" Electrical Room A"</f>
        <v>#N/A</v>
      </c>
      <c r="C789" s="183" t="s">
        <v>1470</v>
      </c>
      <c r="D789" s="186" t="s">
        <v>2742</v>
      </c>
      <c r="E789" s="183" t="s">
        <v>1464</v>
      </c>
      <c r="F789" s="186"/>
      <c r="G789" s="187" t="s">
        <v>1519</v>
      </c>
    </row>
    <row r="790" spans="1:7" ht="37.5" x14ac:dyDescent="0.25">
      <c r="A790" s="200">
        <v>785</v>
      </c>
      <c r="B790" s="183" t="e">
        <f>DEEMSuite1&amp;" Electrical Rooms"</f>
        <v>#N/A</v>
      </c>
      <c r="C790" s="201" t="s">
        <v>2084</v>
      </c>
      <c r="D790" s="187" t="s">
        <v>2743</v>
      </c>
      <c r="E790" s="183" t="s">
        <v>1464</v>
      </c>
      <c r="F790" s="186"/>
      <c r="G790" s="187" t="s">
        <v>1519</v>
      </c>
    </row>
    <row r="791" spans="1:7" ht="37.5" x14ac:dyDescent="0.25">
      <c r="A791" s="200">
        <v>786</v>
      </c>
      <c r="B791" s="183" t="e">
        <f>DEEMSuite1&amp;" CRAC Gallery"</f>
        <v>#N/A</v>
      </c>
      <c r="C791" s="183" t="s">
        <v>2056</v>
      </c>
      <c r="D791" s="187" t="s">
        <v>2744</v>
      </c>
      <c r="E791" s="183" t="s">
        <v>1464</v>
      </c>
      <c r="F791" s="186"/>
      <c r="G791" s="187" t="s">
        <v>1519</v>
      </c>
    </row>
    <row r="792" spans="1:7" ht="37.5" x14ac:dyDescent="0.25">
      <c r="A792" s="200">
        <v>787</v>
      </c>
      <c r="B792" s="183" t="e">
        <f>DEEMSuite1&amp;" Suite"</f>
        <v>#N/A</v>
      </c>
      <c r="C792" s="183" t="s">
        <v>2058</v>
      </c>
      <c r="D792" s="187" t="s">
        <v>3192</v>
      </c>
      <c r="E792" s="183" t="s">
        <v>1464</v>
      </c>
      <c r="F792" s="186"/>
      <c r="G792" s="187" t="s">
        <v>1519</v>
      </c>
    </row>
    <row r="793" spans="1:7" ht="37.5" x14ac:dyDescent="0.25">
      <c r="A793" s="200">
        <v>788</v>
      </c>
      <c r="B793" s="183" t="s">
        <v>1462</v>
      </c>
      <c r="C793" s="183" t="s">
        <v>84</v>
      </c>
      <c r="D793" s="187" t="s">
        <v>2119</v>
      </c>
      <c r="E793" s="183" t="s">
        <v>1464</v>
      </c>
      <c r="F793" s="186"/>
      <c r="G793" s="187" t="s">
        <v>1519</v>
      </c>
    </row>
    <row r="794" spans="1:7" ht="37.5" x14ac:dyDescent="0.25">
      <c r="A794" s="200">
        <v>789</v>
      </c>
      <c r="B794" s="183" t="s">
        <v>724</v>
      </c>
      <c r="C794" s="183" t="s">
        <v>2706</v>
      </c>
      <c r="D794" s="187" t="s">
        <v>3193</v>
      </c>
      <c r="E794" s="183" t="s">
        <v>1464</v>
      </c>
      <c r="F794" s="186"/>
      <c r="G794" s="187" t="s">
        <v>1519</v>
      </c>
    </row>
    <row r="795" spans="1:7" ht="37.5" x14ac:dyDescent="0.25">
      <c r="A795" s="200">
        <v>790</v>
      </c>
      <c r="B795" s="183" t="s">
        <v>1462</v>
      </c>
      <c r="C795" s="183" t="s">
        <v>84</v>
      </c>
      <c r="D795" s="184" t="s">
        <v>2022</v>
      </c>
      <c r="E795" s="183" t="s">
        <v>1464</v>
      </c>
      <c r="F795" s="186"/>
      <c r="G795" s="187" t="s">
        <v>1519</v>
      </c>
    </row>
    <row r="796" spans="1:7" ht="37.5" x14ac:dyDescent="0.25">
      <c r="A796" s="200">
        <v>791</v>
      </c>
      <c r="B796" s="183" t="s">
        <v>1462</v>
      </c>
      <c r="C796" s="183" t="s">
        <v>84</v>
      </c>
      <c r="D796" s="184" t="s">
        <v>2167</v>
      </c>
      <c r="E796" s="183" t="s">
        <v>1464</v>
      </c>
      <c r="F796" s="186"/>
      <c r="G796" s="187" t="s">
        <v>1519</v>
      </c>
    </row>
    <row r="797" spans="1:7" ht="56.25" x14ac:dyDescent="0.25">
      <c r="A797" s="200">
        <v>792</v>
      </c>
      <c r="B797" s="183" t="s">
        <v>1462</v>
      </c>
      <c r="C797" s="183" t="s">
        <v>84</v>
      </c>
      <c r="D797" s="186" t="s">
        <v>2024</v>
      </c>
      <c r="E797" s="183" t="s">
        <v>1464</v>
      </c>
      <c r="F797" s="186"/>
      <c r="G797" s="187" t="s">
        <v>1519</v>
      </c>
    </row>
    <row r="798" spans="1:7" ht="37.5" x14ac:dyDescent="0.25">
      <c r="A798" s="200">
        <v>793</v>
      </c>
      <c r="B798" s="183" t="s">
        <v>1462</v>
      </c>
      <c r="C798" s="183" t="s">
        <v>84</v>
      </c>
      <c r="D798" s="187" t="s">
        <v>2025</v>
      </c>
      <c r="E798" s="183" t="s">
        <v>1464</v>
      </c>
      <c r="F798" s="186"/>
      <c r="G798" s="187" t="s">
        <v>1519</v>
      </c>
    </row>
    <row r="799" spans="1:7" ht="56.25" x14ac:dyDescent="0.3">
      <c r="A799" s="200">
        <v>794</v>
      </c>
      <c r="B799" s="183" t="s">
        <v>1462</v>
      </c>
      <c r="C799" s="183" t="s">
        <v>84</v>
      </c>
      <c r="D799" s="196" t="s">
        <v>3194</v>
      </c>
      <c r="E799" s="183" t="s">
        <v>1464</v>
      </c>
      <c r="F799" s="186"/>
      <c r="G799" s="187" t="s">
        <v>1519</v>
      </c>
    </row>
    <row r="800" spans="1:7" ht="37.5" x14ac:dyDescent="0.25">
      <c r="A800" s="200">
        <v>795</v>
      </c>
      <c r="B800" s="183" t="s">
        <v>1462</v>
      </c>
      <c r="C800" s="183" t="s">
        <v>84</v>
      </c>
      <c r="D800" s="184" t="s">
        <v>3195</v>
      </c>
      <c r="E800" s="183" t="s">
        <v>1464</v>
      </c>
      <c r="F800" s="186"/>
      <c r="G800" s="187" t="s">
        <v>1519</v>
      </c>
    </row>
    <row r="801" spans="1:7" ht="37.5" x14ac:dyDescent="0.25">
      <c r="A801" s="200">
        <v>796</v>
      </c>
      <c r="B801" s="183" t="e">
        <f>DEEMSuite1&amp;" Electrical Room B"</f>
        <v>#N/A</v>
      </c>
      <c r="C801" s="183" t="s">
        <v>2729</v>
      </c>
      <c r="D801" s="186" t="s">
        <v>3196</v>
      </c>
      <c r="E801" s="183" t="s">
        <v>1464</v>
      </c>
      <c r="F801" s="186"/>
      <c r="G801" s="187" t="s">
        <v>1519</v>
      </c>
    </row>
    <row r="802" spans="1:7" x14ac:dyDescent="0.25">
      <c r="A802" s="200">
        <v>797</v>
      </c>
      <c r="B802" s="712" t="str">
        <f>"PERFORM PRE-WORK NOTIFICATION AND CALLOUT"</f>
        <v>PERFORM PRE-WORK NOTIFICATION AND CALLOUT</v>
      </c>
      <c r="C802" s="712"/>
      <c r="D802" s="712"/>
      <c r="E802" s="712"/>
      <c r="F802" s="712"/>
      <c r="G802" s="712"/>
    </row>
    <row r="803" spans="1:7" ht="37.5" x14ac:dyDescent="0.25">
      <c r="A803" s="200">
        <v>798</v>
      </c>
      <c r="B803" s="183" t="s">
        <v>1462</v>
      </c>
      <c r="C803" s="183" t="s">
        <v>84</v>
      </c>
      <c r="D803" s="187" t="s">
        <v>2441</v>
      </c>
      <c r="E803" s="183" t="s">
        <v>1464</v>
      </c>
      <c r="F803" s="193" t="s">
        <v>1519</v>
      </c>
      <c r="G803" s="187" t="s">
        <v>1519</v>
      </c>
    </row>
    <row r="804" spans="1:7" ht="56.25" x14ac:dyDescent="0.3">
      <c r="A804" s="200">
        <v>799</v>
      </c>
      <c r="B804" s="183" t="s">
        <v>1462</v>
      </c>
      <c r="C804" s="183" t="s">
        <v>84</v>
      </c>
      <c r="D804" s="196" t="s">
        <v>2683</v>
      </c>
      <c r="E804" s="183" t="s">
        <v>1464</v>
      </c>
      <c r="F804" s="193"/>
      <c r="G804" s="187" t="s">
        <v>1519</v>
      </c>
    </row>
    <row r="805" spans="1:7" ht="37.5" x14ac:dyDescent="0.25">
      <c r="A805" s="200">
        <v>800</v>
      </c>
      <c r="B805" s="183" t="s">
        <v>1462</v>
      </c>
      <c r="C805" s="183" t="s">
        <v>84</v>
      </c>
      <c r="D805" s="187" t="s">
        <v>2669</v>
      </c>
      <c r="E805" s="183" t="s">
        <v>1464</v>
      </c>
      <c r="F805" s="193" t="s">
        <v>1519</v>
      </c>
      <c r="G805" s="187" t="s">
        <v>1519</v>
      </c>
    </row>
    <row r="806" spans="1:7" ht="37.5" x14ac:dyDescent="0.25">
      <c r="A806" s="200">
        <v>801</v>
      </c>
      <c r="B806" s="183" t="s">
        <v>1462</v>
      </c>
      <c r="C806" s="183" t="s">
        <v>84</v>
      </c>
      <c r="D806" s="186" t="s">
        <v>2025</v>
      </c>
      <c r="E806" s="183" t="s">
        <v>1464</v>
      </c>
      <c r="F806" s="193"/>
      <c r="G806" s="187" t="s">
        <v>1519</v>
      </c>
    </row>
    <row r="807" spans="1:7" ht="93.75" x14ac:dyDescent="0.25">
      <c r="A807" s="200">
        <v>802</v>
      </c>
      <c r="B807" s="183" t="s">
        <v>1462</v>
      </c>
      <c r="C807" s="183" t="s">
        <v>84</v>
      </c>
      <c r="D807" s="184" t="s">
        <v>2449</v>
      </c>
      <c r="E807" s="183" t="s">
        <v>1464</v>
      </c>
      <c r="F807" s="193" t="s">
        <v>1519</v>
      </c>
      <c r="G807" s="187" t="s">
        <v>1519</v>
      </c>
    </row>
    <row r="808" spans="1:7" x14ac:dyDescent="0.25">
      <c r="A808" s="200">
        <v>803</v>
      </c>
      <c r="B808" s="756" t="s">
        <v>2684</v>
      </c>
      <c r="C808" s="757"/>
      <c r="D808" s="726"/>
      <c r="E808" s="757"/>
      <c r="F808" s="757"/>
      <c r="G808" s="758"/>
    </row>
    <row r="809" spans="1:7" ht="37.5" x14ac:dyDescent="0.25">
      <c r="A809" s="200">
        <v>804</v>
      </c>
      <c r="B809" s="183" t="e">
        <f>DEEMSuite1&amp;" CRAC Gallery"</f>
        <v>#N/A</v>
      </c>
      <c r="C809" s="201" t="s">
        <v>2685</v>
      </c>
      <c r="D809" s="186" t="s">
        <v>2686</v>
      </c>
      <c r="E809" s="183" t="s">
        <v>1464</v>
      </c>
      <c r="F809" s="186"/>
      <c r="G809" s="187" t="s">
        <v>1519</v>
      </c>
    </row>
    <row r="810" spans="1:7" ht="37.5" x14ac:dyDescent="0.25">
      <c r="A810" s="200">
        <v>805</v>
      </c>
      <c r="B810" s="183" t="e">
        <f>DEEMSuite1&amp;" Suite"</f>
        <v>#N/A</v>
      </c>
      <c r="C810" s="201" t="s">
        <v>2687</v>
      </c>
      <c r="D810" s="186" t="s">
        <v>2688</v>
      </c>
      <c r="E810" s="183" t="s">
        <v>1464</v>
      </c>
      <c r="F810" s="186"/>
      <c r="G810" s="187" t="s">
        <v>1519</v>
      </c>
    </row>
    <row r="811" spans="1:7" ht="37.5" x14ac:dyDescent="0.25">
      <c r="A811" s="200">
        <v>806</v>
      </c>
      <c r="B811" s="183" t="e">
        <f>DEEMSuite1&amp;" Suite"</f>
        <v>#N/A</v>
      </c>
      <c r="C811" s="201" t="s">
        <v>2687</v>
      </c>
      <c r="D811" s="186" t="s">
        <v>2689</v>
      </c>
      <c r="E811" s="183" t="s">
        <v>1464</v>
      </c>
      <c r="F811" s="186"/>
      <c r="G811" s="187" t="s">
        <v>1519</v>
      </c>
    </row>
    <row r="812" spans="1:7" ht="37.5" x14ac:dyDescent="0.25">
      <c r="A812" s="200">
        <v>807</v>
      </c>
      <c r="B812" s="183" t="e">
        <f>DEEMSuite1&amp;" Suite"</f>
        <v>#N/A</v>
      </c>
      <c r="C812" s="201" t="s">
        <v>2687</v>
      </c>
      <c r="D812" s="186" t="s">
        <v>2690</v>
      </c>
      <c r="E812" s="183" t="s">
        <v>1464</v>
      </c>
      <c r="F812" s="186"/>
      <c r="G812" s="187" t="s">
        <v>1519</v>
      </c>
    </row>
    <row r="813" spans="1:7" ht="37.5" x14ac:dyDescent="0.25">
      <c r="A813" s="200">
        <v>808</v>
      </c>
      <c r="B813" s="183" t="e">
        <f>DEEMSuite1&amp;" Suite"</f>
        <v>#N/A</v>
      </c>
      <c r="C813" s="201" t="s">
        <v>2687</v>
      </c>
      <c r="D813" s="186" t="s">
        <v>2689</v>
      </c>
      <c r="E813" s="183" t="s">
        <v>1464</v>
      </c>
      <c r="F813" s="186"/>
      <c r="G813" s="187" t="s">
        <v>1519</v>
      </c>
    </row>
    <row r="814" spans="1:7" ht="37.5" x14ac:dyDescent="0.25">
      <c r="A814" s="200">
        <v>809</v>
      </c>
      <c r="B814" s="183" t="e">
        <f>DEEMSuite1&amp;" CRAC Gallery"</f>
        <v>#N/A</v>
      </c>
      <c r="C814" s="201" t="s">
        <v>2056</v>
      </c>
      <c r="D814" s="186" t="s">
        <v>2691</v>
      </c>
      <c r="E814" s="183" t="s">
        <v>1464</v>
      </c>
      <c r="F814" s="186"/>
      <c r="G814" s="187" t="s">
        <v>1519</v>
      </c>
    </row>
    <row r="815" spans="1:7" ht="37.5" x14ac:dyDescent="0.25">
      <c r="A815" s="200">
        <v>810</v>
      </c>
      <c r="B815" s="183" t="e">
        <f>DEEMSuite1&amp;" Electrical Room A"</f>
        <v>#N/A</v>
      </c>
      <c r="C815" s="201" t="s">
        <v>1470</v>
      </c>
      <c r="D815" s="202" t="s">
        <v>2692</v>
      </c>
      <c r="E815" s="183" t="s">
        <v>1464</v>
      </c>
      <c r="F815" s="186"/>
      <c r="G815" s="187" t="s">
        <v>1519</v>
      </c>
    </row>
    <row r="816" spans="1:7" ht="37.5" x14ac:dyDescent="0.25">
      <c r="A816" s="200">
        <v>811</v>
      </c>
      <c r="B816" s="183" t="e">
        <f>DEEMSuite1&amp;" Electrical Room B"</f>
        <v>#N/A</v>
      </c>
      <c r="C816" s="201" t="s">
        <v>1476</v>
      </c>
      <c r="D816" s="202" t="s">
        <v>2693</v>
      </c>
      <c r="E816" s="183" t="s">
        <v>1464</v>
      </c>
      <c r="F816" s="186"/>
      <c r="G816" s="187" t="s">
        <v>1519</v>
      </c>
    </row>
    <row r="817" spans="1:7" ht="37.5" x14ac:dyDescent="0.25">
      <c r="A817" s="200">
        <v>812</v>
      </c>
      <c r="B817" s="183" t="e">
        <f>DEEMSuite1&amp;" Electrical Rooms"</f>
        <v>#N/A</v>
      </c>
      <c r="C817" s="201" t="s">
        <v>2694</v>
      </c>
      <c r="D817" s="186" t="s">
        <v>2695</v>
      </c>
      <c r="E817" s="183" t="s">
        <v>1464</v>
      </c>
      <c r="F817" s="186"/>
      <c r="G817" s="187" t="s">
        <v>1519</v>
      </c>
    </row>
    <row r="818" spans="1:7" ht="37.5" x14ac:dyDescent="0.25">
      <c r="A818" s="200">
        <v>813</v>
      </c>
      <c r="B818" s="183" t="e">
        <f>DEEMSuite1&amp;" Electrical Rooms"</f>
        <v>#N/A</v>
      </c>
      <c r="C818" s="201" t="s">
        <v>2694</v>
      </c>
      <c r="D818" s="186" t="s">
        <v>2696</v>
      </c>
      <c r="E818" s="183" t="s">
        <v>1464</v>
      </c>
      <c r="F818" s="186"/>
      <c r="G818" s="187" t="s">
        <v>1519</v>
      </c>
    </row>
    <row r="819" spans="1:7" ht="56.25" x14ac:dyDescent="0.25">
      <c r="A819" s="200">
        <v>814</v>
      </c>
      <c r="B819" s="183" t="e">
        <f>DEEMSuite1&amp;" Electrical Rooms"</f>
        <v>#N/A</v>
      </c>
      <c r="C819" s="201" t="s">
        <v>2697</v>
      </c>
      <c r="D819" s="186" t="s">
        <v>2698</v>
      </c>
      <c r="E819" s="183" t="s">
        <v>1464</v>
      </c>
      <c r="F819" s="186"/>
      <c r="G819" s="187" t="s">
        <v>1519</v>
      </c>
    </row>
    <row r="820" spans="1:7" ht="37.5" x14ac:dyDescent="0.25">
      <c r="A820" s="200">
        <v>815</v>
      </c>
      <c r="B820" s="183" t="e">
        <f>DEEMSuite1&amp;" Electrical Rooms"</f>
        <v>#N/A</v>
      </c>
      <c r="C820" s="201" t="s">
        <v>2699</v>
      </c>
      <c r="D820" s="186" t="s">
        <v>2700</v>
      </c>
      <c r="E820" s="183" t="s">
        <v>1464</v>
      </c>
      <c r="F820" s="186"/>
      <c r="G820" s="187" t="s">
        <v>1519</v>
      </c>
    </row>
    <row r="821" spans="1:7" ht="37.5" x14ac:dyDescent="0.25">
      <c r="A821" s="200">
        <v>816</v>
      </c>
      <c r="B821" s="183" t="e">
        <f>DEEMSuite1&amp;" Electrical Rooms"</f>
        <v>#N/A</v>
      </c>
      <c r="C821" s="201" t="s">
        <v>2084</v>
      </c>
      <c r="D821" s="187" t="s">
        <v>1613</v>
      </c>
      <c r="E821" s="183" t="s">
        <v>1464</v>
      </c>
      <c r="F821" s="186"/>
      <c r="G821" s="187" t="s">
        <v>1519</v>
      </c>
    </row>
    <row r="822" spans="1:7" ht="37.5" x14ac:dyDescent="0.25">
      <c r="A822" s="200">
        <v>817</v>
      </c>
      <c r="B822" s="183" t="e">
        <f>DEEMSuite1&amp;" Electrical Room A"</f>
        <v>#N/A</v>
      </c>
      <c r="C822" s="201" t="s">
        <v>1466</v>
      </c>
      <c r="D822" s="187" t="s">
        <v>2701</v>
      </c>
      <c r="E822" s="183" t="s">
        <v>1464</v>
      </c>
      <c r="F822" s="186"/>
      <c r="G822" s="187" t="s">
        <v>1519</v>
      </c>
    </row>
    <row r="823" spans="1:7" ht="37.5" x14ac:dyDescent="0.25">
      <c r="A823" s="200">
        <v>818</v>
      </c>
      <c r="B823" s="183" t="e">
        <f>DEEMSuite1&amp;" Electrical Room A"</f>
        <v>#N/A</v>
      </c>
      <c r="C823" s="201" t="s">
        <v>1468</v>
      </c>
      <c r="D823" s="187" t="s">
        <v>2702</v>
      </c>
      <c r="E823" s="183" t="s">
        <v>1464</v>
      </c>
      <c r="F823" s="186"/>
      <c r="G823" s="187" t="s">
        <v>1519</v>
      </c>
    </row>
    <row r="824" spans="1:7" ht="37.5" x14ac:dyDescent="0.25">
      <c r="A824" s="200">
        <v>819</v>
      </c>
      <c r="B824" s="183" t="e">
        <f>DEEMSuite1&amp;" Electrical Room B"</f>
        <v>#N/A</v>
      </c>
      <c r="C824" s="201" t="s">
        <v>1472</v>
      </c>
      <c r="D824" s="187" t="s">
        <v>2703</v>
      </c>
      <c r="E824" s="183" t="s">
        <v>1464</v>
      </c>
      <c r="F824" s="186"/>
      <c r="G824" s="187" t="s">
        <v>1519</v>
      </c>
    </row>
    <row r="825" spans="1:7" ht="37.5" x14ac:dyDescent="0.25">
      <c r="A825" s="200">
        <v>820</v>
      </c>
      <c r="B825" s="183" t="e">
        <f>DEEMSuite1&amp;" Electrical Room B"</f>
        <v>#N/A</v>
      </c>
      <c r="C825" s="201" t="s">
        <v>1474</v>
      </c>
      <c r="D825" s="187" t="s">
        <v>2704</v>
      </c>
      <c r="E825" s="183" t="s">
        <v>1464</v>
      </c>
      <c r="F825" s="186"/>
      <c r="G825" s="187" t="s">
        <v>1519</v>
      </c>
    </row>
    <row r="826" spans="1:7" x14ac:dyDescent="0.25">
      <c r="A826" s="200">
        <v>821</v>
      </c>
      <c r="B826" s="756" t="s">
        <v>3197</v>
      </c>
      <c r="C826" s="757"/>
      <c r="D826" s="759"/>
      <c r="E826" s="757"/>
      <c r="F826" s="757"/>
      <c r="G826" s="758"/>
    </row>
    <row r="827" spans="1:7" ht="37.5" x14ac:dyDescent="0.25">
      <c r="A827" s="200">
        <v>822</v>
      </c>
      <c r="B827" s="183" t="s">
        <v>1462</v>
      </c>
      <c r="C827" s="183" t="s">
        <v>84</v>
      </c>
      <c r="D827" s="187" t="s">
        <v>2119</v>
      </c>
      <c r="E827" s="183" t="s">
        <v>1464</v>
      </c>
      <c r="F827" s="186"/>
      <c r="G827" s="187" t="s">
        <v>1519</v>
      </c>
    </row>
    <row r="828" spans="1:7" ht="37.5" x14ac:dyDescent="0.25">
      <c r="A828" s="200">
        <v>823</v>
      </c>
      <c r="B828" s="183" t="e">
        <f>DEEMSuite1&amp;" Electrical Rooms"</f>
        <v>#N/A</v>
      </c>
      <c r="C828" s="201" t="s">
        <v>2084</v>
      </c>
      <c r="D828" s="187" t="s">
        <v>1613</v>
      </c>
      <c r="E828" s="183" t="s">
        <v>1464</v>
      </c>
      <c r="F828" s="186"/>
      <c r="G828" s="187" t="s">
        <v>1519</v>
      </c>
    </row>
    <row r="829" spans="1:7" ht="37.5" x14ac:dyDescent="0.25">
      <c r="A829" s="200">
        <v>824</v>
      </c>
      <c r="B829" s="183" t="e">
        <f>DEEMSuite1&amp;" Electrical Room A"</f>
        <v>#N/A</v>
      </c>
      <c r="C829" s="201" t="s">
        <v>1470</v>
      </c>
      <c r="D829" s="202" t="s">
        <v>2692</v>
      </c>
      <c r="E829" s="183" t="s">
        <v>1464</v>
      </c>
      <c r="F829" s="186"/>
      <c r="G829" s="187" t="s">
        <v>1519</v>
      </c>
    </row>
    <row r="830" spans="1:7" ht="37.5" x14ac:dyDescent="0.25">
      <c r="A830" s="200">
        <v>825</v>
      </c>
      <c r="B830" s="183" t="e">
        <f>DEEMSuite1&amp;" Electrical Room B"</f>
        <v>#N/A</v>
      </c>
      <c r="C830" s="201" t="s">
        <v>1476</v>
      </c>
      <c r="D830" s="202" t="s">
        <v>2693</v>
      </c>
      <c r="E830" s="183" t="s">
        <v>1464</v>
      </c>
      <c r="F830" s="186"/>
      <c r="G830" s="187" t="s">
        <v>1519</v>
      </c>
    </row>
    <row r="831" spans="1:7" ht="37.5" x14ac:dyDescent="0.25">
      <c r="A831" s="200">
        <v>826</v>
      </c>
      <c r="B831" s="183" t="e">
        <f>DEEMSuite1&amp;" Electrical Room A"</f>
        <v>#N/A</v>
      </c>
      <c r="C831" s="183" t="s">
        <v>3042</v>
      </c>
      <c r="D831" s="187" t="s">
        <v>2709</v>
      </c>
      <c r="E831" s="183" t="s">
        <v>1464</v>
      </c>
      <c r="F831" s="186"/>
      <c r="G831" s="187" t="s">
        <v>1519</v>
      </c>
    </row>
    <row r="832" spans="1:7" ht="37.5" x14ac:dyDescent="0.25">
      <c r="A832" s="200">
        <v>827</v>
      </c>
      <c r="B832" s="183" t="e">
        <f>DEEMSuite1&amp;" Electrical Room A"</f>
        <v>#N/A</v>
      </c>
      <c r="C832" s="183" t="s">
        <v>3042</v>
      </c>
      <c r="D832" s="186" t="s">
        <v>2120</v>
      </c>
      <c r="E832" s="183" t="s">
        <v>1464</v>
      </c>
      <c r="F832" s="186"/>
      <c r="G832" s="187" t="s">
        <v>1519</v>
      </c>
    </row>
    <row r="833" spans="1:7" ht="37.5" x14ac:dyDescent="0.25">
      <c r="A833" s="200">
        <v>828</v>
      </c>
      <c r="B833" s="183" t="e">
        <f>DEEMSuite1&amp;" Electrical Room A"</f>
        <v>#N/A</v>
      </c>
      <c r="C833" s="183" t="s">
        <v>3042</v>
      </c>
      <c r="D833" s="187" t="s">
        <v>2710</v>
      </c>
      <c r="E833" s="183" t="s">
        <v>1464</v>
      </c>
      <c r="F833" s="186"/>
      <c r="G833" s="187" t="s">
        <v>1519</v>
      </c>
    </row>
    <row r="834" spans="1:7" ht="37.5" x14ac:dyDescent="0.25">
      <c r="A834" s="200">
        <v>829</v>
      </c>
      <c r="B834" s="183" t="e">
        <f>DEEMSuite1&amp;" Electrical Room A"</f>
        <v>#N/A</v>
      </c>
      <c r="C834" s="183" t="s">
        <v>3042</v>
      </c>
      <c r="D834" s="187" t="s">
        <v>3198</v>
      </c>
      <c r="E834" s="183" t="s">
        <v>1464</v>
      </c>
      <c r="F834" s="186"/>
      <c r="G834" s="187" t="s">
        <v>1519</v>
      </c>
    </row>
    <row r="835" spans="1:7" ht="37.5" x14ac:dyDescent="0.25">
      <c r="A835" s="200">
        <v>830</v>
      </c>
      <c r="B835" s="183" t="e">
        <f>DEEMSuite1&amp;" Electrical Room A"</f>
        <v>#N/A</v>
      </c>
      <c r="C835" s="183" t="s">
        <v>3042</v>
      </c>
      <c r="D835" s="187" t="s">
        <v>2714</v>
      </c>
      <c r="E835" s="183" t="s">
        <v>1464</v>
      </c>
      <c r="F835" s="186"/>
      <c r="G835" s="187" t="s">
        <v>1519</v>
      </c>
    </row>
    <row r="836" spans="1:7" ht="37.5" x14ac:dyDescent="0.25">
      <c r="A836" s="200">
        <v>831</v>
      </c>
      <c r="B836" s="183" t="e">
        <f>DEEMSuite1&amp;" Electrical Room A"</f>
        <v>#N/A</v>
      </c>
      <c r="C836" s="183" t="s">
        <v>3042</v>
      </c>
      <c r="D836" s="187" t="s">
        <v>2715</v>
      </c>
      <c r="E836" s="183" t="s">
        <v>1464</v>
      </c>
      <c r="F836" s="186"/>
      <c r="G836" s="187" t="s">
        <v>1519</v>
      </c>
    </row>
    <row r="837" spans="1:7" ht="37.5" x14ac:dyDescent="0.25">
      <c r="A837" s="200">
        <v>832</v>
      </c>
      <c r="B837" s="183" t="e">
        <f>DEEMSuite1&amp;" Electrical Room A"</f>
        <v>#N/A</v>
      </c>
      <c r="C837" s="183" t="s">
        <v>3042</v>
      </c>
      <c r="D837" s="187" t="s">
        <v>2716</v>
      </c>
      <c r="E837" s="183" t="s">
        <v>1464</v>
      </c>
      <c r="F837" s="186"/>
      <c r="G837" s="187" t="s">
        <v>1519</v>
      </c>
    </row>
    <row r="838" spans="1:7" ht="37.5" x14ac:dyDescent="0.25">
      <c r="A838" s="200">
        <v>833</v>
      </c>
      <c r="B838" s="183" t="e">
        <f>DEEMSuite1&amp;" Electrical Room A"</f>
        <v>#N/A</v>
      </c>
      <c r="C838" s="183" t="s">
        <v>3042</v>
      </c>
      <c r="D838" s="187" t="s">
        <v>2717</v>
      </c>
      <c r="E838" s="183" t="s">
        <v>1464</v>
      </c>
      <c r="F838" s="186"/>
      <c r="G838" s="187" t="s">
        <v>1519</v>
      </c>
    </row>
    <row r="839" spans="1:7" ht="37.5" x14ac:dyDescent="0.25">
      <c r="A839" s="200">
        <v>834</v>
      </c>
      <c r="B839" s="183" t="e">
        <f>DEEMSuite1&amp;" Electrical Room A"</f>
        <v>#N/A</v>
      </c>
      <c r="C839" s="183" t="s">
        <v>3042</v>
      </c>
      <c r="D839" s="186" t="s">
        <v>2718</v>
      </c>
      <c r="E839" s="183" t="s">
        <v>1464</v>
      </c>
      <c r="F839" s="186"/>
      <c r="G839" s="187" t="s">
        <v>1519</v>
      </c>
    </row>
    <row r="840" spans="1:7" ht="37.5" x14ac:dyDescent="0.25">
      <c r="A840" s="200">
        <v>835</v>
      </c>
      <c r="B840" s="183" t="e">
        <f>DEEMSuite1&amp;" Electrical Room A"</f>
        <v>#N/A</v>
      </c>
      <c r="C840" s="183" t="s">
        <v>3042</v>
      </c>
      <c r="D840" s="187" t="s">
        <v>3199</v>
      </c>
      <c r="E840" s="183" t="s">
        <v>1464</v>
      </c>
      <c r="F840" s="186"/>
      <c r="G840" s="187" t="s">
        <v>1519</v>
      </c>
    </row>
    <row r="841" spans="1:7" ht="37.5" x14ac:dyDescent="0.25">
      <c r="A841" s="200">
        <v>836</v>
      </c>
      <c r="B841" s="183" t="e">
        <f>DEEMSuite1&amp;" Electrical Room A"</f>
        <v>#N/A</v>
      </c>
      <c r="C841" s="183" t="s">
        <v>3042</v>
      </c>
      <c r="D841" s="186" t="s">
        <v>3200</v>
      </c>
      <c r="E841" s="183" t="s">
        <v>1464</v>
      </c>
      <c r="F841" s="186"/>
      <c r="G841" s="187" t="s">
        <v>1519</v>
      </c>
    </row>
    <row r="842" spans="1:7" ht="37.5" x14ac:dyDescent="0.25">
      <c r="A842" s="200">
        <v>837</v>
      </c>
      <c r="B842" s="183" t="e">
        <f>DEEMSuite1&amp;" Electrical Room A"</f>
        <v>#N/A</v>
      </c>
      <c r="C842" s="183" t="s">
        <v>3042</v>
      </c>
      <c r="D842" s="205" t="s">
        <v>3201</v>
      </c>
      <c r="E842" s="183" t="s">
        <v>1464</v>
      </c>
      <c r="F842" s="186"/>
      <c r="G842" s="187" t="s">
        <v>1519</v>
      </c>
    </row>
    <row r="843" spans="1:7" ht="37.5" x14ac:dyDescent="0.25">
      <c r="A843" s="200">
        <v>838</v>
      </c>
      <c r="B843" s="183" t="e">
        <f>DEEMSuite1&amp;" Electrical Room A"</f>
        <v>#N/A</v>
      </c>
      <c r="C843" s="183" t="s">
        <v>3042</v>
      </c>
      <c r="D843" s="186" t="s">
        <v>3045</v>
      </c>
      <c r="E843" s="183" t="s">
        <v>1464</v>
      </c>
      <c r="F843" s="186"/>
      <c r="G843" s="187" t="s">
        <v>1519</v>
      </c>
    </row>
    <row r="844" spans="1:7" ht="37.5" x14ac:dyDescent="0.25">
      <c r="A844" s="200">
        <v>839</v>
      </c>
      <c r="B844" s="183" t="e">
        <f>DEEMSuite1&amp;" Electrical Room A"</f>
        <v>#N/A</v>
      </c>
      <c r="C844" s="183" t="s">
        <v>3042</v>
      </c>
      <c r="D844" s="186" t="s">
        <v>3202</v>
      </c>
      <c r="E844" s="183" t="s">
        <v>1464</v>
      </c>
      <c r="F844" s="186"/>
      <c r="G844" s="187" t="s">
        <v>1519</v>
      </c>
    </row>
    <row r="845" spans="1:7" ht="37.5" x14ac:dyDescent="0.25">
      <c r="A845" s="200">
        <v>840</v>
      </c>
      <c r="B845" s="183" t="e">
        <f>DEEMSuite1&amp;" Electrical Room A"</f>
        <v>#N/A</v>
      </c>
      <c r="C845" s="183" t="s">
        <v>3042</v>
      </c>
      <c r="D845" s="186" t="s">
        <v>3203</v>
      </c>
      <c r="E845" s="183" t="s">
        <v>1464</v>
      </c>
      <c r="F845" s="186"/>
      <c r="G845" s="187" t="s">
        <v>1519</v>
      </c>
    </row>
    <row r="846" spans="1:7" ht="37.5" x14ac:dyDescent="0.25">
      <c r="A846" s="200">
        <v>841</v>
      </c>
      <c r="B846" s="183" t="e">
        <f>DEEMSuite1&amp;" Electrical Room A"</f>
        <v>#N/A</v>
      </c>
      <c r="C846" s="183" t="s">
        <v>2737</v>
      </c>
      <c r="D846" s="187" t="s">
        <v>3204</v>
      </c>
      <c r="E846" s="183" t="s">
        <v>1464</v>
      </c>
      <c r="F846" s="186"/>
      <c r="G846" s="187" t="s">
        <v>1519</v>
      </c>
    </row>
    <row r="847" spans="1:7" ht="37.5" x14ac:dyDescent="0.25">
      <c r="A847" s="200">
        <v>842</v>
      </c>
      <c r="B847" s="183" t="e">
        <f>DEEMSuite1&amp;" Electrical Room A"</f>
        <v>#N/A</v>
      </c>
      <c r="C847" s="183" t="s">
        <v>3042</v>
      </c>
      <c r="D847" s="186" t="s">
        <v>3205</v>
      </c>
      <c r="E847" s="183" t="s">
        <v>1464</v>
      </c>
      <c r="F847" s="186"/>
      <c r="G847" s="187" t="s">
        <v>1519</v>
      </c>
    </row>
    <row r="848" spans="1:7" ht="37.5" x14ac:dyDescent="0.25">
      <c r="A848" s="200">
        <v>843</v>
      </c>
      <c r="B848" s="183" t="e">
        <f>DEEMSuite1&amp;" Electrical Room A"</f>
        <v>#N/A</v>
      </c>
      <c r="C848" s="183" t="s">
        <v>3042</v>
      </c>
      <c r="D848" s="186" t="s">
        <v>3206</v>
      </c>
      <c r="E848" s="183" t="s">
        <v>1464</v>
      </c>
      <c r="F848" s="186"/>
      <c r="G848" s="187" t="s">
        <v>1519</v>
      </c>
    </row>
    <row r="849" spans="1:7" ht="37.5" x14ac:dyDescent="0.25">
      <c r="A849" s="200">
        <v>844</v>
      </c>
      <c r="B849" s="183" t="e">
        <f>DEEMSuite1&amp;" Electrical Room A"</f>
        <v>#N/A</v>
      </c>
      <c r="C849" s="183" t="s">
        <v>2737</v>
      </c>
      <c r="D849" s="187" t="s">
        <v>3207</v>
      </c>
      <c r="E849" s="183" t="s">
        <v>1464</v>
      </c>
      <c r="F849" s="186"/>
      <c r="G849" s="187" t="s">
        <v>1519</v>
      </c>
    </row>
    <row r="850" spans="1:7" ht="37.5" x14ac:dyDescent="0.25">
      <c r="A850" s="200">
        <v>845</v>
      </c>
      <c r="B850" s="183" t="e">
        <f>DEEMSuite1&amp;" Electrical Room A"</f>
        <v>#N/A</v>
      </c>
      <c r="C850" s="183" t="s">
        <v>2737</v>
      </c>
      <c r="D850" s="186" t="s">
        <v>3208</v>
      </c>
      <c r="E850" s="183" t="s">
        <v>1464</v>
      </c>
      <c r="F850" s="186"/>
      <c r="G850" s="187" t="s">
        <v>1519</v>
      </c>
    </row>
    <row r="851" spans="1:7" ht="37.5" x14ac:dyDescent="0.25">
      <c r="A851" s="200">
        <v>846</v>
      </c>
      <c r="B851" s="183" t="e">
        <f>DEEMSuite1&amp;" Electrical Room A"</f>
        <v>#N/A</v>
      </c>
      <c r="C851" s="201" t="s">
        <v>1470</v>
      </c>
      <c r="D851" s="186" t="str">
        <f>"NOTATE the kW reading on UPA:  ___________and compare to step " &amp; A815 &amp; ":______"</f>
        <v>NOTATE the kW reading on UPA:  ___________and compare to step 810:______</v>
      </c>
      <c r="E851" s="183" t="s">
        <v>1464</v>
      </c>
      <c r="F851" s="186"/>
      <c r="G851" s="187" t="s">
        <v>1519</v>
      </c>
    </row>
    <row r="852" spans="1:7" ht="37.5" x14ac:dyDescent="0.25">
      <c r="A852" s="200">
        <v>847</v>
      </c>
      <c r="B852" s="183" t="e">
        <f>DEEMSuite1&amp;" Electrical Room B"</f>
        <v>#N/A</v>
      </c>
      <c r="C852" s="201" t="s">
        <v>1476</v>
      </c>
      <c r="D852" s="186" t="str">
        <f>"NOTATE the kW reading on UPB:  ___________and compare to step " &amp; A816 &amp; ":______"</f>
        <v>NOTATE the kW reading on UPB:  ___________and compare to step 811:______</v>
      </c>
      <c r="E852" s="183" t="s">
        <v>1464</v>
      </c>
      <c r="F852" s="186"/>
      <c r="G852" s="187" t="s">
        <v>1519</v>
      </c>
    </row>
    <row r="853" spans="1:7" ht="37.5" x14ac:dyDescent="0.25">
      <c r="A853" s="200">
        <v>848</v>
      </c>
      <c r="B853" s="183" t="e">
        <f>DEEMSuite1&amp;" Electrical Rooms"</f>
        <v>#N/A</v>
      </c>
      <c r="C853" s="201" t="s">
        <v>2694</v>
      </c>
      <c r="D853" s="186" t="s">
        <v>2728</v>
      </c>
      <c r="E853" s="183" t="s">
        <v>1464</v>
      </c>
      <c r="F853" s="186"/>
      <c r="G853" s="187" t="s">
        <v>1519</v>
      </c>
    </row>
    <row r="854" spans="1:7" ht="37.5" x14ac:dyDescent="0.25">
      <c r="A854" s="200">
        <v>849</v>
      </c>
      <c r="B854" s="183" t="e">
        <f>DEEMSuite1&amp;" Electrical Room B"</f>
        <v>#N/A</v>
      </c>
      <c r="C854" s="183" t="s">
        <v>2729</v>
      </c>
      <c r="D854" s="186" t="s">
        <v>3191</v>
      </c>
      <c r="E854" s="183" t="s">
        <v>1464</v>
      </c>
      <c r="F854" s="186"/>
      <c r="G854" s="187" t="s">
        <v>1519</v>
      </c>
    </row>
    <row r="855" spans="1:7" ht="37.5" x14ac:dyDescent="0.25">
      <c r="A855" s="200">
        <v>850</v>
      </c>
      <c r="B855" s="183" t="e">
        <f>DEEMSuite1&amp;" Electrical Room B"</f>
        <v>#N/A</v>
      </c>
      <c r="C855" s="183" t="s">
        <v>2729</v>
      </c>
      <c r="D855" s="186" t="s">
        <v>3190</v>
      </c>
      <c r="E855" s="183" t="s">
        <v>1464</v>
      </c>
      <c r="F855" s="186"/>
      <c r="G855" s="187" t="s">
        <v>1519</v>
      </c>
    </row>
    <row r="856" spans="1:7" ht="37.5" x14ac:dyDescent="0.25">
      <c r="A856" s="200">
        <v>851</v>
      </c>
      <c r="B856" s="183" t="e">
        <f>DEEMSuite1&amp;" Electrical Room B"</f>
        <v>#N/A</v>
      </c>
      <c r="C856" s="201" t="s">
        <v>1476</v>
      </c>
      <c r="D856" s="186" t="s">
        <v>2733</v>
      </c>
      <c r="E856" s="183" t="s">
        <v>1464</v>
      </c>
      <c r="F856" s="186"/>
      <c r="G856" s="187" t="s">
        <v>1519</v>
      </c>
    </row>
    <row r="857" spans="1:7" ht="37.5" x14ac:dyDescent="0.25">
      <c r="A857" s="200">
        <v>852</v>
      </c>
      <c r="B857" s="183" t="e">
        <f>DEEMSuite1&amp;" Electrical Room B"</f>
        <v>#N/A</v>
      </c>
      <c r="C857" s="201" t="s">
        <v>1476</v>
      </c>
      <c r="D857" s="186" t="s">
        <v>2734</v>
      </c>
      <c r="E857" s="183" t="s">
        <v>1464</v>
      </c>
      <c r="F857" s="186"/>
      <c r="G857" s="187" t="s">
        <v>1519</v>
      </c>
    </row>
    <row r="858" spans="1:7" ht="37.5" x14ac:dyDescent="0.25">
      <c r="A858" s="200">
        <v>853</v>
      </c>
      <c r="B858" s="183" t="e">
        <f>DEEMSuite1&amp;" Electrical Room B"</f>
        <v>#N/A</v>
      </c>
      <c r="C858" s="201" t="s">
        <v>1476</v>
      </c>
      <c r="D858" s="186" t="s">
        <v>2735</v>
      </c>
      <c r="E858" s="183" t="s">
        <v>1464</v>
      </c>
      <c r="F858" s="186"/>
      <c r="G858" s="187" t="s">
        <v>1519</v>
      </c>
    </row>
    <row r="859" spans="1:7" ht="37.5" x14ac:dyDescent="0.25">
      <c r="A859" s="200">
        <v>854</v>
      </c>
      <c r="B859" s="183" t="e">
        <f>DEEMSuite1 &amp; " Utility Input Room"</f>
        <v>#N/A</v>
      </c>
      <c r="C859" s="183" t="s">
        <v>598</v>
      </c>
      <c r="D859" s="186" t="s">
        <v>2736</v>
      </c>
      <c r="E859" s="183" t="s">
        <v>1464</v>
      </c>
      <c r="F859" s="186"/>
      <c r="G859" s="187" t="s">
        <v>1519</v>
      </c>
    </row>
    <row r="860" spans="1:7" ht="37.5" x14ac:dyDescent="0.25">
      <c r="A860" s="200">
        <v>855</v>
      </c>
      <c r="B860" s="183" t="e">
        <f>DEEMSuite1&amp;" Electrical Room A"</f>
        <v>#N/A</v>
      </c>
      <c r="C860" s="183" t="s">
        <v>2737</v>
      </c>
      <c r="D860" s="186" t="s">
        <v>3209</v>
      </c>
      <c r="E860" s="183" t="s">
        <v>1464</v>
      </c>
      <c r="F860" s="186"/>
      <c r="G860" s="187" t="s">
        <v>1519</v>
      </c>
    </row>
    <row r="861" spans="1:7" ht="37.5" x14ac:dyDescent="0.25">
      <c r="A861" s="200">
        <v>856</v>
      </c>
      <c r="B861" s="183" t="e">
        <f>DEEMSuite1&amp;" Electrical Room A"</f>
        <v>#N/A</v>
      </c>
      <c r="C861" s="183" t="s">
        <v>2737</v>
      </c>
      <c r="D861" s="186" t="s">
        <v>3210</v>
      </c>
      <c r="E861" s="183" t="s">
        <v>1464</v>
      </c>
      <c r="F861" s="186"/>
      <c r="G861" s="187" t="s">
        <v>1519</v>
      </c>
    </row>
    <row r="862" spans="1:7" ht="37.5" x14ac:dyDescent="0.25">
      <c r="A862" s="200">
        <v>857</v>
      </c>
      <c r="B862" s="183" t="e">
        <f>DEEMSuite1&amp;" Electrical Room A"</f>
        <v>#N/A</v>
      </c>
      <c r="C862" s="183" t="s">
        <v>1470</v>
      </c>
      <c r="D862" s="186" t="s">
        <v>2740</v>
      </c>
      <c r="E862" s="183" t="s">
        <v>1464</v>
      </c>
      <c r="F862" s="186"/>
      <c r="G862" s="187" t="s">
        <v>1519</v>
      </c>
    </row>
    <row r="863" spans="1:7" ht="37.5" x14ac:dyDescent="0.25">
      <c r="A863" s="200">
        <v>858</v>
      </c>
      <c r="B863" s="183" t="e">
        <f>DEEMSuite1&amp;" Electrical Room A"</f>
        <v>#N/A</v>
      </c>
      <c r="C863" s="183" t="s">
        <v>1470</v>
      </c>
      <c r="D863" s="186" t="s">
        <v>2741</v>
      </c>
      <c r="E863" s="183" t="s">
        <v>1464</v>
      </c>
      <c r="F863" s="186"/>
      <c r="G863" s="187" t="s">
        <v>1519</v>
      </c>
    </row>
    <row r="864" spans="1:7" ht="37.5" x14ac:dyDescent="0.25">
      <c r="A864" s="200">
        <v>859</v>
      </c>
      <c r="B864" s="183" t="e">
        <f>DEEMSuite1&amp;" Electrical Room A"</f>
        <v>#N/A</v>
      </c>
      <c r="C864" s="183" t="s">
        <v>1470</v>
      </c>
      <c r="D864" s="186" t="s">
        <v>2742</v>
      </c>
      <c r="E864" s="183" t="s">
        <v>1464</v>
      </c>
      <c r="F864" s="186"/>
      <c r="G864" s="187" t="s">
        <v>1519</v>
      </c>
    </row>
    <row r="865" spans="1:7" ht="37.5" x14ac:dyDescent="0.25">
      <c r="A865" s="200">
        <v>860</v>
      </c>
      <c r="B865" s="183" t="e">
        <f>DEEMSuite1&amp;" Electrical Rooms"</f>
        <v>#N/A</v>
      </c>
      <c r="C865" s="201" t="s">
        <v>2084</v>
      </c>
      <c r="D865" s="187" t="s">
        <v>2743</v>
      </c>
      <c r="E865" s="183" t="s">
        <v>1464</v>
      </c>
      <c r="F865" s="186"/>
      <c r="G865" s="187" t="s">
        <v>1519</v>
      </c>
    </row>
    <row r="866" spans="1:7" ht="37.5" x14ac:dyDescent="0.25">
      <c r="A866" s="200">
        <v>861</v>
      </c>
      <c r="B866" s="183" t="e">
        <f>DEEMSuite1&amp;" CRAC Gallery"</f>
        <v>#N/A</v>
      </c>
      <c r="C866" s="183" t="s">
        <v>2056</v>
      </c>
      <c r="D866" s="187" t="s">
        <v>2744</v>
      </c>
      <c r="E866" s="183" t="s">
        <v>1464</v>
      </c>
      <c r="F866" s="186"/>
      <c r="G866" s="187" t="s">
        <v>1519</v>
      </c>
    </row>
    <row r="867" spans="1:7" ht="37.5" x14ac:dyDescent="0.25">
      <c r="A867" s="200">
        <v>862</v>
      </c>
      <c r="B867" s="183" t="s">
        <v>1462</v>
      </c>
      <c r="C867" s="183" t="s">
        <v>84</v>
      </c>
      <c r="D867" s="187" t="s">
        <v>2119</v>
      </c>
      <c r="E867" s="183" t="s">
        <v>1464</v>
      </c>
      <c r="F867" s="186"/>
      <c r="G867" s="187" t="s">
        <v>1519</v>
      </c>
    </row>
    <row r="868" spans="1:7" x14ac:dyDescent="0.25">
      <c r="A868" s="200">
        <v>863</v>
      </c>
      <c r="B868" s="756" t="s">
        <v>3211</v>
      </c>
      <c r="C868" s="757"/>
      <c r="D868" s="757"/>
      <c r="E868" s="757"/>
      <c r="F868" s="757"/>
      <c r="G868" s="758"/>
    </row>
    <row r="869" spans="1:7" ht="37.5" x14ac:dyDescent="0.25">
      <c r="A869" s="200">
        <v>864</v>
      </c>
      <c r="B869" s="183" t="e">
        <f>DEEMSuite1&amp;" Electrical Room A"</f>
        <v>#N/A</v>
      </c>
      <c r="C869" s="201" t="s">
        <v>1470</v>
      </c>
      <c r="D869" s="202" t="s">
        <v>2692</v>
      </c>
      <c r="E869" s="183" t="s">
        <v>1464</v>
      </c>
      <c r="F869" s="186"/>
      <c r="G869" s="187" t="s">
        <v>1519</v>
      </c>
    </row>
    <row r="870" spans="1:7" ht="37.5" x14ac:dyDescent="0.25">
      <c r="A870" s="200">
        <v>865</v>
      </c>
      <c r="B870" s="183" t="e">
        <f>DEEMSuite1&amp;" Electrical Room B"</f>
        <v>#N/A</v>
      </c>
      <c r="C870" s="201" t="s">
        <v>1476</v>
      </c>
      <c r="D870" s="202" t="s">
        <v>2693</v>
      </c>
      <c r="E870" s="183" t="s">
        <v>1464</v>
      </c>
      <c r="F870" s="186"/>
      <c r="G870" s="187" t="s">
        <v>1519</v>
      </c>
    </row>
    <row r="871" spans="1:7" ht="37.5" x14ac:dyDescent="0.25">
      <c r="A871" s="200">
        <v>866</v>
      </c>
      <c r="B871" s="183" t="e">
        <f>DEEMSuite1&amp;" Electrical Rooms"</f>
        <v>#N/A</v>
      </c>
      <c r="C871" s="201" t="s">
        <v>2694</v>
      </c>
      <c r="D871" s="186" t="s">
        <v>2695</v>
      </c>
      <c r="E871" s="183" t="s">
        <v>1464</v>
      </c>
      <c r="F871" s="186"/>
      <c r="G871" s="187" t="s">
        <v>1519</v>
      </c>
    </row>
    <row r="872" spans="1:7" ht="37.5" x14ac:dyDescent="0.25">
      <c r="A872" s="200">
        <v>867</v>
      </c>
      <c r="B872" s="183" t="e">
        <f>DEEMSuite1&amp;" Electrical Rooms"</f>
        <v>#N/A</v>
      </c>
      <c r="C872" s="201" t="s">
        <v>2694</v>
      </c>
      <c r="D872" s="186" t="s">
        <v>2696</v>
      </c>
      <c r="E872" s="183" t="s">
        <v>1464</v>
      </c>
      <c r="F872" s="186"/>
      <c r="G872" s="187" t="s">
        <v>1519</v>
      </c>
    </row>
    <row r="873" spans="1:7" ht="37.5" x14ac:dyDescent="0.25">
      <c r="A873" s="200">
        <v>868</v>
      </c>
      <c r="B873" s="183" t="e">
        <f>DEEMSuite1&amp;" Electrical Room A"</f>
        <v>#N/A</v>
      </c>
      <c r="C873" s="201" t="s">
        <v>1470</v>
      </c>
      <c r="D873" s="202" t="s">
        <v>2748</v>
      </c>
      <c r="E873" s="183" t="s">
        <v>1464</v>
      </c>
      <c r="F873" s="186"/>
      <c r="G873" s="187" t="s">
        <v>1519</v>
      </c>
    </row>
    <row r="874" spans="1:7" ht="37.5" x14ac:dyDescent="0.25">
      <c r="A874" s="200">
        <v>869</v>
      </c>
      <c r="B874" s="183" t="e">
        <f>DEEMSuite1&amp;" Electrical Room A"</f>
        <v>#N/A</v>
      </c>
      <c r="C874" s="201" t="s">
        <v>1470</v>
      </c>
      <c r="D874" s="202" t="s">
        <v>2749</v>
      </c>
      <c r="E874" s="183" t="s">
        <v>1464</v>
      </c>
      <c r="F874" s="186"/>
      <c r="G874" s="187" t="s">
        <v>1519</v>
      </c>
    </row>
    <row r="875" spans="1:7" ht="37.5" x14ac:dyDescent="0.25">
      <c r="A875" s="200">
        <v>870</v>
      </c>
      <c r="B875" s="183" t="e">
        <f>DEEMSuite1&amp;" Electrical Room A"</f>
        <v>#N/A</v>
      </c>
      <c r="C875" s="201" t="s">
        <v>1470</v>
      </c>
      <c r="D875" s="202" t="s">
        <v>2750</v>
      </c>
      <c r="E875" s="183" t="s">
        <v>1464</v>
      </c>
      <c r="F875" s="186"/>
      <c r="G875" s="187" t="s">
        <v>1519</v>
      </c>
    </row>
    <row r="876" spans="1:7" ht="37.5" x14ac:dyDescent="0.25">
      <c r="A876" s="200">
        <v>871</v>
      </c>
      <c r="B876" s="183" t="e">
        <f>DEEMSuite1&amp;" Electrical Room A"</f>
        <v>#N/A</v>
      </c>
      <c r="C876" s="201" t="s">
        <v>1470</v>
      </c>
      <c r="D876" s="202" t="s">
        <v>2751</v>
      </c>
      <c r="E876" s="183" t="s">
        <v>1464</v>
      </c>
      <c r="F876" s="186"/>
      <c r="G876" s="187" t="s">
        <v>1519</v>
      </c>
    </row>
    <row r="877" spans="1:7" ht="37.5" x14ac:dyDescent="0.25">
      <c r="A877" s="200">
        <v>872</v>
      </c>
      <c r="B877" s="183" t="e">
        <f>DEEMSuite1&amp;" Electrical Room A"</f>
        <v>#N/A</v>
      </c>
      <c r="C877" s="201" t="s">
        <v>1470</v>
      </c>
      <c r="D877" s="202" t="s">
        <v>2752</v>
      </c>
      <c r="E877" s="183" t="s">
        <v>1464</v>
      </c>
      <c r="F877" s="186"/>
      <c r="G877" s="187" t="s">
        <v>1519</v>
      </c>
    </row>
    <row r="878" spans="1:7" ht="37.5" x14ac:dyDescent="0.25">
      <c r="A878" s="200">
        <v>873</v>
      </c>
      <c r="B878" s="183" t="e">
        <f>DEEMSuite1&amp;" Electrical Room B"</f>
        <v>#N/A</v>
      </c>
      <c r="C878" s="201" t="s">
        <v>1476</v>
      </c>
      <c r="D878" s="202" t="s">
        <v>2753</v>
      </c>
      <c r="E878" s="183" t="s">
        <v>1464</v>
      </c>
      <c r="F878" s="186"/>
      <c r="G878" s="187" t="s">
        <v>1519</v>
      </c>
    </row>
    <row r="879" spans="1:7" ht="37.5" x14ac:dyDescent="0.25">
      <c r="A879" s="200">
        <v>874</v>
      </c>
      <c r="B879" s="183" t="e">
        <f>DEEMSuite1&amp;" Electrical Room B"</f>
        <v>#N/A</v>
      </c>
      <c r="C879" s="201" t="s">
        <v>1476</v>
      </c>
      <c r="D879" s="202" t="s">
        <v>2754</v>
      </c>
      <c r="E879" s="183" t="s">
        <v>1464</v>
      </c>
      <c r="F879" s="186"/>
      <c r="G879" s="187" t="s">
        <v>1519</v>
      </c>
    </row>
    <row r="880" spans="1:7" ht="37.5" x14ac:dyDescent="0.25">
      <c r="A880" s="200">
        <v>875</v>
      </c>
      <c r="B880" s="183" t="e">
        <f>DEEMSuite1&amp;" Electrical Room B"</f>
        <v>#N/A</v>
      </c>
      <c r="C880" s="201" t="s">
        <v>1476</v>
      </c>
      <c r="D880" s="202" t="s">
        <v>2755</v>
      </c>
      <c r="E880" s="183" t="s">
        <v>1464</v>
      </c>
      <c r="F880" s="186"/>
      <c r="G880" s="187" t="s">
        <v>1519</v>
      </c>
    </row>
    <row r="881" spans="1:7" ht="37.5" x14ac:dyDescent="0.25">
      <c r="A881" s="200">
        <v>876</v>
      </c>
      <c r="B881" s="183" t="e">
        <f>DEEMSuite1&amp;" Electrical Room B"</f>
        <v>#N/A</v>
      </c>
      <c r="C881" s="201" t="s">
        <v>1476</v>
      </c>
      <c r="D881" s="202" t="s">
        <v>2756</v>
      </c>
      <c r="E881" s="183" t="s">
        <v>1464</v>
      </c>
      <c r="F881" s="186"/>
      <c r="G881" s="187" t="s">
        <v>1519</v>
      </c>
    </row>
    <row r="882" spans="1:7" ht="37.5" x14ac:dyDescent="0.25">
      <c r="A882" s="200">
        <v>877</v>
      </c>
      <c r="B882" s="183" t="e">
        <f>DEEMSuite1&amp;" Electrical Room B"</f>
        <v>#N/A</v>
      </c>
      <c r="C882" s="201" t="s">
        <v>1476</v>
      </c>
      <c r="D882" s="202" t="s">
        <v>2757</v>
      </c>
      <c r="E882" s="183" t="s">
        <v>1464</v>
      </c>
      <c r="F882" s="186"/>
      <c r="G882" s="187" t="s">
        <v>1519</v>
      </c>
    </row>
    <row r="883" spans="1:7" ht="37.5" x14ac:dyDescent="0.25">
      <c r="A883" s="200">
        <v>878</v>
      </c>
      <c r="B883" s="183" t="e">
        <f>DEEMSuite1&amp;" CRAC Gallery"</f>
        <v>#N/A</v>
      </c>
      <c r="C883" s="201" t="s">
        <v>2758</v>
      </c>
      <c r="D883" s="202" t="s">
        <v>2759</v>
      </c>
      <c r="E883" s="183" t="s">
        <v>1464</v>
      </c>
      <c r="F883" s="186"/>
      <c r="G883" s="187" t="s">
        <v>1519</v>
      </c>
    </row>
    <row r="884" spans="1:7" ht="37.5" x14ac:dyDescent="0.25">
      <c r="A884" s="200">
        <v>879</v>
      </c>
      <c r="B884" s="183" t="e">
        <f>DEEMSuite1&amp;" CRAC Gallery"</f>
        <v>#N/A</v>
      </c>
      <c r="C884" s="201" t="s">
        <v>2760</v>
      </c>
      <c r="D884" s="202" t="s">
        <v>2761</v>
      </c>
      <c r="E884" s="183" t="s">
        <v>1464</v>
      </c>
      <c r="F884" s="186"/>
      <c r="G884" s="187" t="s">
        <v>1519</v>
      </c>
    </row>
    <row r="885" spans="1:7" ht="37.5" x14ac:dyDescent="0.25">
      <c r="A885" s="200">
        <v>880</v>
      </c>
      <c r="B885" s="183" t="e">
        <f>DEEMSuite1&amp;" CRAC Gallery"</f>
        <v>#N/A</v>
      </c>
      <c r="C885" s="201" t="s">
        <v>2762</v>
      </c>
      <c r="D885" s="186" t="s">
        <v>2763</v>
      </c>
      <c r="E885" s="183" t="s">
        <v>1464</v>
      </c>
      <c r="F885" s="186"/>
      <c r="G885" s="187" t="s">
        <v>1519</v>
      </c>
    </row>
    <row r="886" spans="1:7" ht="37.5" x14ac:dyDescent="0.25">
      <c r="A886" s="200">
        <v>881</v>
      </c>
      <c r="B886" s="183" t="e">
        <f>DEEMSuite1&amp;" CRAC Gallery"</f>
        <v>#N/A</v>
      </c>
      <c r="C886" s="201" t="s">
        <v>2764</v>
      </c>
      <c r="D886" s="202" t="s">
        <v>2765</v>
      </c>
      <c r="E886" s="183" t="s">
        <v>1464</v>
      </c>
      <c r="F886" s="186"/>
      <c r="G886" s="187" t="s">
        <v>1519</v>
      </c>
    </row>
    <row r="887" spans="1:7" ht="37.5" x14ac:dyDescent="0.25">
      <c r="A887" s="200">
        <v>882</v>
      </c>
      <c r="B887" s="183" t="e">
        <f>DEEMSuite1&amp;" CRAC Gallery"</f>
        <v>#N/A</v>
      </c>
      <c r="C887" s="201" t="s">
        <v>2766</v>
      </c>
      <c r="D887" s="202" t="s">
        <v>2767</v>
      </c>
      <c r="E887" s="183" t="s">
        <v>1464</v>
      </c>
      <c r="F887" s="186"/>
      <c r="G887" s="187" t="s">
        <v>1519</v>
      </c>
    </row>
    <row r="888" spans="1:7" ht="37.5" x14ac:dyDescent="0.25">
      <c r="A888" s="200">
        <v>883</v>
      </c>
      <c r="B888" s="183" t="e">
        <f>DEEMSuite1&amp;" CRAC Gallery"</f>
        <v>#N/A</v>
      </c>
      <c r="C888" s="201" t="s">
        <v>2768</v>
      </c>
      <c r="D888" s="186" t="s">
        <v>2763</v>
      </c>
      <c r="E888" s="183" t="s">
        <v>1464</v>
      </c>
      <c r="F888" s="186"/>
      <c r="G888" s="187" t="s">
        <v>1519</v>
      </c>
    </row>
    <row r="889" spans="1:7" ht="37.5" x14ac:dyDescent="0.25">
      <c r="A889" s="200">
        <v>884</v>
      </c>
      <c r="B889" s="183" t="e">
        <f>DEEMSuite1&amp;" CRAC Gallery"</f>
        <v>#N/A</v>
      </c>
      <c r="C889" s="201" t="s">
        <v>2769</v>
      </c>
      <c r="D889" s="202" t="s">
        <v>2770</v>
      </c>
      <c r="E889" s="183" t="s">
        <v>1464</v>
      </c>
      <c r="F889" s="186"/>
      <c r="G889" s="187" t="s">
        <v>1519</v>
      </c>
    </row>
    <row r="890" spans="1:7" ht="37.5" x14ac:dyDescent="0.25">
      <c r="A890" s="200">
        <v>885</v>
      </c>
      <c r="B890" s="183" t="e">
        <f>DEEMSuite1&amp;" CRAC Gallery"</f>
        <v>#N/A</v>
      </c>
      <c r="C890" s="201" t="s">
        <v>2771</v>
      </c>
      <c r="D890" s="202" t="s">
        <v>2772</v>
      </c>
      <c r="E890" s="183" t="s">
        <v>1464</v>
      </c>
      <c r="F890" s="186"/>
      <c r="G890" s="187" t="s">
        <v>1519</v>
      </c>
    </row>
    <row r="891" spans="1:7" ht="37.5" x14ac:dyDescent="0.25">
      <c r="A891" s="200">
        <v>886</v>
      </c>
      <c r="B891" s="183" t="e">
        <f>DEEMSuite1&amp;" CRAC Gallery"</f>
        <v>#N/A</v>
      </c>
      <c r="C891" s="201" t="s">
        <v>2773</v>
      </c>
      <c r="D891" s="186" t="s">
        <v>2763</v>
      </c>
      <c r="E891" s="183" t="s">
        <v>1464</v>
      </c>
      <c r="F891" s="186"/>
      <c r="G891" s="187" t="s">
        <v>1519</v>
      </c>
    </row>
    <row r="892" spans="1:7" ht="37.5" x14ac:dyDescent="0.25">
      <c r="A892" s="200">
        <v>887</v>
      </c>
      <c r="B892" s="183" t="e">
        <f>DEEMSuite1&amp;" CRAC Gallery"</f>
        <v>#N/A</v>
      </c>
      <c r="C892" s="201" t="s">
        <v>2774</v>
      </c>
      <c r="D892" s="202" t="s">
        <v>2775</v>
      </c>
      <c r="E892" s="183" t="s">
        <v>1464</v>
      </c>
      <c r="F892" s="186"/>
      <c r="G892" s="187" t="s">
        <v>1519</v>
      </c>
    </row>
    <row r="893" spans="1:7" ht="37.5" x14ac:dyDescent="0.25">
      <c r="A893" s="200">
        <v>888</v>
      </c>
      <c r="B893" s="183" t="e">
        <f>DEEMSuite1&amp;" CRAC Gallery"</f>
        <v>#N/A</v>
      </c>
      <c r="C893" s="201" t="s">
        <v>2776</v>
      </c>
      <c r="D893" s="202" t="s">
        <v>2777</v>
      </c>
      <c r="E893" s="183" t="s">
        <v>1464</v>
      </c>
      <c r="F893" s="186"/>
      <c r="G893" s="187" t="s">
        <v>1519</v>
      </c>
    </row>
    <row r="894" spans="1:7" ht="37.5" x14ac:dyDescent="0.25">
      <c r="A894" s="200">
        <v>889</v>
      </c>
      <c r="B894" s="183" t="e">
        <f>DEEMSuite1&amp;" CRAC Gallery"</f>
        <v>#N/A</v>
      </c>
      <c r="C894" s="201" t="s">
        <v>2778</v>
      </c>
      <c r="D894" s="186" t="s">
        <v>2763</v>
      </c>
      <c r="E894" s="183" t="s">
        <v>1464</v>
      </c>
      <c r="F894" s="186"/>
      <c r="G894" s="187" t="s">
        <v>1519</v>
      </c>
    </row>
    <row r="895" spans="1:7" ht="37.5" x14ac:dyDescent="0.25">
      <c r="A895" s="200">
        <v>890</v>
      </c>
      <c r="B895" s="183" t="e">
        <f>DEEMSuite1&amp;" CRAC Gallery"</f>
        <v>#N/A</v>
      </c>
      <c r="C895" s="201" t="s">
        <v>2779</v>
      </c>
      <c r="D895" s="202" t="s">
        <v>2780</v>
      </c>
      <c r="E895" s="183" t="s">
        <v>1464</v>
      </c>
      <c r="F895" s="186"/>
      <c r="G895" s="187" t="s">
        <v>1519</v>
      </c>
    </row>
    <row r="896" spans="1:7" ht="37.5" x14ac:dyDescent="0.25">
      <c r="A896" s="200">
        <v>891</v>
      </c>
      <c r="B896" s="183" t="e">
        <f>DEEMSuite1&amp;" CRAC Gallery"</f>
        <v>#N/A</v>
      </c>
      <c r="C896" s="201" t="s">
        <v>2781</v>
      </c>
      <c r="D896" s="202" t="s">
        <v>2782</v>
      </c>
      <c r="E896" s="183" t="s">
        <v>1464</v>
      </c>
      <c r="F896" s="186"/>
      <c r="G896" s="187" t="s">
        <v>1519</v>
      </c>
    </row>
    <row r="897" spans="1:7" ht="37.5" x14ac:dyDescent="0.25">
      <c r="A897" s="200">
        <v>892</v>
      </c>
      <c r="B897" s="183" t="e">
        <f>DEEMSuite1&amp;" CRAC Gallery"</f>
        <v>#N/A</v>
      </c>
      <c r="C897" s="201" t="s">
        <v>2783</v>
      </c>
      <c r="D897" s="186" t="s">
        <v>2763</v>
      </c>
      <c r="E897" s="183" t="s">
        <v>1464</v>
      </c>
      <c r="F897" s="186"/>
      <c r="G897" s="187" t="s">
        <v>1519</v>
      </c>
    </row>
    <row r="898" spans="1:7" x14ac:dyDescent="0.25">
      <c r="A898" s="200">
        <v>893</v>
      </c>
      <c r="B898" s="756" t="s">
        <v>3212</v>
      </c>
      <c r="C898" s="757"/>
      <c r="D898" s="759"/>
      <c r="E898" s="757"/>
      <c r="F898" s="757"/>
      <c r="G898" s="758"/>
    </row>
    <row r="899" spans="1:7" ht="37.5" x14ac:dyDescent="0.25">
      <c r="A899" s="200">
        <v>894</v>
      </c>
      <c r="B899" s="183" t="e">
        <f>DEEMSuite1&amp;" CRAC Gallery"</f>
        <v>#N/A</v>
      </c>
      <c r="C899" s="183" t="s">
        <v>84</v>
      </c>
      <c r="D899" s="205" t="s">
        <v>3213</v>
      </c>
      <c r="E899" s="183" t="s">
        <v>1464</v>
      </c>
      <c r="F899" s="186"/>
      <c r="G899" s="187" t="s">
        <v>1519</v>
      </c>
    </row>
    <row r="900" spans="1:7" ht="56.25" x14ac:dyDescent="0.25">
      <c r="A900" s="200">
        <v>895</v>
      </c>
      <c r="B900" s="183" t="e">
        <f>DEEMSuite1&amp;" CRAC Gallery"</f>
        <v>#N/A</v>
      </c>
      <c r="C900" s="183" t="s">
        <v>84</v>
      </c>
      <c r="D900" s="186" t="s">
        <v>2786</v>
      </c>
      <c r="E900" s="183" t="s">
        <v>1464</v>
      </c>
      <c r="F900" s="186"/>
      <c r="G900" s="187" t="s">
        <v>1519</v>
      </c>
    </row>
    <row r="901" spans="1:7" ht="37.5" x14ac:dyDescent="0.25">
      <c r="A901" s="200">
        <v>896</v>
      </c>
      <c r="B901" s="183" t="e">
        <f>DEEMSuite1&amp;" CRAC Gallery"</f>
        <v>#N/A</v>
      </c>
      <c r="C901" s="183" t="s">
        <v>2933</v>
      </c>
      <c r="D901" s="186" t="s">
        <v>3214</v>
      </c>
      <c r="E901" s="183" t="s">
        <v>1464</v>
      </c>
      <c r="F901" s="186"/>
      <c r="G901" s="187" t="s">
        <v>1519</v>
      </c>
    </row>
    <row r="902" spans="1:7" ht="37.5" x14ac:dyDescent="0.25">
      <c r="A902" s="200">
        <v>897</v>
      </c>
      <c r="B902" s="183" t="e">
        <f>DEEMSuite1&amp;" CRAC Gallery"</f>
        <v>#N/A</v>
      </c>
      <c r="C902" s="183" t="s">
        <v>2933</v>
      </c>
      <c r="D902" s="186" t="s">
        <v>3215</v>
      </c>
      <c r="E902" s="183" t="s">
        <v>1464</v>
      </c>
      <c r="F902" s="186"/>
      <c r="G902" s="187" t="s">
        <v>1519</v>
      </c>
    </row>
    <row r="903" spans="1:7" ht="37.5" x14ac:dyDescent="0.25">
      <c r="A903" s="200">
        <v>898</v>
      </c>
      <c r="B903" s="183" t="e">
        <f>DEEMSuite1&amp;" CRAC Gallery"</f>
        <v>#N/A</v>
      </c>
      <c r="C903" s="183" t="s">
        <v>2933</v>
      </c>
      <c r="D903" s="186" t="s">
        <v>3216</v>
      </c>
      <c r="E903" s="183" t="s">
        <v>1464</v>
      </c>
      <c r="F903" s="186"/>
      <c r="G903" s="187" t="s">
        <v>1519</v>
      </c>
    </row>
    <row r="904" spans="1:7" ht="37.5" x14ac:dyDescent="0.25">
      <c r="A904" s="200">
        <v>899</v>
      </c>
      <c r="B904" s="183" t="e">
        <f>DEEMSuite1&amp;" CRAC Gallery"</f>
        <v>#N/A</v>
      </c>
      <c r="C904" s="183" t="s">
        <v>2933</v>
      </c>
      <c r="D904" s="186" t="s">
        <v>3217</v>
      </c>
      <c r="E904" s="183" t="s">
        <v>1464</v>
      </c>
      <c r="F904" s="186"/>
      <c r="G904" s="187" t="s">
        <v>1519</v>
      </c>
    </row>
    <row r="905" spans="1:7" ht="37.5" x14ac:dyDescent="0.25">
      <c r="A905" s="200">
        <v>900</v>
      </c>
      <c r="B905" s="183" t="e">
        <f>DEEMSuite1&amp;" CRAC Gallery"</f>
        <v>#N/A</v>
      </c>
      <c r="C905" s="183" t="s">
        <v>2933</v>
      </c>
      <c r="D905" s="186" t="s">
        <v>3218</v>
      </c>
      <c r="E905" s="183" t="s">
        <v>1464</v>
      </c>
      <c r="F905" s="186"/>
      <c r="G905" s="187" t="s">
        <v>1519</v>
      </c>
    </row>
    <row r="906" spans="1:7" ht="37.5" x14ac:dyDescent="0.25">
      <c r="A906" s="200">
        <v>901</v>
      </c>
      <c r="B906" s="183" t="e">
        <f>DEEMSuite1&amp;" CRAC Gallery"</f>
        <v>#N/A</v>
      </c>
      <c r="C906" s="183" t="s">
        <v>2933</v>
      </c>
      <c r="D906" s="186" t="s">
        <v>2792</v>
      </c>
      <c r="E906" s="183" t="s">
        <v>1464</v>
      </c>
      <c r="F906" s="186"/>
      <c r="G906" s="187" t="s">
        <v>1519</v>
      </c>
    </row>
    <row r="907" spans="1:7" ht="75" x14ac:dyDescent="0.25">
      <c r="A907" s="200">
        <v>902</v>
      </c>
      <c r="B907" s="183" t="e">
        <f>DEEMSuite1&amp;" CRAC Gallery"</f>
        <v>#N/A</v>
      </c>
      <c r="C907" s="183" t="s">
        <v>2933</v>
      </c>
      <c r="D907" s="186" t="s">
        <v>3219</v>
      </c>
      <c r="E907" s="183" t="s">
        <v>1464</v>
      </c>
      <c r="F907" s="186"/>
      <c r="G907" s="187" t="s">
        <v>1519</v>
      </c>
    </row>
    <row r="908" spans="1:7" ht="37.5" x14ac:dyDescent="0.25">
      <c r="A908" s="200">
        <v>903</v>
      </c>
      <c r="B908" s="183" t="e">
        <f>DEEMSuite1&amp;" CRAC Gallery"</f>
        <v>#N/A</v>
      </c>
      <c r="C908" s="183" t="s">
        <v>2933</v>
      </c>
      <c r="D908" s="186" t="s">
        <v>3220</v>
      </c>
      <c r="E908" s="183" t="s">
        <v>1464</v>
      </c>
      <c r="F908" s="186"/>
      <c r="G908" s="187" t="s">
        <v>1519</v>
      </c>
    </row>
    <row r="909" spans="1:7" ht="37.5" x14ac:dyDescent="0.25">
      <c r="A909" s="200">
        <v>904</v>
      </c>
      <c r="B909" s="183" t="e">
        <f>DEEMSuite1&amp;" CRAC Gallery"</f>
        <v>#N/A</v>
      </c>
      <c r="C909" s="183" t="s">
        <v>2933</v>
      </c>
      <c r="D909" s="186" t="s">
        <v>3221</v>
      </c>
      <c r="E909" s="183" t="s">
        <v>1464</v>
      </c>
      <c r="F909" s="186"/>
      <c r="G909" s="187" t="s">
        <v>1519</v>
      </c>
    </row>
    <row r="910" spans="1:7" ht="37.5" x14ac:dyDescent="0.25">
      <c r="A910" s="200">
        <v>905</v>
      </c>
      <c r="B910" s="183" t="e">
        <f>DEEMSuite1&amp;" CRAC Gallery"</f>
        <v>#N/A</v>
      </c>
      <c r="C910" s="183" t="s">
        <v>2933</v>
      </c>
      <c r="D910" s="186" t="s">
        <v>3222</v>
      </c>
      <c r="E910" s="183" t="s">
        <v>1464</v>
      </c>
      <c r="F910" s="186"/>
      <c r="G910" s="187" t="s">
        <v>1519</v>
      </c>
    </row>
    <row r="911" spans="1:7" ht="37.5" x14ac:dyDescent="0.25">
      <c r="A911" s="200">
        <v>906</v>
      </c>
      <c r="B911" s="183" t="e">
        <f>DEEMSuite1&amp;" CRAC Gallery"</f>
        <v>#N/A</v>
      </c>
      <c r="C911" s="183" t="s">
        <v>2933</v>
      </c>
      <c r="D911" s="186" t="s">
        <v>2792</v>
      </c>
      <c r="E911" s="183" t="s">
        <v>1464</v>
      </c>
      <c r="F911" s="186"/>
      <c r="G911" s="187" t="s">
        <v>1519</v>
      </c>
    </row>
    <row r="912" spans="1:7" ht="75" x14ac:dyDescent="0.25">
      <c r="A912" s="200">
        <v>907</v>
      </c>
      <c r="B912" s="183" t="e">
        <f>DEEMSuite1&amp;" CRAC Gallery"</f>
        <v>#N/A</v>
      </c>
      <c r="C912" s="183" t="s">
        <v>2933</v>
      </c>
      <c r="D912" s="186" t="s">
        <v>3223</v>
      </c>
      <c r="E912" s="183" t="s">
        <v>1464</v>
      </c>
      <c r="F912" s="186"/>
      <c r="G912" s="187" t="s">
        <v>1519</v>
      </c>
    </row>
    <row r="913" spans="1:7" ht="37.5" x14ac:dyDescent="0.25">
      <c r="A913" s="200">
        <v>908</v>
      </c>
      <c r="B913" s="183" t="e">
        <f>DEEMSuite1&amp;" CRAC Gallery"</f>
        <v>#N/A</v>
      </c>
      <c r="C913" s="183" t="s">
        <v>2933</v>
      </c>
      <c r="D913" s="186" t="s">
        <v>3224</v>
      </c>
      <c r="E913" s="183" t="s">
        <v>1464</v>
      </c>
      <c r="F913" s="186"/>
      <c r="G913" s="187" t="s">
        <v>1519</v>
      </c>
    </row>
    <row r="914" spans="1:7" ht="37.5" x14ac:dyDescent="0.25">
      <c r="A914" s="200">
        <v>909</v>
      </c>
      <c r="B914" s="183" t="e">
        <f>DEEMSuite1&amp;" CRAC Gallery"</f>
        <v>#N/A</v>
      </c>
      <c r="C914" s="183" t="s">
        <v>2933</v>
      </c>
      <c r="D914" s="186" t="s">
        <v>3225</v>
      </c>
      <c r="E914" s="183" t="s">
        <v>1464</v>
      </c>
      <c r="F914" s="186"/>
      <c r="G914" s="187" t="s">
        <v>1519</v>
      </c>
    </row>
    <row r="915" spans="1:7" ht="37.5" x14ac:dyDescent="0.25">
      <c r="A915" s="200">
        <v>910</v>
      </c>
      <c r="B915" s="183" t="e">
        <f>DEEMSuite1&amp;" CRAC Gallery"</f>
        <v>#N/A</v>
      </c>
      <c r="C915" s="183" t="s">
        <v>2933</v>
      </c>
      <c r="D915" s="186" t="s">
        <v>3226</v>
      </c>
      <c r="E915" s="183" t="s">
        <v>1464</v>
      </c>
      <c r="F915" s="186"/>
      <c r="G915" s="187" t="s">
        <v>1519</v>
      </c>
    </row>
    <row r="916" spans="1:7" ht="37.5" x14ac:dyDescent="0.25">
      <c r="A916" s="200">
        <v>911</v>
      </c>
      <c r="B916" s="183" t="e">
        <f>DEEMSuite1&amp;" CRAC Gallery"</f>
        <v>#N/A</v>
      </c>
      <c r="C916" s="183" t="s">
        <v>2933</v>
      </c>
      <c r="D916" s="186" t="s">
        <v>2792</v>
      </c>
      <c r="E916" s="183" t="s">
        <v>1464</v>
      </c>
      <c r="F916" s="186"/>
      <c r="G916" s="187" t="s">
        <v>1519</v>
      </c>
    </row>
    <row r="917" spans="1:7" ht="75" x14ac:dyDescent="0.25">
      <c r="A917" s="200">
        <v>912</v>
      </c>
      <c r="B917" s="183" t="e">
        <f>DEEMSuite1&amp;" CRAC Gallery"</f>
        <v>#N/A</v>
      </c>
      <c r="C917" s="183" t="s">
        <v>2933</v>
      </c>
      <c r="D917" s="186" t="s">
        <v>3227</v>
      </c>
      <c r="E917" s="183" t="s">
        <v>1464</v>
      </c>
      <c r="F917" s="186"/>
      <c r="G917" s="187" t="s">
        <v>1519</v>
      </c>
    </row>
    <row r="918" spans="1:7" ht="37.5" x14ac:dyDescent="0.25">
      <c r="A918" s="200">
        <v>913</v>
      </c>
      <c r="B918" s="183" t="e">
        <f>DEEMSuite1&amp;" CRAC Gallery"</f>
        <v>#N/A</v>
      </c>
      <c r="C918" s="183" t="s">
        <v>2933</v>
      </c>
      <c r="D918" s="186" t="s">
        <v>3228</v>
      </c>
      <c r="E918" s="183" t="s">
        <v>1464</v>
      </c>
      <c r="F918" s="186"/>
      <c r="G918" s="187" t="s">
        <v>1519</v>
      </c>
    </row>
    <row r="919" spans="1:7" ht="37.5" x14ac:dyDescent="0.25">
      <c r="A919" s="200">
        <v>914</v>
      </c>
      <c r="B919" s="183" t="e">
        <f>DEEMSuite1&amp;" CRAC Gallery"</f>
        <v>#N/A</v>
      </c>
      <c r="C919" s="183" t="s">
        <v>2933</v>
      </c>
      <c r="D919" s="186" t="s">
        <v>3229</v>
      </c>
      <c r="E919" s="183" t="s">
        <v>1464</v>
      </c>
      <c r="F919" s="186"/>
      <c r="G919" s="187" t="s">
        <v>1519</v>
      </c>
    </row>
    <row r="920" spans="1:7" ht="37.5" x14ac:dyDescent="0.25">
      <c r="A920" s="200">
        <v>915</v>
      </c>
      <c r="B920" s="183" t="e">
        <f>DEEMSuite1&amp;" CRAC Gallery"</f>
        <v>#N/A</v>
      </c>
      <c r="C920" s="183" t="s">
        <v>2933</v>
      </c>
      <c r="D920" s="186" t="s">
        <v>3230</v>
      </c>
      <c r="E920" s="183" t="s">
        <v>1464</v>
      </c>
      <c r="F920" s="186"/>
      <c r="G920" s="187" t="s">
        <v>1519</v>
      </c>
    </row>
    <row r="921" spans="1:7" ht="37.5" x14ac:dyDescent="0.25">
      <c r="A921" s="200">
        <v>916</v>
      </c>
      <c r="B921" s="183" t="e">
        <f>DEEMSuite1&amp;" CRAC Gallery"</f>
        <v>#N/A</v>
      </c>
      <c r="C921" s="183" t="s">
        <v>2933</v>
      </c>
      <c r="D921" s="186" t="s">
        <v>2792</v>
      </c>
      <c r="E921" s="183" t="s">
        <v>1464</v>
      </c>
      <c r="F921" s="186"/>
      <c r="G921" s="187" t="s">
        <v>1519</v>
      </c>
    </row>
    <row r="922" spans="1:7" ht="75" x14ac:dyDescent="0.25">
      <c r="A922" s="200">
        <v>917</v>
      </c>
      <c r="B922" s="183" t="e">
        <f>DEEMSuite1&amp;" CRAC Gallery"</f>
        <v>#N/A</v>
      </c>
      <c r="C922" s="183" t="s">
        <v>2933</v>
      </c>
      <c r="D922" s="186" t="s">
        <v>3231</v>
      </c>
      <c r="E922" s="183" t="s">
        <v>1464</v>
      </c>
      <c r="F922" s="186"/>
      <c r="G922" s="187" t="s">
        <v>1519</v>
      </c>
    </row>
    <row r="923" spans="1:7" ht="37.5" x14ac:dyDescent="0.25">
      <c r="A923" s="200">
        <v>918</v>
      </c>
      <c r="B923" s="183" t="e">
        <f>DEEMSuite1&amp;" CRAC Gallery"</f>
        <v>#N/A</v>
      </c>
      <c r="C923" s="183" t="s">
        <v>2933</v>
      </c>
      <c r="D923" s="186" t="s">
        <v>3232</v>
      </c>
      <c r="E923" s="183" t="s">
        <v>1464</v>
      </c>
      <c r="F923" s="186"/>
      <c r="G923" s="187" t="s">
        <v>1519</v>
      </c>
    </row>
    <row r="924" spans="1:7" ht="37.5" x14ac:dyDescent="0.25">
      <c r="A924" s="200">
        <v>919</v>
      </c>
      <c r="B924" s="183" t="e">
        <f>DEEMSuite1&amp;" CRAC Gallery"</f>
        <v>#N/A</v>
      </c>
      <c r="C924" s="183" t="s">
        <v>2933</v>
      </c>
      <c r="D924" s="186" t="s">
        <v>3233</v>
      </c>
      <c r="E924" s="183" t="s">
        <v>1464</v>
      </c>
      <c r="F924" s="186"/>
      <c r="G924" s="187" t="s">
        <v>1519</v>
      </c>
    </row>
    <row r="925" spans="1:7" ht="37.5" x14ac:dyDescent="0.25">
      <c r="A925" s="200">
        <v>920</v>
      </c>
      <c r="B925" s="183" t="e">
        <f>DEEMSuite1&amp;" CRAC Gallery"</f>
        <v>#N/A</v>
      </c>
      <c r="C925" s="183" t="s">
        <v>2933</v>
      </c>
      <c r="D925" s="186" t="s">
        <v>3234</v>
      </c>
      <c r="E925" s="183" t="s">
        <v>1464</v>
      </c>
      <c r="F925" s="186"/>
      <c r="G925" s="187" t="s">
        <v>1519</v>
      </c>
    </row>
    <row r="926" spans="1:7" ht="37.5" x14ac:dyDescent="0.25">
      <c r="A926" s="200">
        <v>921</v>
      </c>
      <c r="B926" s="183" t="e">
        <f>DEEMSuite1&amp;" CRAC Gallery"</f>
        <v>#N/A</v>
      </c>
      <c r="C926" s="183" t="s">
        <v>2933</v>
      </c>
      <c r="D926" s="186" t="s">
        <v>2792</v>
      </c>
      <c r="E926" s="183" t="s">
        <v>1464</v>
      </c>
      <c r="F926" s="186"/>
      <c r="G926" s="187" t="s">
        <v>1519</v>
      </c>
    </row>
    <row r="927" spans="1:7" ht="75" x14ac:dyDescent="0.25">
      <c r="A927" s="200">
        <v>922</v>
      </c>
      <c r="B927" s="183" t="e">
        <f>DEEMSuite1&amp;" CRAC Gallery"</f>
        <v>#N/A</v>
      </c>
      <c r="C927" s="183" t="s">
        <v>2933</v>
      </c>
      <c r="D927" s="186" t="s">
        <v>3235</v>
      </c>
      <c r="E927" s="183" t="s">
        <v>1464</v>
      </c>
      <c r="F927" s="186"/>
      <c r="G927" s="187" t="s">
        <v>1519</v>
      </c>
    </row>
    <row r="928" spans="1:7" ht="37.5" x14ac:dyDescent="0.25">
      <c r="A928" s="200">
        <v>923</v>
      </c>
      <c r="B928" s="183" t="e">
        <f>DEEMSuite1&amp;" CRAC Gallery"</f>
        <v>#N/A</v>
      </c>
      <c r="C928" s="183" t="s">
        <v>2933</v>
      </c>
      <c r="D928" s="186" t="s">
        <v>3236</v>
      </c>
      <c r="E928" s="183" t="s">
        <v>1464</v>
      </c>
      <c r="F928" s="186"/>
      <c r="G928" s="187" t="s">
        <v>1519</v>
      </c>
    </row>
    <row r="929" spans="1:7" ht="37.5" x14ac:dyDescent="0.25">
      <c r="A929" s="200">
        <v>924</v>
      </c>
      <c r="B929" s="183" t="e">
        <f>DEEMSuite1&amp;" CRAC Gallery"</f>
        <v>#N/A</v>
      </c>
      <c r="C929" s="183" t="s">
        <v>2933</v>
      </c>
      <c r="D929" s="186" t="s">
        <v>3237</v>
      </c>
      <c r="E929" s="183" t="s">
        <v>1464</v>
      </c>
      <c r="F929" s="186"/>
      <c r="G929" s="187" t="s">
        <v>1519</v>
      </c>
    </row>
    <row r="930" spans="1:7" ht="37.5" x14ac:dyDescent="0.25">
      <c r="A930" s="200">
        <v>925</v>
      </c>
      <c r="B930" s="183" t="e">
        <f>DEEMSuite1&amp;" CRAC Gallery"</f>
        <v>#N/A</v>
      </c>
      <c r="C930" s="183" t="s">
        <v>2933</v>
      </c>
      <c r="D930" s="186" t="s">
        <v>3238</v>
      </c>
      <c r="E930" s="183" t="s">
        <v>1464</v>
      </c>
      <c r="F930" s="186"/>
      <c r="G930" s="187" t="s">
        <v>1519</v>
      </c>
    </row>
    <row r="931" spans="1:7" ht="37.5" x14ac:dyDescent="0.25">
      <c r="A931" s="200">
        <v>926</v>
      </c>
      <c r="B931" s="183" t="e">
        <f>DEEMSuite1&amp;" CRAC Gallery"</f>
        <v>#N/A</v>
      </c>
      <c r="C931" s="183" t="s">
        <v>2933</v>
      </c>
      <c r="D931" s="186" t="s">
        <v>2792</v>
      </c>
      <c r="E931" s="183" t="s">
        <v>1464</v>
      </c>
      <c r="F931" s="186"/>
      <c r="G931" s="187" t="s">
        <v>1519</v>
      </c>
    </row>
    <row r="932" spans="1:7" ht="75" x14ac:dyDescent="0.25">
      <c r="A932" s="200">
        <v>927</v>
      </c>
      <c r="B932" s="183" t="e">
        <f>DEEMSuite1&amp;" CRAC Gallery"</f>
        <v>#N/A</v>
      </c>
      <c r="C932" s="183" t="s">
        <v>2933</v>
      </c>
      <c r="D932" s="186" t="s">
        <v>3239</v>
      </c>
      <c r="E932" s="183" t="s">
        <v>1464</v>
      </c>
      <c r="F932" s="186"/>
      <c r="G932" s="187" t="s">
        <v>1519</v>
      </c>
    </row>
    <row r="933" spans="1:7" ht="37.5" x14ac:dyDescent="0.25">
      <c r="A933" s="200">
        <v>928</v>
      </c>
      <c r="B933" s="183" t="e">
        <f>DEEMSuite1&amp;" CRAC Gallery"</f>
        <v>#N/A</v>
      </c>
      <c r="C933" s="183" t="s">
        <v>2933</v>
      </c>
      <c r="D933" s="186" t="s">
        <v>3240</v>
      </c>
      <c r="E933" s="183" t="s">
        <v>1464</v>
      </c>
      <c r="F933" s="186"/>
      <c r="G933" s="187" t="s">
        <v>1519</v>
      </c>
    </row>
    <row r="934" spans="1:7" ht="37.5" x14ac:dyDescent="0.25">
      <c r="A934" s="200">
        <v>929</v>
      </c>
      <c r="B934" s="183" t="e">
        <f>DEEMSuite1&amp;" CRAC Gallery"</f>
        <v>#N/A</v>
      </c>
      <c r="C934" s="183" t="s">
        <v>2933</v>
      </c>
      <c r="D934" s="186" t="s">
        <v>3241</v>
      </c>
      <c r="E934" s="183" t="s">
        <v>1464</v>
      </c>
      <c r="F934" s="186"/>
      <c r="G934" s="187" t="s">
        <v>1519</v>
      </c>
    </row>
    <row r="935" spans="1:7" ht="37.5" x14ac:dyDescent="0.25">
      <c r="A935" s="200">
        <v>930</v>
      </c>
      <c r="B935" s="183" t="e">
        <f>DEEMSuite1&amp;" CRAC Gallery"</f>
        <v>#N/A</v>
      </c>
      <c r="C935" s="183" t="s">
        <v>2934</v>
      </c>
      <c r="D935" s="186" t="s">
        <v>3242</v>
      </c>
      <c r="E935" s="183" t="s">
        <v>1464</v>
      </c>
      <c r="F935" s="186"/>
      <c r="G935" s="187" t="s">
        <v>1519</v>
      </c>
    </row>
    <row r="936" spans="1:7" ht="37.5" x14ac:dyDescent="0.25">
      <c r="A936" s="200">
        <v>931</v>
      </c>
      <c r="B936" s="183" t="e">
        <f>DEEMSuite1&amp;" CRAC Gallery"</f>
        <v>#N/A</v>
      </c>
      <c r="C936" s="183" t="s">
        <v>2934</v>
      </c>
      <c r="D936" s="186" t="s">
        <v>3243</v>
      </c>
      <c r="E936" s="183" t="s">
        <v>1464</v>
      </c>
      <c r="F936" s="186"/>
      <c r="G936" s="187" t="s">
        <v>1519</v>
      </c>
    </row>
    <row r="937" spans="1:7" ht="37.5" x14ac:dyDescent="0.25">
      <c r="A937" s="200">
        <v>932</v>
      </c>
      <c r="B937" s="183" t="e">
        <f>DEEMSuite1&amp;" CRAC Gallery"</f>
        <v>#N/A</v>
      </c>
      <c r="C937" s="183" t="s">
        <v>2934</v>
      </c>
      <c r="D937" s="186" t="s">
        <v>3244</v>
      </c>
      <c r="E937" s="183" t="s">
        <v>1464</v>
      </c>
      <c r="F937" s="186"/>
      <c r="G937" s="187" t="s">
        <v>1519</v>
      </c>
    </row>
    <row r="938" spans="1:7" ht="37.5" x14ac:dyDescent="0.25">
      <c r="A938" s="200">
        <v>933</v>
      </c>
      <c r="B938" s="183" t="e">
        <f>DEEMSuite1&amp;" CRAC Gallery"</f>
        <v>#N/A</v>
      </c>
      <c r="C938" s="183" t="s">
        <v>2934</v>
      </c>
      <c r="D938" s="186" t="s">
        <v>3245</v>
      </c>
      <c r="E938" s="183" t="s">
        <v>1464</v>
      </c>
      <c r="F938" s="186"/>
      <c r="G938" s="187" t="s">
        <v>1519</v>
      </c>
    </row>
    <row r="939" spans="1:7" ht="37.5" x14ac:dyDescent="0.25">
      <c r="A939" s="200">
        <v>934</v>
      </c>
      <c r="B939" s="183" t="e">
        <f>DEEMSuite1&amp;" CRAC Gallery"</f>
        <v>#N/A</v>
      </c>
      <c r="C939" s="183" t="s">
        <v>2934</v>
      </c>
      <c r="D939" s="186" t="s">
        <v>3246</v>
      </c>
      <c r="E939" s="183" t="s">
        <v>1464</v>
      </c>
      <c r="F939" s="186"/>
      <c r="G939" s="187" t="s">
        <v>1519</v>
      </c>
    </row>
    <row r="940" spans="1:7" ht="37.5" x14ac:dyDescent="0.25">
      <c r="A940" s="200">
        <v>935</v>
      </c>
      <c r="B940" s="183" t="e">
        <f>DEEMSuite1&amp;" CRAC Gallery"</f>
        <v>#N/A</v>
      </c>
      <c r="C940" s="183" t="s">
        <v>2934</v>
      </c>
      <c r="D940" s="186" t="s">
        <v>2792</v>
      </c>
      <c r="E940" s="183" t="s">
        <v>1464</v>
      </c>
      <c r="F940" s="186"/>
      <c r="G940" s="187" t="s">
        <v>1519</v>
      </c>
    </row>
    <row r="941" spans="1:7" ht="75" x14ac:dyDescent="0.25">
      <c r="A941" s="200">
        <v>936</v>
      </c>
      <c r="B941" s="183" t="e">
        <f>DEEMSuite1&amp;" CRAC Gallery"</f>
        <v>#N/A</v>
      </c>
      <c r="C941" s="183" t="s">
        <v>2934</v>
      </c>
      <c r="D941" s="186" t="s">
        <v>3247</v>
      </c>
      <c r="E941" s="183" t="s">
        <v>1464</v>
      </c>
      <c r="F941" s="186"/>
      <c r="G941" s="187" t="s">
        <v>1519</v>
      </c>
    </row>
    <row r="942" spans="1:7" ht="37.5" x14ac:dyDescent="0.25">
      <c r="A942" s="200">
        <v>937</v>
      </c>
      <c r="B942" s="183" t="e">
        <f>DEEMSuite1&amp;" CRAC Gallery"</f>
        <v>#N/A</v>
      </c>
      <c r="C942" s="183" t="s">
        <v>2934</v>
      </c>
      <c r="D942" s="186" t="s">
        <v>3248</v>
      </c>
      <c r="E942" s="183" t="s">
        <v>1464</v>
      </c>
      <c r="F942" s="186"/>
      <c r="G942" s="187" t="s">
        <v>1519</v>
      </c>
    </row>
    <row r="943" spans="1:7" ht="37.5" x14ac:dyDescent="0.25">
      <c r="A943" s="200">
        <v>938</v>
      </c>
      <c r="B943" s="183" t="e">
        <f>DEEMSuite1&amp;" CRAC Gallery"</f>
        <v>#N/A</v>
      </c>
      <c r="C943" s="183" t="s">
        <v>2934</v>
      </c>
      <c r="D943" s="186" t="s">
        <v>3249</v>
      </c>
      <c r="E943" s="183" t="s">
        <v>1464</v>
      </c>
      <c r="F943" s="186"/>
      <c r="G943" s="187" t="s">
        <v>1519</v>
      </c>
    </row>
    <row r="944" spans="1:7" ht="37.5" x14ac:dyDescent="0.25">
      <c r="A944" s="200">
        <v>939</v>
      </c>
      <c r="B944" s="183" t="e">
        <f>DEEMSuite1&amp;" CRAC Gallery"</f>
        <v>#N/A</v>
      </c>
      <c r="C944" s="183" t="s">
        <v>2934</v>
      </c>
      <c r="D944" s="186" t="s">
        <v>3250</v>
      </c>
      <c r="E944" s="183" t="s">
        <v>1464</v>
      </c>
      <c r="F944" s="186"/>
      <c r="G944" s="187" t="s">
        <v>1519</v>
      </c>
    </row>
    <row r="945" spans="1:7" ht="37.5" x14ac:dyDescent="0.25">
      <c r="A945" s="200">
        <v>940</v>
      </c>
      <c r="B945" s="183" t="e">
        <f>DEEMSuite1&amp;" CRAC Gallery"</f>
        <v>#N/A</v>
      </c>
      <c r="C945" s="183" t="s">
        <v>2934</v>
      </c>
      <c r="D945" s="186" t="s">
        <v>2792</v>
      </c>
      <c r="E945" s="183" t="s">
        <v>1464</v>
      </c>
      <c r="F945" s="186"/>
      <c r="G945" s="187" t="s">
        <v>1519</v>
      </c>
    </row>
    <row r="946" spans="1:7" ht="75" x14ac:dyDescent="0.25">
      <c r="A946" s="200">
        <v>941</v>
      </c>
      <c r="B946" s="183" t="e">
        <f>DEEMSuite1&amp;" CRAC Gallery"</f>
        <v>#N/A</v>
      </c>
      <c r="C946" s="183" t="s">
        <v>2934</v>
      </c>
      <c r="D946" s="186" t="s">
        <v>3251</v>
      </c>
      <c r="E946" s="183" t="s">
        <v>1464</v>
      </c>
      <c r="F946" s="186"/>
      <c r="G946" s="187" t="s">
        <v>1519</v>
      </c>
    </row>
    <row r="947" spans="1:7" ht="37.5" x14ac:dyDescent="0.25">
      <c r="A947" s="200">
        <v>942</v>
      </c>
      <c r="B947" s="183" t="e">
        <f>DEEMSuite1&amp;" CRAC Gallery"</f>
        <v>#N/A</v>
      </c>
      <c r="C947" s="183" t="s">
        <v>2934</v>
      </c>
      <c r="D947" s="186" t="s">
        <v>3252</v>
      </c>
      <c r="E947" s="183" t="s">
        <v>1464</v>
      </c>
      <c r="F947" s="186"/>
      <c r="G947" s="187" t="s">
        <v>1519</v>
      </c>
    </row>
    <row r="948" spans="1:7" ht="37.5" x14ac:dyDescent="0.25">
      <c r="A948" s="200">
        <v>943</v>
      </c>
      <c r="B948" s="183" t="e">
        <f>DEEMSuite1&amp;" CRAC Gallery"</f>
        <v>#N/A</v>
      </c>
      <c r="C948" s="183" t="s">
        <v>2934</v>
      </c>
      <c r="D948" s="186" t="s">
        <v>3253</v>
      </c>
      <c r="E948" s="183" t="s">
        <v>1464</v>
      </c>
      <c r="F948" s="186"/>
      <c r="G948" s="187" t="s">
        <v>1519</v>
      </c>
    </row>
    <row r="949" spans="1:7" ht="37.5" x14ac:dyDescent="0.25">
      <c r="A949" s="200">
        <v>944</v>
      </c>
      <c r="B949" s="183" t="e">
        <f>DEEMSuite1&amp;" CRAC Gallery"</f>
        <v>#N/A</v>
      </c>
      <c r="C949" s="183" t="s">
        <v>2934</v>
      </c>
      <c r="D949" s="186" t="s">
        <v>3254</v>
      </c>
      <c r="E949" s="183" t="s">
        <v>1464</v>
      </c>
      <c r="F949" s="186"/>
      <c r="G949" s="187" t="s">
        <v>1519</v>
      </c>
    </row>
    <row r="950" spans="1:7" ht="37.5" x14ac:dyDescent="0.25">
      <c r="A950" s="200">
        <v>945</v>
      </c>
      <c r="B950" s="183" t="e">
        <f>DEEMSuite1&amp;" CRAC Gallery"</f>
        <v>#N/A</v>
      </c>
      <c r="C950" s="183" t="s">
        <v>2934</v>
      </c>
      <c r="D950" s="186" t="s">
        <v>2792</v>
      </c>
      <c r="E950" s="183" t="s">
        <v>1464</v>
      </c>
      <c r="F950" s="186"/>
      <c r="G950" s="187" t="s">
        <v>1519</v>
      </c>
    </row>
    <row r="951" spans="1:7" ht="75" x14ac:dyDescent="0.25">
      <c r="A951" s="200">
        <v>946</v>
      </c>
      <c r="B951" s="183" t="e">
        <f>DEEMSuite1&amp;" CRAC Gallery"</f>
        <v>#N/A</v>
      </c>
      <c r="C951" s="183" t="s">
        <v>2934</v>
      </c>
      <c r="D951" s="186" t="s">
        <v>3255</v>
      </c>
      <c r="E951" s="183" t="s">
        <v>1464</v>
      </c>
      <c r="F951" s="186"/>
      <c r="G951" s="187" t="s">
        <v>1519</v>
      </c>
    </row>
    <row r="952" spans="1:7" ht="37.5" x14ac:dyDescent="0.25">
      <c r="A952" s="200">
        <v>947</v>
      </c>
      <c r="B952" s="183" t="e">
        <f>DEEMSuite1&amp;" CRAC Gallery"</f>
        <v>#N/A</v>
      </c>
      <c r="C952" s="183" t="s">
        <v>2934</v>
      </c>
      <c r="D952" s="186" t="s">
        <v>3256</v>
      </c>
      <c r="E952" s="183" t="s">
        <v>1464</v>
      </c>
      <c r="F952" s="186"/>
      <c r="G952" s="187" t="s">
        <v>1519</v>
      </c>
    </row>
    <row r="953" spans="1:7" ht="37.5" x14ac:dyDescent="0.25">
      <c r="A953" s="200">
        <v>948</v>
      </c>
      <c r="B953" s="183" t="e">
        <f>DEEMSuite1&amp;" CRAC Gallery"</f>
        <v>#N/A</v>
      </c>
      <c r="C953" s="183" t="s">
        <v>2934</v>
      </c>
      <c r="D953" s="186" t="s">
        <v>3257</v>
      </c>
      <c r="E953" s="183" t="s">
        <v>1464</v>
      </c>
      <c r="F953" s="186"/>
      <c r="G953" s="187" t="s">
        <v>1519</v>
      </c>
    </row>
    <row r="954" spans="1:7" ht="37.5" x14ac:dyDescent="0.25">
      <c r="A954" s="200">
        <v>949</v>
      </c>
      <c r="B954" s="183" t="e">
        <f>DEEMSuite1&amp;" CRAC Gallery"</f>
        <v>#N/A</v>
      </c>
      <c r="C954" s="183" t="s">
        <v>2934</v>
      </c>
      <c r="D954" s="186" t="s">
        <v>3258</v>
      </c>
      <c r="E954" s="183" t="s">
        <v>1464</v>
      </c>
      <c r="F954" s="186"/>
      <c r="G954" s="187" t="s">
        <v>1519</v>
      </c>
    </row>
    <row r="955" spans="1:7" ht="37.5" x14ac:dyDescent="0.25">
      <c r="A955" s="200">
        <v>950</v>
      </c>
      <c r="B955" s="183" t="e">
        <f>DEEMSuite1&amp;" CRAC Gallery"</f>
        <v>#N/A</v>
      </c>
      <c r="C955" s="183" t="s">
        <v>2934</v>
      </c>
      <c r="D955" s="186" t="s">
        <v>2792</v>
      </c>
      <c r="E955" s="183" t="s">
        <v>1464</v>
      </c>
      <c r="F955" s="186"/>
      <c r="G955" s="187" t="s">
        <v>1519</v>
      </c>
    </row>
    <row r="956" spans="1:7" ht="75" x14ac:dyDescent="0.25">
      <c r="A956" s="200">
        <v>951</v>
      </c>
      <c r="B956" s="183" t="e">
        <f>DEEMSuite1&amp;" CRAC Gallery"</f>
        <v>#N/A</v>
      </c>
      <c r="C956" s="183" t="s">
        <v>2934</v>
      </c>
      <c r="D956" s="186" t="s">
        <v>3259</v>
      </c>
      <c r="E956" s="183" t="s">
        <v>1464</v>
      </c>
      <c r="F956" s="186"/>
      <c r="G956" s="187" t="s">
        <v>1519</v>
      </c>
    </row>
    <row r="957" spans="1:7" ht="37.5" x14ac:dyDescent="0.25">
      <c r="A957" s="200">
        <v>952</v>
      </c>
      <c r="B957" s="183" t="e">
        <f>DEEMSuite1&amp;" CRAC Gallery"</f>
        <v>#N/A</v>
      </c>
      <c r="C957" s="183" t="s">
        <v>2934</v>
      </c>
      <c r="D957" s="186" t="s">
        <v>3260</v>
      </c>
      <c r="E957" s="183" t="s">
        <v>1464</v>
      </c>
      <c r="F957" s="186"/>
      <c r="G957" s="187" t="s">
        <v>1519</v>
      </c>
    </row>
    <row r="958" spans="1:7" ht="37.5" x14ac:dyDescent="0.25">
      <c r="A958" s="200">
        <v>953</v>
      </c>
      <c r="B958" s="183" t="e">
        <f>DEEMSuite1&amp;" CRAC Gallery"</f>
        <v>#N/A</v>
      </c>
      <c r="C958" s="183" t="s">
        <v>2934</v>
      </c>
      <c r="D958" s="186" t="s">
        <v>3261</v>
      </c>
      <c r="E958" s="183" t="s">
        <v>1464</v>
      </c>
      <c r="F958" s="186"/>
      <c r="G958" s="187" t="s">
        <v>1519</v>
      </c>
    </row>
    <row r="959" spans="1:7" ht="37.5" x14ac:dyDescent="0.25">
      <c r="A959" s="200">
        <v>954</v>
      </c>
      <c r="B959" s="183" t="e">
        <f>DEEMSuite1&amp;" CRAC Gallery"</f>
        <v>#N/A</v>
      </c>
      <c r="C959" s="183" t="s">
        <v>2934</v>
      </c>
      <c r="D959" s="186" t="s">
        <v>3262</v>
      </c>
      <c r="E959" s="183" t="s">
        <v>1464</v>
      </c>
      <c r="F959" s="186"/>
      <c r="G959" s="187" t="s">
        <v>1519</v>
      </c>
    </row>
    <row r="960" spans="1:7" ht="37.5" x14ac:dyDescent="0.25">
      <c r="A960" s="200">
        <v>955</v>
      </c>
      <c r="B960" s="183" t="e">
        <f>DEEMSuite1&amp;" CRAC Gallery"</f>
        <v>#N/A</v>
      </c>
      <c r="C960" s="183" t="s">
        <v>2934</v>
      </c>
      <c r="D960" s="186" t="s">
        <v>2792</v>
      </c>
      <c r="E960" s="183" t="s">
        <v>1464</v>
      </c>
      <c r="F960" s="186"/>
      <c r="G960" s="187" t="s">
        <v>1519</v>
      </c>
    </row>
    <row r="961" spans="1:7" ht="75" x14ac:dyDescent="0.25">
      <c r="A961" s="200">
        <v>956</v>
      </c>
      <c r="B961" s="183" t="e">
        <f>DEEMSuite1&amp;" CRAC Gallery"</f>
        <v>#N/A</v>
      </c>
      <c r="C961" s="183" t="s">
        <v>2934</v>
      </c>
      <c r="D961" s="186" t="s">
        <v>3263</v>
      </c>
      <c r="E961" s="183" t="s">
        <v>1464</v>
      </c>
      <c r="F961" s="186"/>
      <c r="G961" s="187" t="s">
        <v>1519</v>
      </c>
    </row>
    <row r="962" spans="1:7" ht="37.5" x14ac:dyDescent="0.25">
      <c r="A962" s="200">
        <v>957</v>
      </c>
      <c r="B962" s="183" t="e">
        <f>DEEMSuite1&amp;" CRAC Gallery"</f>
        <v>#N/A</v>
      </c>
      <c r="C962" s="183" t="s">
        <v>2934</v>
      </c>
      <c r="D962" s="186" t="s">
        <v>3264</v>
      </c>
      <c r="E962" s="183" t="s">
        <v>1464</v>
      </c>
      <c r="F962" s="186"/>
      <c r="G962" s="187" t="s">
        <v>1519</v>
      </c>
    </row>
    <row r="963" spans="1:7" ht="37.5" x14ac:dyDescent="0.25">
      <c r="A963" s="200">
        <v>958</v>
      </c>
      <c r="B963" s="183" t="e">
        <f>DEEMSuite1&amp;" CRAC Gallery"</f>
        <v>#N/A</v>
      </c>
      <c r="C963" s="183" t="s">
        <v>2934</v>
      </c>
      <c r="D963" s="186" t="s">
        <v>3265</v>
      </c>
      <c r="E963" s="183" t="s">
        <v>1464</v>
      </c>
      <c r="F963" s="186"/>
      <c r="G963" s="187" t="s">
        <v>1519</v>
      </c>
    </row>
    <row r="964" spans="1:7" ht="37.5" x14ac:dyDescent="0.25">
      <c r="A964" s="200">
        <v>959</v>
      </c>
      <c r="B964" s="183" t="e">
        <f>DEEMSuite1&amp;" CRAC Gallery"</f>
        <v>#N/A</v>
      </c>
      <c r="C964" s="183" t="s">
        <v>2934</v>
      </c>
      <c r="D964" s="186" t="s">
        <v>3266</v>
      </c>
      <c r="E964" s="183" t="s">
        <v>1464</v>
      </c>
      <c r="F964" s="186"/>
      <c r="G964" s="187" t="s">
        <v>1519</v>
      </c>
    </row>
    <row r="965" spans="1:7" ht="37.5" x14ac:dyDescent="0.25">
      <c r="A965" s="200">
        <v>960</v>
      </c>
      <c r="B965" s="183" t="e">
        <f>DEEMSuite1&amp;" CRAC Gallery"</f>
        <v>#N/A</v>
      </c>
      <c r="C965" s="183" t="s">
        <v>2934</v>
      </c>
      <c r="D965" s="186" t="s">
        <v>2792</v>
      </c>
      <c r="E965" s="183" t="s">
        <v>1464</v>
      </c>
      <c r="F965" s="186"/>
      <c r="G965" s="187" t="s">
        <v>1519</v>
      </c>
    </row>
    <row r="966" spans="1:7" ht="75" x14ac:dyDescent="0.25">
      <c r="A966" s="200">
        <v>961</v>
      </c>
      <c r="B966" s="183" t="e">
        <f>DEEMSuite1&amp;" CRAC Gallery"</f>
        <v>#N/A</v>
      </c>
      <c r="C966" s="183" t="s">
        <v>2934</v>
      </c>
      <c r="D966" s="186" t="s">
        <v>3267</v>
      </c>
      <c r="E966" s="183" t="s">
        <v>1464</v>
      </c>
      <c r="F966" s="186"/>
      <c r="G966" s="187" t="s">
        <v>1519</v>
      </c>
    </row>
    <row r="967" spans="1:7" ht="37.5" x14ac:dyDescent="0.25">
      <c r="A967" s="200">
        <v>962</v>
      </c>
      <c r="B967" s="183" t="e">
        <f>DEEMSuite1&amp;" CRAC Gallery"</f>
        <v>#N/A</v>
      </c>
      <c r="C967" s="183" t="s">
        <v>2934</v>
      </c>
      <c r="D967" s="186" t="s">
        <v>3268</v>
      </c>
      <c r="E967" s="183" t="s">
        <v>1464</v>
      </c>
      <c r="F967" s="186"/>
      <c r="G967" s="187" t="s">
        <v>1519</v>
      </c>
    </row>
    <row r="968" spans="1:7" ht="37.5" x14ac:dyDescent="0.25">
      <c r="A968" s="200">
        <v>963</v>
      </c>
      <c r="B968" s="183" t="e">
        <f>DEEMSuite1&amp;" CRAC Gallery"</f>
        <v>#N/A</v>
      </c>
      <c r="C968" s="183" t="s">
        <v>2934</v>
      </c>
      <c r="D968" s="186" t="s">
        <v>3269</v>
      </c>
      <c r="E968" s="183" t="s">
        <v>1464</v>
      </c>
      <c r="F968" s="186"/>
      <c r="G968" s="187" t="s">
        <v>1519</v>
      </c>
    </row>
    <row r="969" spans="1:7" ht="37.5" x14ac:dyDescent="0.25">
      <c r="A969" s="200">
        <v>964</v>
      </c>
      <c r="B969" s="183" t="e">
        <f>DEEMSuite1&amp;" CRAC Gallery"</f>
        <v>#N/A</v>
      </c>
      <c r="C969" s="183" t="s">
        <v>2935</v>
      </c>
      <c r="D969" s="186" t="s">
        <v>3270</v>
      </c>
      <c r="E969" s="183" t="s">
        <v>1464</v>
      </c>
      <c r="F969" s="186"/>
      <c r="G969" s="187" t="s">
        <v>1519</v>
      </c>
    </row>
    <row r="970" spans="1:7" ht="37.5" x14ac:dyDescent="0.25">
      <c r="A970" s="200">
        <v>965</v>
      </c>
      <c r="B970" s="183" t="e">
        <f>DEEMSuite1&amp;" CRAC Gallery"</f>
        <v>#N/A</v>
      </c>
      <c r="C970" s="183" t="s">
        <v>2935</v>
      </c>
      <c r="D970" s="186" t="s">
        <v>3271</v>
      </c>
      <c r="E970" s="183" t="s">
        <v>1464</v>
      </c>
      <c r="F970" s="186"/>
      <c r="G970" s="187" t="s">
        <v>1519</v>
      </c>
    </row>
    <row r="971" spans="1:7" ht="37.5" x14ac:dyDescent="0.25">
      <c r="A971" s="200">
        <v>966</v>
      </c>
      <c r="B971" s="183" t="e">
        <f>DEEMSuite1&amp;" CRAC Gallery"</f>
        <v>#N/A</v>
      </c>
      <c r="C971" s="183" t="s">
        <v>2935</v>
      </c>
      <c r="D971" s="186" t="s">
        <v>3272</v>
      </c>
      <c r="E971" s="183" t="s">
        <v>1464</v>
      </c>
      <c r="F971" s="186"/>
      <c r="G971" s="187" t="s">
        <v>1519</v>
      </c>
    </row>
    <row r="972" spans="1:7" ht="37.5" x14ac:dyDescent="0.25">
      <c r="A972" s="200">
        <v>967</v>
      </c>
      <c r="B972" s="183" t="e">
        <f>DEEMSuite1&amp;" CRAC Gallery"</f>
        <v>#N/A</v>
      </c>
      <c r="C972" s="183" t="s">
        <v>2935</v>
      </c>
      <c r="D972" s="186" t="s">
        <v>3273</v>
      </c>
      <c r="E972" s="183" t="s">
        <v>1464</v>
      </c>
      <c r="F972" s="186"/>
      <c r="G972" s="187" t="s">
        <v>1519</v>
      </c>
    </row>
    <row r="973" spans="1:7" ht="37.5" x14ac:dyDescent="0.25">
      <c r="A973" s="200">
        <v>968</v>
      </c>
      <c r="B973" s="183" t="e">
        <f>DEEMSuite1&amp;" CRAC Gallery"</f>
        <v>#N/A</v>
      </c>
      <c r="C973" s="183" t="s">
        <v>2935</v>
      </c>
      <c r="D973" s="186" t="s">
        <v>3274</v>
      </c>
      <c r="E973" s="183" t="s">
        <v>1464</v>
      </c>
      <c r="F973" s="186"/>
      <c r="G973" s="187" t="s">
        <v>1519</v>
      </c>
    </row>
    <row r="974" spans="1:7" ht="37.5" x14ac:dyDescent="0.25">
      <c r="A974" s="200">
        <v>969</v>
      </c>
      <c r="B974" s="183" t="e">
        <f>DEEMSuite1&amp;" CRAC Gallery"</f>
        <v>#N/A</v>
      </c>
      <c r="C974" s="183" t="s">
        <v>2935</v>
      </c>
      <c r="D974" s="186" t="s">
        <v>2792</v>
      </c>
      <c r="E974" s="183" t="s">
        <v>1464</v>
      </c>
      <c r="F974" s="186"/>
      <c r="G974" s="187" t="s">
        <v>1519</v>
      </c>
    </row>
    <row r="975" spans="1:7" ht="75" x14ac:dyDescent="0.25">
      <c r="A975" s="200">
        <v>970</v>
      </c>
      <c r="B975" s="183" t="e">
        <f>DEEMSuite1&amp;" CRAC Gallery"</f>
        <v>#N/A</v>
      </c>
      <c r="C975" s="183" t="s">
        <v>2935</v>
      </c>
      <c r="D975" s="186" t="s">
        <v>3275</v>
      </c>
      <c r="E975" s="183" t="s">
        <v>1464</v>
      </c>
      <c r="F975" s="186"/>
      <c r="G975" s="187" t="s">
        <v>1519</v>
      </c>
    </row>
    <row r="976" spans="1:7" ht="37.5" x14ac:dyDescent="0.25">
      <c r="A976" s="200">
        <v>971</v>
      </c>
      <c r="B976" s="183" t="e">
        <f>DEEMSuite1&amp;" CRAC Gallery"</f>
        <v>#N/A</v>
      </c>
      <c r="C976" s="183" t="s">
        <v>2935</v>
      </c>
      <c r="D976" s="186" t="s">
        <v>3276</v>
      </c>
      <c r="E976" s="183" t="s">
        <v>1464</v>
      </c>
      <c r="F976" s="186"/>
      <c r="G976" s="187" t="s">
        <v>1519</v>
      </c>
    </row>
    <row r="977" spans="1:7" ht="37.5" x14ac:dyDescent="0.25">
      <c r="A977" s="200">
        <v>972</v>
      </c>
      <c r="B977" s="183" t="e">
        <f>DEEMSuite1&amp;" CRAC Gallery"</f>
        <v>#N/A</v>
      </c>
      <c r="C977" s="183" t="s">
        <v>2935</v>
      </c>
      <c r="D977" s="186" t="s">
        <v>3277</v>
      </c>
      <c r="E977" s="183" t="s">
        <v>1464</v>
      </c>
      <c r="F977" s="186"/>
      <c r="G977" s="187" t="s">
        <v>1519</v>
      </c>
    </row>
    <row r="978" spans="1:7" ht="37.5" x14ac:dyDescent="0.25">
      <c r="A978" s="200">
        <v>973</v>
      </c>
      <c r="B978" s="183" t="e">
        <f>DEEMSuite1&amp;" CRAC Gallery"</f>
        <v>#N/A</v>
      </c>
      <c r="C978" s="183" t="s">
        <v>2935</v>
      </c>
      <c r="D978" s="186" t="s">
        <v>3278</v>
      </c>
      <c r="E978" s="183" t="s">
        <v>1464</v>
      </c>
      <c r="F978" s="186"/>
      <c r="G978" s="187" t="s">
        <v>1519</v>
      </c>
    </row>
    <row r="979" spans="1:7" ht="37.5" x14ac:dyDescent="0.25">
      <c r="A979" s="200">
        <v>974</v>
      </c>
      <c r="B979" s="183" t="e">
        <f>DEEMSuite1&amp;" CRAC Gallery"</f>
        <v>#N/A</v>
      </c>
      <c r="C979" s="183" t="s">
        <v>2935</v>
      </c>
      <c r="D979" s="186" t="s">
        <v>2792</v>
      </c>
      <c r="E979" s="183" t="s">
        <v>1464</v>
      </c>
      <c r="F979" s="186"/>
      <c r="G979" s="187" t="s">
        <v>1519</v>
      </c>
    </row>
    <row r="980" spans="1:7" ht="75" x14ac:dyDescent="0.25">
      <c r="A980" s="200">
        <v>975</v>
      </c>
      <c r="B980" s="183" t="e">
        <f>DEEMSuite1&amp;" CRAC Gallery"</f>
        <v>#N/A</v>
      </c>
      <c r="C980" s="183" t="s">
        <v>2935</v>
      </c>
      <c r="D980" s="186" t="s">
        <v>3279</v>
      </c>
      <c r="E980" s="183" t="s">
        <v>1464</v>
      </c>
      <c r="F980" s="186"/>
      <c r="G980" s="187" t="s">
        <v>1519</v>
      </c>
    </row>
    <row r="981" spans="1:7" ht="37.5" x14ac:dyDescent="0.25">
      <c r="A981" s="200">
        <v>976</v>
      </c>
      <c r="B981" s="183" t="e">
        <f>DEEMSuite1&amp;" CRAC Gallery"</f>
        <v>#N/A</v>
      </c>
      <c r="C981" s="183" t="s">
        <v>2935</v>
      </c>
      <c r="D981" s="186" t="s">
        <v>3280</v>
      </c>
      <c r="E981" s="183" t="s">
        <v>1464</v>
      </c>
      <c r="F981" s="186"/>
      <c r="G981" s="187" t="s">
        <v>1519</v>
      </c>
    </row>
    <row r="982" spans="1:7" ht="37.5" x14ac:dyDescent="0.25">
      <c r="A982" s="200">
        <v>977</v>
      </c>
      <c r="B982" s="183" t="e">
        <f>DEEMSuite1&amp;" CRAC Gallery"</f>
        <v>#N/A</v>
      </c>
      <c r="C982" s="183" t="s">
        <v>2935</v>
      </c>
      <c r="D982" s="186" t="s">
        <v>3281</v>
      </c>
      <c r="E982" s="183" t="s">
        <v>1464</v>
      </c>
      <c r="F982" s="186"/>
      <c r="G982" s="187" t="s">
        <v>1519</v>
      </c>
    </row>
    <row r="983" spans="1:7" ht="37.5" x14ac:dyDescent="0.25">
      <c r="A983" s="200">
        <v>978</v>
      </c>
      <c r="B983" s="183" t="e">
        <f>DEEMSuite1&amp;" CRAC Gallery"</f>
        <v>#N/A</v>
      </c>
      <c r="C983" s="183" t="s">
        <v>2935</v>
      </c>
      <c r="D983" s="186" t="s">
        <v>3282</v>
      </c>
      <c r="E983" s="183" t="s">
        <v>1464</v>
      </c>
      <c r="F983" s="186"/>
      <c r="G983" s="187" t="s">
        <v>1519</v>
      </c>
    </row>
    <row r="984" spans="1:7" ht="37.5" x14ac:dyDescent="0.25">
      <c r="A984" s="200">
        <v>979</v>
      </c>
      <c r="B984" s="183" t="e">
        <f>DEEMSuite1&amp;" CRAC Gallery"</f>
        <v>#N/A</v>
      </c>
      <c r="C984" s="183" t="s">
        <v>2935</v>
      </c>
      <c r="D984" s="186" t="s">
        <v>2792</v>
      </c>
      <c r="E984" s="183" t="s">
        <v>1464</v>
      </c>
      <c r="F984" s="186"/>
      <c r="G984" s="187" t="s">
        <v>1519</v>
      </c>
    </row>
    <row r="985" spans="1:7" ht="75" x14ac:dyDescent="0.25">
      <c r="A985" s="200">
        <v>980</v>
      </c>
      <c r="B985" s="183" t="e">
        <f>DEEMSuite1&amp;" CRAC Gallery"</f>
        <v>#N/A</v>
      </c>
      <c r="C985" s="183" t="s">
        <v>2935</v>
      </c>
      <c r="D985" s="186" t="s">
        <v>3283</v>
      </c>
      <c r="E985" s="183" t="s">
        <v>1464</v>
      </c>
      <c r="F985" s="186"/>
      <c r="G985" s="187" t="s">
        <v>1519</v>
      </c>
    </row>
    <row r="986" spans="1:7" ht="37.5" x14ac:dyDescent="0.25">
      <c r="A986" s="200">
        <v>981</v>
      </c>
      <c r="B986" s="183" t="e">
        <f>DEEMSuite1&amp;" CRAC Gallery"</f>
        <v>#N/A</v>
      </c>
      <c r="C986" s="183" t="s">
        <v>2935</v>
      </c>
      <c r="D986" s="186" t="s">
        <v>3284</v>
      </c>
      <c r="E986" s="183" t="s">
        <v>1464</v>
      </c>
      <c r="F986" s="186"/>
      <c r="G986" s="187" t="s">
        <v>1519</v>
      </c>
    </row>
    <row r="987" spans="1:7" ht="37.5" x14ac:dyDescent="0.25">
      <c r="A987" s="200">
        <v>982</v>
      </c>
      <c r="B987" s="183" t="e">
        <f>DEEMSuite1&amp;" CRAC Gallery"</f>
        <v>#N/A</v>
      </c>
      <c r="C987" s="183" t="s">
        <v>2935</v>
      </c>
      <c r="D987" s="186" t="s">
        <v>3285</v>
      </c>
      <c r="E987" s="183" t="s">
        <v>1464</v>
      </c>
      <c r="F987" s="186"/>
      <c r="G987" s="187" t="s">
        <v>1519</v>
      </c>
    </row>
    <row r="988" spans="1:7" ht="37.5" x14ac:dyDescent="0.25">
      <c r="A988" s="200">
        <v>983</v>
      </c>
      <c r="B988" s="183" t="e">
        <f>DEEMSuite1&amp;" CRAC Gallery"</f>
        <v>#N/A</v>
      </c>
      <c r="C988" s="183" t="s">
        <v>2935</v>
      </c>
      <c r="D988" s="186" t="s">
        <v>3286</v>
      </c>
      <c r="E988" s="183" t="s">
        <v>1464</v>
      </c>
      <c r="F988" s="186"/>
      <c r="G988" s="187" t="s">
        <v>1519</v>
      </c>
    </row>
    <row r="989" spans="1:7" ht="37.5" x14ac:dyDescent="0.25">
      <c r="A989" s="200">
        <v>984</v>
      </c>
      <c r="B989" s="183" t="e">
        <f>DEEMSuite1&amp;" CRAC Gallery"</f>
        <v>#N/A</v>
      </c>
      <c r="C989" s="183" t="s">
        <v>2935</v>
      </c>
      <c r="D989" s="186" t="s">
        <v>2792</v>
      </c>
      <c r="E989" s="183" t="s">
        <v>1464</v>
      </c>
      <c r="F989" s="186"/>
      <c r="G989" s="187" t="s">
        <v>1519</v>
      </c>
    </row>
    <row r="990" spans="1:7" ht="75" x14ac:dyDescent="0.25">
      <c r="A990" s="200">
        <v>985</v>
      </c>
      <c r="B990" s="183" t="e">
        <f>DEEMSuite1&amp;" CRAC Gallery"</f>
        <v>#N/A</v>
      </c>
      <c r="C990" s="183" t="s">
        <v>2935</v>
      </c>
      <c r="D990" s="186" t="s">
        <v>3287</v>
      </c>
      <c r="E990" s="183" t="s">
        <v>1464</v>
      </c>
      <c r="F990" s="186"/>
      <c r="G990" s="187" t="s">
        <v>1519</v>
      </c>
    </row>
    <row r="991" spans="1:7" ht="37.5" x14ac:dyDescent="0.25">
      <c r="A991" s="200">
        <v>986</v>
      </c>
      <c r="B991" s="183" t="e">
        <f>DEEMSuite1&amp;" CRAC Gallery"</f>
        <v>#N/A</v>
      </c>
      <c r="C991" s="183" t="s">
        <v>2935</v>
      </c>
      <c r="D991" s="186" t="s">
        <v>3288</v>
      </c>
      <c r="E991" s="183" t="s">
        <v>1464</v>
      </c>
      <c r="F991" s="186"/>
      <c r="G991" s="187" t="s">
        <v>1519</v>
      </c>
    </row>
    <row r="992" spans="1:7" ht="37.5" x14ac:dyDescent="0.25">
      <c r="A992" s="200">
        <v>987</v>
      </c>
      <c r="B992" s="183" t="e">
        <f>DEEMSuite1&amp;" CRAC Gallery"</f>
        <v>#N/A</v>
      </c>
      <c r="C992" s="183" t="s">
        <v>2935</v>
      </c>
      <c r="D992" s="186" t="s">
        <v>3289</v>
      </c>
      <c r="E992" s="183" t="s">
        <v>1464</v>
      </c>
      <c r="F992" s="186"/>
      <c r="G992" s="187" t="s">
        <v>1519</v>
      </c>
    </row>
    <row r="993" spans="1:7" ht="37.5" x14ac:dyDescent="0.25">
      <c r="A993" s="200">
        <v>988</v>
      </c>
      <c r="B993" s="183" t="e">
        <f>DEEMSuite1&amp;" CRAC Gallery"</f>
        <v>#N/A</v>
      </c>
      <c r="C993" s="183" t="s">
        <v>2935</v>
      </c>
      <c r="D993" s="186" t="s">
        <v>3290</v>
      </c>
      <c r="E993" s="183" t="s">
        <v>1464</v>
      </c>
      <c r="F993" s="186"/>
      <c r="G993" s="187" t="s">
        <v>1519</v>
      </c>
    </row>
    <row r="994" spans="1:7" ht="37.5" x14ac:dyDescent="0.25">
      <c r="A994" s="200">
        <v>989</v>
      </c>
      <c r="B994" s="183" t="e">
        <f>DEEMSuite1&amp;" CRAC Gallery"</f>
        <v>#N/A</v>
      </c>
      <c r="C994" s="183" t="s">
        <v>2935</v>
      </c>
      <c r="D994" s="186" t="s">
        <v>2792</v>
      </c>
      <c r="E994" s="183" t="s">
        <v>1464</v>
      </c>
      <c r="F994" s="186"/>
      <c r="G994" s="187" t="s">
        <v>1519</v>
      </c>
    </row>
    <row r="995" spans="1:7" ht="75" x14ac:dyDescent="0.25">
      <c r="A995" s="200">
        <v>990</v>
      </c>
      <c r="B995" s="183" t="e">
        <f>DEEMSuite1&amp;" CRAC Gallery"</f>
        <v>#N/A</v>
      </c>
      <c r="C995" s="183" t="s">
        <v>2935</v>
      </c>
      <c r="D995" s="186" t="s">
        <v>3291</v>
      </c>
      <c r="E995" s="183" t="s">
        <v>1464</v>
      </c>
      <c r="F995" s="186"/>
      <c r="G995" s="187" t="s">
        <v>1519</v>
      </c>
    </row>
    <row r="996" spans="1:7" ht="37.5" x14ac:dyDescent="0.25">
      <c r="A996" s="200">
        <v>991</v>
      </c>
      <c r="B996" s="183" t="e">
        <f>DEEMSuite1&amp;" CRAC Gallery"</f>
        <v>#N/A</v>
      </c>
      <c r="C996" s="183" t="s">
        <v>2935</v>
      </c>
      <c r="D996" s="186" t="s">
        <v>3292</v>
      </c>
      <c r="E996" s="183" t="s">
        <v>1464</v>
      </c>
      <c r="F996" s="186"/>
      <c r="G996" s="187" t="s">
        <v>1519</v>
      </c>
    </row>
    <row r="997" spans="1:7" ht="37.5" x14ac:dyDescent="0.25">
      <c r="A997" s="200">
        <v>992</v>
      </c>
      <c r="B997" s="183" t="e">
        <f>DEEMSuite1&amp;" CRAC Gallery"</f>
        <v>#N/A</v>
      </c>
      <c r="C997" s="183" t="s">
        <v>2935</v>
      </c>
      <c r="D997" s="186" t="s">
        <v>3293</v>
      </c>
      <c r="E997" s="183" t="s">
        <v>1464</v>
      </c>
      <c r="F997" s="186"/>
      <c r="G997" s="187" t="s">
        <v>1519</v>
      </c>
    </row>
    <row r="998" spans="1:7" ht="37.5" x14ac:dyDescent="0.25">
      <c r="A998" s="200">
        <v>993</v>
      </c>
      <c r="B998" s="183" t="e">
        <f>DEEMSuite1&amp;" CRAC Gallery"</f>
        <v>#N/A</v>
      </c>
      <c r="C998" s="183" t="s">
        <v>2935</v>
      </c>
      <c r="D998" s="186" t="s">
        <v>3294</v>
      </c>
      <c r="E998" s="183" t="s">
        <v>1464</v>
      </c>
      <c r="F998" s="186"/>
      <c r="G998" s="187" t="s">
        <v>1519</v>
      </c>
    </row>
    <row r="999" spans="1:7" ht="37.5" x14ac:dyDescent="0.25">
      <c r="A999" s="200">
        <v>994</v>
      </c>
      <c r="B999" s="183" t="e">
        <f>DEEMSuite1&amp;" CRAC Gallery"</f>
        <v>#N/A</v>
      </c>
      <c r="C999" s="183" t="s">
        <v>2935</v>
      </c>
      <c r="D999" s="186" t="s">
        <v>2792</v>
      </c>
      <c r="E999" s="183" t="s">
        <v>1464</v>
      </c>
      <c r="F999" s="186"/>
      <c r="G999" s="187" t="s">
        <v>1519</v>
      </c>
    </row>
    <row r="1000" spans="1:7" ht="75" x14ac:dyDescent="0.25">
      <c r="A1000" s="200">
        <v>995</v>
      </c>
      <c r="B1000" s="183" t="e">
        <f>DEEMSuite1&amp;" CRAC Gallery"</f>
        <v>#N/A</v>
      </c>
      <c r="C1000" s="183" t="s">
        <v>2935</v>
      </c>
      <c r="D1000" s="186" t="s">
        <v>3295</v>
      </c>
      <c r="E1000" s="183" t="s">
        <v>1464</v>
      </c>
      <c r="F1000" s="186"/>
      <c r="G1000" s="187" t="s">
        <v>1519</v>
      </c>
    </row>
    <row r="1001" spans="1:7" ht="37.5" x14ac:dyDescent="0.25">
      <c r="A1001" s="200">
        <v>996</v>
      </c>
      <c r="B1001" s="183" t="e">
        <f>DEEMSuite1&amp;" CRAC Gallery"</f>
        <v>#N/A</v>
      </c>
      <c r="C1001" s="183" t="s">
        <v>2935</v>
      </c>
      <c r="D1001" s="186" t="s">
        <v>3296</v>
      </c>
      <c r="E1001" s="183" t="s">
        <v>1464</v>
      </c>
      <c r="F1001" s="186"/>
      <c r="G1001" s="187" t="s">
        <v>1519</v>
      </c>
    </row>
    <row r="1002" spans="1:7" ht="37.5" x14ac:dyDescent="0.25">
      <c r="A1002" s="200">
        <v>997</v>
      </c>
      <c r="B1002" s="183" t="e">
        <f>DEEMSuite1&amp;" CRAC Gallery"</f>
        <v>#N/A</v>
      </c>
      <c r="C1002" s="183" t="s">
        <v>2935</v>
      </c>
      <c r="D1002" s="186" t="s">
        <v>3297</v>
      </c>
      <c r="E1002" s="183" t="s">
        <v>1464</v>
      </c>
      <c r="F1002" s="186"/>
      <c r="G1002" s="187" t="s">
        <v>1519</v>
      </c>
    </row>
    <row r="1003" spans="1:7" ht="37.5" x14ac:dyDescent="0.25">
      <c r="A1003" s="200">
        <v>998</v>
      </c>
      <c r="B1003" s="183" t="e">
        <f>DEEMSuite1&amp;" CRAC Gallery"</f>
        <v>#N/A</v>
      </c>
      <c r="C1003" s="183" t="s">
        <v>2936</v>
      </c>
      <c r="D1003" s="186" t="s">
        <v>3298</v>
      </c>
      <c r="E1003" s="183" t="s">
        <v>1464</v>
      </c>
      <c r="F1003" s="186"/>
      <c r="G1003" s="187" t="s">
        <v>1519</v>
      </c>
    </row>
    <row r="1004" spans="1:7" ht="37.5" x14ac:dyDescent="0.25">
      <c r="A1004" s="200">
        <v>999</v>
      </c>
      <c r="B1004" s="183" t="e">
        <f>DEEMSuite1&amp;" CRAC Gallery"</f>
        <v>#N/A</v>
      </c>
      <c r="C1004" s="183" t="s">
        <v>2936</v>
      </c>
      <c r="D1004" s="186" t="s">
        <v>3299</v>
      </c>
      <c r="E1004" s="183" t="s">
        <v>1464</v>
      </c>
      <c r="F1004" s="186"/>
      <c r="G1004" s="187" t="s">
        <v>1519</v>
      </c>
    </row>
    <row r="1005" spans="1:7" ht="37.5" x14ac:dyDescent="0.25">
      <c r="A1005" s="200">
        <v>1000</v>
      </c>
      <c r="B1005" s="183" t="e">
        <f>DEEMSuite1&amp;" CRAC Gallery"</f>
        <v>#N/A</v>
      </c>
      <c r="C1005" s="183" t="s">
        <v>2936</v>
      </c>
      <c r="D1005" s="186" t="s">
        <v>3300</v>
      </c>
      <c r="E1005" s="183" t="s">
        <v>1464</v>
      </c>
      <c r="F1005" s="186"/>
      <c r="G1005" s="187" t="s">
        <v>1519</v>
      </c>
    </row>
    <row r="1006" spans="1:7" ht="37.5" x14ac:dyDescent="0.25">
      <c r="A1006" s="200">
        <v>1001</v>
      </c>
      <c r="B1006" s="183" t="e">
        <f>DEEMSuite1&amp;" CRAC Gallery"</f>
        <v>#N/A</v>
      </c>
      <c r="C1006" s="183" t="s">
        <v>2936</v>
      </c>
      <c r="D1006" s="186" t="s">
        <v>3301</v>
      </c>
      <c r="E1006" s="183" t="s">
        <v>1464</v>
      </c>
      <c r="F1006" s="186"/>
      <c r="G1006" s="187" t="s">
        <v>1519</v>
      </c>
    </row>
    <row r="1007" spans="1:7" ht="37.5" x14ac:dyDescent="0.25">
      <c r="A1007" s="200">
        <v>1002</v>
      </c>
      <c r="B1007" s="183" t="e">
        <f>DEEMSuite1&amp;" CRAC Gallery"</f>
        <v>#N/A</v>
      </c>
      <c r="C1007" s="183" t="s">
        <v>2936</v>
      </c>
      <c r="D1007" s="186" t="s">
        <v>3302</v>
      </c>
      <c r="E1007" s="183" t="s">
        <v>1464</v>
      </c>
      <c r="F1007" s="186"/>
      <c r="G1007" s="187" t="s">
        <v>1519</v>
      </c>
    </row>
    <row r="1008" spans="1:7" ht="37.5" x14ac:dyDescent="0.25">
      <c r="A1008" s="200">
        <v>1003</v>
      </c>
      <c r="B1008" s="183" t="e">
        <f>DEEMSuite1&amp;" CRAC Gallery"</f>
        <v>#N/A</v>
      </c>
      <c r="C1008" s="183" t="s">
        <v>2936</v>
      </c>
      <c r="D1008" s="186" t="s">
        <v>2792</v>
      </c>
      <c r="E1008" s="183" t="s">
        <v>1464</v>
      </c>
      <c r="F1008" s="186"/>
      <c r="G1008" s="187" t="s">
        <v>1519</v>
      </c>
    </row>
    <row r="1009" spans="1:7" ht="75" x14ac:dyDescent="0.25">
      <c r="A1009" s="200">
        <v>1004</v>
      </c>
      <c r="B1009" s="183" t="e">
        <f>DEEMSuite1&amp;" CRAC Gallery"</f>
        <v>#N/A</v>
      </c>
      <c r="C1009" s="183" t="s">
        <v>2936</v>
      </c>
      <c r="D1009" s="186" t="s">
        <v>3303</v>
      </c>
      <c r="E1009" s="183" t="s">
        <v>1464</v>
      </c>
      <c r="F1009" s="186"/>
      <c r="G1009" s="187" t="s">
        <v>1519</v>
      </c>
    </row>
    <row r="1010" spans="1:7" ht="37.5" x14ac:dyDescent="0.25">
      <c r="A1010" s="200">
        <v>1005</v>
      </c>
      <c r="B1010" s="183" t="e">
        <f>DEEMSuite1&amp;" CRAC Gallery"</f>
        <v>#N/A</v>
      </c>
      <c r="C1010" s="183" t="s">
        <v>2936</v>
      </c>
      <c r="D1010" s="186" t="s">
        <v>3304</v>
      </c>
      <c r="E1010" s="183" t="s">
        <v>1464</v>
      </c>
      <c r="F1010" s="186"/>
      <c r="G1010" s="187" t="s">
        <v>1519</v>
      </c>
    </row>
    <row r="1011" spans="1:7" ht="37.5" x14ac:dyDescent="0.25">
      <c r="A1011" s="200">
        <v>1006</v>
      </c>
      <c r="B1011" s="183" t="e">
        <f>DEEMSuite1&amp;" CRAC Gallery"</f>
        <v>#N/A</v>
      </c>
      <c r="C1011" s="183" t="s">
        <v>2936</v>
      </c>
      <c r="D1011" s="186" t="s">
        <v>3305</v>
      </c>
      <c r="E1011" s="183" t="s">
        <v>1464</v>
      </c>
      <c r="F1011" s="186"/>
      <c r="G1011" s="187" t="s">
        <v>1519</v>
      </c>
    </row>
    <row r="1012" spans="1:7" ht="37.5" x14ac:dyDescent="0.25">
      <c r="A1012" s="200">
        <v>1007</v>
      </c>
      <c r="B1012" s="183" t="e">
        <f>DEEMSuite1&amp;" CRAC Gallery"</f>
        <v>#N/A</v>
      </c>
      <c r="C1012" s="183" t="s">
        <v>2936</v>
      </c>
      <c r="D1012" s="186" t="s">
        <v>3306</v>
      </c>
      <c r="E1012" s="183" t="s">
        <v>1464</v>
      </c>
      <c r="F1012" s="186"/>
      <c r="G1012" s="187" t="s">
        <v>1519</v>
      </c>
    </row>
    <row r="1013" spans="1:7" ht="37.5" x14ac:dyDescent="0.25">
      <c r="A1013" s="200">
        <v>1008</v>
      </c>
      <c r="B1013" s="183" t="e">
        <f>DEEMSuite1&amp;" CRAC Gallery"</f>
        <v>#N/A</v>
      </c>
      <c r="C1013" s="183" t="s">
        <v>2936</v>
      </c>
      <c r="D1013" s="186" t="s">
        <v>2792</v>
      </c>
      <c r="E1013" s="183" t="s">
        <v>1464</v>
      </c>
      <c r="F1013" s="186"/>
      <c r="G1013" s="187" t="s">
        <v>1519</v>
      </c>
    </row>
    <row r="1014" spans="1:7" ht="75" x14ac:dyDescent="0.25">
      <c r="A1014" s="200">
        <v>1009</v>
      </c>
      <c r="B1014" s="183" t="e">
        <f>DEEMSuite1&amp;" CRAC Gallery"</f>
        <v>#N/A</v>
      </c>
      <c r="C1014" s="183" t="s">
        <v>2936</v>
      </c>
      <c r="D1014" s="186" t="s">
        <v>3307</v>
      </c>
      <c r="E1014" s="183" t="s">
        <v>1464</v>
      </c>
      <c r="F1014" s="186"/>
      <c r="G1014" s="187" t="s">
        <v>1519</v>
      </c>
    </row>
    <row r="1015" spans="1:7" ht="37.5" x14ac:dyDescent="0.25">
      <c r="A1015" s="200">
        <v>1010</v>
      </c>
      <c r="B1015" s="183" t="e">
        <f>DEEMSuite1&amp;" CRAC Gallery"</f>
        <v>#N/A</v>
      </c>
      <c r="C1015" s="183" t="s">
        <v>2936</v>
      </c>
      <c r="D1015" s="186" t="s">
        <v>3308</v>
      </c>
      <c r="E1015" s="183" t="s">
        <v>1464</v>
      </c>
      <c r="F1015" s="186"/>
      <c r="G1015" s="187" t="s">
        <v>1519</v>
      </c>
    </row>
    <row r="1016" spans="1:7" ht="37.5" x14ac:dyDescent="0.25">
      <c r="A1016" s="200">
        <v>1011</v>
      </c>
      <c r="B1016" s="183" t="e">
        <f>DEEMSuite1&amp;" CRAC Gallery"</f>
        <v>#N/A</v>
      </c>
      <c r="C1016" s="183" t="s">
        <v>2936</v>
      </c>
      <c r="D1016" s="186" t="s">
        <v>3309</v>
      </c>
      <c r="E1016" s="183" t="s">
        <v>1464</v>
      </c>
      <c r="F1016" s="186"/>
      <c r="G1016" s="187" t="s">
        <v>1519</v>
      </c>
    </row>
    <row r="1017" spans="1:7" ht="37.5" x14ac:dyDescent="0.25">
      <c r="A1017" s="200">
        <v>1012</v>
      </c>
      <c r="B1017" s="183" t="e">
        <f>DEEMSuite1&amp;" CRAC Gallery"</f>
        <v>#N/A</v>
      </c>
      <c r="C1017" s="183" t="s">
        <v>2936</v>
      </c>
      <c r="D1017" s="186" t="s">
        <v>3310</v>
      </c>
      <c r="E1017" s="183" t="s">
        <v>1464</v>
      </c>
      <c r="F1017" s="186"/>
      <c r="G1017" s="187" t="s">
        <v>1519</v>
      </c>
    </row>
    <row r="1018" spans="1:7" ht="37.5" x14ac:dyDescent="0.25">
      <c r="A1018" s="200">
        <v>1013</v>
      </c>
      <c r="B1018" s="183" t="e">
        <f>DEEMSuite1&amp;" CRAC Gallery"</f>
        <v>#N/A</v>
      </c>
      <c r="C1018" s="183" t="s">
        <v>2936</v>
      </c>
      <c r="D1018" s="186" t="s">
        <v>2792</v>
      </c>
      <c r="E1018" s="183" t="s">
        <v>1464</v>
      </c>
      <c r="F1018" s="186"/>
      <c r="G1018" s="187" t="s">
        <v>1519</v>
      </c>
    </row>
    <row r="1019" spans="1:7" ht="75" x14ac:dyDescent="0.25">
      <c r="A1019" s="200">
        <v>1014</v>
      </c>
      <c r="B1019" s="183" t="e">
        <f>DEEMSuite1&amp;" CRAC Gallery"</f>
        <v>#N/A</v>
      </c>
      <c r="C1019" s="183" t="s">
        <v>2936</v>
      </c>
      <c r="D1019" s="186" t="s">
        <v>3311</v>
      </c>
      <c r="E1019" s="183" t="s">
        <v>1464</v>
      </c>
      <c r="F1019" s="186"/>
      <c r="G1019" s="187" t="s">
        <v>1519</v>
      </c>
    </row>
    <row r="1020" spans="1:7" ht="37.5" x14ac:dyDescent="0.25">
      <c r="A1020" s="200">
        <v>1015</v>
      </c>
      <c r="B1020" s="183" t="e">
        <f>DEEMSuite1&amp;" CRAC Gallery"</f>
        <v>#N/A</v>
      </c>
      <c r="C1020" s="183" t="s">
        <v>2936</v>
      </c>
      <c r="D1020" s="186" t="s">
        <v>3312</v>
      </c>
      <c r="E1020" s="183" t="s">
        <v>1464</v>
      </c>
      <c r="F1020" s="186"/>
      <c r="G1020" s="187" t="s">
        <v>1519</v>
      </c>
    </row>
    <row r="1021" spans="1:7" ht="37.5" x14ac:dyDescent="0.25">
      <c r="A1021" s="200">
        <v>1016</v>
      </c>
      <c r="B1021" s="183" t="e">
        <f>DEEMSuite1&amp;" CRAC Gallery"</f>
        <v>#N/A</v>
      </c>
      <c r="C1021" s="183" t="s">
        <v>2936</v>
      </c>
      <c r="D1021" s="186" t="s">
        <v>3313</v>
      </c>
      <c r="E1021" s="183" t="s">
        <v>1464</v>
      </c>
      <c r="F1021" s="186"/>
      <c r="G1021" s="187" t="s">
        <v>1519</v>
      </c>
    </row>
    <row r="1022" spans="1:7" ht="37.5" x14ac:dyDescent="0.25">
      <c r="A1022" s="200">
        <v>1017</v>
      </c>
      <c r="B1022" s="183" t="e">
        <f>DEEMSuite1&amp;" CRAC Gallery"</f>
        <v>#N/A</v>
      </c>
      <c r="C1022" s="183" t="s">
        <v>2936</v>
      </c>
      <c r="D1022" s="186" t="s">
        <v>3314</v>
      </c>
      <c r="E1022" s="183" t="s">
        <v>1464</v>
      </c>
      <c r="F1022" s="186"/>
      <c r="G1022" s="187" t="s">
        <v>1519</v>
      </c>
    </row>
    <row r="1023" spans="1:7" ht="37.5" x14ac:dyDescent="0.25">
      <c r="A1023" s="200">
        <v>1018</v>
      </c>
      <c r="B1023" s="183" t="e">
        <f>DEEMSuite1&amp;" CRAC Gallery"</f>
        <v>#N/A</v>
      </c>
      <c r="C1023" s="183" t="s">
        <v>2936</v>
      </c>
      <c r="D1023" s="186" t="s">
        <v>2792</v>
      </c>
      <c r="E1023" s="183" t="s">
        <v>1464</v>
      </c>
      <c r="F1023" s="186"/>
      <c r="G1023" s="187" t="s">
        <v>1519</v>
      </c>
    </row>
    <row r="1024" spans="1:7" ht="75" x14ac:dyDescent="0.25">
      <c r="A1024" s="200">
        <v>1019</v>
      </c>
      <c r="B1024" s="183" t="e">
        <f>DEEMSuite1&amp;" CRAC Gallery"</f>
        <v>#N/A</v>
      </c>
      <c r="C1024" s="183" t="s">
        <v>2936</v>
      </c>
      <c r="D1024" s="186" t="s">
        <v>3315</v>
      </c>
      <c r="E1024" s="183" t="s">
        <v>1464</v>
      </c>
      <c r="F1024" s="186"/>
      <c r="G1024" s="187" t="s">
        <v>1519</v>
      </c>
    </row>
    <row r="1025" spans="1:7" ht="37.5" x14ac:dyDescent="0.25">
      <c r="A1025" s="200">
        <v>1020</v>
      </c>
      <c r="B1025" s="183" t="e">
        <f>DEEMSuite1&amp;" CRAC Gallery"</f>
        <v>#N/A</v>
      </c>
      <c r="C1025" s="183" t="s">
        <v>2936</v>
      </c>
      <c r="D1025" s="186" t="s">
        <v>3316</v>
      </c>
      <c r="E1025" s="183" t="s">
        <v>1464</v>
      </c>
      <c r="F1025" s="186"/>
      <c r="G1025" s="187" t="s">
        <v>1519</v>
      </c>
    </row>
    <row r="1026" spans="1:7" ht="37.5" x14ac:dyDescent="0.25">
      <c r="A1026" s="200">
        <v>1021</v>
      </c>
      <c r="B1026" s="183" t="e">
        <f>DEEMSuite1&amp;" CRAC Gallery"</f>
        <v>#N/A</v>
      </c>
      <c r="C1026" s="183" t="s">
        <v>2936</v>
      </c>
      <c r="D1026" s="186" t="s">
        <v>3317</v>
      </c>
      <c r="E1026" s="183" t="s">
        <v>1464</v>
      </c>
      <c r="F1026" s="186"/>
      <c r="G1026" s="187" t="s">
        <v>1519</v>
      </c>
    </row>
    <row r="1027" spans="1:7" ht="37.5" x14ac:dyDescent="0.25">
      <c r="A1027" s="200">
        <v>1022</v>
      </c>
      <c r="B1027" s="183" t="e">
        <f>DEEMSuite1&amp;" CRAC Gallery"</f>
        <v>#N/A</v>
      </c>
      <c r="C1027" s="183" t="s">
        <v>2936</v>
      </c>
      <c r="D1027" s="186" t="s">
        <v>3318</v>
      </c>
      <c r="E1027" s="183" t="s">
        <v>1464</v>
      </c>
      <c r="F1027" s="186"/>
      <c r="G1027" s="187" t="s">
        <v>1519</v>
      </c>
    </row>
    <row r="1028" spans="1:7" ht="37.5" x14ac:dyDescent="0.25">
      <c r="A1028" s="200">
        <v>1023</v>
      </c>
      <c r="B1028" s="183" t="e">
        <f>DEEMSuite1&amp;" CRAC Gallery"</f>
        <v>#N/A</v>
      </c>
      <c r="C1028" s="183" t="s">
        <v>2936</v>
      </c>
      <c r="D1028" s="186" t="s">
        <v>2792</v>
      </c>
      <c r="E1028" s="183" t="s">
        <v>1464</v>
      </c>
      <c r="F1028" s="186"/>
      <c r="G1028" s="187" t="s">
        <v>1519</v>
      </c>
    </row>
    <row r="1029" spans="1:7" ht="75" x14ac:dyDescent="0.25">
      <c r="A1029" s="200">
        <v>1024</v>
      </c>
      <c r="B1029" s="183" t="e">
        <f>DEEMSuite1&amp;" CRAC Gallery"</f>
        <v>#N/A</v>
      </c>
      <c r="C1029" s="183" t="s">
        <v>2936</v>
      </c>
      <c r="D1029" s="186" t="s">
        <v>3319</v>
      </c>
      <c r="E1029" s="183" t="s">
        <v>1464</v>
      </c>
      <c r="F1029" s="186"/>
      <c r="G1029" s="187" t="s">
        <v>1519</v>
      </c>
    </row>
    <row r="1030" spans="1:7" ht="37.5" x14ac:dyDescent="0.25">
      <c r="A1030" s="200">
        <v>1025</v>
      </c>
      <c r="B1030" s="183" t="e">
        <f>DEEMSuite1&amp;" CRAC Gallery"</f>
        <v>#N/A</v>
      </c>
      <c r="C1030" s="183" t="s">
        <v>2936</v>
      </c>
      <c r="D1030" s="186" t="s">
        <v>3320</v>
      </c>
      <c r="E1030" s="183" t="s">
        <v>1464</v>
      </c>
      <c r="F1030" s="186"/>
      <c r="G1030" s="187" t="s">
        <v>1519</v>
      </c>
    </row>
    <row r="1031" spans="1:7" ht="37.5" x14ac:dyDescent="0.25">
      <c r="A1031" s="200">
        <v>1026</v>
      </c>
      <c r="B1031" s="183" t="e">
        <f>DEEMSuite1&amp;" CRAC Gallery"</f>
        <v>#N/A</v>
      </c>
      <c r="C1031" s="183" t="s">
        <v>2936</v>
      </c>
      <c r="D1031" s="186" t="s">
        <v>3321</v>
      </c>
      <c r="E1031" s="183" t="s">
        <v>1464</v>
      </c>
      <c r="F1031" s="186"/>
      <c r="G1031" s="187" t="s">
        <v>1519</v>
      </c>
    </row>
    <row r="1032" spans="1:7" ht="37.5" x14ac:dyDescent="0.25">
      <c r="A1032" s="200">
        <v>1027</v>
      </c>
      <c r="B1032" s="183" t="e">
        <f>DEEMSuite1&amp;" CRAC Gallery"</f>
        <v>#N/A</v>
      </c>
      <c r="C1032" s="183" t="s">
        <v>2936</v>
      </c>
      <c r="D1032" s="186" t="s">
        <v>3322</v>
      </c>
      <c r="E1032" s="183" t="s">
        <v>1464</v>
      </c>
      <c r="F1032" s="186"/>
      <c r="G1032" s="187" t="s">
        <v>1519</v>
      </c>
    </row>
    <row r="1033" spans="1:7" ht="37.5" x14ac:dyDescent="0.25">
      <c r="A1033" s="200">
        <v>1028</v>
      </c>
      <c r="B1033" s="183" t="e">
        <f>DEEMSuite1&amp;" CRAC Gallery"</f>
        <v>#N/A</v>
      </c>
      <c r="C1033" s="183" t="s">
        <v>2936</v>
      </c>
      <c r="D1033" s="186" t="s">
        <v>2792</v>
      </c>
      <c r="E1033" s="183" t="s">
        <v>1464</v>
      </c>
      <c r="F1033" s="186"/>
      <c r="G1033" s="187" t="s">
        <v>1519</v>
      </c>
    </row>
    <row r="1034" spans="1:7" ht="75" x14ac:dyDescent="0.25">
      <c r="A1034" s="200">
        <v>1029</v>
      </c>
      <c r="B1034" s="183" t="e">
        <f>DEEMSuite1&amp;" CRAC Gallery"</f>
        <v>#N/A</v>
      </c>
      <c r="C1034" s="183" t="s">
        <v>2936</v>
      </c>
      <c r="D1034" s="186" t="s">
        <v>3323</v>
      </c>
      <c r="E1034" s="183" t="s">
        <v>1464</v>
      </c>
      <c r="F1034" s="186"/>
      <c r="G1034" s="187" t="s">
        <v>1519</v>
      </c>
    </row>
    <row r="1035" spans="1:7" ht="37.5" x14ac:dyDescent="0.25">
      <c r="A1035" s="200">
        <v>1030</v>
      </c>
      <c r="B1035" s="183" t="e">
        <f>DEEMSuite1&amp;" CRAC Gallery"</f>
        <v>#N/A</v>
      </c>
      <c r="C1035" s="183" t="s">
        <v>2936</v>
      </c>
      <c r="D1035" s="186" t="s">
        <v>3324</v>
      </c>
      <c r="E1035" s="183" t="s">
        <v>1464</v>
      </c>
      <c r="F1035" s="186"/>
      <c r="G1035" s="187" t="s">
        <v>1519</v>
      </c>
    </row>
    <row r="1036" spans="1:7" ht="37.5" x14ac:dyDescent="0.25">
      <c r="A1036" s="200">
        <v>1031</v>
      </c>
      <c r="B1036" s="183" t="e">
        <f>DEEMSuite1&amp;" CRAC Gallery"</f>
        <v>#N/A</v>
      </c>
      <c r="C1036" s="183" t="s">
        <v>2936</v>
      </c>
      <c r="D1036" s="186" t="s">
        <v>3325</v>
      </c>
      <c r="E1036" s="183" t="s">
        <v>1464</v>
      </c>
      <c r="F1036" s="186"/>
      <c r="G1036" s="187" t="s">
        <v>1519</v>
      </c>
    </row>
    <row r="1037" spans="1:7" ht="37.5" x14ac:dyDescent="0.25">
      <c r="A1037" s="200">
        <v>1032</v>
      </c>
      <c r="B1037" s="183" t="e">
        <f>DEEMSuite1&amp;" CRAC Gallery"</f>
        <v>#N/A</v>
      </c>
      <c r="C1037" s="183" t="s">
        <v>2937</v>
      </c>
      <c r="D1037" s="186" t="s">
        <v>3326</v>
      </c>
      <c r="E1037" s="183" t="s">
        <v>1464</v>
      </c>
      <c r="F1037" s="186"/>
      <c r="G1037" s="187" t="s">
        <v>1519</v>
      </c>
    </row>
    <row r="1038" spans="1:7" ht="37.5" x14ac:dyDescent="0.25">
      <c r="A1038" s="200">
        <v>1033</v>
      </c>
      <c r="B1038" s="183" t="e">
        <f>DEEMSuite1&amp;" CRAC Gallery"</f>
        <v>#N/A</v>
      </c>
      <c r="C1038" s="183" t="s">
        <v>2937</v>
      </c>
      <c r="D1038" s="186" t="s">
        <v>3327</v>
      </c>
      <c r="E1038" s="183" t="s">
        <v>1464</v>
      </c>
      <c r="F1038" s="186"/>
      <c r="G1038" s="187" t="s">
        <v>1519</v>
      </c>
    </row>
    <row r="1039" spans="1:7" ht="37.5" x14ac:dyDescent="0.25">
      <c r="A1039" s="200">
        <v>1034</v>
      </c>
      <c r="B1039" s="183" t="e">
        <f>DEEMSuite1&amp;" CRAC Gallery"</f>
        <v>#N/A</v>
      </c>
      <c r="C1039" s="183" t="s">
        <v>2937</v>
      </c>
      <c r="D1039" s="186" t="s">
        <v>3328</v>
      </c>
      <c r="E1039" s="183" t="s">
        <v>1464</v>
      </c>
      <c r="F1039" s="186"/>
      <c r="G1039" s="187" t="s">
        <v>1519</v>
      </c>
    </row>
    <row r="1040" spans="1:7" ht="37.5" x14ac:dyDescent="0.25">
      <c r="A1040" s="200">
        <v>1035</v>
      </c>
      <c r="B1040" s="183" t="e">
        <f>DEEMSuite1&amp;" CRAC Gallery"</f>
        <v>#N/A</v>
      </c>
      <c r="C1040" s="183" t="s">
        <v>2937</v>
      </c>
      <c r="D1040" s="186" t="s">
        <v>3329</v>
      </c>
      <c r="E1040" s="183" t="s">
        <v>1464</v>
      </c>
      <c r="F1040" s="186"/>
      <c r="G1040" s="187" t="s">
        <v>1519</v>
      </c>
    </row>
    <row r="1041" spans="1:7" ht="37.5" x14ac:dyDescent="0.25">
      <c r="A1041" s="200">
        <v>1036</v>
      </c>
      <c r="B1041" s="183" t="e">
        <f>DEEMSuite1&amp;" CRAC Gallery"</f>
        <v>#N/A</v>
      </c>
      <c r="C1041" s="183" t="s">
        <v>2937</v>
      </c>
      <c r="D1041" s="186" t="s">
        <v>3330</v>
      </c>
      <c r="E1041" s="183" t="s">
        <v>1464</v>
      </c>
      <c r="F1041" s="186"/>
      <c r="G1041" s="187" t="s">
        <v>1519</v>
      </c>
    </row>
    <row r="1042" spans="1:7" ht="37.5" x14ac:dyDescent="0.25">
      <c r="A1042" s="200">
        <v>1037</v>
      </c>
      <c r="B1042" s="183" t="e">
        <f>DEEMSuite1&amp;" CRAC Gallery"</f>
        <v>#N/A</v>
      </c>
      <c r="C1042" s="183" t="s">
        <v>2937</v>
      </c>
      <c r="D1042" s="186" t="s">
        <v>2792</v>
      </c>
      <c r="E1042" s="183" t="s">
        <v>1464</v>
      </c>
      <c r="F1042" s="186"/>
      <c r="G1042" s="187" t="s">
        <v>1519</v>
      </c>
    </row>
    <row r="1043" spans="1:7" ht="75" x14ac:dyDescent="0.25">
      <c r="A1043" s="200">
        <v>1038</v>
      </c>
      <c r="B1043" s="183" t="e">
        <f>DEEMSuite1&amp;" CRAC Gallery"</f>
        <v>#N/A</v>
      </c>
      <c r="C1043" s="183" t="s">
        <v>2937</v>
      </c>
      <c r="D1043" s="186" t="s">
        <v>3331</v>
      </c>
      <c r="E1043" s="183" t="s">
        <v>1464</v>
      </c>
      <c r="F1043" s="186"/>
      <c r="G1043" s="187" t="s">
        <v>1519</v>
      </c>
    </row>
    <row r="1044" spans="1:7" ht="37.5" x14ac:dyDescent="0.25">
      <c r="A1044" s="200">
        <v>1039</v>
      </c>
      <c r="B1044" s="183" t="e">
        <f>DEEMSuite1&amp;" CRAC Gallery"</f>
        <v>#N/A</v>
      </c>
      <c r="C1044" s="183" t="s">
        <v>2937</v>
      </c>
      <c r="D1044" s="186" t="s">
        <v>3332</v>
      </c>
      <c r="E1044" s="183" t="s">
        <v>1464</v>
      </c>
      <c r="F1044" s="186"/>
      <c r="G1044" s="187" t="s">
        <v>1519</v>
      </c>
    </row>
    <row r="1045" spans="1:7" ht="37.5" x14ac:dyDescent="0.25">
      <c r="A1045" s="200">
        <v>1040</v>
      </c>
      <c r="B1045" s="183" t="e">
        <f>DEEMSuite1&amp;" CRAC Gallery"</f>
        <v>#N/A</v>
      </c>
      <c r="C1045" s="183" t="s">
        <v>2937</v>
      </c>
      <c r="D1045" s="186" t="s">
        <v>3333</v>
      </c>
      <c r="E1045" s="183" t="s">
        <v>1464</v>
      </c>
      <c r="F1045" s="186"/>
      <c r="G1045" s="187" t="s">
        <v>1519</v>
      </c>
    </row>
    <row r="1046" spans="1:7" ht="37.5" x14ac:dyDescent="0.25">
      <c r="A1046" s="200">
        <v>1041</v>
      </c>
      <c r="B1046" s="183" t="e">
        <f>DEEMSuite1&amp;" CRAC Gallery"</f>
        <v>#N/A</v>
      </c>
      <c r="C1046" s="183" t="s">
        <v>2937</v>
      </c>
      <c r="D1046" s="186" t="s">
        <v>3334</v>
      </c>
      <c r="E1046" s="183" t="s">
        <v>1464</v>
      </c>
      <c r="F1046" s="186"/>
      <c r="G1046" s="187" t="s">
        <v>1519</v>
      </c>
    </row>
    <row r="1047" spans="1:7" ht="37.5" x14ac:dyDescent="0.25">
      <c r="A1047" s="200">
        <v>1042</v>
      </c>
      <c r="B1047" s="183" t="e">
        <f>DEEMSuite1&amp;" CRAC Gallery"</f>
        <v>#N/A</v>
      </c>
      <c r="C1047" s="183" t="s">
        <v>2937</v>
      </c>
      <c r="D1047" s="186" t="s">
        <v>2792</v>
      </c>
      <c r="E1047" s="183" t="s">
        <v>1464</v>
      </c>
      <c r="F1047" s="186"/>
      <c r="G1047" s="187" t="s">
        <v>1519</v>
      </c>
    </row>
    <row r="1048" spans="1:7" ht="75" x14ac:dyDescent="0.25">
      <c r="A1048" s="200">
        <v>1043</v>
      </c>
      <c r="B1048" s="183" t="e">
        <f>DEEMSuite1&amp;" CRAC Gallery"</f>
        <v>#N/A</v>
      </c>
      <c r="C1048" s="183" t="s">
        <v>2937</v>
      </c>
      <c r="D1048" s="186" t="s">
        <v>3335</v>
      </c>
      <c r="E1048" s="183" t="s">
        <v>1464</v>
      </c>
      <c r="F1048" s="186"/>
      <c r="G1048" s="187" t="s">
        <v>1519</v>
      </c>
    </row>
    <row r="1049" spans="1:7" ht="37.5" x14ac:dyDescent="0.25">
      <c r="A1049" s="200">
        <v>1044</v>
      </c>
      <c r="B1049" s="183" t="e">
        <f>DEEMSuite1&amp;" CRAC Gallery"</f>
        <v>#N/A</v>
      </c>
      <c r="C1049" s="183" t="s">
        <v>2937</v>
      </c>
      <c r="D1049" s="186" t="s">
        <v>3336</v>
      </c>
      <c r="E1049" s="183" t="s">
        <v>1464</v>
      </c>
      <c r="F1049" s="186"/>
      <c r="G1049" s="187" t="s">
        <v>1519</v>
      </c>
    </row>
    <row r="1050" spans="1:7" ht="37.5" x14ac:dyDescent="0.25">
      <c r="A1050" s="200">
        <v>1045</v>
      </c>
      <c r="B1050" s="183" t="e">
        <f>DEEMSuite1&amp;" CRAC Gallery"</f>
        <v>#N/A</v>
      </c>
      <c r="C1050" s="183" t="s">
        <v>2937</v>
      </c>
      <c r="D1050" s="186" t="s">
        <v>3337</v>
      </c>
      <c r="E1050" s="183" t="s">
        <v>1464</v>
      </c>
      <c r="F1050" s="186"/>
      <c r="G1050" s="187" t="s">
        <v>1519</v>
      </c>
    </row>
    <row r="1051" spans="1:7" ht="37.5" x14ac:dyDescent="0.25">
      <c r="A1051" s="200">
        <v>1046</v>
      </c>
      <c r="B1051" s="183" t="e">
        <f>DEEMSuite1&amp;" CRAC Gallery"</f>
        <v>#N/A</v>
      </c>
      <c r="C1051" s="183" t="s">
        <v>2937</v>
      </c>
      <c r="D1051" s="186" t="s">
        <v>3338</v>
      </c>
      <c r="E1051" s="183" t="s">
        <v>1464</v>
      </c>
      <c r="F1051" s="186"/>
      <c r="G1051" s="187" t="s">
        <v>1519</v>
      </c>
    </row>
    <row r="1052" spans="1:7" ht="37.5" x14ac:dyDescent="0.25">
      <c r="A1052" s="200">
        <v>1047</v>
      </c>
      <c r="B1052" s="183" t="e">
        <f>DEEMSuite1&amp;" CRAC Gallery"</f>
        <v>#N/A</v>
      </c>
      <c r="C1052" s="183" t="s">
        <v>2937</v>
      </c>
      <c r="D1052" s="186" t="s">
        <v>2792</v>
      </c>
      <c r="E1052" s="183" t="s">
        <v>1464</v>
      </c>
      <c r="F1052" s="186"/>
      <c r="G1052" s="187" t="s">
        <v>1519</v>
      </c>
    </row>
    <row r="1053" spans="1:7" ht="75" x14ac:dyDescent="0.25">
      <c r="A1053" s="200">
        <v>1048</v>
      </c>
      <c r="B1053" s="183" t="e">
        <f>DEEMSuite1&amp;" CRAC Gallery"</f>
        <v>#N/A</v>
      </c>
      <c r="C1053" s="183" t="s">
        <v>2937</v>
      </c>
      <c r="D1053" s="186" t="s">
        <v>3339</v>
      </c>
      <c r="E1053" s="183" t="s">
        <v>1464</v>
      </c>
      <c r="F1053" s="186"/>
      <c r="G1053" s="187" t="s">
        <v>1519</v>
      </c>
    </row>
    <row r="1054" spans="1:7" ht="37.5" x14ac:dyDescent="0.25">
      <c r="A1054" s="200">
        <v>1049</v>
      </c>
      <c r="B1054" s="183" t="e">
        <f>DEEMSuite1&amp;" CRAC Gallery"</f>
        <v>#N/A</v>
      </c>
      <c r="C1054" s="183" t="s">
        <v>2937</v>
      </c>
      <c r="D1054" s="186" t="s">
        <v>3340</v>
      </c>
      <c r="E1054" s="183" t="s">
        <v>1464</v>
      </c>
      <c r="F1054" s="186"/>
      <c r="G1054" s="187" t="s">
        <v>1519</v>
      </c>
    </row>
    <row r="1055" spans="1:7" ht="37.5" x14ac:dyDescent="0.25">
      <c r="A1055" s="200">
        <v>1050</v>
      </c>
      <c r="B1055" s="183" t="e">
        <f>DEEMSuite1&amp;" CRAC Gallery"</f>
        <v>#N/A</v>
      </c>
      <c r="C1055" s="183" t="s">
        <v>2937</v>
      </c>
      <c r="D1055" s="186" t="s">
        <v>3341</v>
      </c>
      <c r="E1055" s="183" t="s">
        <v>1464</v>
      </c>
      <c r="F1055" s="186"/>
      <c r="G1055" s="187" t="s">
        <v>1519</v>
      </c>
    </row>
    <row r="1056" spans="1:7" ht="37.5" x14ac:dyDescent="0.25">
      <c r="A1056" s="200">
        <v>1051</v>
      </c>
      <c r="B1056" s="183" t="e">
        <f>DEEMSuite1&amp;" CRAC Gallery"</f>
        <v>#N/A</v>
      </c>
      <c r="C1056" s="183" t="s">
        <v>2937</v>
      </c>
      <c r="D1056" s="186" t="s">
        <v>3342</v>
      </c>
      <c r="E1056" s="183" t="s">
        <v>1464</v>
      </c>
      <c r="F1056" s="186"/>
      <c r="G1056" s="187" t="s">
        <v>1519</v>
      </c>
    </row>
    <row r="1057" spans="1:7" ht="37.5" x14ac:dyDescent="0.25">
      <c r="A1057" s="200">
        <v>1052</v>
      </c>
      <c r="B1057" s="183" t="e">
        <f>DEEMSuite1&amp;" CRAC Gallery"</f>
        <v>#N/A</v>
      </c>
      <c r="C1057" s="183" t="s">
        <v>2937</v>
      </c>
      <c r="D1057" s="186" t="s">
        <v>2792</v>
      </c>
      <c r="E1057" s="183" t="s">
        <v>1464</v>
      </c>
      <c r="F1057" s="186"/>
      <c r="G1057" s="187" t="s">
        <v>1519</v>
      </c>
    </row>
    <row r="1058" spans="1:7" ht="75" x14ac:dyDescent="0.25">
      <c r="A1058" s="200">
        <v>1053</v>
      </c>
      <c r="B1058" s="183" t="e">
        <f>DEEMSuite1&amp;" CRAC Gallery"</f>
        <v>#N/A</v>
      </c>
      <c r="C1058" s="183" t="s">
        <v>2937</v>
      </c>
      <c r="D1058" s="186" t="s">
        <v>3343</v>
      </c>
      <c r="E1058" s="183" t="s">
        <v>1464</v>
      </c>
      <c r="F1058" s="186"/>
      <c r="G1058" s="187" t="s">
        <v>1519</v>
      </c>
    </row>
    <row r="1059" spans="1:7" ht="37.5" x14ac:dyDescent="0.25">
      <c r="A1059" s="200">
        <v>1054</v>
      </c>
      <c r="B1059" s="183" t="e">
        <f>DEEMSuite1&amp;" CRAC Gallery"</f>
        <v>#N/A</v>
      </c>
      <c r="C1059" s="183" t="s">
        <v>2937</v>
      </c>
      <c r="D1059" s="186" t="s">
        <v>3344</v>
      </c>
      <c r="E1059" s="183" t="s">
        <v>1464</v>
      </c>
      <c r="F1059" s="186"/>
      <c r="G1059" s="187" t="s">
        <v>1519</v>
      </c>
    </row>
    <row r="1060" spans="1:7" ht="37.5" x14ac:dyDescent="0.25">
      <c r="A1060" s="200">
        <v>1055</v>
      </c>
      <c r="B1060" s="183" t="e">
        <f>DEEMSuite1&amp;" CRAC Gallery"</f>
        <v>#N/A</v>
      </c>
      <c r="C1060" s="183" t="s">
        <v>2937</v>
      </c>
      <c r="D1060" s="186" t="s">
        <v>3345</v>
      </c>
      <c r="E1060" s="183" t="s">
        <v>1464</v>
      </c>
      <c r="F1060" s="186"/>
      <c r="G1060" s="187" t="s">
        <v>1519</v>
      </c>
    </row>
    <row r="1061" spans="1:7" ht="37.5" x14ac:dyDescent="0.25">
      <c r="A1061" s="200">
        <v>1056</v>
      </c>
      <c r="B1061" s="183" t="e">
        <f>DEEMSuite1&amp;" CRAC Gallery"</f>
        <v>#N/A</v>
      </c>
      <c r="C1061" s="183" t="s">
        <v>2937</v>
      </c>
      <c r="D1061" s="186" t="s">
        <v>3346</v>
      </c>
      <c r="E1061" s="183" t="s">
        <v>1464</v>
      </c>
      <c r="F1061" s="186"/>
      <c r="G1061" s="187" t="s">
        <v>1519</v>
      </c>
    </row>
    <row r="1062" spans="1:7" ht="37.5" x14ac:dyDescent="0.25">
      <c r="A1062" s="200">
        <v>1057</v>
      </c>
      <c r="B1062" s="183" t="e">
        <f>DEEMSuite1&amp;" CRAC Gallery"</f>
        <v>#N/A</v>
      </c>
      <c r="C1062" s="183" t="s">
        <v>2937</v>
      </c>
      <c r="D1062" s="186" t="s">
        <v>2792</v>
      </c>
      <c r="E1062" s="183" t="s">
        <v>1464</v>
      </c>
      <c r="F1062" s="186"/>
      <c r="G1062" s="187" t="s">
        <v>1519</v>
      </c>
    </row>
    <row r="1063" spans="1:7" ht="75" x14ac:dyDescent="0.25">
      <c r="A1063" s="200">
        <v>1058</v>
      </c>
      <c r="B1063" s="183" t="e">
        <f>DEEMSuite1&amp;" CRAC Gallery"</f>
        <v>#N/A</v>
      </c>
      <c r="C1063" s="183" t="s">
        <v>2937</v>
      </c>
      <c r="D1063" s="186" t="s">
        <v>3347</v>
      </c>
      <c r="E1063" s="183" t="s">
        <v>1464</v>
      </c>
      <c r="F1063" s="186"/>
      <c r="G1063" s="187" t="s">
        <v>1519</v>
      </c>
    </row>
    <row r="1064" spans="1:7" ht="37.5" x14ac:dyDescent="0.25">
      <c r="A1064" s="200">
        <v>1059</v>
      </c>
      <c r="B1064" s="183" t="e">
        <f>DEEMSuite1&amp;" CRAC Gallery"</f>
        <v>#N/A</v>
      </c>
      <c r="C1064" s="183" t="s">
        <v>2937</v>
      </c>
      <c r="D1064" s="186" t="s">
        <v>3348</v>
      </c>
      <c r="E1064" s="183" t="s">
        <v>1464</v>
      </c>
      <c r="F1064" s="186"/>
      <c r="G1064" s="187" t="s">
        <v>1519</v>
      </c>
    </row>
    <row r="1065" spans="1:7" ht="37.5" x14ac:dyDescent="0.25">
      <c r="A1065" s="200">
        <v>1060</v>
      </c>
      <c r="B1065" s="183" t="e">
        <f>DEEMSuite1&amp;" CRAC Gallery"</f>
        <v>#N/A</v>
      </c>
      <c r="C1065" s="183" t="s">
        <v>2937</v>
      </c>
      <c r="D1065" s="186" t="s">
        <v>3349</v>
      </c>
      <c r="E1065" s="183" t="s">
        <v>1464</v>
      </c>
      <c r="F1065" s="186"/>
      <c r="G1065" s="187" t="s">
        <v>1519</v>
      </c>
    </row>
    <row r="1066" spans="1:7" ht="37.5" x14ac:dyDescent="0.25">
      <c r="A1066" s="200">
        <v>1061</v>
      </c>
      <c r="B1066" s="183" t="e">
        <f>DEEMSuite1&amp;" CRAC Gallery"</f>
        <v>#N/A</v>
      </c>
      <c r="C1066" s="183" t="s">
        <v>2937</v>
      </c>
      <c r="D1066" s="186" t="s">
        <v>3350</v>
      </c>
      <c r="E1066" s="183" t="s">
        <v>1464</v>
      </c>
      <c r="F1066" s="186"/>
      <c r="G1066" s="187" t="s">
        <v>1519</v>
      </c>
    </row>
    <row r="1067" spans="1:7" ht="37.5" x14ac:dyDescent="0.25">
      <c r="A1067" s="200">
        <v>1062</v>
      </c>
      <c r="B1067" s="183" t="e">
        <f>DEEMSuite1&amp;" CRAC Gallery"</f>
        <v>#N/A</v>
      </c>
      <c r="C1067" s="183" t="s">
        <v>2937</v>
      </c>
      <c r="D1067" s="186" t="s">
        <v>2792</v>
      </c>
      <c r="E1067" s="183" t="s">
        <v>1464</v>
      </c>
      <c r="F1067" s="186"/>
      <c r="G1067" s="187" t="s">
        <v>1519</v>
      </c>
    </row>
    <row r="1068" spans="1:7" ht="75" x14ac:dyDescent="0.25">
      <c r="A1068" s="200">
        <v>1063</v>
      </c>
      <c r="B1068" s="183" t="e">
        <f>DEEMSuite1&amp;" CRAC Gallery"</f>
        <v>#N/A</v>
      </c>
      <c r="C1068" s="183" t="s">
        <v>2937</v>
      </c>
      <c r="D1068" s="186" t="s">
        <v>3351</v>
      </c>
      <c r="E1068" s="183" t="s">
        <v>1464</v>
      </c>
      <c r="F1068" s="186"/>
      <c r="G1068" s="187" t="s">
        <v>1519</v>
      </c>
    </row>
    <row r="1069" spans="1:7" ht="37.5" x14ac:dyDescent="0.25">
      <c r="A1069" s="200">
        <v>1064</v>
      </c>
      <c r="B1069" s="183" t="e">
        <f>DEEMSuite1&amp;" CRAC Gallery"</f>
        <v>#N/A</v>
      </c>
      <c r="C1069" s="183" t="s">
        <v>2937</v>
      </c>
      <c r="D1069" s="186" t="s">
        <v>3352</v>
      </c>
      <c r="E1069" s="183" t="s">
        <v>1464</v>
      </c>
      <c r="F1069" s="186"/>
      <c r="G1069" s="187" t="s">
        <v>1519</v>
      </c>
    </row>
    <row r="1070" spans="1:7" ht="37.5" x14ac:dyDescent="0.25">
      <c r="A1070" s="200">
        <v>1065</v>
      </c>
      <c r="B1070" s="183" t="e">
        <f>DEEMSuite1&amp;" CRAC Gallery"</f>
        <v>#N/A</v>
      </c>
      <c r="C1070" s="183" t="s">
        <v>2937</v>
      </c>
      <c r="D1070" s="186" t="s">
        <v>3353</v>
      </c>
      <c r="E1070" s="183" t="s">
        <v>1464</v>
      </c>
      <c r="F1070" s="186"/>
      <c r="G1070" s="187" t="s">
        <v>1519</v>
      </c>
    </row>
    <row r="1071" spans="1:7" x14ac:dyDescent="0.25">
      <c r="A1071" s="200">
        <v>1066</v>
      </c>
      <c r="B1071" s="756" t="s">
        <v>3354</v>
      </c>
      <c r="C1071" s="757"/>
      <c r="D1071" s="759"/>
      <c r="E1071" s="757"/>
      <c r="F1071" s="757"/>
      <c r="G1071" s="758"/>
    </row>
    <row r="1072" spans="1:7" ht="37.5" x14ac:dyDescent="0.25">
      <c r="A1072" s="200">
        <v>1067</v>
      </c>
      <c r="B1072" s="183" t="e">
        <f>DEEMSuite1&amp;" Electrical Room A"</f>
        <v>#N/A</v>
      </c>
      <c r="C1072" s="201" t="s">
        <v>2929</v>
      </c>
      <c r="D1072" s="202" t="s">
        <v>2692</v>
      </c>
      <c r="E1072" s="183" t="s">
        <v>1464</v>
      </c>
      <c r="F1072" s="186"/>
      <c r="G1072" s="187" t="s">
        <v>1519</v>
      </c>
    </row>
    <row r="1073" spans="1:7" ht="37.5" x14ac:dyDescent="0.25">
      <c r="A1073" s="200">
        <v>1068</v>
      </c>
      <c r="B1073" s="183" t="e">
        <f>DEEMSuite1&amp;" Electrical Room B"</f>
        <v>#N/A</v>
      </c>
      <c r="C1073" s="201" t="s">
        <v>2930</v>
      </c>
      <c r="D1073" s="202" t="s">
        <v>2693</v>
      </c>
      <c r="E1073" s="183" t="s">
        <v>1464</v>
      </c>
      <c r="F1073" s="186"/>
      <c r="G1073" s="187" t="s">
        <v>1519</v>
      </c>
    </row>
    <row r="1074" spans="1:7" ht="56.25" x14ac:dyDescent="0.25">
      <c r="A1074" s="200">
        <v>1069</v>
      </c>
      <c r="B1074" s="183" t="e">
        <f>DEEMSuite1&amp;" Electrical Rooms"</f>
        <v>#N/A</v>
      </c>
      <c r="C1074" s="183" t="s">
        <v>2931</v>
      </c>
      <c r="D1074" s="186" t="str">
        <f>"Add the UPA and UPB kW readings: ________ and compare to step " &amp; A871 &amp; ":________."</f>
        <v>Add the UPA and UPB kW readings: ________ and compare to step 866:________.</v>
      </c>
      <c r="E1074" s="183" t="s">
        <v>1464</v>
      </c>
      <c r="F1074" s="186"/>
      <c r="G1074" s="187" t="s">
        <v>1519</v>
      </c>
    </row>
    <row r="1075" spans="1:7" ht="56.25" x14ac:dyDescent="0.25">
      <c r="A1075" s="200">
        <v>1070</v>
      </c>
      <c r="B1075" s="183" t="e">
        <f>DEEMSuite1&amp;" Electrical Rooms"</f>
        <v>#N/A</v>
      </c>
      <c r="C1075" s="183" t="s">
        <v>2931</v>
      </c>
      <c r="D1075" s="186" t="s">
        <v>2932</v>
      </c>
      <c r="E1075" s="183" t="s">
        <v>1464</v>
      </c>
      <c r="F1075" s="186"/>
      <c r="G1075" s="187" t="s">
        <v>1519</v>
      </c>
    </row>
    <row r="1076" spans="1:7" ht="37.5" x14ac:dyDescent="0.25">
      <c r="A1076" s="200">
        <v>1071</v>
      </c>
      <c r="B1076" s="183" t="e">
        <f>DEEMSuite1&amp;" Electrical Room A"</f>
        <v>#N/A</v>
      </c>
      <c r="C1076" s="201" t="s">
        <v>2929</v>
      </c>
      <c r="D1076" s="202" t="s">
        <v>2748</v>
      </c>
      <c r="E1076" s="183" t="s">
        <v>1464</v>
      </c>
      <c r="F1076" s="186"/>
      <c r="G1076" s="187" t="s">
        <v>1519</v>
      </c>
    </row>
    <row r="1077" spans="1:7" ht="37.5" x14ac:dyDescent="0.25">
      <c r="A1077" s="200">
        <v>1072</v>
      </c>
      <c r="B1077" s="183" t="e">
        <f>DEEMSuite1&amp;" Electrical Room A"</f>
        <v>#N/A</v>
      </c>
      <c r="C1077" s="201" t="s">
        <v>2929</v>
      </c>
      <c r="D1077" s="202" t="s">
        <v>2749</v>
      </c>
      <c r="E1077" s="183" t="s">
        <v>1464</v>
      </c>
      <c r="F1077" s="186"/>
      <c r="G1077" s="187" t="s">
        <v>1519</v>
      </c>
    </row>
    <row r="1078" spans="1:7" ht="37.5" x14ac:dyDescent="0.25">
      <c r="A1078" s="200">
        <v>1073</v>
      </c>
      <c r="B1078" s="183" t="e">
        <f>DEEMSuite1&amp;" Electrical Room A"</f>
        <v>#N/A</v>
      </c>
      <c r="C1078" s="201" t="s">
        <v>2929</v>
      </c>
      <c r="D1078" s="202" t="s">
        <v>2750</v>
      </c>
      <c r="E1078" s="183" t="s">
        <v>1464</v>
      </c>
      <c r="F1078" s="186"/>
      <c r="G1078" s="187" t="s">
        <v>1519</v>
      </c>
    </row>
    <row r="1079" spans="1:7" ht="37.5" x14ac:dyDescent="0.25">
      <c r="A1079" s="200">
        <v>1074</v>
      </c>
      <c r="B1079" s="183" t="e">
        <f>DEEMSuite1&amp;" Electrical Room A"</f>
        <v>#N/A</v>
      </c>
      <c r="C1079" s="201" t="s">
        <v>2929</v>
      </c>
      <c r="D1079" s="202" t="s">
        <v>2751</v>
      </c>
      <c r="E1079" s="183" t="s">
        <v>1464</v>
      </c>
      <c r="F1079" s="186"/>
      <c r="G1079" s="187" t="s">
        <v>1519</v>
      </c>
    </row>
    <row r="1080" spans="1:7" ht="37.5" x14ac:dyDescent="0.25">
      <c r="A1080" s="200">
        <v>1075</v>
      </c>
      <c r="B1080" s="183" t="e">
        <f>DEEMSuite1&amp;" Electrical Room A"</f>
        <v>#N/A</v>
      </c>
      <c r="C1080" s="201" t="s">
        <v>2929</v>
      </c>
      <c r="D1080" s="202" t="s">
        <v>2752</v>
      </c>
      <c r="E1080" s="183" t="s">
        <v>1464</v>
      </c>
      <c r="F1080" s="186"/>
      <c r="G1080" s="187" t="s">
        <v>1519</v>
      </c>
    </row>
    <row r="1081" spans="1:7" ht="37.5" x14ac:dyDescent="0.25">
      <c r="A1081" s="200">
        <v>1076</v>
      </c>
      <c r="B1081" s="183" t="e">
        <f>DEEMSuite1&amp;" Electrical Room B"</f>
        <v>#N/A</v>
      </c>
      <c r="C1081" s="201" t="s">
        <v>2930</v>
      </c>
      <c r="D1081" s="202" t="s">
        <v>2753</v>
      </c>
      <c r="E1081" s="183" t="s">
        <v>1464</v>
      </c>
      <c r="F1081" s="186"/>
      <c r="G1081" s="187" t="s">
        <v>1519</v>
      </c>
    </row>
    <row r="1082" spans="1:7" ht="37.5" x14ac:dyDescent="0.25">
      <c r="A1082" s="200">
        <v>1077</v>
      </c>
      <c r="B1082" s="183" t="e">
        <f>DEEMSuite1&amp;" Electrical Room B"</f>
        <v>#N/A</v>
      </c>
      <c r="C1082" s="201" t="s">
        <v>2930</v>
      </c>
      <c r="D1082" s="202" t="s">
        <v>2754</v>
      </c>
      <c r="E1082" s="183" t="s">
        <v>1464</v>
      </c>
      <c r="F1082" s="186"/>
      <c r="G1082" s="187" t="s">
        <v>1519</v>
      </c>
    </row>
    <row r="1083" spans="1:7" ht="37.5" x14ac:dyDescent="0.25">
      <c r="A1083" s="200">
        <v>1078</v>
      </c>
      <c r="B1083" s="183" t="e">
        <f>DEEMSuite1&amp;" Electrical Room B"</f>
        <v>#N/A</v>
      </c>
      <c r="C1083" s="201" t="s">
        <v>2930</v>
      </c>
      <c r="D1083" s="202" t="s">
        <v>2755</v>
      </c>
      <c r="E1083" s="183" t="s">
        <v>1464</v>
      </c>
      <c r="F1083" s="186"/>
      <c r="G1083" s="187" t="s">
        <v>1519</v>
      </c>
    </row>
    <row r="1084" spans="1:7" ht="37.5" x14ac:dyDescent="0.25">
      <c r="A1084" s="200">
        <v>1079</v>
      </c>
      <c r="B1084" s="183" t="e">
        <f>DEEMSuite1&amp;" Electrical Room B"</f>
        <v>#N/A</v>
      </c>
      <c r="C1084" s="201" t="s">
        <v>2930</v>
      </c>
      <c r="D1084" s="202" t="s">
        <v>2756</v>
      </c>
      <c r="E1084" s="183" t="s">
        <v>1464</v>
      </c>
      <c r="F1084" s="186"/>
      <c r="G1084" s="187" t="s">
        <v>1519</v>
      </c>
    </row>
    <row r="1085" spans="1:7" ht="37.5" x14ac:dyDescent="0.25">
      <c r="A1085" s="200">
        <v>1080</v>
      </c>
      <c r="B1085" s="183" t="e">
        <f>DEEMSuite1&amp;" Electrical Room B"</f>
        <v>#N/A</v>
      </c>
      <c r="C1085" s="201" t="s">
        <v>2930</v>
      </c>
      <c r="D1085" s="202" t="s">
        <v>2757</v>
      </c>
      <c r="E1085" s="183" t="s">
        <v>1464</v>
      </c>
      <c r="F1085" s="186"/>
      <c r="G1085" s="187" t="s">
        <v>1519</v>
      </c>
    </row>
    <row r="1086" spans="1:7" ht="37.5" x14ac:dyDescent="0.25">
      <c r="A1086" s="200">
        <v>1081</v>
      </c>
      <c r="B1086" s="183" t="e">
        <f>DEEMSuite1&amp;" CRAC Gallery"</f>
        <v>#N/A</v>
      </c>
      <c r="C1086" s="183" t="s">
        <v>2758</v>
      </c>
      <c r="D1086" s="202" t="s">
        <v>2759</v>
      </c>
      <c r="E1086" s="183" t="s">
        <v>1464</v>
      </c>
      <c r="F1086" s="186"/>
      <c r="G1086" s="187" t="s">
        <v>1519</v>
      </c>
    </row>
    <row r="1087" spans="1:7" ht="37.5" x14ac:dyDescent="0.25">
      <c r="A1087" s="200">
        <v>1082</v>
      </c>
      <c r="B1087" s="183" t="e">
        <f>DEEMSuite1&amp;" CRAC Gallery"</f>
        <v>#N/A</v>
      </c>
      <c r="C1087" s="183" t="s">
        <v>2933</v>
      </c>
      <c r="D1087" s="202" t="s">
        <v>2761</v>
      </c>
      <c r="E1087" s="183" t="s">
        <v>1464</v>
      </c>
      <c r="F1087" s="186"/>
      <c r="G1087" s="187" t="s">
        <v>1519</v>
      </c>
    </row>
    <row r="1088" spans="1:7" ht="56.25" x14ac:dyDescent="0.25">
      <c r="A1088" s="200">
        <v>1083</v>
      </c>
      <c r="B1088" s="183" t="e">
        <f>DEEMSuite1&amp;" CRAC Gallery"</f>
        <v>#N/A</v>
      </c>
      <c r="C1088" s="183" t="s">
        <v>2762</v>
      </c>
      <c r="D1088" s="186" t="str">
        <f>"Add readings from previous 2 steps:  __________ kW and compare to step " &amp; A885 &amp; ":________. If the combined load on the paired PDUs has changed by more than 10 kW stop and inform the MOP facilitator."</f>
        <v>Add readings from previous 2 steps:  __________ kW and compare to step 880:________. If the combined load on the paired PDUs has changed by more than 10 kW stop and inform the MOP facilitator.</v>
      </c>
      <c r="E1088" s="183" t="s">
        <v>1464</v>
      </c>
      <c r="F1088" s="186"/>
      <c r="G1088" s="187" t="s">
        <v>1519</v>
      </c>
    </row>
    <row r="1089" spans="1:7" ht="37.5" x14ac:dyDescent="0.25">
      <c r="A1089" s="200">
        <v>1084</v>
      </c>
      <c r="B1089" s="183" t="e">
        <f>DEEMSuite1&amp;" CRAC Gallery"</f>
        <v>#N/A</v>
      </c>
      <c r="C1089" s="183" t="s">
        <v>2764</v>
      </c>
      <c r="D1089" s="202" t="s">
        <v>2765</v>
      </c>
      <c r="E1089" s="183" t="s">
        <v>1464</v>
      </c>
      <c r="F1089" s="186"/>
      <c r="G1089" s="187" t="s">
        <v>1519</v>
      </c>
    </row>
    <row r="1090" spans="1:7" ht="37.5" x14ac:dyDescent="0.25">
      <c r="A1090" s="200">
        <v>1085</v>
      </c>
      <c r="B1090" s="183" t="e">
        <f>DEEMSuite1&amp;" CRAC Gallery"</f>
        <v>#N/A</v>
      </c>
      <c r="C1090" s="183" t="s">
        <v>2934</v>
      </c>
      <c r="D1090" s="202" t="s">
        <v>2767</v>
      </c>
      <c r="E1090" s="183" t="s">
        <v>1464</v>
      </c>
      <c r="F1090" s="186"/>
      <c r="G1090" s="187" t="s">
        <v>1519</v>
      </c>
    </row>
    <row r="1091" spans="1:7" ht="56.25" x14ac:dyDescent="0.25">
      <c r="A1091" s="200">
        <v>1086</v>
      </c>
      <c r="B1091" s="183" t="e">
        <f>DEEMSuite1&amp;" CRAC Gallery"</f>
        <v>#N/A</v>
      </c>
      <c r="C1091" s="183" t="s">
        <v>2768</v>
      </c>
      <c r="D1091" s="186" t="str">
        <f>"Add readings from previous 2 steps:  __________ kW and compare to step " &amp; A888 &amp; ":________. If the combined load on the paired PDUs has changed by more than 10 kW stop and inform the MOP facilitator."</f>
        <v>Add readings from previous 2 steps:  __________ kW and compare to step 883:________. If the combined load on the paired PDUs has changed by more than 10 kW stop and inform the MOP facilitator.</v>
      </c>
      <c r="E1091" s="183" t="s">
        <v>1464</v>
      </c>
      <c r="F1091" s="186"/>
      <c r="G1091" s="187" t="s">
        <v>1519</v>
      </c>
    </row>
    <row r="1092" spans="1:7" ht="37.5" x14ac:dyDescent="0.25">
      <c r="A1092" s="200">
        <v>1087</v>
      </c>
      <c r="B1092" s="183" t="e">
        <f>DEEMSuite1&amp;" CRAC Gallery"</f>
        <v>#N/A</v>
      </c>
      <c r="C1092" s="183" t="s">
        <v>2769</v>
      </c>
      <c r="D1092" s="202" t="s">
        <v>2770</v>
      </c>
      <c r="E1092" s="183" t="s">
        <v>1464</v>
      </c>
      <c r="F1092" s="186"/>
      <c r="G1092" s="187" t="s">
        <v>1519</v>
      </c>
    </row>
    <row r="1093" spans="1:7" ht="37.5" x14ac:dyDescent="0.25">
      <c r="A1093" s="200">
        <v>1088</v>
      </c>
      <c r="B1093" s="183" t="e">
        <f>DEEMSuite1&amp;" CRAC Gallery"</f>
        <v>#N/A</v>
      </c>
      <c r="C1093" s="183" t="s">
        <v>2935</v>
      </c>
      <c r="D1093" s="202" t="s">
        <v>2772</v>
      </c>
      <c r="E1093" s="183" t="s">
        <v>1464</v>
      </c>
      <c r="F1093" s="186"/>
      <c r="G1093" s="187" t="s">
        <v>1519</v>
      </c>
    </row>
    <row r="1094" spans="1:7" ht="56.25" x14ac:dyDescent="0.25">
      <c r="A1094" s="200">
        <v>1089</v>
      </c>
      <c r="B1094" s="183" t="e">
        <f>DEEMSuite1&amp;" CRAC Gallery"</f>
        <v>#N/A</v>
      </c>
      <c r="C1094" s="183" t="s">
        <v>2773</v>
      </c>
      <c r="D1094" s="186" t="str">
        <f>"Add readings from previous 2 steps:  __________ kW and compare to step " &amp; A891 &amp; ":________. If the combined load on the paired PDUs has changed by more than 10 kW stop and inform the MOP facilitator."</f>
        <v>Add readings from previous 2 steps:  __________ kW and compare to step 886:________. If the combined load on the paired PDUs has changed by more than 10 kW stop and inform the MOP facilitator.</v>
      </c>
      <c r="E1094" s="183" t="s">
        <v>1464</v>
      </c>
      <c r="F1094" s="186"/>
      <c r="G1094" s="187" t="s">
        <v>1519</v>
      </c>
    </row>
    <row r="1095" spans="1:7" ht="37.5" x14ac:dyDescent="0.25">
      <c r="A1095" s="200">
        <v>1090</v>
      </c>
      <c r="B1095" s="183" t="e">
        <f>DEEMSuite1&amp;" CRAC Gallery"</f>
        <v>#N/A</v>
      </c>
      <c r="C1095" s="183" t="s">
        <v>2774</v>
      </c>
      <c r="D1095" s="202" t="s">
        <v>2775</v>
      </c>
      <c r="E1095" s="183" t="s">
        <v>1464</v>
      </c>
      <c r="F1095" s="186"/>
      <c r="G1095" s="187" t="s">
        <v>1519</v>
      </c>
    </row>
    <row r="1096" spans="1:7" ht="37.5" x14ac:dyDescent="0.25">
      <c r="A1096" s="200">
        <v>1091</v>
      </c>
      <c r="B1096" s="183" t="e">
        <f>DEEMSuite1&amp;" CRAC Gallery"</f>
        <v>#N/A</v>
      </c>
      <c r="C1096" s="183" t="s">
        <v>2936</v>
      </c>
      <c r="D1096" s="202" t="s">
        <v>2777</v>
      </c>
      <c r="E1096" s="183" t="s">
        <v>1464</v>
      </c>
      <c r="F1096" s="186"/>
      <c r="G1096" s="187" t="s">
        <v>1519</v>
      </c>
    </row>
    <row r="1097" spans="1:7" ht="56.25" x14ac:dyDescent="0.25">
      <c r="A1097" s="200">
        <v>1092</v>
      </c>
      <c r="B1097" s="183" t="e">
        <f>DEEMSuite1&amp;" CRAC Gallery"</f>
        <v>#N/A</v>
      </c>
      <c r="C1097" s="183" t="s">
        <v>2778</v>
      </c>
      <c r="D1097" s="186" t="str">
        <f>"Add readings from previous 2 steps:  __________ kW and compare to step " &amp; A894 &amp; ":________. If the combined load on the paired PDUs has changed by more than 10 kW stop and inform the MOP facilitator."</f>
        <v>Add readings from previous 2 steps:  __________ kW and compare to step 889:________. If the combined load on the paired PDUs has changed by more than 10 kW stop and inform the MOP facilitator.</v>
      </c>
      <c r="E1097" s="183" t="s">
        <v>1464</v>
      </c>
      <c r="F1097" s="186"/>
      <c r="G1097" s="187" t="s">
        <v>1519</v>
      </c>
    </row>
    <row r="1098" spans="1:7" ht="37.5" x14ac:dyDescent="0.25">
      <c r="A1098" s="200">
        <v>1093</v>
      </c>
      <c r="B1098" s="183" t="e">
        <f>DEEMSuite1&amp;" CRAC Gallery"</f>
        <v>#N/A</v>
      </c>
      <c r="C1098" s="183" t="s">
        <v>2779</v>
      </c>
      <c r="D1098" s="202" t="s">
        <v>2780</v>
      </c>
      <c r="E1098" s="183" t="s">
        <v>1464</v>
      </c>
      <c r="F1098" s="186"/>
      <c r="G1098" s="187" t="s">
        <v>1519</v>
      </c>
    </row>
    <row r="1099" spans="1:7" ht="37.5" x14ac:dyDescent="0.25">
      <c r="A1099" s="200">
        <v>1094</v>
      </c>
      <c r="B1099" s="183" t="e">
        <f>DEEMSuite1&amp;" CRAC Gallery"</f>
        <v>#N/A</v>
      </c>
      <c r="C1099" s="183" t="s">
        <v>2937</v>
      </c>
      <c r="D1099" s="202" t="s">
        <v>2782</v>
      </c>
      <c r="E1099" s="183" t="s">
        <v>1464</v>
      </c>
      <c r="F1099" s="186"/>
      <c r="G1099" s="187" t="s">
        <v>1519</v>
      </c>
    </row>
    <row r="1100" spans="1:7" ht="56.25" x14ac:dyDescent="0.25">
      <c r="A1100" s="200">
        <v>1095</v>
      </c>
      <c r="B1100" s="183" t="e">
        <f>DEEMSuite1&amp;" CRAC Gallery"</f>
        <v>#N/A</v>
      </c>
      <c r="C1100" s="183" t="s">
        <v>2783</v>
      </c>
      <c r="D1100" s="186" t="str">
        <f>"Add readings from previous 2 steps:  __________ kW and compare to step " &amp; A897 &amp; ":________. If the combined load on the paired PDUs has changed by more than 10 kW stop and inform the MOP facilitator."</f>
        <v>Add readings from previous 2 steps:  __________ kW and compare to step 892:________. If the combined load on the paired PDUs has changed by more than 10 kW stop and inform the MOP facilitator.</v>
      </c>
      <c r="E1100" s="183" t="s">
        <v>1464</v>
      </c>
      <c r="F1100" s="186"/>
      <c r="G1100" s="187" t="s">
        <v>1519</v>
      </c>
    </row>
    <row r="1101" spans="1:7" x14ac:dyDescent="0.25">
      <c r="A1101" s="200">
        <v>1096</v>
      </c>
      <c r="B1101" s="756" t="s">
        <v>2938</v>
      </c>
      <c r="C1101" s="757"/>
      <c r="D1101" s="759"/>
      <c r="E1101" s="757"/>
      <c r="F1101" s="757"/>
      <c r="G1101" s="758"/>
    </row>
    <row r="1102" spans="1:7" ht="37.5" x14ac:dyDescent="0.25">
      <c r="A1102" s="200">
        <v>1097</v>
      </c>
      <c r="B1102" s="183" t="e">
        <f>DEEMSuite1&amp;" CRAC Gallery"</f>
        <v>#N/A</v>
      </c>
      <c r="C1102" s="183" t="s">
        <v>2933</v>
      </c>
      <c r="D1102" s="186" t="s">
        <v>3355</v>
      </c>
      <c r="E1102" s="183" t="s">
        <v>1464</v>
      </c>
      <c r="F1102" s="186"/>
      <c r="G1102" s="187" t="s">
        <v>1519</v>
      </c>
    </row>
    <row r="1103" spans="1:7" ht="37.5" x14ac:dyDescent="0.25">
      <c r="A1103" s="200">
        <v>1098</v>
      </c>
      <c r="B1103" s="183" t="e">
        <f>DEEMSuite1&amp;" CRAC Gallery"</f>
        <v>#N/A</v>
      </c>
      <c r="C1103" s="183" t="s">
        <v>2933</v>
      </c>
      <c r="D1103" s="186" t="s">
        <v>2940</v>
      </c>
      <c r="E1103" s="183" t="s">
        <v>1464</v>
      </c>
      <c r="F1103" s="186"/>
      <c r="G1103" s="187" t="s">
        <v>1519</v>
      </c>
    </row>
    <row r="1104" spans="1:7" ht="37.5" x14ac:dyDescent="0.25">
      <c r="A1104" s="200">
        <v>1099</v>
      </c>
      <c r="B1104" s="183" t="e">
        <f>DEEMSuite1&amp;" CRAC Gallery"</f>
        <v>#N/A</v>
      </c>
      <c r="C1104" s="183" t="s">
        <v>2933</v>
      </c>
      <c r="D1104" s="186" t="s">
        <v>2941</v>
      </c>
      <c r="E1104" s="183" t="s">
        <v>1464</v>
      </c>
      <c r="F1104" s="186"/>
      <c r="G1104" s="187" t="s">
        <v>1519</v>
      </c>
    </row>
    <row r="1105" spans="1:7" ht="37.5" x14ac:dyDescent="0.25">
      <c r="A1105" s="200">
        <v>1100</v>
      </c>
      <c r="B1105" s="183" t="e">
        <f>DEEMSuite1&amp;" CRAC Gallery"</f>
        <v>#N/A</v>
      </c>
      <c r="C1105" s="183" t="s">
        <v>2933</v>
      </c>
      <c r="D1105" s="186" t="s">
        <v>2942</v>
      </c>
      <c r="E1105" s="183" t="s">
        <v>1464</v>
      </c>
      <c r="F1105" s="186"/>
      <c r="G1105" s="187" t="s">
        <v>1519</v>
      </c>
    </row>
    <row r="1106" spans="1:7" ht="37.5" x14ac:dyDescent="0.25">
      <c r="A1106" s="200">
        <v>1101</v>
      </c>
      <c r="B1106" s="183" t="e">
        <f>DEEMSuite1&amp;" CRAC Gallery"</f>
        <v>#N/A</v>
      </c>
      <c r="C1106" s="183" t="s">
        <v>2933</v>
      </c>
      <c r="D1106" s="186" t="s">
        <v>2943</v>
      </c>
      <c r="E1106" s="183" t="s">
        <v>1464</v>
      </c>
      <c r="F1106" s="186"/>
      <c r="G1106" s="187" t="s">
        <v>1519</v>
      </c>
    </row>
    <row r="1107" spans="1:7" ht="37.5" x14ac:dyDescent="0.25">
      <c r="A1107" s="200">
        <v>1102</v>
      </c>
      <c r="B1107" s="183" t="e">
        <f>DEEMSuite1&amp;" CRAC Gallery"</f>
        <v>#N/A</v>
      </c>
      <c r="C1107" s="183" t="s">
        <v>2933</v>
      </c>
      <c r="D1107" s="186" t="s">
        <v>2944</v>
      </c>
      <c r="E1107" s="183" t="s">
        <v>1464</v>
      </c>
      <c r="F1107" s="186"/>
      <c r="G1107" s="187" t="s">
        <v>1519</v>
      </c>
    </row>
    <row r="1108" spans="1:7" ht="37.5" x14ac:dyDescent="0.25">
      <c r="A1108" s="200">
        <v>1103</v>
      </c>
      <c r="B1108" s="183" t="e">
        <f>DEEMSuite1&amp;" CRAC Gallery"</f>
        <v>#N/A</v>
      </c>
      <c r="C1108" s="183" t="s">
        <v>2933</v>
      </c>
      <c r="D1108" s="186" t="s">
        <v>2945</v>
      </c>
      <c r="E1108" s="183" t="s">
        <v>1464</v>
      </c>
      <c r="F1108" s="186"/>
      <c r="G1108" s="187" t="s">
        <v>1519</v>
      </c>
    </row>
    <row r="1109" spans="1:7" ht="37.5" x14ac:dyDescent="0.25">
      <c r="A1109" s="200">
        <v>1104</v>
      </c>
      <c r="B1109" s="183" t="e">
        <f>DEEMSuite1&amp;" CRAC Gallery"</f>
        <v>#N/A</v>
      </c>
      <c r="C1109" s="183" t="s">
        <v>2933</v>
      </c>
      <c r="D1109" s="186" t="s">
        <v>2946</v>
      </c>
      <c r="E1109" s="183" t="s">
        <v>1464</v>
      </c>
      <c r="F1109" s="186"/>
      <c r="G1109" s="187" t="s">
        <v>1519</v>
      </c>
    </row>
    <row r="1110" spans="1:7" ht="37.5" x14ac:dyDescent="0.25">
      <c r="A1110" s="200">
        <v>1105</v>
      </c>
      <c r="B1110" s="183" t="e">
        <f>DEEMSuite1&amp;" CRAC Gallery"</f>
        <v>#N/A</v>
      </c>
      <c r="C1110" s="183" t="s">
        <v>2933</v>
      </c>
      <c r="D1110" s="186" t="s">
        <v>2947</v>
      </c>
      <c r="E1110" s="183" t="s">
        <v>1464</v>
      </c>
      <c r="F1110" s="186"/>
      <c r="G1110" s="187" t="s">
        <v>1519</v>
      </c>
    </row>
    <row r="1111" spans="1:7" ht="37.5" x14ac:dyDescent="0.25">
      <c r="A1111" s="200">
        <v>1106</v>
      </c>
      <c r="B1111" s="183" t="e">
        <f>DEEMSuite1&amp;" CRAC Gallery"</f>
        <v>#N/A</v>
      </c>
      <c r="C1111" s="183" t="s">
        <v>2933</v>
      </c>
      <c r="D1111" s="186" t="s">
        <v>2948</v>
      </c>
      <c r="E1111" s="183" t="s">
        <v>1464</v>
      </c>
      <c r="F1111" s="186"/>
      <c r="G1111" s="187" t="s">
        <v>1519</v>
      </c>
    </row>
    <row r="1112" spans="1:7" ht="37.5" x14ac:dyDescent="0.25">
      <c r="A1112" s="200">
        <v>1107</v>
      </c>
      <c r="B1112" s="183" t="e">
        <f>DEEMSuite1&amp;" CRAC Gallery"</f>
        <v>#N/A</v>
      </c>
      <c r="C1112" s="183" t="s">
        <v>2933</v>
      </c>
      <c r="D1112" s="186" t="s">
        <v>2949</v>
      </c>
      <c r="E1112" s="183" t="s">
        <v>1464</v>
      </c>
      <c r="F1112" s="186"/>
      <c r="G1112" s="187" t="s">
        <v>1519</v>
      </c>
    </row>
    <row r="1113" spans="1:7" ht="37.5" x14ac:dyDescent="0.25">
      <c r="A1113" s="200">
        <v>1108</v>
      </c>
      <c r="B1113" s="183" t="e">
        <f>DEEMSuite1&amp;" CRAC Gallery"</f>
        <v>#N/A</v>
      </c>
      <c r="C1113" s="183" t="s">
        <v>2933</v>
      </c>
      <c r="D1113" s="186" t="s">
        <v>2950</v>
      </c>
      <c r="E1113" s="183" t="s">
        <v>1464</v>
      </c>
      <c r="F1113" s="186"/>
      <c r="G1113" s="187" t="s">
        <v>1519</v>
      </c>
    </row>
    <row r="1114" spans="1:7" ht="37.5" x14ac:dyDescent="0.25">
      <c r="A1114" s="200">
        <v>1109</v>
      </c>
      <c r="B1114" s="183" t="e">
        <f>DEEMSuite1&amp;" CRAC Gallery"</f>
        <v>#N/A</v>
      </c>
      <c r="C1114" s="183" t="s">
        <v>2933</v>
      </c>
      <c r="D1114" s="186" t="s">
        <v>2951</v>
      </c>
      <c r="E1114" s="183" t="s">
        <v>1464</v>
      </c>
      <c r="F1114" s="186"/>
      <c r="G1114" s="187" t="s">
        <v>1519</v>
      </c>
    </row>
    <row r="1115" spans="1:7" ht="37.5" x14ac:dyDescent="0.25">
      <c r="A1115" s="200">
        <v>1110</v>
      </c>
      <c r="B1115" s="183" t="e">
        <f>DEEMSuite1&amp;" CRAC Gallery"</f>
        <v>#N/A</v>
      </c>
      <c r="C1115" s="183" t="s">
        <v>2933</v>
      </c>
      <c r="D1115" s="186" t="s">
        <v>3356</v>
      </c>
      <c r="E1115" s="183" t="s">
        <v>1464</v>
      </c>
      <c r="F1115" s="186"/>
      <c r="G1115" s="187" t="s">
        <v>1519</v>
      </c>
    </row>
    <row r="1116" spans="1:7" ht="37.5" x14ac:dyDescent="0.25">
      <c r="A1116" s="200">
        <v>1111</v>
      </c>
      <c r="B1116" s="183" t="e">
        <f>DEEMSuite1&amp;" CRAC Gallery"</f>
        <v>#N/A</v>
      </c>
      <c r="C1116" s="183" t="s">
        <v>2758</v>
      </c>
      <c r="D1116" s="202" t="s">
        <v>2759</v>
      </c>
      <c r="E1116" s="183" t="s">
        <v>1464</v>
      </c>
      <c r="F1116" s="186"/>
      <c r="G1116" s="187" t="s">
        <v>1519</v>
      </c>
    </row>
    <row r="1117" spans="1:7" ht="37.5" x14ac:dyDescent="0.25">
      <c r="A1117" s="200">
        <v>1112</v>
      </c>
      <c r="B1117" s="183" t="e">
        <f>DEEMSuite1&amp;" CRAC Gallery"</f>
        <v>#N/A</v>
      </c>
      <c r="C1117" s="183" t="s">
        <v>2933</v>
      </c>
      <c r="D1117" s="202" t="s">
        <v>2761</v>
      </c>
      <c r="E1117" s="183" t="s">
        <v>1464</v>
      </c>
      <c r="F1117" s="186"/>
      <c r="G1117" s="187" t="s">
        <v>1519</v>
      </c>
    </row>
    <row r="1118" spans="1:7" ht="56.25" x14ac:dyDescent="0.25">
      <c r="A1118" s="200">
        <v>1113</v>
      </c>
      <c r="B1118" s="183" t="e">
        <f>DEEMSuite1&amp;" CRAC Gallery"</f>
        <v>#N/A</v>
      </c>
      <c r="C1118" s="183" t="s">
        <v>2762</v>
      </c>
      <c r="D1118" s="186" t="str">
        <f>"Add readings from previous 2 steps:  __________ kW and compare to step " &amp; A1088 &amp; ":________. If the combined load on the paired PDUs has changed by more than 10 kW stop and inform the MOP facilitator."</f>
        <v>Add readings from previous 2 steps:  __________ kW and compare to step 1083:________. If the combined load on the paired PDUs has changed by more than 10 kW stop and inform the MOP facilitator.</v>
      </c>
      <c r="E1118" s="183" t="s">
        <v>1464</v>
      </c>
      <c r="F1118" s="186"/>
      <c r="G1118" s="187" t="s">
        <v>1519</v>
      </c>
    </row>
    <row r="1119" spans="1:7" ht="37.5" x14ac:dyDescent="0.25">
      <c r="A1119" s="200">
        <v>1114</v>
      </c>
      <c r="B1119" s="183" t="e">
        <f>DEEMSuite1&amp;" CRAC Gallery"</f>
        <v>#N/A</v>
      </c>
      <c r="C1119" s="183" t="s">
        <v>2934</v>
      </c>
      <c r="D1119" s="186" t="s">
        <v>3357</v>
      </c>
      <c r="E1119" s="183" t="s">
        <v>1464</v>
      </c>
      <c r="F1119" s="186"/>
      <c r="G1119" s="187" t="s">
        <v>1519</v>
      </c>
    </row>
    <row r="1120" spans="1:7" ht="37.5" x14ac:dyDescent="0.25">
      <c r="A1120" s="200">
        <v>1115</v>
      </c>
      <c r="B1120" s="183" t="e">
        <f>DEEMSuite1&amp;" CRAC Gallery"</f>
        <v>#N/A</v>
      </c>
      <c r="C1120" s="183" t="s">
        <v>2934</v>
      </c>
      <c r="D1120" s="186" t="s">
        <v>2940</v>
      </c>
      <c r="E1120" s="183" t="s">
        <v>1464</v>
      </c>
      <c r="F1120" s="186"/>
      <c r="G1120" s="187" t="s">
        <v>1519</v>
      </c>
    </row>
    <row r="1121" spans="1:7" ht="37.5" x14ac:dyDescent="0.25">
      <c r="A1121" s="200">
        <v>1116</v>
      </c>
      <c r="B1121" s="183" t="e">
        <f>DEEMSuite1&amp;" CRAC Gallery"</f>
        <v>#N/A</v>
      </c>
      <c r="C1121" s="183" t="s">
        <v>2934</v>
      </c>
      <c r="D1121" s="186" t="s">
        <v>2941</v>
      </c>
      <c r="E1121" s="183" t="s">
        <v>1464</v>
      </c>
      <c r="F1121" s="186"/>
      <c r="G1121" s="187" t="s">
        <v>1519</v>
      </c>
    </row>
    <row r="1122" spans="1:7" ht="37.5" x14ac:dyDescent="0.25">
      <c r="A1122" s="200">
        <v>1117</v>
      </c>
      <c r="B1122" s="183" t="e">
        <f>DEEMSuite1&amp;" CRAC Gallery"</f>
        <v>#N/A</v>
      </c>
      <c r="C1122" s="183" t="s">
        <v>2934</v>
      </c>
      <c r="D1122" s="186" t="s">
        <v>2942</v>
      </c>
      <c r="E1122" s="183" t="s">
        <v>1464</v>
      </c>
      <c r="F1122" s="186"/>
      <c r="G1122" s="187" t="s">
        <v>1519</v>
      </c>
    </row>
    <row r="1123" spans="1:7" ht="37.5" x14ac:dyDescent="0.25">
      <c r="A1123" s="200">
        <v>1118</v>
      </c>
      <c r="B1123" s="183" t="e">
        <f>DEEMSuite1&amp;" CRAC Gallery"</f>
        <v>#N/A</v>
      </c>
      <c r="C1123" s="183" t="s">
        <v>2934</v>
      </c>
      <c r="D1123" s="186" t="s">
        <v>2943</v>
      </c>
      <c r="E1123" s="183" t="s">
        <v>1464</v>
      </c>
      <c r="F1123" s="186"/>
      <c r="G1123" s="187" t="s">
        <v>1519</v>
      </c>
    </row>
    <row r="1124" spans="1:7" ht="37.5" x14ac:dyDescent="0.25">
      <c r="A1124" s="200">
        <v>1119</v>
      </c>
      <c r="B1124" s="183" t="e">
        <f>DEEMSuite1&amp;" CRAC Gallery"</f>
        <v>#N/A</v>
      </c>
      <c r="C1124" s="183" t="s">
        <v>2934</v>
      </c>
      <c r="D1124" s="186" t="s">
        <v>2944</v>
      </c>
      <c r="E1124" s="183" t="s">
        <v>1464</v>
      </c>
      <c r="F1124" s="186"/>
      <c r="G1124" s="187" t="s">
        <v>1519</v>
      </c>
    </row>
    <row r="1125" spans="1:7" ht="37.5" x14ac:dyDescent="0.25">
      <c r="A1125" s="200">
        <v>1120</v>
      </c>
      <c r="B1125" s="183" t="e">
        <f>DEEMSuite1&amp;" CRAC Gallery"</f>
        <v>#N/A</v>
      </c>
      <c r="C1125" s="183" t="s">
        <v>2934</v>
      </c>
      <c r="D1125" s="186" t="s">
        <v>2945</v>
      </c>
      <c r="E1125" s="183" t="s">
        <v>1464</v>
      </c>
      <c r="F1125" s="186"/>
      <c r="G1125" s="187" t="s">
        <v>1519</v>
      </c>
    </row>
    <row r="1126" spans="1:7" ht="37.5" x14ac:dyDescent="0.25">
      <c r="A1126" s="200">
        <v>1121</v>
      </c>
      <c r="B1126" s="183" t="e">
        <f>DEEMSuite1&amp;" CRAC Gallery"</f>
        <v>#N/A</v>
      </c>
      <c r="C1126" s="183" t="s">
        <v>2934</v>
      </c>
      <c r="D1126" s="186" t="s">
        <v>2946</v>
      </c>
      <c r="E1126" s="183" t="s">
        <v>1464</v>
      </c>
      <c r="F1126" s="186"/>
      <c r="G1126" s="187" t="s">
        <v>1519</v>
      </c>
    </row>
    <row r="1127" spans="1:7" ht="37.5" x14ac:dyDescent="0.25">
      <c r="A1127" s="200">
        <v>1122</v>
      </c>
      <c r="B1127" s="183" t="e">
        <f>DEEMSuite1&amp;" CRAC Gallery"</f>
        <v>#N/A</v>
      </c>
      <c r="C1127" s="183" t="s">
        <v>2934</v>
      </c>
      <c r="D1127" s="186" t="s">
        <v>2947</v>
      </c>
      <c r="E1127" s="183" t="s">
        <v>1464</v>
      </c>
      <c r="F1127" s="186"/>
      <c r="G1127" s="187" t="s">
        <v>1519</v>
      </c>
    </row>
    <row r="1128" spans="1:7" ht="37.5" x14ac:dyDescent="0.25">
      <c r="A1128" s="200">
        <v>1123</v>
      </c>
      <c r="B1128" s="183" t="e">
        <f>DEEMSuite1&amp;" CRAC Gallery"</f>
        <v>#N/A</v>
      </c>
      <c r="C1128" s="183" t="s">
        <v>2934</v>
      </c>
      <c r="D1128" s="186" t="s">
        <v>2948</v>
      </c>
      <c r="E1128" s="183" t="s">
        <v>1464</v>
      </c>
      <c r="F1128" s="186"/>
      <c r="G1128" s="187" t="s">
        <v>1519</v>
      </c>
    </row>
    <row r="1129" spans="1:7" ht="37.5" x14ac:dyDescent="0.25">
      <c r="A1129" s="200">
        <v>1124</v>
      </c>
      <c r="B1129" s="183" t="e">
        <f>DEEMSuite1&amp;" CRAC Gallery"</f>
        <v>#N/A</v>
      </c>
      <c r="C1129" s="183" t="s">
        <v>2934</v>
      </c>
      <c r="D1129" s="186" t="s">
        <v>2949</v>
      </c>
      <c r="E1129" s="183" t="s">
        <v>1464</v>
      </c>
      <c r="F1129" s="186"/>
      <c r="G1129" s="187" t="s">
        <v>1519</v>
      </c>
    </row>
    <row r="1130" spans="1:7" ht="37.5" x14ac:dyDescent="0.25">
      <c r="A1130" s="200">
        <v>1125</v>
      </c>
      <c r="B1130" s="183" t="e">
        <f>DEEMSuite1&amp;" CRAC Gallery"</f>
        <v>#N/A</v>
      </c>
      <c r="C1130" s="183" t="s">
        <v>2934</v>
      </c>
      <c r="D1130" s="186" t="s">
        <v>2950</v>
      </c>
      <c r="E1130" s="183" t="s">
        <v>1464</v>
      </c>
      <c r="F1130" s="186"/>
      <c r="G1130" s="187" t="s">
        <v>1519</v>
      </c>
    </row>
    <row r="1131" spans="1:7" ht="37.5" x14ac:dyDescent="0.25">
      <c r="A1131" s="200">
        <v>1126</v>
      </c>
      <c r="B1131" s="183" t="e">
        <f>DEEMSuite1&amp;" CRAC Gallery"</f>
        <v>#N/A</v>
      </c>
      <c r="C1131" s="183" t="s">
        <v>2934</v>
      </c>
      <c r="D1131" s="186" t="s">
        <v>2951</v>
      </c>
      <c r="E1131" s="183" t="s">
        <v>1464</v>
      </c>
      <c r="F1131" s="186"/>
      <c r="G1131" s="187" t="s">
        <v>1519</v>
      </c>
    </row>
    <row r="1132" spans="1:7" ht="37.5" x14ac:dyDescent="0.25">
      <c r="A1132" s="200">
        <v>1127</v>
      </c>
      <c r="B1132" s="183" t="e">
        <f>DEEMSuite1&amp;" CRAC Gallery"</f>
        <v>#N/A</v>
      </c>
      <c r="C1132" s="183" t="s">
        <v>2934</v>
      </c>
      <c r="D1132" s="186" t="s">
        <v>3358</v>
      </c>
      <c r="E1132" s="183" t="s">
        <v>1464</v>
      </c>
      <c r="F1132" s="186"/>
      <c r="G1132" s="187" t="s">
        <v>1519</v>
      </c>
    </row>
    <row r="1133" spans="1:7" ht="37.5" x14ac:dyDescent="0.25">
      <c r="A1133" s="200">
        <v>1128</v>
      </c>
      <c r="B1133" s="183" t="e">
        <f>DEEMSuite1&amp;" CRAC Gallery"</f>
        <v>#N/A</v>
      </c>
      <c r="C1133" s="183" t="s">
        <v>2764</v>
      </c>
      <c r="D1133" s="202" t="s">
        <v>2765</v>
      </c>
      <c r="E1133" s="183" t="s">
        <v>1464</v>
      </c>
      <c r="F1133" s="186"/>
      <c r="G1133" s="187" t="s">
        <v>1519</v>
      </c>
    </row>
    <row r="1134" spans="1:7" ht="37.5" x14ac:dyDescent="0.25">
      <c r="A1134" s="200">
        <v>1129</v>
      </c>
      <c r="B1134" s="183" t="e">
        <f>DEEMSuite1&amp;" CRAC Gallery"</f>
        <v>#N/A</v>
      </c>
      <c r="C1134" s="183" t="s">
        <v>2934</v>
      </c>
      <c r="D1134" s="202" t="s">
        <v>2767</v>
      </c>
      <c r="E1134" s="183" t="s">
        <v>1464</v>
      </c>
      <c r="F1134" s="186"/>
      <c r="G1134" s="187" t="s">
        <v>1519</v>
      </c>
    </row>
    <row r="1135" spans="1:7" ht="56.25" x14ac:dyDescent="0.25">
      <c r="A1135" s="200">
        <v>1130</v>
      </c>
      <c r="B1135" s="183" t="e">
        <f>DEEMSuite1&amp;" CRAC Gallery"</f>
        <v>#N/A</v>
      </c>
      <c r="C1135" s="183" t="s">
        <v>2768</v>
      </c>
      <c r="D1135" s="186" t="str">
        <f>"Add readings from previous 2 steps:  __________ kW and compare to step " &amp; A1091 &amp; ":________. If the combined load on the paired PDUs has changed by more than 10 kW stop and inform the MOP facilitator."</f>
        <v>Add readings from previous 2 steps:  __________ kW and compare to step 1086:________. If the combined load on the paired PDUs has changed by more than 10 kW stop and inform the MOP facilitator.</v>
      </c>
      <c r="E1135" s="183" t="s">
        <v>1464</v>
      </c>
      <c r="F1135" s="186"/>
      <c r="G1135" s="187" t="s">
        <v>1519</v>
      </c>
    </row>
    <row r="1136" spans="1:7" ht="37.5" x14ac:dyDescent="0.25">
      <c r="A1136" s="200">
        <v>1131</v>
      </c>
      <c r="B1136" s="183" t="e">
        <f>DEEMSuite1&amp;" CRAC Gallery"</f>
        <v>#N/A</v>
      </c>
      <c r="C1136" s="183" t="s">
        <v>2935</v>
      </c>
      <c r="D1136" s="186" t="s">
        <v>3359</v>
      </c>
      <c r="E1136" s="183" t="s">
        <v>1464</v>
      </c>
      <c r="F1136" s="186"/>
      <c r="G1136" s="187" t="s">
        <v>1519</v>
      </c>
    </row>
    <row r="1137" spans="1:7" ht="37.5" x14ac:dyDescent="0.25">
      <c r="A1137" s="200">
        <v>1132</v>
      </c>
      <c r="B1137" s="183" t="e">
        <f>DEEMSuite1&amp;" CRAC Gallery"</f>
        <v>#N/A</v>
      </c>
      <c r="C1137" s="183" t="s">
        <v>2935</v>
      </c>
      <c r="D1137" s="186" t="s">
        <v>2940</v>
      </c>
      <c r="E1137" s="183" t="s">
        <v>1464</v>
      </c>
      <c r="F1137" s="186"/>
      <c r="G1137" s="187" t="s">
        <v>1519</v>
      </c>
    </row>
    <row r="1138" spans="1:7" ht="37.5" x14ac:dyDescent="0.25">
      <c r="A1138" s="200">
        <v>1133</v>
      </c>
      <c r="B1138" s="183" t="e">
        <f>DEEMSuite1&amp;" CRAC Gallery"</f>
        <v>#N/A</v>
      </c>
      <c r="C1138" s="183" t="s">
        <v>2935</v>
      </c>
      <c r="D1138" s="186" t="s">
        <v>2941</v>
      </c>
      <c r="E1138" s="183" t="s">
        <v>1464</v>
      </c>
      <c r="F1138" s="186"/>
      <c r="G1138" s="187" t="s">
        <v>1519</v>
      </c>
    </row>
    <row r="1139" spans="1:7" ht="37.5" x14ac:dyDescent="0.25">
      <c r="A1139" s="200">
        <v>1134</v>
      </c>
      <c r="B1139" s="183" t="e">
        <f>DEEMSuite1&amp;" CRAC Gallery"</f>
        <v>#N/A</v>
      </c>
      <c r="C1139" s="183" t="s">
        <v>2935</v>
      </c>
      <c r="D1139" s="186" t="s">
        <v>2942</v>
      </c>
      <c r="E1139" s="183" t="s">
        <v>1464</v>
      </c>
      <c r="F1139" s="186"/>
      <c r="G1139" s="187" t="s">
        <v>1519</v>
      </c>
    </row>
    <row r="1140" spans="1:7" ht="37.5" x14ac:dyDescent="0.25">
      <c r="A1140" s="200">
        <v>1135</v>
      </c>
      <c r="B1140" s="183" t="e">
        <f>DEEMSuite1&amp;" CRAC Gallery"</f>
        <v>#N/A</v>
      </c>
      <c r="C1140" s="183" t="s">
        <v>2935</v>
      </c>
      <c r="D1140" s="186" t="s">
        <v>2943</v>
      </c>
      <c r="E1140" s="183" t="s">
        <v>1464</v>
      </c>
      <c r="F1140" s="186"/>
      <c r="G1140" s="187" t="s">
        <v>1519</v>
      </c>
    </row>
    <row r="1141" spans="1:7" ht="37.5" x14ac:dyDescent="0.25">
      <c r="A1141" s="200">
        <v>1136</v>
      </c>
      <c r="B1141" s="183" t="e">
        <f>DEEMSuite1&amp;" CRAC Gallery"</f>
        <v>#N/A</v>
      </c>
      <c r="C1141" s="183" t="s">
        <v>2935</v>
      </c>
      <c r="D1141" s="186" t="s">
        <v>2944</v>
      </c>
      <c r="E1141" s="183" t="s">
        <v>1464</v>
      </c>
      <c r="F1141" s="186"/>
      <c r="G1141" s="187" t="s">
        <v>1519</v>
      </c>
    </row>
    <row r="1142" spans="1:7" ht="37.5" x14ac:dyDescent="0.25">
      <c r="A1142" s="200">
        <v>1137</v>
      </c>
      <c r="B1142" s="183" t="e">
        <f>DEEMSuite1&amp;" CRAC Gallery"</f>
        <v>#N/A</v>
      </c>
      <c r="C1142" s="183" t="s">
        <v>2935</v>
      </c>
      <c r="D1142" s="186" t="s">
        <v>2945</v>
      </c>
      <c r="E1142" s="183" t="s">
        <v>1464</v>
      </c>
      <c r="F1142" s="186"/>
      <c r="G1142" s="187" t="s">
        <v>1519</v>
      </c>
    </row>
    <row r="1143" spans="1:7" ht="37.5" x14ac:dyDescent="0.25">
      <c r="A1143" s="200">
        <v>1138</v>
      </c>
      <c r="B1143" s="183" t="e">
        <f>DEEMSuite1&amp;" CRAC Gallery"</f>
        <v>#N/A</v>
      </c>
      <c r="C1143" s="183" t="s">
        <v>2935</v>
      </c>
      <c r="D1143" s="186" t="s">
        <v>2946</v>
      </c>
      <c r="E1143" s="183" t="s">
        <v>1464</v>
      </c>
      <c r="F1143" s="186"/>
      <c r="G1143" s="187" t="s">
        <v>1519</v>
      </c>
    </row>
    <row r="1144" spans="1:7" ht="37.5" x14ac:dyDescent="0.25">
      <c r="A1144" s="200">
        <v>1139</v>
      </c>
      <c r="B1144" s="183" t="e">
        <f>DEEMSuite1&amp;" CRAC Gallery"</f>
        <v>#N/A</v>
      </c>
      <c r="C1144" s="183" t="s">
        <v>2935</v>
      </c>
      <c r="D1144" s="186" t="s">
        <v>2947</v>
      </c>
      <c r="E1144" s="183" t="s">
        <v>1464</v>
      </c>
      <c r="F1144" s="186"/>
      <c r="G1144" s="187" t="s">
        <v>1519</v>
      </c>
    </row>
    <row r="1145" spans="1:7" ht="37.5" x14ac:dyDescent="0.25">
      <c r="A1145" s="200">
        <v>1140</v>
      </c>
      <c r="B1145" s="183" t="e">
        <f>DEEMSuite1&amp;" CRAC Gallery"</f>
        <v>#N/A</v>
      </c>
      <c r="C1145" s="183" t="s">
        <v>2935</v>
      </c>
      <c r="D1145" s="186" t="s">
        <v>2948</v>
      </c>
      <c r="E1145" s="183" t="s">
        <v>1464</v>
      </c>
      <c r="F1145" s="186"/>
      <c r="G1145" s="187" t="s">
        <v>1519</v>
      </c>
    </row>
    <row r="1146" spans="1:7" ht="37.5" x14ac:dyDescent="0.25">
      <c r="A1146" s="200">
        <v>1141</v>
      </c>
      <c r="B1146" s="183" t="e">
        <f>DEEMSuite1&amp;" CRAC Gallery"</f>
        <v>#N/A</v>
      </c>
      <c r="C1146" s="183" t="s">
        <v>2935</v>
      </c>
      <c r="D1146" s="186" t="s">
        <v>2949</v>
      </c>
      <c r="E1146" s="183" t="s">
        <v>1464</v>
      </c>
      <c r="F1146" s="186"/>
      <c r="G1146" s="187" t="s">
        <v>1519</v>
      </c>
    </row>
    <row r="1147" spans="1:7" ht="37.5" x14ac:dyDescent="0.25">
      <c r="A1147" s="200">
        <v>1142</v>
      </c>
      <c r="B1147" s="183" t="e">
        <f>DEEMSuite1&amp;" CRAC Gallery"</f>
        <v>#N/A</v>
      </c>
      <c r="C1147" s="183" t="s">
        <v>2935</v>
      </c>
      <c r="D1147" s="186" t="s">
        <v>2950</v>
      </c>
      <c r="E1147" s="183" t="s">
        <v>1464</v>
      </c>
      <c r="F1147" s="186"/>
      <c r="G1147" s="187" t="s">
        <v>1519</v>
      </c>
    </row>
    <row r="1148" spans="1:7" ht="37.5" x14ac:dyDescent="0.25">
      <c r="A1148" s="200">
        <v>1143</v>
      </c>
      <c r="B1148" s="183" t="e">
        <f>DEEMSuite1&amp;" CRAC Gallery"</f>
        <v>#N/A</v>
      </c>
      <c r="C1148" s="183" t="s">
        <v>2935</v>
      </c>
      <c r="D1148" s="186" t="s">
        <v>2951</v>
      </c>
      <c r="E1148" s="183" t="s">
        <v>1464</v>
      </c>
      <c r="F1148" s="186"/>
      <c r="G1148" s="187" t="s">
        <v>1519</v>
      </c>
    </row>
    <row r="1149" spans="1:7" ht="37.5" x14ac:dyDescent="0.25">
      <c r="A1149" s="200">
        <v>1144</v>
      </c>
      <c r="B1149" s="183" t="e">
        <f>DEEMSuite1&amp;" CRAC Gallery"</f>
        <v>#N/A</v>
      </c>
      <c r="C1149" s="183" t="s">
        <v>2935</v>
      </c>
      <c r="D1149" s="186" t="s">
        <v>3360</v>
      </c>
      <c r="E1149" s="183" t="s">
        <v>1464</v>
      </c>
      <c r="F1149" s="186"/>
      <c r="G1149" s="187" t="s">
        <v>1519</v>
      </c>
    </row>
    <row r="1150" spans="1:7" ht="37.5" x14ac:dyDescent="0.25">
      <c r="A1150" s="200">
        <v>1145</v>
      </c>
      <c r="B1150" s="183" t="e">
        <f>DEEMSuite1&amp;" CRAC Gallery"</f>
        <v>#N/A</v>
      </c>
      <c r="C1150" s="183" t="s">
        <v>2769</v>
      </c>
      <c r="D1150" s="202" t="s">
        <v>2770</v>
      </c>
      <c r="E1150" s="183" t="s">
        <v>1464</v>
      </c>
      <c r="F1150" s="186"/>
      <c r="G1150" s="187" t="s">
        <v>1519</v>
      </c>
    </row>
    <row r="1151" spans="1:7" ht="37.5" x14ac:dyDescent="0.25">
      <c r="A1151" s="200">
        <v>1146</v>
      </c>
      <c r="B1151" s="183" t="e">
        <f>DEEMSuite1&amp;" CRAC Gallery"</f>
        <v>#N/A</v>
      </c>
      <c r="C1151" s="183" t="s">
        <v>2935</v>
      </c>
      <c r="D1151" s="202" t="s">
        <v>2772</v>
      </c>
      <c r="E1151" s="183" t="s">
        <v>1464</v>
      </c>
      <c r="F1151" s="186"/>
      <c r="G1151" s="187" t="s">
        <v>1519</v>
      </c>
    </row>
    <row r="1152" spans="1:7" ht="56.25" x14ac:dyDescent="0.25">
      <c r="A1152" s="200">
        <v>1147</v>
      </c>
      <c r="B1152" s="183" t="e">
        <f>DEEMSuite1&amp;" CRAC Gallery"</f>
        <v>#N/A</v>
      </c>
      <c r="C1152" s="183" t="s">
        <v>2773</v>
      </c>
      <c r="D1152" s="186" t="str">
        <f>"Add readings from previous 2 steps:  __________ kW and compare to step " &amp; A1094 &amp; ":________. If the combined load on the paired PDUs has changed by more than 10 kW stop and inform the MOP facilitator."</f>
        <v>Add readings from previous 2 steps:  __________ kW and compare to step 1089:________. If the combined load on the paired PDUs has changed by more than 10 kW stop and inform the MOP facilitator.</v>
      </c>
      <c r="E1152" s="183" t="s">
        <v>1464</v>
      </c>
      <c r="F1152" s="186"/>
      <c r="G1152" s="187" t="s">
        <v>1519</v>
      </c>
    </row>
    <row r="1153" spans="1:7" ht="37.5" x14ac:dyDescent="0.25">
      <c r="A1153" s="200">
        <v>1148</v>
      </c>
      <c r="B1153" s="183" t="e">
        <f>DEEMSuite1&amp;" CRAC Gallery"</f>
        <v>#N/A</v>
      </c>
      <c r="C1153" s="183" t="s">
        <v>2936</v>
      </c>
      <c r="D1153" s="186" t="s">
        <v>3361</v>
      </c>
      <c r="E1153" s="183" t="s">
        <v>1464</v>
      </c>
      <c r="F1153" s="186"/>
      <c r="G1153" s="187" t="s">
        <v>1519</v>
      </c>
    </row>
    <row r="1154" spans="1:7" ht="37.5" x14ac:dyDescent="0.25">
      <c r="A1154" s="200">
        <v>1149</v>
      </c>
      <c r="B1154" s="183" t="e">
        <f>DEEMSuite1&amp;" CRAC Gallery"</f>
        <v>#N/A</v>
      </c>
      <c r="C1154" s="183" t="s">
        <v>2936</v>
      </c>
      <c r="D1154" s="186" t="s">
        <v>2940</v>
      </c>
      <c r="E1154" s="183" t="s">
        <v>1464</v>
      </c>
      <c r="F1154" s="186"/>
      <c r="G1154" s="187" t="s">
        <v>1519</v>
      </c>
    </row>
    <row r="1155" spans="1:7" ht="37.5" x14ac:dyDescent="0.25">
      <c r="A1155" s="200">
        <v>1150</v>
      </c>
      <c r="B1155" s="183" t="e">
        <f>DEEMSuite1&amp;" CRAC Gallery"</f>
        <v>#N/A</v>
      </c>
      <c r="C1155" s="183" t="s">
        <v>2936</v>
      </c>
      <c r="D1155" s="186" t="s">
        <v>2941</v>
      </c>
      <c r="E1155" s="183" t="s">
        <v>1464</v>
      </c>
      <c r="F1155" s="186"/>
      <c r="G1155" s="187" t="s">
        <v>1519</v>
      </c>
    </row>
    <row r="1156" spans="1:7" ht="37.5" x14ac:dyDescent="0.25">
      <c r="A1156" s="200">
        <v>1151</v>
      </c>
      <c r="B1156" s="183" t="e">
        <f>DEEMSuite1&amp;" CRAC Gallery"</f>
        <v>#N/A</v>
      </c>
      <c r="C1156" s="183" t="s">
        <v>2936</v>
      </c>
      <c r="D1156" s="186" t="s">
        <v>2942</v>
      </c>
      <c r="E1156" s="183" t="s">
        <v>1464</v>
      </c>
      <c r="F1156" s="186"/>
      <c r="G1156" s="187" t="s">
        <v>1519</v>
      </c>
    </row>
    <row r="1157" spans="1:7" ht="37.5" x14ac:dyDescent="0.25">
      <c r="A1157" s="200">
        <v>1152</v>
      </c>
      <c r="B1157" s="183" t="e">
        <f>DEEMSuite1&amp;" CRAC Gallery"</f>
        <v>#N/A</v>
      </c>
      <c r="C1157" s="183" t="s">
        <v>2936</v>
      </c>
      <c r="D1157" s="186" t="s">
        <v>2943</v>
      </c>
      <c r="E1157" s="183" t="s">
        <v>1464</v>
      </c>
      <c r="F1157" s="186"/>
      <c r="G1157" s="187" t="s">
        <v>1519</v>
      </c>
    </row>
    <row r="1158" spans="1:7" ht="37.5" x14ac:dyDescent="0.25">
      <c r="A1158" s="200">
        <v>1153</v>
      </c>
      <c r="B1158" s="183" t="e">
        <f>DEEMSuite1&amp;" CRAC Gallery"</f>
        <v>#N/A</v>
      </c>
      <c r="C1158" s="183" t="s">
        <v>2936</v>
      </c>
      <c r="D1158" s="186" t="s">
        <v>2944</v>
      </c>
      <c r="E1158" s="183" t="s">
        <v>1464</v>
      </c>
      <c r="F1158" s="186"/>
      <c r="G1158" s="187" t="s">
        <v>1519</v>
      </c>
    </row>
    <row r="1159" spans="1:7" ht="37.5" x14ac:dyDescent="0.25">
      <c r="A1159" s="200">
        <v>1154</v>
      </c>
      <c r="B1159" s="183" t="e">
        <f>DEEMSuite1&amp;" CRAC Gallery"</f>
        <v>#N/A</v>
      </c>
      <c r="C1159" s="183" t="s">
        <v>2936</v>
      </c>
      <c r="D1159" s="186" t="s">
        <v>2945</v>
      </c>
      <c r="E1159" s="183" t="s">
        <v>1464</v>
      </c>
      <c r="F1159" s="186"/>
      <c r="G1159" s="187" t="s">
        <v>1519</v>
      </c>
    </row>
    <row r="1160" spans="1:7" ht="37.5" x14ac:dyDescent="0.25">
      <c r="A1160" s="200">
        <v>1155</v>
      </c>
      <c r="B1160" s="183" t="e">
        <f>DEEMSuite1&amp;" CRAC Gallery"</f>
        <v>#N/A</v>
      </c>
      <c r="C1160" s="183" t="s">
        <v>2936</v>
      </c>
      <c r="D1160" s="186" t="s">
        <v>2946</v>
      </c>
      <c r="E1160" s="183" t="s">
        <v>1464</v>
      </c>
      <c r="F1160" s="186"/>
      <c r="G1160" s="187" t="s">
        <v>1519</v>
      </c>
    </row>
    <row r="1161" spans="1:7" ht="37.5" x14ac:dyDescent="0.25">
      <c r="A1161" s="200">
        <v>1156</v>
      </c>
      <c r="B1161" s="183" t="e">
        <f>DEEMSuite1&amp;" CRAC Gallery"</f>
        <v>#N/A</v>
      </c>
      <c r="C1161" s="183" t="s">
        <v>2936</v>
      </c>
      <c r="D1161" s="186" t="s">
        <v>2947</v>
      </c>
      <c r="E1161" s="183" t="s">
        <v>1464</v>
      </c>
      <c r="F1161" s="186"/>
      <c r="G1161" s="187" t="s">
        <v>1519</v>
      </c>
    </row>
    <row r="1162" spans="1:7" ht="37.5" x14ac:dyDescent="0.25">
      <c r="A1162" s="200">
        <v>1157</v>
      </c>
      <c r="B1162" s="183" t="e">
        <f>DEEMSuite1&amp;" CRAC Gallery"</f>
        <v>#N/A</v>
      </c>
      <c r="C1162" s="183" t="s">
        <v>2936</v>
      </c>
      <c r="D1162" s="186" t="s">
        <v>2948</v>
      </c>
      <c r="E1162" s="183" t="s">
        <v>1464</v>
      </c>
      <c r="F1162" s="186"/>
      <c r="G1162" s="187" t="s">
        <v>1519</v>
      </c>
    </row>
    <row r="1163" spans="1:7" ht="37.5" x14ac:dyDescent="0.25">
      <c r="A1163" s="200">
        <v>1158</v>
      </c>
      <c r="B1163" s="183" t="e">
        <f>DEEMSuite1&amp;" CRAC Gallery"</f>
        <v>#N/A</v>
      </c>
      <c r="C1163" s="183" t="s">
        <v>2936</v>
      </c>
      <c r="D1163" s="186" t="s">
        <v>2949</v>
      </c>
      <c r="E1163" s="183" t="s">
        <v>1464</v>
      </c>
      <c r="F1163" s="186"/>
      <c r="G1163" s="187" t="s">
        <v>1519</v>
      </c>
    </row>
    <row r="1164" spans="1:7" ht="37.5" x14ac:dyDescent="0.25">
      <c r="A1164" s="200">
        <v>1159</v>
      </c>
      <c r="B1164" s="183" t="e">
        <f>DEEMSuite1&amp;" CRAC Gallery"</f>
        <v>#N/A</v>
      </c>
      <c r="C1164" s="183" t="s">
        <v>2936</v>
      </c>
      <c r="D1164" s="186" t="s">
        <v>2950</v>
      </c>
      <c r="E1164" s="183" t="s">
        <v>1464</v>
      </c>
      <c r="F1164" s="186"/>
      <c r="G1164" s="187" t="s">
        <v>1519</v>
      </c>
    </row>
    <row r="1165" spans="1:7" ht="37.5" x14ac:dyDescent="0.25">
      <c r="A1165" s="200">
        <v>1160</v>
      </c>
      <c r="B1165" s="183" t="e">
        <f>DEEMSuite1&amp;" CRAC Gallery"</f>
        <v>#N/A</v>
      </c>
      <c r="C1165" s="183" t="s">
        <v>2936</v>
      </c>
      <c r="D1165" s="186" t="s">
        <v>2951</v>
      </c>
      <c r="E1165" s="183" t="s">
        <v>1464</v>
      </c>
      <c r="F1165" s="186"/>
      <c r="G1165" s="187" t="s">
        <v>1519</v>
      </c>
    </row>
    <row r="1166" spans="1:7" ht="37.5" x14ac:dyDescent="0.25">
      <c r="A1166" s="200">
        <v>1161</v>
      </c>
      <c r="B1166" s="183" t="e">
        <f>DEEMSuite1&amp;" CRAC Gallery"</f>
        <v>#N/A</v>
      </c>
      <c r="C1166" s="183" t="s">
        <v>2936</v>
      </c>
      <c r="D1166" s="186" t="s">
        <v>3362</v>
      </c>
      <c r="E1166" s="183" t="s">
        <v>1464</v>
      </c>
      <c r="F1166" s="186"/>
      <c r="G1166" s="187" t="s">
        <v>1519</v>
      </c>
    </row>
    <row r="1167" spans="1:7" ht="37.5" x14ac:dyDescent="0.25">
      <c r="A1167" s="200">
        <v>1162</v>
      </c>
      <c r="B1167" s="183" t="e">
        <f>DEEMSuite1&amp;" CRAC Gallery"</f>
        <v>#N/A</v>
      </c>
      <c r="C1167" s="183" t="s">
        <v>2774</v>
      </c>
      <c r="D1167" s="202" t="s">
        <v>2775</v>
      </c>
      <c r="E1167" s="183" t="s">
        <v>1464</v>
      </c>
      <c r="F1167" s="186"/>
      <c r="G1167" s="187" t="s">
        <v>1519</v>
      </c>
    </row>
    <row r="1168" spans="1:7" ht="37.5" x14ac:dyDescent="0.25">
      <c r="A1168" s="200">
        <v>1163</v>
      </c>
      <c r="B1168" s="183" t="e">
        <f>DEEMSuite1&amp;" CRAC Gallery"</f>
        <v>#N/A</v>
      </c>
      <c r="C1168" s="183" t="s">
        <v>2936</v>
      </c>
      <c r="D1168" s="202" t="s">
        <v>2777</v>
      </c>
      <c r="E1168" s="183" t="s">
        <v>1464</v>
      </c>
      <c r="F1168" s="186"/>
      <c r="G1168" s="187" t="s">
        <v>1519</v>
      </c>
    </row>
    <row r="1169" spans="1:7" ht="56.25" x14ac:dyDescent="0.25">
      <c r="A1169" s="200">
        <v>1164</v>
      </c>
      <c r="B1169" s="183" t="e">
        <f>DEEMSuite1&amp;" CRAC Gallery"</f>
        <v>#N/A</v>
      </c>
      <c r="C1169" s="183" t="s">
        <v>2778</v>
      </c>
      <c r="D1169" s="186" t="str">
        <f>"Add readings from previous 2 steps:  __________ kW and compare to step " &amp; A1097 &amp; ":________. If the combined load on the paired PDUs has changed by more than 10 kW stop and inform the MOP facilitator."</f>
        <v>Add readings from previous 2 steps:  __________ kW and compare to step 1092:________. If the combined load on the paired PDUs has changed by more than 10 kW stop and inform the MOP facilitator.</v>
      </c>
      <c r="E1169" s="183" t="s">
        <v>1464</v>
      </c>
      <c r="F1169" s="186"/>
      <c r="G1169" s="187" t="s">
        <v>1519</v>
      </c>
    </row>
    <row r="1170" spans="1:7" ht="37.5" x14ac:dyDescent="0.25">
      <c r="A1170" s="200">
        <v>1165</v>
      </c>
      <c r="B1170" s="183" t="e">
        <f>DEEMSuite1&amp;" CRAC Gallery"</f>
        <v>#N/A</v>
      </c>
      <c r="C1170" s="183" t="s">
        <v>2937</v>
      </c>
      <c r="D1170" s="186" t="s">
        <v>3363</v>
      </c>
      <c r="E1170" s="183" t="s">
        <v>1464</v>
      </c>
      <c r="F1170" s="186"/>
      <c r="G1170" s="187" t="s">
        <v>1519</v>
      </c>
    </row>
    <row r="1171" spans="1:7" ht="37.5" x14ac:dyDescent="0.25">
      <c r="A1171" s="200">
        <v>1166</v>
      </c>
      <c r="B1171" s="183" t="e">
        <f>DEEMSuite1&amp;" CRAC Gallery"</f>
        <v>#N/A</v>
      </c>
      <c r="C1171" s="183" t="s">
        <v>2937</v>
      </c>
      <c r="D1171" s="186" t="s">
        <v>2940</v>
      </c>
      <c r="E1171" s="183" t="s">
        <v>1464</v>
      </c>
      <c r="F1171" s="186"/>
      <c r="G1171" s="187" t="s">
        <v>1519</v>
      </c>
    </row>
    <row r="1172" spans="1:7" ht="37.5" x14ac:dyDescent="0.25">
      <c r="A1172" s="200">
        <v>1167</v>
      </c>
      <c r="B1172" s="183" t="e">
        <f>DEEMSuite1&amp;" CRAC Gallery"</f>
        <v>#N/A</v>
      </c>
      <c r="C1172" s="183" t="s">
        <v>2937</v>
      </c>
      <c r="D1172" s="186" t="s">
        <v>2941</v>
      </c>
      <c r="E1172" s="183" t="s">
        <v>1464</v>
      </c>
      <c r="F1172" s="186"/>
      <c r="G1172" s="187" t="s">
        <v>1519</v>
      </c>
    </row>
    <row r="1173" spans="1:7" ht="37.5" x14ac:dyDescent="0.25">
      <c r="A1173" s="200">
        <v>1168</v>
      </c>
      <c r="B1173" s="183" t="e">
        <f>DEEMSuite1&amp;" CRAC Gallery"</f>
        <v>#N/A</v>
      </c>
      <c r="C1173" s="183" t="s">
        <v>2937</v>
      </c>
      <c r="D1173" s="186" t="s">
        <v>2942</v>
      </c>
      <c r="E1173" s="183" t="s">
        <v>1464</v>
      </c>
      <c r="F1173" s="186"/>
      <c r="G1173" s="187" t="s">
        <v>1519</v>
      </c>
    </row>
    <row r="1174" spans="1:7" ht="37.5" x14ac:dyDescent="0.25">
      <c r="A1174" s="200">
        <v>1169</v>
      </c>
      <c r="B1174" s="183" t="e">
        <f>DEEMSuite1&amp;" CRAC Gallery"</f>
        <v>#N/A</v>
      </c>
      <c r="C1174" s="183" t="s">
        <v>2937</v>
      </c>
      <c r="D1174" s="186" t="s">
        <v>2943</v>
      </c>
      <c r="E1174" s="183" t="s">
        <v>1464</v>
      </c>
      <c r="F1174" s="186"/>
      <c r="G1174" s="187" t="s">
        <v>1519</v>
      </c>
    </row>
    <row r="1175" spans="1:7" ht="37.5" x14ac:dyDescent="0.25">
      <c r="A1175" s="200">
        <v>1170</v>
      </c>
      <c r="B1175" s="183" t="e">
        <f>DEEMSuite1&amp;" CRAC Gallery"</f>
        <v>#N/A</v>
      </c>
      <c r="C1175" s="183" t="s">
        <v>2937</v>
      </c>
      <c r="D1175" s="186" t="s">
        <v>2944</v>
      </c>
      <c r="E1175" s="183" t="s">
        <v>1464</v>
      </c>
      <c r="F1175" s="186"/>
      <c r="G1175" s="187" t="s">
        <v>1519</v>
      </c>
    </row>
    <row r="1176" spans="1:7" ht="37.5" x14ac:dyDescent="0.25">
      <c r="A1176" s="200">
        <v>1171</v>
      </c>
      <c r="B1176" s="183" t="e">
        <f>DEEMSuite1&amp;" CRAC Gallery"</f>
        <v>#N/A</v>
      </c>
      <c r="C1176" s="183" t="s">
        <v>2937</v>
      </c>
      <c r="D1176" s="186" t="s">
        <v>2945</v>
      </c>
      <c r="E1176" s="183" t="s">
        <v>1464</v>
      </c>
      <c r="F1176" s="186"/>
      <c r="G1176" s="187" t="s">
        <v>1519</v>
      </c>
    </row>
    <row r="1177" spans="1:7" ht="37.5" x14ac:dyDescent="0.25">
      <c r="A1177" s="200">
        <v>1172</v>
      </c>
      <c r="B1177" s="183" t="e">
        <f>DEEMSuite1&amp;" CRAC Gallery"</f>
        <v>#N/A</v>
      </c>
      <c r="C1177" s="183" t="s">
        <v>2937</v>
      </c>
      <c r="D1177" s="186" t="s">
        <v>2946</v>
      </c>
      <c r="E1177" s="183" t="s">
        <v>1464</v>
      </c>
      <c r="F1177" s="186"/>
      <c r="G1177" s="187" t="s">
        <v>1519</v>
      </c>
    </row>
    <row r="1178" spans="1:7" ht="37.5" x14ac:dyDescent="0.25">
      <c r="A1178" s="200">
        <v>1173</v>
      </c>
      <c r="B1178" s="183" t="e">
        <f>DEEMSuite1&amp;" CRAC Gallery"</f>
        <v>#N/A</v>
      </c>
      <c r="C1178" s="183" t="s">
        <v>2937</v>
      </c>
      <c r="D1178" s="186" t="s">
        <v>2947</v>
      </c>
      <c r="E1178" s="183" t="s">
        <v>1464</v>
      </c>
      <c r="F1178" s="186"/>
      <c r="G1178" s="187" t="s">
        <v>1519</v>
      </c>
    </row>
    <row r="1179" spans="1:7" ht="37.5" x14ac:dyDescent="0.25">
      <c r="A1179" s="200">
        <v>1174</v>
      </c>
      <c r="B1179" s="183" t="e">
        <f>DEEMSuite1&amp;" CRAC Gallery"</f>
        <v>#N/A</v>
      </c>
      <c r="C1179" s="183" t="s">
        <v>2937</v>
      </c>
      <c r="D1179" s="186" t="s">
        <v>2948</v>
      </c>
      <c r="E1179" s="183" t="s">
        <v>1464</v>
      </c>
      <c r="F1179" s="186"/>
      <c r="G1179" s="187" t="s">
        <v>1519</v>
      </c>
    </row>
    <row r="1180" spans="1:7" ht="37.5" x14ac:dyDescent="0.25">
      <c r="A1180" s="200">
        <v>1175</v>
      </c>
      <c r="B1180" s="183" t="e">
        <f>DEEMSuite1&amp;" CRAC Gallery"</f>
        <v>#N/A</v>
      </c>
      <c r="C1180" s="183" t="s">
        <v>2937</v>
      </c>
      <c r="D1180" s="186" t="s">
        <v>2949</v>
      </c>
      <c r="E1180" s="183" t="s">
        <v>1464</v>
      </c>
      <c r="F1180" s="186"/>
      <c r="G1180" s="187" t="s">
        <v>1519</v>
      </c>
    </row>
    <row r="1181" spans="1:7" ht="37.5" x14ac:dyDescent="0.25">
      <c r="A1181" s="200">
        <v>1176</v>
      </c>
      <c r="B1181" s="183" t="e">
        <f>DEEMSuite1&amp;" CRAC Gallery"</f>
        <v>#N/A</v>
      </c>
      <c r="C1181" s="183" t="s">
        <v>2937</v>
      </c>
      <c r="D1181" s="186" t="s">
        <v>2950</v>
      </c>
      <c r="E1181" s="183" t="s">
        <v>1464</v>
      </c>
      <c r="F1181" s="186"/>
      <c r="G1181" s="187" t="s">
        <v>1519</v>
      </c>
    </row>
    <row r="1182" spans="1:7" ht="37.5" x14ac:dyDescent="0.25">
      <c r="A1182" s="200">
        <v>1177</v>
      </c>
      <c r="B1182" s="183" t="e">
        <f>DEEMSuite1&amp;" CRAC Gallery"</f>
        <v>#N/A</v>
      </c>
      <c r="C1182" s="183" t="s">
        <v>2937</v>
      </c>
      <c r="D1182" s="186" t="s">
        <v>2951</v>
      </c>
      <c r="E1182" s="183" t="s">
        <v>1464</v>
      </c>
      <c r="F1182" s="186"/>
      <c r="G1182" s="187" t="s">
        <v>1519</v>
      </c>
    </row>
    <row r="1183" spans="1:7" ht="37.5" x14ac:dyDescent="0.25">
      <c r="A1183" s="200">
        <v>1178</v>
      </c>
      <c r="B1183" s="183" t="e">
        <f>DEEMSuite1&amp;" CRAC Gallery"</f>
        <v>#N/A</v>
      </c>
      <c r="C1183" s="183" t="s">
        <v>2937</v>
      </c>
      <c r="D1183" s="186" t="s">
        <v>3364</v>
      </c>
      <c r="E1183" s="183" t="s">
        <v>1464</v>
      </c>
      <c r="F1183" s="186"/>
      <c r="G1183" s="187" t="s">
        <v>1519</v>
      </c>
    </row>
    <row r="1184" spans="1:7" ht="37.5" x14ac:dyDescent="0.25">
      <c r="A1184" s="200">
        <v>1179</v>
      </c>
      <c r="B1184" s="183" t="e">
        <f>DEEMSuite1&amp;" CRAC Gallery"</f>
        <v>#N/A</v>
      </c>
      <c r="C1184" s="183" t="s">
        <v>2779</v>
      </c>
      <c r="D1184" s="202" t="s">
        <v>2780</v>
      </c>
      <c r="E1184" s="183" t="s">
        <v>1464</v>
      </c>
      <c r="F1184" s="186"/>
      <c r="G1184" s="187" t="s">
        <v>1519</v>
      </c>
    </row>
    <row r="1185" spans="1:7" ht="37.5" x14ac:dyDescent="0.25">
      <c r="A1185" s="200">
        <v>1180</v>
      </c>
      <c r="B1185" s="183" t="e">
        <f>DEEMSuite1&amp;" CRAC Gallery"</f>
        <v>#N/A</v>
      </c>
      <c r="C1185" s="183" t="s">
        <v>2937</v>
      </c>
      <c r="D1185" s="202" t="s">
        <v>2782</v>
      </c>
      <c r="E1185" s="183" t="s">
        <v>1464</v>
      </c>
      <c r="F1185" s="186"/>
      <c r="G1185" s="187" t="s">
        <v>1519</v>
      </c>
    </row>
    <row r="1186" spans="1:7" ht="56.25" x14ac:dyDescent="0.25">
      <c r="A1186" s="200">
        <v>1181</v>
      </c>
      <c r="B1186" s="183" t="e">
        <f>DEEMSuite1&amp;" CRAC Gallery"</f>
        <v>#N/A</v>
      </c>
      <c r="C1186" s="183" t="s">
        <v>2783</v>
      </c>
      <c r="D1186" s="186" t="str">
        <f>"Add readings from previous 2 steps:  __________ kW and compare to step " &amp; A1100 &amp; ":________. If the combined load on the paired PDUs has changed by more than 10 kW stop and inform the MOP facilitator."</f>
        <v>Add readings from previous 2 steps:  __________ kW and compare to step 1095:________. If the combined load on the paired PDUs has changed by more than 10 kW stop and inform the MOP facilitator.</v>
      </c>
      <c r="E1186" s="183" t="s">
        <v>1464</v>
      </c>
      <c r="F1186" s="186"/>
      <c r="G1186" s="187" t="s">
        <v>1519</v>
      </c>
    </row>
    <row r="1187" spans="1:7" x14ac:dyDescent="0.25">
      <c r="A1187" s="200">
        <v>1182</v>
      </c>
      <c r="B1187" s="756" t="s">
        <v>3365</v>
      </c>
      <c r="C1187" s="757"/>
      <c r="D1187" s="759"/>
      <c r="E1187" s="757"/>
      <c r="F1187" s="757"/>
      <c r="G1187" s="758"/>
    </row>
    <row r="1188" spans="1:7" ht="37.5" x14ac:dyDescent="0.25">
      <c r="A1188" s="200">
        <v>1183</v>
      </c>
      <c r="B1188" s="183" t="e">
        <f>DEEMSuite1&amp;" Electrical Room B"</f>
        <v>#N/A</v>
      </c>
      <c r="C1188" s="201" t="s">
        <v>2930</v>
      </c>
      <c r="D1188" s="186" t="s">
        <v>3366</v>
      </c>
      <c r="E1188" s="183" t="s">
        <v>1464</v>
      </c>
      <c r="F1188" s="186"/>
      <c r="G1188" s="187" t="s">
        <v>1519</v>
      </c>
    </row>
    <row r="1189" spans="1:7" ht="37.5" x14ac:dyDescent="0.25">
      <c r="A1189" s="200">
        <v>1184</v>
      </c>
      <c r="B1189" s="183" t="e">
        <f>DEEMSuite1&amp;" Electrical Room B"</f>
        <v>#N/A</v>
      </c>
      <c r="C1189" s="201" t="s">
        <v>2930</v>
      </c>
      <c r="D1189" s="186" t="s">
        <v>3367</v>
      </c>
      <c r="E1189" s="183" t="s">
        <v>1464</v>
      </c>
      <c r="F1189" s="186"/>
      <c r="G1189" s="187" t="s">
        <v>1519</v>
      </c>
    </row>
    <row r="1190" spans="1:7" ht="37.5" x14ac:dyDescent="0.25">
      <c r="A1190" s="200">
        <v>1185</v>
      </c>
      <c r="B1190" s="183" t="e">
        <f>DEEMSuite1&amp;" Electrical Room B"</f>
        <v>#N/A</v>
      </c>
      <c r="C1190" s="201" t="s">
        <v>2930</v>
      </c>
      <c r="D1190" s="186" t="s">
        <v>3368</v>
      </c>
      <c r="E1190" s="183" t="s">
        <v>1464</v>
      </c>
      <c r="F1190" s="186"/>
      <c r="G1190" s="187" t="s">
        <v>1519</v>
      </c>
    </row>
    <row r="1191" spans="1:7" ht="37.5" x14ac:dyDescent="0.25">
      <c r="A1191" s="200">
        <v>1186</v>
      </c>
      <c r="B1191" s="183" t="e">
        <f>DEEMSuite1&amp;" Electrical Room B"</f>
        <v>#N/A</v>
      </c>
      <c r="C1191" s="201" t="s">
        <v>2930</v>
      </c>
      <c r="D1191" s="186" t="s">
        <v>3369</v>
      </c>
      <c r="E1191" s="183" t="s">
        <v>1464</v>
      </c>
      <c r="F1191" s="186"/>
      <c r="G1191" s="187" t="s">
        <v>1519</v>
      </c>
    </row>
    <row r="1192" spans="1:7" ht="37.5" x14ac:dyDescent="0.25">
      <c r="A1192" s="200">
        <v>1187</v>
      </c>
      <c r="B1192" s="183" t="e">
        <f>DEEMSuite1&amp;" Electrical Room B"</f>
        <v>#N/A</v>
      </c>
      <c r="C1192" s="201" t="s">
        <v>2930</v>
      </c>
      <c r="D1192" s="186" t="s">
        <v>3370</v>
      </c>
      <c r="E1192" s="183" t="s">
        <v>1464</v>
      </c>
      <c r="F1192" s="186"/>
      <c r="G1192" s="187" t="s">
        <v>1519</v>
      </c>
    </row>
    <row r="1193" spans="1:7" ht="37.5" x14ac:dyDescent="0.25">
      <c r="A1193" s="200">
        <v>1188</v>
      </c>
      <c r="B1193" s="183" t="e">
        <f>DEEMSuite1&amp;" Electrical Room B"</f>
        <v>#N/A</v>
      </c>
      <c r="C1193" s="201" t="s">
        <v>2930</v>
      </c>
      <c r="D1193" s="186" t="s">
        <v>3371</v>
      </c>
      <c r="E1193" s="183" t="s">
        <v>1464</v>
      </c>
      <c r="F1193" s="186"/>
      <c r="G1193" s="187" t="s">
        <v>1519</v>
      </c>
    </row>
    <row r="1194" spans="1:7" ht="37.5" x14ac:dyDescent="0.25">
      <c r="A1194" s="200">
        <v>1189</v>
      </c>
      <c r="B1194" s="183" t="e">
        <f>DEEMSuite1&amp;" Electrical Room B"</f>
        <v>#N/A</v>
      </c>
      <c r="C1194" s="201" t="s">
        <v>2930</v>
      </c>
      <c r="D1194" s="186" t="s">
        <v>3372</v>
      </c>
      <c r="E1194" s="183" t="s">
        <v>1464</v>
      </c>
      <c r="F1194" s="186"/>
      <c r="G1194" s="187" t="s">
        <v>1519</v>
      </c>
    </row>
    <row r="1195" spans="1:7" ht="37.5" x14ac:dyDescent="0.25">
      <c r="A1195" s="200">
        <v>1190</v>
      </c>
      <c r="B1195" s="183" t="e">
        <f>DEEMSuite1&amp;" Electrical Room B"</f>
        <v>#N/A</v>
      </c>
      <c r="C1195" s="201" t="s">
        <v>2930</v>
      </c>
      <c r="D1195" s="186" t="s">
        <v>3373</v>
      </c>
      <c r="E1195" s="183" t="s">
        <v>1464</v>
      </c>
      <c r="F1195" s="186"/>
      <c r="G1195" s="187" t="s">
        <v>1519</v>
      </c>
    </row>
    <row r="1196" spans="1:7" ht="37.5" x14ac:dyDescent="0.25">
      <c r="A1196" s="200">
        <v>1191</v>
      </c>
      <c r="B1196" s="183" t="e">
        <f>DEEMSuite1&amp;" Electrical Room B"</f>
        <v>#N/A</v>
      </c>
      <c r="C1196" s="201" t="s">
        <v>2930</v>
      </c>
      <c r="D1196" s="186" t="s">
        <v>3374</v>
      </c>
      <c r="E1196" s="183" t="s">
        <v>1464</v>
      </c>
      <c r="F1196" s="186"/>
      <c r="G1196" s="187" t="s">
        <v>1519</v>
      </c>
    </row>
    <row r="1197" spans="1:7" ht="37.5" x14ac:dyDescent="0.25">
      <c r="A1197" s="200">
        <v>1192</v>
      </c>
      <c r="B1197" s="183" t="e">
        <f>DEEMSuite1&amp;" Electrical Room B"</f>
        <v>#N/A</v>
      </c>
      <c r="C1197" s="201" t="s">
        <v>2930</v>
      </c>
      <c r="D1197" s="186" t="s">
        <v>3375</v>
      </c>
      <c r="E1197" s="183" t="s">
        <v>1464</v>
      </c>
      <c r="F1197" s="186"/>
      <c r="G1197" s="187" t="s">
        <v>1519</v>
      </c>
    </row>
    <row r="1198" spans="1:7" ht="37.5" x14ac:dyDescent="0.25">
      <c r="A1198" s="200">
        <v>1193</v>
      </c>
      <c r="B1198" s="183" t="e">
        <f>DEEMSuite1&amp;" Electrical Room B"</f>
        <v>#N/A</v>
      </c>
      <c r="C1198" s="201" t="s">
        <v>2930</v>
      </c>
      <c r="D1198" s="186" t="s">
        <v>3376</v>
      </c>
      <c r="E1198" s="183" t="s">
        <v>1464</v>
      </c>
      <c r="F1198" s="186"/>
      <c r="G1198" s="187" t="s">
        <v>1519</v>
      </c>
    </row>
    <row r="1199" spans="1:7" ht="37.5" x14ac:dyDescent="0.25">
      <c r="A1199" s="200">
        <v>1194</v>
      </c>
      <c r="B1199" s="183" t="e">
        <f>DEEMSuite1&amp;" Electrical Room B"</f>
        <v>#N/A</v>
      </c>
      <c r="C1199" s="201" t="s">
        <v>2930</v>
      </c>
      <c r="D1199" s="186" t="s">
        <v>3377</v>
      </c>
      <c r="E1199" s="183" t="s">
        <v>1464</v>
      </c>
      <c r="F1199" s="186"/>
      <c r="G1199" s="187" t="s">
        <v>1519</v>
      </c>
    </row>
    <row r="1200" spans="1:7" ht="37.5" x14ac:dyDescent="0.25">
      <c r="A1200" s="200">
        <v>1195</v>
      </c>
      <c r="B1200" s="183" t="e">
        <f>DEEMSuite1&amp;" Electrical Room B"</f>
        <v>#N/A</v>
      </c>
      <c r="C1200" s="201" t="s">
        <v>2930</v>
      </c>
      <c r="D1200" s="186" t="s">
        <v>3378</v>
      </c>
      <c r="E1200" s="183" t="s">
        <v>1464</v>
      </c>
      <c r="F1200" s="186"/>
      <c r="G1200" s="187" t="s">
        <v>1519</v>
      </c>
    </row>
    <row r="1201" spans="1:7" ht="37.5" x14ac:dyDescent="0.25">
      <c r="A1201" s="200">
        <v>1196</v>
      </c>
      <c r="B1201" s="183" t="s">
        <v>1462</v>
      </c>
      <c r="C1201" s="183" t="s">
        <v>84</v>
      </c>
      <c r="D1201" s="186" t="e">
        <f>"Verify all BMS indications for suite " &amp; DEEMSuite1 &amp; " are normal by contacting the Engineer stationed on base."</f>
        <v>#N/A</v>
      </c>
      <c r="E1201" s="183" t="s">
        <v>1464</v>
      </c>
      <c r="F1201" s="186"/>
      <c r="G1201" s="187" t="s">
        <v>1519</v>
      </c>
    </row>
    <row r="1202" spans="1:7" ht="37.5" x14ac:dyDescent="0.25">
      <c r="A1202" s="200">
        <v>1197</v>
      </c>
      <c r="B1202" s="183" t="e">
        <f>DEEMSuite1&amp;" Suite"</f>
        <v>#N/A</v>
      </c>
      <c r="C1202" s="201" t="s">
        <v>2687</v>
      </c>
      <c r="D1202" s="186" t="s">
        <v>2975</v>
      </c>
      <c r="E1202" s="183" t="s">
        <v>1464</v>
      </c>
      <c r="F1202" s="186"/>
      <c r="G1202" s="187" t="s">
        <v>1519</v>
      </c>
    </row>
    <row r="1203" spans="1:7" ht="37.5" x14ac:dyDescent="0.25">
      <c r="A1203" s="200">
        <v>1198</v>
      </c>
      <c r="B1203" s="183" t="e">
        <f>DEEMSuite1&amp;" Suite"</f>
        <v>#N/A</v>
      </c>
      <c r="C1203" s="201" t="s">
        <v>2687</v>
      </c>
      <c r="D1203" s="186" t="s">
        <v>2976</v>
      </c>
      <c r="E1203" s="183" t="s">
        <v>1464</v>
      </c>
      <c r="F1203" s="186"/>
      <c r="G1203" s="187" t="s">
        <v>1519</v>
      </c>
    </row>
    <row r="1204" spans="1:7" ht="37.5" x14ac:dyDescent="0.25">
      <c r="A1204" s="200">
        <v>1199</v>
      </c>
      <c r="B1204" s="183" t="e">
        <f>DEEMSuite1&amp;" Electrical Room B"</f>
        <v>#N/A</v>
      </c>
      <c r="C1204" s="201" t="s">
        <v>2930</v>
      </c>
      <c r="D1204" s="202" t="s">
        <v>2977</v>
      </c>
      <c r="E1204" s="183" t="s">
        <v>1464</v>
      </c>
      <c r="F1204" s="186"/>
      <c r="G1204" s="187" t="s">
        <v>1519</v>
      </c>
    </row>
    <row r="1205" spans="1:7" x14ac:dyDescent="0.25">
      <c r="A1205" s="200">
        <v>1200</v>
      </c>
      <c r="B1205" s="756" t="s">
        <v>3379</v>
      </c>
      <c r="C1205" s="757"/>
      <c r="D1205" s="759"/>
      <c r="E1205" s="757"/>
      <c r="F1205" s="757"/>
      <c r="G1205" s="758"/>
    </row>
    <row r="1206" spans="1:7" ht="37.5" x14ac:dyDescent="0.25">
      <c r="A1206" s="200">
        <v>1201</v>
      </c>
      <c r="B1206" s="183" t="e">
        <f>DEEMSuite1&amp;" Electrical Room B"</f>
        <v>#N/A</v>
      </c>
      <c r="C1206" s="183" t="s">
        <v>3380</v>
      </c>
      <c r="D1206" s="187" t="s">
        <v>3381</v>
      </c>
      <c r="E1206" s="183" t="s">
        <v>1464</v>
      </c>
      <c r="F1206" s="186"/>
      <c r="G1206" s="187" t="s">
        <v>1519</v>
      </c>
    </row>
    <row r="1207" spans="1:7" ht="37.5" x14ac:dyDescent="0.25">
      <c r="A1207" s="200">
        <v>1202</v>
      </c>
      <c r="B1207" s="183" t="e">
        <f>DEEMSuite1&amp;" Electrical Room B"</f>
        <v>#N/A</v>
      </c>
      <c r="C1207" s="183" t="s">
        <v>3380</v>
      </c>
      <c r="D1207" s="187" t="s">
        <v>2981</v>
      </c>
      <c r="E1207" s="183" t="s">
        <v>1464</v>
      </c>
      <c r="F1207" s="186"/>
      <c r="G1207" s="187" t="s">
        <v>1519</v>
      </c>
    </row>
    <row r="1208" spans="1:7" ht="37.5" x14ac:dyDescent="0.25">
      <c r="A1208" s="200">
        <v>1203</v>
      </c>
      <c r="B1208" s="183" t="e">
        <f>DEEMSuite1&amp;" Electrical Room B"</f>
        <v>#N/A</v>
      </c>
      <c r="C1208" s="183" t="s">
        <v>3380</v>
      </c>
      <c r="D1208" s="187" t="s">
        <v>2982</v>
      </c>
      <c r="E1208" s="183" t="s">
        <v>1464</v>
      </c>
      <c r="F1208" s="186"/>
      <c r="G1208" s="187" t="s">
        <v>1519</v>
      </c>
    </row>
    <row r="1209" spans="1:7" ht="37.5" x14ac:dyDescent="0.25">
      <c r="A1209" s="200">
        <v>1204</v>
      </c>
      <c r="B1209" s="183" t="e">
        <f>DEEMSuite1&amp;" Electrical Room B"</f>
        <v>#N/A</v>
      </c>
      <c r="C1209" s="183" t="s">
        <v>3380</v>
      </c>
      <c r="D1209" s="186" t="s">
        <v>2983</v>
      </c>
      <c r="E1209" s="183" t="s">
        <v>1464</v>
      </c>
      <c r="F1209" s="186"/>
      <c r="G1209" s="187" t="s">
        <v>1519</v>
      </c>
    </row>
    <row r="1210" spans="1:7" ht="37.5" x14ac:dyDescent="0.25">
      <c r="A1210" s="200">
        <v>1205</v>
      </c>
      <c r="B1210" s="183" t="e">
        <f>DEEMSuite1&amp;" Electrical Room B"</f>
        <v>#N/A</v>
      </c>
      <c r="C1210" s="183" t="s">
        <v>3380</v>
      </c>
      <c r="D1210" s="186" t="s">
        <v>2984</v>
      </c>
      <c r="E1210" s="183" t="s">
        <v>1464</v>
      </c>
      <c r="F1210" s="186"/>
      <c r="G1210" s="187" t="s">
        <v>1519</v>
      </c>
    </row>
    <row r="1211" spans="1:7" ht="37.5" x14ac:dyDescent="0.25">
      <c r="A1211" s="200">
        <v>1206</v>
      </c>
      <c r="B1211" s="183" t="e">
        <f>DEEMSuite1&amp;" Electrical Room B"</f>
        <v>#N/A</v>
      </c>
      <c r="C1211" s="183" t="s">
        <v>3380</v>
      </c>
      <c r="D1211" s="186" t="s">
        <v>2985</v>
      </c>
      <c r="E1211" s="183" t="s">
        <v>1464</v>
      </c>
      <c r="F1211" s="186"/>
      <c r="G1211" s="187" t="s">
        <v>1519</v>
      </c>
    </row>
    <row r="1212" spans="1:7" ht="37.5" x14ac:dyDescent="0.25">
      <c r="A1212" s="200">
        <v>1207</v>
      </c>
      <c r="B1212" s="183" t="e">
        <f>DEEMSuite1&amp;" Electrical Room B"</f>
        <v>#N/A</v>
      </c>
      <c r="C1212" s="183" t="s">
        <v>3380</v>
      </c>
      <c r="D1212" s="187" t="s">
        <v>2986</v>
      </c>
      <c r="E1212" s="183" t="s">
        <v>1464</v>
      </c>
      <c r="F1212" s="186"/>
      <c r="G1212" s="187" t="s">
        <v>1519</v>
      </c>
    </row>
    <row r="1213" spans="1:7" ht="37.5" x14ac:dyDescent="0.25">
      <c r="A1213" s="200">
        <v>1208</v>
      </c>
      <c r="B1213" s="183" t="e">
        <f>DEEMSuite1&amp;" Electrical Room B"</f>
        <v>#N/A</v>
      </c>
      <c r="C1213" s="183" t="s">
        <v>3382</v>
      </c>
      <c r="D1213" s="186" t="s">
        <v>3383</v>
      </c>
      <c r="E1213" s="183" t="s">
        <v>1464</v>
      </c>
      <c r="F1213" s="186"/>
      <c r="G1213" s="187" t="s">
        <v>1519</v>
      </c>
    </row>
    <row r="1214" spans="1:7" ht="37.5" x14ac:dyDescent="0.25">
      <c r="A1214" s="200">
        <v>1209</v>
      </c>
      <c r="B1214" s="183" t="e">
        <f>DEEMSuite1&amp;" Electrical Room B"</f>
        <v>#N/A</v>
      </c>
      <c r="C1214" s="183" t="s">
        <v>84</v>
      </c>
      <c r="D1214" s="204" t="s">
        <v>1501</v>
      </c>
      <c r="E1214" s="183" t="s">
        <v>1464</v>
      </c>
      <c r="F1214" s="186"/>
      <c r="G1214" s="187" t="s">
        <v>1519</v>
      </c>
    </row>
    <row r="1215" spans="1:7" ht="37.5" x14ac:dyDescent="0.25">
      <c r="A1215" s="200">
        <v>1210</v>
      </c>
      <c r="B1215" s="183" t="e">
        <f>DEEMSuite1&amp;" Electrical Room B"</f>
        <v>#N/A</v>
      </c>
      <c r="C1215" s="183" t="s">
        <v>3380</v>
      </c>
      <c r="D1215" s="186" t="s">
        <v>3384</v>
      </c>
      <c r="E1215" s="183" t="s">
        <v>1464</v>
      </c>
      <c r="F1215" s="186"/>
      <c r="G1215" s="187" t="s">
        <v>1519</v>
      </c>
    </row>
    <row r="1216" spans="1:7" ht="37.5" x14ac:dyDescent="0.25">
      <c r="A1216" s="200">
        <v>1211</v>
      </c>
      <c r="B1216" s="183" t="e">
        <f>DEEMSuite1&amp;" Electrical Room B"</f>
        <v>#N/A</v>
      </c>
      <c r="C1216" s="183" t="s">
        <v>3385</v>
      </c>
      <c r="D1216" s="186" t="s">
        <v>3386</v>
      </c>
      <c r="E1216" s="183" t="s">
        <v>1464</v>
      </c>
      <c r="F1216" s="186"/>
      <c r="G1216" s="187" t="s">
        <v>1519</v>
      </c>
    </row>
    <row r="1217" spans="1:7" ht="37.5" x14ac:dyDescent="0.25">
      <c r="A1217" s="200">
        <v>1212</v>
      </c>
      <c r="B1217" s="183" t="e">
        <f>DEEMSuite1&amp;" Electrical Room B"</f>
        <v>#N/A</v>
      </c>
      <c r="C1217" s="183" t="s">
        <v>1476</v>
      </c>
      <c r="D1217" s="187" t="s">
        <v>1725</v>
      </c>
      <c r="E1217" s="183" t="s">
        <v>1464</v>
      </c>
      <c r="F1217" s="186"/>
      <c r="G1217" s="187" t="s">
        <v>1519</v>
      </c>
    </row>
    <row r="1218" spans="1:7" ht="37.5" x14ac:dyDescent="0.25">
      <c r="A1218" s="200">
        <v>1213</v>
      </c>
      <c r="B1218" s="183" t="e">
        <f>DEEMSuite1&amp;" Electrical Room B"</f>
        <v>#N/A</v>
      </c>
      <c r="C1218" s="183" t="s">
        <v>3380</v>
      </c>
      <c r="D1218" s="186" t="s">
        <v>1650</v>
      </c>
      <c r="E1218" s="183" t="s">
        <v>1464</v>
      </c>
      <c r="F1218" s="186"/>
      <c r="G1218" s="187" t="s">
        <v>1519</v>
      </c>
    </row>
    <row r="1219" spans="1:7" ht="37.5" x14ac:dyDescent="0.25">
      <c r="A1219" s="200">
        <v>1214</v>
      </c>
      <c r="B1219" s="183" t="e">
        <f>DEEMSuite1&amp;" Electrical Room B"</f>
        <v>#N/A</v>
      </c>
      <c r="C1219" s="183" t="s">
        <v>1476</v>
      </c>
      <c r="D1219" s="187" t="s">
        <v>1726</v>
      </c>
      <c r="E1219" s="183" t="s">
        <v>1464</v>
      </c>
      <c r="F1219" s="186"/>
      <c r="G1219" s="187" t="s">
        <v>1519</v>
      </c>
    </row>
    <row r="1220" spans="1:7" ht="37.5" x14ac:dyDescent="0.25">
      <c r="A1220" s="200">
        <v>1215</v>
      </c>
      <c r="B1220" s="183" t="e">
        <f>DEEMSuite1&amp;" Electrical Room B"</f>
        <v>#N/A</v>
      </c>
      <c r="C1220" s="183" t="s">
        <v>3385</v>
      </c>
      <c r="D1220" s="186" t="s">
        <v>1650</v>
      </c>
      <c r="E1220" s="183" t="s">
        <v>1464</v>
      </c>
      <c r="F1220" s="186"/>
      <c r="G1220" s="187" t="s">
        <v>1519</v>
      </c>
    </row>
    <row r="1221" spans="1:7" ht="37.5" x14ac:dyDescent="0.25">
      <c r="A1221" s="200">
        <v>1216</v>
      </c>
      <c r="B1221" s="183" t="e">
        <f>DEEMSuite1&amp;" Battery Room B"</f>
        <v>#N/A</v>
      </c>
      <c r="C1221" s="183" t="s">
        <v>1812</v>
      </c>
      <c r="D1221" s="186" t="s">
        <v>2992</v>
      </c>
      <c r="E1221" s="183" t="s">
        <v>1464</v>
      </c>
      <c r="F1221" s="186"/>
      <c r="G1221" s="187" t="s">
        <v>1519</v>
      </c>
    </row>
    <row r="1222" spans="1:7" ht="37.5" x14ac:dyDescent="0.25">
      <c r="A1222" s="200">
        <v>1217</v>
      </c>
      <c r="B1222" s="183" t="e">
        <f>DEEMSuite1&amp;" Battery Room B"</f>
        <v>#N/A</v>
      </c>
      <c r="C1222" s="183" t="s">
        <v>3387</v>
      </c>
      <c r="D1222" s="187" t="s">
        <v>2994</v>
      </c>
      <c r="E1222" s="183" t="s">
        <v>1464</v>
      </c>
      <c r="F1222" s="186"/>
      <c r="G1222" s="187" t="s">
        <v>1519</v>
      </c>
    </row>
    <row r="1223" spans="1:7" ht="37.5" x14ac:dyDescent="0.25">
      <c r="A1223" s="200">
        <v>1218</v>
      </c>
      <c r="B1223" s="183" t="e">
        <f>DEEMSuite1&amp;" Battery Room B"</f>
        <v>#N/A</v>
      </c>
      <c r="C1223" s="183" t="s">
        <v>3387</v>
      </c>
      <c r="D1223" s="187" t="s">
        <v>2995</v>
      </c>
      <c r="E1223" s="183" t="s">
        <v>1464</v>
      </c>
      <c r="F1223" s="186"/>
      <c r="G1223" s="187" t="s">
        <v>1519</v>
      </c>
    </row>
    <row r="1224" spans="1:7" ht="37.5" x14ac:dyDescent="0.25">
      <c r="A1224" s="200">
        <v>1219</v>
      </c>
      <c r="B1224" s="183" t="e">
        <f>DEEMSuite1&amp;" Battery Room B"</f>
        <v>#N/A</v>
      </c>
      <c r="C1224" s="183" t="s">
        <v>3388</v>
      </c>
      <c r="D1224" s="187" t="s">
        <v>2997</v>
      </c>
      <c r="E1224" s="183" t="s">
        <v>1464</v>
      </c>
      <c r="F1224" s="186"/>
      <c r="G1224" s="187" t="s">
        <v>1519</v>
      </c>
    </row>
    <row r="1225" spans="1:7" ht="37.5" x14ac:dyDescent="0.25">
      <c r="A1225" s="200">
        <v>1220</v>
      </c>
      <c r="B1225" s="183" t="e">
        <f>DEEMSuite1&amp;" Battery Room B"</f>
        <v>#N/A</v>
      </c>
      <c r="C1225" s="183" t="s">
        <v>3388</v>
      </c>
      <c r="D1225" s="187" t="s">
        <v>2998</v>
      </c>
      <c r="E1225" s="183" t="s">
        <v>1464</v>
      </c>
      <c r="F1225" s="186"/>
      <c r="G1225" s="187" t="s">
        <v>1519</v>
      </c>
    </row>
    <row r="1226" spans="1:7" ht="37.5" x14ac:dyDescent="0.25">
      <c r="A1226" s="200">
        <v>1221</v>
      </c>
      <c r="B1226" s="183" t="e">
        <f>DEEMSuite1&amp;" Battery Room B"</f>
        <v>#N/A</v>
      </c>
      <c r="C1226" s="183" t="s">
        <v>3389</v>
      </c>
      <c r="D1226" s="187" t="s">
        <v>3000</v>
      </c>
      <c r="E1226" s="183" t="s">
        <v>1464</v>
      </c>
      <c r="F1226" s="186"/>
      <c r="G1226" s="187" t="s">
        <v>1519</v>
      </c>
    </row>
    <row r="1227" spans="1:7" ht="37.5" x14ac:dyDescent="0.25">
      <c r="A1227" s="200">
        <v>1222</v>
      </c>
      <c r="B1227" s="183" t="e">
        <f>DEEMSuite1&amp;" Battery Room B"</f>
        <v>#N/A</v>
      </c>
      <c r="C1227" s="183" t="s">
        <v>3389</v>
      </c>
      <c r="D1227" s="187" t="s">
        <v>3001</v>
      </c>
      <c r="E1227" s="183" t="s">
        <v>1464</v>
      </c>
      <c r="F1227" s="186"/>
      <c r="G1227" s="187" t="s">
        <v>1519</v>
      </c>
    </row>
    <row r="1228" spans="1:7" ht="37.5" x14ac:dyDescent="0.25">
      <c r="A1228" s="200">
        <v>1223</v>
      </c>
      <c r="B1228" s="183" t="e">
        <f>DEEMSuite1&amp;" Battery Room B"</f>
        <v>#N/A</v>
      </c>
      <c r="C1228" s="183" t="s">
        <v>3390</v>
      </c>
      <c r="D1228" s="187" t="s">
        <v>3003</v>
      </c>
      <c r="E1228" s="183" t="s">
        <v>1464</v>
      </c>
      <c r="F1228" s="186"/>
      <c r="G1228" s="187" t="s">
        <v>1519</v>
      </c>
    </row>
    <row r="1229" spans="1:7" ht="37.5" x14ac:dyDescent="0.25">
      <c r="A1229" s="200">
        <v>1224</v>
      </c>
      <c r="B1229" s="183" t="e">
        <f>DEEMSuite1&amp;" Battery Room B"</f>
        <v>#N/A</v>
      </c>
      <c r="C1229" s="183" t="s">
        <v>3390</v>
      </c>
      <c r="D1229" s="187" t="s">
        <v>3004</v>
      </c>
      <c r="E1229" s="183" t="s">
        <v>1464</v>
      </c>
      <c r="F1229" s="186"/>
      <c r="G1229" s="187" t="s">
        <v>1519</v>
      </c>
    </row>
    <row r="1230" spans="1:7" ht="37.5" x14ac:dyDescent="0.25">
      <c r="A1230" s="200">
        <v>1225</v>
      </c>
      <c r="B1230" s="183" t="e">
        <f>DEEMSuite1&amp;" Battery Room B"</f>
        <v>#N/A</v>
      </c>
      <c r="C1230" s="183" t="s">
        <v>1832</v>
      </c>
      <c r="D1230" s="186" t="s">
        <v>2992</v>
      </c>
      <c r="E1230" s="183" t="s">
        <v>1464</v>
      </c>
      <c r="F1230" s="186"/>
      <c r="G1230" s="187" t="s">
        <v>1519</v>
      </c>
    </row>
    <row r="1231" spans="1:7" ht="37.5" x14ac:dyDescent="0.25">
      <c r="A1231" s="200">
        <v>1226</v>
      </c>
      <c r="B1231" s="183" t="e">
        <f>DEEMSuite1&amp;" Battery Room B"</f>
        <v>#N/A</v>
      </c>
      <c r="C1231" s="183" t="s">
        <v>3391</v>
      </c>
      <c r="D1231" s="187" t="s">
        <v>2994</v>
      </c>
      <c r="E1231" s="183" t="s">
        <v>1464</v>
      </c>
      <c r="F1231" s="186"/>
      <c r="G1231" s="187" t="s">
        <v>1519</v>
      </c>
    </row>
    <row r="1232" spans="1:7" ht="37.5" x14ac:dyDescent="0.25">
      <c r="A1232" s="200">
        <v>1227</v>
      </c>
      <c r="B1232" s="183" t="e">
        <f>DEEMSuite1&amp;" Battery Room B"</f>
        <v>#N/A</v>
      </c>
      <c r="C1232" s="183" t="s">
        <v>3391</v>
      </c>
      <c r="D1232" s="187" t="s">
        <v>2995</v>
      </c>
      <c r="E1232" s="183" t="s">
        <v>1464</v>
      </c>
      <c r="F1232" s="186"/>
      <c r="G1232" s="187" t="s">
        <v>1519</v>
      </c>
    </row>
    <row r="1233" spans="1:7" ht="37.5" x14ac:dyDescent="0.25">
      <c r="A1233" s="200">
        <v>1228</v>
      </c>
      <c r="B1233" s="183" t="e">
        <f>DEEMSuite1&amp;" Battery Room B"</f>
        <v>#N/A</v>
      </c>
      <c r="C1233" s="183" t="s">
        <v>3392</v>
      </c>
      <c r="D1233" s="187" t="s">
        <v>2997</v>
      </c>
      <c r="E1233" s="183" t="s">
        <v>1464</v>
      </c>
      <c r="F1233" s="186"/>
      <c r="G1233" s="187" t="s">
        <v>1519</v>
      </c>
    </row>
    <row r="1234" spans="1:7" ht="37.5" x14ac:dyDescent="0.25">
      <c r="A1234" s="200">
        <v>1229</v>
      </c>
      <c r="B1234" s="183" t="e">
        <f>DEEMSuite1&amp;" Battery Room B"</f>
        <v>#N/A</v>
      </c>
      <c r="C1234" s="183" t="s">
        <v>3392</v>
      </c>
      <c r="D1234" s="187" t="s">
        <v>2998</v>
      </c>
      <c r="E1234" s="183" t="s">
        <v>1464</v>
      </c>
      <c r="F1234" s="186"/>
      <c r="G1234" s="187" t="s">
        <v>1519</v>
      </c>
    </row>
    <row r="1235" spans="1:7" ht="37.5" x14ac:dyDescent="0.25">
      <c r="A1235" s="200">
        <v>1230</v>
      </c>
      <c r="B1235" s="183" t="e">
        <f>DEEMSuite1&amp;" Battery Room B"</f>
        <v>#N/A</v>
      </c>
      <c r="C1235" s="183" t="s">
        <v>3393</v>
      </c>
      <c r="D1235" s="187" t="s">
        <v>3000</v>
      </c>
      <c r="E1235" s="183" t="s">
        <v>1464</v>
      </c>
      <c r="F1235" s="186"/>
      <c r="G1235" s="187" t="s">
        <v>1519</v>
      </c>
    </row>
    <row r="1236" spans="1:7" ht="37.5" x14ac:dyDescent="0.25">
      <c r="A1236" s="200">
        <v>1231</v>
      </c>
      <c r="B1236" s="183" t="e">
        <f>DEEMSuite1&amp;" Battery Room B"</f>
        <v>#N/A</v>
      </c>
      <c r="C1236" s="183" t="s">
        <v>3393</v>
      </c>
      <c r="D1236" s="187" t="s">
        <v>3001</v>
      </c>
      <c r="E1236" s="183" t="s">
        <v>1464</v>
      </c>
      <c r="F1236" s="186"/>
      <c r="G1236" s="187" t="s">
        <v>1519</v>
      </c>
    </row>
    <row r="1237" spans="1:7" ht="37.5" x14ac:dyDescent="0.25">
      <c r="A1237" s="200">
        <v>1232</v>
      </c>
      <c r="B1237" s="183" t="e">
        <f>DEEMSuite1&amp;" Battery Room B"</f>
        <v>#N/A</v>
      </c>
      <c r="C1237" s="183" t="s">
        <v>3394</v>
      </c>
      <c r="D1237" s="187" t="s">
        <v>3003</v>
      </c>
      <c r="E1237" s="183" t="s">
        <v>1464</v>
      </c>
      <c r="F1237" s="186"/>
      <c r="G1237" s="187" t="s">
        <v>1519</v>
      </c>
    </row>
    <row r="1238" spans="1:7" ht="37.5" x14ac:dyDescent="0.25">
      <c r="A1238" s="200">
        <v>1233</v>
      </c>
      <c r="B1238" s="183" t="e">
        <f>DEEMSuite1&amp;" Battery Room B"</f>
        <v>#N/A</v>
      </c>
      <c r="C1238" s="183" t="s">
        <v>3394</v>
      </c>
      <c r="D1238" s="187" t="s">
        <v>3004</v>
      </c>
      <c r="E1238" s="183" t="s">
        <v>1464</v>
      </c>
      <c r="F1238" s="186"/>
      <c r="G1238" s="187" t="s">
        <v>1519</v>
      </c>
    </row>
    <row r="1239" spans="1:7" ht="37.5" x14ac:dyDescent="0.25">
      <c r="A1239" s="200">
        <v>1234</v>
      </c>
      <c r="B1239" s="183" t="e">
        <f>DEEMSuite1&amp;" Electrical Room B"</f>
        <v>#N/A</v>
      </c>
      <c r="C1239" s="183" t="s">
        <v>2729</v>
      </c>
      <c r="D1239" s="187" t="s">
        <v>3395</v>
      </c>
      <c r="E1239" s="183" t="s">
        <v>1464</v>
      </c>
      <c r="F1239" s="186"/>
      <c r="G1239" s="187" t="s">
        <v>1519</v>
      </c>
    </row>
    <row r="1240" spans="1:7" ht="37.5" x14ac:dyDescent="0.25">
      <c r="A1240" s="200">
        <v>1235</v>
      </c>
      <c r="B1240" s="183" t="e">
        <f>DEEMSuite1&amp;" Electrical Room B"</f>
        <v>#N/A</v>
      </c>
      <c r="C1240" s="183" t="s">
        <v>2729</v>
      </c>
      <c r="D1240" s="187" t="s">
        <v>3396</v>
      </c>
      <c r="E1240" s="183" t="s">
        <v>1464</v>
      </c>
      <c r="F1240" s="186"/>
      <c r="G1240" s="187" t="s">
        <v>1519</v>
      </c>
    </row>
    <row r="1241" spans="1:7" ht="37.5" x14ac:dyDescent="0.25">
      <c r="A1241" s="200">
        <v>1236</v>
      </c>
      <c r="B1241" s="183" t="e">
        <f>DEEMSuite1&amp;" Electrical Room B"</f>
        <v>#N/A</v>
      </c>
      <c r="C1241" s="183" t="s">
        <v>1476</v>
      </c>
      <c r="D1241" s="187" t="s">
        <v>1724</v>
      </c>
      <c r="E1241" s="183" t="s">
        <v>1464</v>
      </c>
      <c r="F1241" s="186"/>
      <c r="G1241" s="187" t="s">
        <v>1519</v>
      </c>
    </row>
    <row r="1242" spans="1:7" x14ac:dyDescent="0.25">
      <c r="A1242" s="200">
        <v>1237</v>
      </c>
      <c r="B1242" s="756" t="s">
        <v>3397</v>
      </c>
      <c r="C1242" s="757"/>
      <c r="D1242" s="759"/>
      <c r="E1242" s="757"/>
      <c r="F1242" s="757"/>
      <c r="G1242" s="758"/>
    </row>
    <row r="1243" spans="1:7" ht="37.5" x14ac:dyDescent="0.25">
      <c r="A1243" s="200">
        <v>1238</v>
      </c>
      <c r="B1243" s="183" t="e">
        <f>DEEMSuite1&amp;" CRAC Gallery"</f>
        <v>#N/A</v>
      </c>
      <c r="C1243" s="201" t="s">
        <v>2056</v>
      </c>
      <c r="D1243" s="186" t="s">
        <v>3398</v>
      </c>
      <c r="E1243" s="183" t="s">
        <v>1464</v>
      </c>
      <c r="F1243" s="186"/>
      <c r="G1243" s="187" t="s">
        <v>1519</v>
      </c>
    </row>
    <row r="1244" spans="1:7" ht="37.5" x14ac:dyDescent="0.25">
      <c r="A1244" s="200">
        <v>1239</v>
      </c>
      <c r="B1244" s="183" t="e">
        <f>DEEMSuite1&amp;" Electrical Room B"</f>
        <v>#N/A</v>
      </c>
      <c r="C1244" s="183" t="s">
        <v>3399</v>
      </c>
      <c r="D1244" s="186" t="s">
        <v>3015</v>
      </c>
      <c r="E1244" s="183" t="s">
        <v>1464</v>
      </c>
      <c r="F1244" s="186"/>
      <c r="G1244" s="187" t="s">
        <v>1519</v>
      </c>
    </row>
    <row r="1245" spans="1:7" ht="37.5" x14ac:dyDescent="0.25">
      <c r="A1245" s="200">
        <v>1240</v>
      </c>
      <c r="B1245" s="183" t="e">
        <f>DEEMSuite1&amp;" Electrical Room B"</f>
        <v>#N/A</v>
      </c>
      <c r="C1245" s="183" t="s">
        <v>3399</v>
      </c>
      <c r="D1245" s="186" t="s">
        <v>3016</v>
      </c>
      <c r="E1245" s="183" t="s">
        <v>1464</v>
      </c>
      <c r="F1245" s="186"/>
      <c r="G1245" s="187" t="s">
        <v>1519</v>
      </c>
    </row>
    <row r="1246" spans="1:7" ht="37.5" x14ac:dyDescent="0.25">
      <c r="A1246" s="200">
        <v>1241</v>
      </c>
      <c r="B1246" s="183" t="e">
        <f>DEEMSuite1&amp;" Electrical Room B"</f>
        <v>#N/A</v>
      </c>
      <c r="C1246" s="183" t="s">
        <v>3399</v>
      </c>
      <c r="D1246" s="186" t="s">
        <v>3017</v>
      </c>
      <c r="E1246" s="183" t="s">
        <v>1464</v>
      </c>
      <c r="F1246" s="186"/>
      <c r="G1246" s="187" t="s">
        <v>1519</v>
      </c>
    </row>
    <row r="1247" spans="1:7" ht="37.5" x14ac:dyDescent="0.25">
      <c r="A1247" s="200">
        <v>1242</v>
      </c>
      <c r="B1247" s="183" t="e">
        <f>DEEMSuite1&amp;" Electrical Room B"</f>
        <v>#N/A</v>
      </c>
      <c r="C1247" s="183" t="s">
        <v>3399</v>
      </c>
      <c r="D1247" s="186" t="s">
        <v>3018</v>
      </c>
      <c r="E1247" s="183" t="s">
        <v>1464</v>
      </c>
      <c r="F1247" s="186"/>
      <c r="G1247" s="187" t="s">
        <v>1519</v>
      </c>
    </row>
    <row r="1248" spans="1:7" ht="37.5" x14ac:dyDescent="0.25">
      <c r="A1248" s="200">
        <v>1243</v>
      </c>
      <c r="B1248" s="183" t="e">
        <f>DEEMSuite1&amp;" Electrical Room B"</f>
        <v>#N/A</v>
      </c>
      <c r="C1248" s="183" t="s">
        <v>3399</v>
      </c>
      <c r="D1248" s="186" t="s">
        <v>3019</v>
      </c>
      <c r="E1248" s="183" t="s">
        <v>1464</v>
      </c>
      <c r="F1248" s="186"/>
      <c r="G1248" s="187" t="s">
        <v>1519</v>
      </c>
    </row>
    <row r="1249" spans="1:7" ht="37.5" x14ac:dyDescent="0.25">
      <c r="A1249" s="200">
        <v>1244</v>
      </c>
      <c r="B1249" s="183" t="e">
        <f>DEEMSuite1&amp;" Electrical Room B"</f>
        <v>#N/A</v>
      </c>
      <c r="C1249" s="183" t="s">
        <v>3399</v>
      </c>
      <c r="D1249" s="186" t="s">
        <v>3020</v>
      </c>
      <c r="E1249" s="183" t="s">
        <v>1464</v>
      </c>
      <c r="F1249" s="183"/>
      <c r="G1249" s="187" t="s">
        <v>1519</v>
      </c>
    </row>
    <row r="1250" spans="1:7" ht="37.5" x14ac:dyDescent="0.25">
      <c r="A1250" s="200">
        <v>1245</v>
      </c>
      <c r="B1250" s="183" t="e">
        <f>DEEMSuite1&amp;" CRAC Gallery"</f>
        <v>#N/A</v>
      </c>
      <c r="C1250" s="183" t="e">
        <f>DEEMSuite1 &amp; " Humidifier-1"</f>
        <v>#N/A</v>
      </c>
      <c r="D1250" s="186" t="e">
        <f>"Verify " &amp; DEEMSuite1 &amp; " Humidifier-1 transfers to secondary source via bodine switch."</f>
        <v>#N/A</v>
      </c>
      <c r="E1250" s="183" t="s">
        <v>1464</v>
      </c>
      <c r="F1250" s="183"/>
      <c r="G1250" s="187" t="s">
        <v>1519</v>
      </c>
    </row>
    <row r="1251" spans="1:7" ht="37.5" x14ac:dyDescent="0.25">
      <c r="A1251" s="200">
        <v>1246</v>
      </c>
      <c r="B1251" s="183" t="e">
        <f>DEEMSuite1&amp;" Electrical Room B"</f>
        <v>#N/A</v>
      </c>
      <c r="C1251" s="183" t="s">
        <v>3400</v>
      </c>
      <c r="D1251" s="186" t="s">
        <v>3022</v>
      </c>
      <c r="E1251" s="183" t="s">
        <v>1464</v>
      </c>
      <c r="F1251" s="186"/>
      <c r="G1251" s="187" t="s">
        <v>1519</v>
      </c>
    </row>
    <row r="1252" spans="1:7" ht="37.5" x14ac:dyDescent="0.25">
      <c r="A1252" s="200">
        <v>1247</v>
      </c>
      <c r="B1252" s="183" t="e">
        <f>DEEMSuite1&amp;" Electrical Room B"</f>
        <v>#N/A</v>
      </c>
      <c r="C1252" s="183" t="s">
        <v>3400</v>
      </c>
      <c r="D1252" s="186" t="s">
        <v>3023</v>
      </c>
      <c r="E1252" s="183" t="s">
        <v>1464</v>
      </c>
      <c r="F1252" s="186"/>
      <c r="G1252" s="187" t="s">
        <v>1519</v>
      </c>
    </row>
    <row r="1253" spans="1:7" ht="37.5" x14ac:dyDescent="0.25">
      <c r="A1253" s="200">
        <v>1248</v>
      </c>
      <c r="B1253" s="183" t="e">
        <f>DEEMSuite1&amp;" Electrical Room B"</f>
        <v>#N/A</v>
      </c>
      <c r="C1253" s="183" t="s">
        <v>3400</v>
      </c>
      <c r="D1253" s="186" t="s">
        <v>3024</v>
      </c>
      <c r="E1253" s="183" t="s">
        <v>1464</v>
      </c>
      <c r="F1253" s="186"/>
      <c r="G1253" s="187" t="s">
        <v>1519</v>
      </c>
    </row>
    <row r="1254" spans="1:7" ht="37.5" x14ac:dyDescent="0.25">
      <c r="A1254" s="200">
        <v>1249</v>
      </c>
      <c r="B1254" s="183" t="e">
        <f>DEEMSuite1&amp;" Electrical Room B"</f>
        <v>#N/A</v>
      </c>
      <c r="C1254" s="183" t="s">
        <v>3400</v>
      </c>
      <c r="D1254" s="186" t="s">
        <v>3025</v>
      </c>
      <c r="E1254" s="183" t="s">
        <v>1464</v>
      </c>
      <c r="F1254" s="186"/>
      <c r="G1254" s="187" t="s">
        <v>1519</v>
      </c>
    </row>
    <row r="1255" spans="1:7" ht="37.5" x14ac:dyDescent="0.25">
      <c r="A1255" s="200">
        <v>1250</v>
      </c>
      <c r="B1255" s="183" t="e">
        <f>DEEMSuite1&amp;" Electrical Room B"</f>
        <v>#N/A</v>
      </c>
      <c r="C1255" s="183" t="s">
        <v>3400</v>
      </c>
      <c r="D1255" s="186" t="s">
        <v>3026</v>
      </c>
      <c r="E1255" s="183" t="s">
        <v>1464</v>
      </c>
      <c r="F1255" s="186"/>
      <c r="G1255" s="187" t="s">
        <v>1519</v>
      </c>
    </row>
    <row r="1256" spans="1:7" ht="37.5" x14ac:dyDescent="0.25">
      <c r="A1256" s="200">
        <v>1251</v>
      </c>
      <c r="B1256" s="183" t="e">
        <f>DEEMSuite1&amp;" Electrical Room A"</f>
        <v>#N/A</v>
      </c>
      <c r="C1256" s="183" t="e">
        <f>"ATS RTU " &amp; DEEMSuite1 &amp; "-2"</f>
        <v>#N/A</v>
      </c>
      <c r="D1256" s="186" t="e">
        <f>"Verify ATS RTU " &amp; DEEMSuite1 &amp; "-2 remains on primary source."</f>
        <v>#N/A</v>
      </c>
      <c r="E1256" s="183" t="s">
        <v>1464</v>
      </c>
      <c r="F1256" s="186"/>
      <c r="G1256" s="187" t="s">
        <v>1519</v>
      </c>
    </row>
    <row r="1257" spans="1:7" ht="37.5" x14ac:dyDescent="0.25">
      <c r="A1257" s="200">
        <v>1252</v>
      </c>
      <c r="B1257" s="183" t="e">
        <f>DEEMSuite1&amp;" Electrical Room B"</f>
        <v>#N/A</v>
      </c>
      <c r="C1257" s="183" t="s">
        <v>2729</v>
      </c>
      <c r="D1257" s="186" t="s">
        <v>3401</v>
      </c>
      <c r="E1257" s="183" t="s">
        <v>1464</v>
      </c>
      <c r="F1257" s="186"/>
      <c r="G1257" s="187" t="s">
        <v>1519</v>
      </c>
    </row>
    <row r="1258" spans="1:7" ht="37.5" x14ac:dyDescent="0.25">
      <c r="A1258" s="200">
        <v>1253</v>
      </c>
      <c r="B1258" s="183" t="e">
        <f>DEEMSuite1&amp;" Electrical Room B"</f>
        <v>#N/A</v>
      </c>
      <c r="C1258" s="183" t="s">
        <v>2729</v>
      </c>
      <c r="D1258" s="186" t="s">
        <v>3402</v>
      </c>
      <c r="E1258" s="183" t="s">
        <v>1464</v>
      </c>
      <c r="F1258" s="186"/>
      <c r="G1258" s="187" t="s">
        <v>1519</v>
      </c>
    </row>
    <row r="1259" spans="1:7" ht="37.5" x14ac:dyDescent="0.25">
      <c r="A1259" s="200">
        <v>1254</v>
      </c>
      <c r="B1259" s="183" t="e">
        <f>DEEMSuite1&amp;" Electrical Room B"</f>
        <v>#N/A</v>
      </c>
      <c r="C1259" s="183" t="s">
        <v>2729</v>
      </c>
      <c r="D1259" s="186" t="s">
        <v>3403</v>
      </c>
      <c r="E1259" s="183" t="s">
        <v>1464</v>
      </c>
      <c r="F1259" s="186"/>
      <c r="G1259" s="187" t="s">
        <v>1519</v>
      </c>
    </row>
    <row r="1260" spans="1:7" ht="37.5" x14ac:dyDescent="0.25">
      <c r="A1260" s="200">
        <v>1255</v>
      </c>
      <c r="B1260" s="183" t="e">
        <f>DEEMSuite1&amp;" Electrical Room B"</f>
        <v>#N/A</v>
      </c>
      <c r="C1260" s="183" t="s">
        <v>3030</v>
      </c>
      <c r="D1260" s="186" t="s">
        <v>3031</v>
      </c>
      <c r="E1260" s="183" t="s">
        <v>1464</v>
      </c>
      <c r="F1260" s="186"/>
      <c r="G1260" s="187" t="s">
        <v>1519</v>
      </c>
    </row>
    <row r="1261" spans="1:7" ht="37.5" x14ac:dyDescent="0.25">
      <c r="A1261" s="200">
        <v>1256</v>
      </c>
      <c r="B1261" s="183" t="e">
        <f>DEEMSuite1&amp;" Electrical Room A"</f>
        <v>#N/A</v>
      </c>
      <c r="C1261" s="183" t="e">
        <f>"ATS RTU " &amp; DEEMSuite1 &amp; "-3"</f>
        <v>#N/A</v>
      </c>
      <c r="D1261" s="186" t="e">
        <f>"Verify ATS RTU " &amp; DEEMSuite1 &amp; "-3 remains on primary source."</f>
        <v>#N/A</v>
      </c>
      <c r="E1261" s="183" t="s">
        <v>1464</v>
      </c>
      <c r="F1261" s="186"/>
      <c r="G1261" s="187" t="s">
        <v>1519</v>
      </c>
    </row>
    <row r="1262" spans="1:7" ht="37.5" x14ac:dyDescent="0.25">
      <c r="A1262" s="200">
        <v>1257</v>
      </c>
      <c r="B1262" s="183" t="e">
        <f>DEEMSuite1&amp;" Electrical Room A"</f>
        <v>#N/A</v>
      </c>
      <c r="C1262" s="183" t="e">
        <f>"ATS RTU " &amp; DEEMSuite1 &amp; "-4"</f>
        <v>#N/A</v>
      </c>
      <c r="D1262" s="186" t="e">
        <f>"Verify ATS RTU " &amp; DEEMSuite1 &amp; "-4 transfers to alternate source."</f>
        <v>#N/A</v>
      </c>
      <c r="E1262" s="183" t="s">
        <v>1464</v>
      </c>
      <c r="F1262" s="186"/>
      <c r="G1262" s="187" t="s">
        <v>1519</v>
      </c>
    </row>
    <row r="1263" spans="1:7" ht="37.5" x14ac:dyDescent="0.25">
      <c r="A1263" s="200">
        <v>1258</v>
      </c>
      <c r="B1263" s="183" t="s">
        <v>3032</v>
      </c>
      <c r="C1263" s="183" t="s">
        <v>3033</v>
      </c>
      <c r="D1263" s="186" t="s">
        <v>3034</v>
      </c>
      <c r="E1263" s="183" t="s">
        <v>1464</v>
      </c>
      <c r="F1263" s="186"/>
      <c r="G1263" s="187" t="s">
        <v>1519</v>
      </c>
    </row>
    <row r="1264" spans="1:7" ht="37.5" x14ac:dyDescent="0.25">
      <c r="A1264" s="200">
        <v>1259</v>
      </c>
      <c r="B1264" s="183" t="e">
        <f>DEEMSuite1 &amp; " Suite"</f>
        <v>#N/A</v>
      </c>
      <c r="C1264" s="183" t="s">
        <v>2058</v>
      </c>
      <c r="D1264" s="186" t="s">
        <v>3035</v>
      </c>
      <c r="E1264" s="183" t="s">
        <v>1464</v>
      </c>
      <c r="F1264" s="186"/>
      <c r="G1264" s="187" t="s">
        <v>1519</v>
      </c>
    </row>
    <row r="1265" spans="1:7" ht="37.5" x14ac:dyDescent="0.25">
      <c r="A1265" s="200">
        <v>1260</v>
      </c>
      <c r="B1265" s="183" t="e">
        <f>DEEMSuite1&amp;" Electrical Room A"</f>
        <v>#N/A</v>
      </c>
      <c r="C1265" s="183" t="s">
        <v>3074</v>
      </c>
      <c r="D1265" s="186" t="s">
        <v>3075</v>
      </c>
      <c r="E1265" s="183" t="s">
        <v>1464</v>
      </c>
      <c r="F1265" s="186"/>
      <c r="G1265" s="187" t="s">
        <v>1519</v>
      </c>
    </row>
    <row r="1266" spans="1:7" ht="37.5" x14ac:dyDescent="0.25">
      <c r="A1266" s="200">
        <v>1261</v>
      </c>
      <c r="B1266" s="183" t="e">
        <f>DEEMSuite1&amp;" Electrical Room B"</f>
        <v>#N/A</v>
      </c>
      <c r="C1266" s="183" t="s">
        <v>3038</v>
      </c>
      <c r="D1266" s="186" t="s">
        <v>3039</v>
      </c>
      <c r="E1266" s="183" t="s">
        <v>1464</v>
      </c>
      <c r="F1266" s="186"/>
      <c r="G1266" s="187" t="s">
        <v>1519</v>
      </c>
    </row>
    <row r="1267" spans="1:7" ht="37.5" x14ac:dyDescent="0.25">
      <c r="A1267" s="200">
        <v>1262</v>
      </c>
      <c r="B1267" s="183" t="e">
        <f>DEEMSuite1 &amp; " Suite &amp; Electrical Rooms"</f>
        <v>#N/A</v>
      </c>
      <c r="C1267" s="183" t="s">
        <v>3040</v>
      </c>
      <c r="D1267" s="186" t="s">
        <v>3041</v>
      </c>
      <c r="E1267" s="183" t="s">
        <v>1464</v>
      </c>
      <c r="F1267" s="186"/>
      <c r="G1267" s="187" t="s">
        <v>1519</v>
      </c>
    </row>
    <row r="1268" spans="1:7" ht="37.5" x14ac:dyDescent="0.25">
      <c r="A1268" s="200">
        <v>1263</v>
      </c>
      <c r="B1268" s="183" t="e">
        <f>DEEMSuite1&amp;" CRAC Gallery"</f>
        <v>#N/A</v>
      </c>
      <c r="C1268" s="183" t="e">
        <f>DEEMSuite1 &amp; " Humidifier-1"</f>
        <v>#N/A</v>
      </c>
      <c r="D1268" s="186" t="e">
        <f>"Verify " &amp; DEEMSuite1 &amp; " Humidifier-1 remains energized via bodine switch."</f>
        <v>#N/A</v>
      </c>
      <c r="E1268" s="183" t="s">
        <v>1464</v>
      </c>
      <c r="F1268" s="186"/>
      <c r="G1268" s="187" t="s">
        <v>1519</v>
      </c>
    </row>
    <row r="1269" spans="1:7" ht="37.5" x14ac:dyDescent="0.25">
      <c r="A1269" s="200">
        <v>1264</v>
      </c>
      <c r="B1269" s="183" t="e">
        <f>DEEMSuite1&amp;" CRAC Gallery"</f>
        <v>#N/A</v>
      </c>
      <c r="C1269" s="183" t="e">
        <f>DEEMSuite1 &amp; " Humidifier-2"</f>
        <v>#N/A</v>
      </c>
      <c r="D1269" s="186" t="e">
        <f>"Verify " &amp; DEEMSuite1 &amp; " Humidifier-2 remains energized via bodine switch."</f>
        <v>#N/A</v>
      </c>
      <c r="E1269" s="183" t="s">
        <v>1464</v>
      </c>
      <c r="F1269" s="186"/>
      <c r="G1269" s="187" t="s">
        <v>1519</v>
      </c>
    </row>
    <row r="1270" spans="1:7" ht="37.5" x14ac:dyDescent="0.25">
      <c r="A1270" s="200">
        <v>1265</v>
      </c>
      <c r="B1270" s="183" t="e">
        <f>DEEMSuite1&amp;" Electrical Room B"</f>
        <v>#N/A</v>
      </c>
      <c r="C1270" s="183" t="s">
        <v>2708</v>
      </c>
      <c r="D1270" s="187" t="s">
        <v>2709</v>
      </c>
      <c r="E1270" s="183" t="s">
        <v>1464</v>
      </c>
      <c r="F1270" s="186"/>
      <c r="G1270" s="187" t="s">
        <v>1519</v>
      </c>
    </row>
    <row r="1271" spans="1:7" ht="37.5" x14ac:dyDescent="0.25">
      <c r="A1271" s="200">
        <v>1266</v>
      </c>
      <c r="B1271" s="183" t="e">
        <f>DEEMSuite1&amp;" Electrical Room B"</f>
        <v>#N/A</v>
      </c>
      <c r="C1271" s="183" t="s">
        <v>2708</v>
      </c>
      <c r="D1271" s="186" t="s">
        <v>2120</v>
      </c>
      <c r="E1271" s="183" t="s">
        <v>1464</v>
      </c>
      <c r="F1271" s="186"/>
      <c r="G1271" s="187" t="s">
        <v>1519</v>
      </c>
    </row>
    <row r="1272" spans="1:7" ht="37.5" x14ac:dyDescent="0.25">
      <c r="A1272" s="200">
        <v>1267</v>
      </c>
      <c r="B1272" s="183" t="e">
        <f>DEEMSuite1&amp;" Electrical Room B"</f>
        <v>#N/A</v>
      </c>
      <c r="C1272" s="183" t="s">
        <v>2708</v>
      </c>
      <c r="D1272" s="187" t="s">
        <v>2710</v>
      </c>
      <c r="E1272" s="183" t="s">
        <v>1464</v>
      </c>
      <c r="F1272" s="186"/>
      <c r="G1272" s="187" t="s">
        <v>1519</v>
      </c>
    </row>
    <row r="1273" spans="1:7" ht="37.5" x14ac:dyDescent="0.25">
      <c r="A1273" s="200">
        <v>1268</v>
      </c>
      <c r="B1273" s="183" t="e">
        <f>DEEMSuite1&amp;" Electrical Room B"</f>
        <v>#N/A</v>
      </c>
      <c r="C1273" s="183" t="s">
        <v>2708</v>
      </c>
      <c r="D1273" s="186" t="s">
        <v>3043</v>
      </c>
      <c r="E1273" s="183" t="s">
        <v>1464</v>
      </c>
      <c r="F1273" s="186"/>
      <c r="G1273" s="187" t="s">
        <v>1519</v>
      </c>
    </row>
    <row r="1274" spans="1:7" ht="37.5" x14ac:dyDescent="0.25">
      <c r="A1274" s="200">
        <v>1269</v>
      </c>
      <c r="B1274" s="183" t="e">
        <f>DEEMSuite1&amp;" Electrical Room B"</f>
        <v>#N/A</v>
      </c>
      <c r="C1274" s="183" t="s">
        <v>2708</v>
      </c>
      <c r="D1274" s="186" t="s">
        <v>3044</v>
      </c>
      <c r="E1274" s="183" t="s">
        <v>1464</v>
      </c>
      <c r="F1274" s="186"/>
      <c r="G1274" s="187" t="s">
        <v>1519</v>
      </c>
    </row>
    <row r="1275" spans="1:7" ht="37.5" x14ac:dyDescent="0.25">
      <c r="A1275" s="200">
        <v>1270</v>
      </c>
      <c r="B1275" s="183" t="e">
        <f>DEEMSuite1&amp;" Electrical Room B"</f>
        <v>#N/A</v>
      </c>
      <c r="C1275" s="183" t="s">
        <v>2708</v>
      </c>
      <c r="D1275" s="186" t="s">
        <v>3404</v>
      </c>
      <c r="E1275" s="183" t="s">
        <v>1464</v>
      </c>
      <c r="F1275" s="186"/>
      <c r="G1275" s="187" t="s">
        <v>1519</v>
      </c>
    </row>
    <row r="1276" spans="1:7" ht="37.5" x14ac:dyDescent="0.25">
      <c r="A1276" s="200">
        <v>1271</v>
      </c>
      <c r="B1276" s="183" t="e">
        <f>DEEMSuite1&amp;" Electrical Room B"</f>
        <v>#N/A</v>
      </c>
      <c r="C1276" s="183" t="s">
        <v>2708</v>
      </c>
      <c r="D1276" s="186" t="s">
        <v>3046</v>
      </c>
      <c r="E1276" s="183" t="s">
        <v>1464</v>
      </c>
      <c r="F1276" s="186"/>
      <c r="G1276" s="187" t="s">
        <v>1519</v>
      </c>
    </row>
    <row r="1277" spans="1:7" ht="37.5" x14ac:dyDescent="0.25">
      <c r="A1277" s="200">
        <v>1272</v>
      </c>
      <c r="B1277" s="183" t="e">
        <f>DEEMSuite1&amp;" Electrical Room B"</f>
        <v>#N/A</v>
      </c>
      <c r="C1277" s="183" t="s">
        <v>2708</v>
      </c>
      <c r="D1277" s="186" t="s">
        <v>3405</v>
      </c>
      <c r="E1277" s="183" t="s">
        <v>1464</v>
      </c>
      <c r="F1277" s="186"/>
      <c r="G1277" s="187" t="s">
        <v>1519</v>
      </c>
    </row>
    <row r="1278" spans="1:7" ht="37.5" x14ac:dyDescent="0.25">
      <c r="A1278" s="200">
        <v>1273</v>
      </c>
      <c r="B1278" s="183" t="e">
        <f>DEEMSuite1&amp;" Electrical Room B"</f>
        <v>#N/A</v>
      </c>
      <c r="C1278" s="183" t="s">
        <v>2729</v>
      </c>
      <c r="D1278" s="186" t="s">
        <v>3406</v>
      </c>
      <c r="E1278" s="183" t="s">
        <v>1464</v>
      </c>
      <c r="F1278" s="186"/>
      <c r="G1278" s="187" t="s">
        <v>1519</v>
      </c>
    </row>
    <row r="1279" spans="1:7" ht="37.5" x14ac:dyDescent="0.25">
      <c r="A1279" s="200">
        <v>1274</v>
      </c>
      <c r="B1279" s="183" t="e">
        <f>DEEMSuite1&amp;" Electrical Room B"</f>
        <v>#N/A</v>
      </c>
      <c r="C1279" s="183" t="s">
        <v>2708</v>
      </c>
      <c r="D1279" s="186" t="s">
        <v>3049</v>
      </c>
      <c r="E1279" s="183" t="s">
        <v>1464</v>
      </c>
      <c r="F1279" s="186"/>
      <c r="G1279" s="187" t="s">
        <v>1519</v>
      </c>
    </row>
    <row r="1280" spans="1:7" ht="37.5" x14ac:dyDescent="0.25">
      <c r="A1280" s="200">
        <v>1275</v>
      </c>
      <c r="B1280" s="183" t="e">
        <f>DEEMSuite1 &amp; " Utility Input Room"</f>
        <v>#N/A</v>
      </c>
      <c r="C1280" s="183" t="s">
        <v>598</v>
      </c>
      <c r="D1280" s="186" t="s">
        <v>3050</v>
      </c>
      <c r="E1280" s="183" t="s">
        <v>1464</v>
      </c>
      <c r="F1280" s="186"/>
      <c r="G1280" s="187" t="s">
        <v>1519</v>
      </c>
    </row>
    <row r="1281" spans="1:7" ht="37.5" x14ac:dyDescent="0.25">
      <c r="A1281" s="200">
        <v>1276</v>
      </c>
      <c r="B1281" s="183" t="e">
        <f>DEEMSuite1 &amp; " Utility Input Room"</f>
        <v>#N/A</v>
      </c>
      <c r="C1281" s="183" t="s">
        <v>598</v>
      </c>
      <c r="D1281" s="186" t="s">
        <v>3407</v>
      </c>
      <c r="E1281" s="183" t="s">
        <v>1464</v>
      </c>
      <c r="F1281" s="186"/>
      <c r="G1281" s="187" t="s">
        <v>1519</v>
      </c>
    </row>
    <row r="1282" spans="1:7" ht="37.5" x14ac:dyDescent="0.25">
      <c r="A1282" s="200">
        <v>1277</v>
      </c>
      <c r="B1282" s="183" t="e">
        <f>DEEMSuite1&amp;" Electrical Room B"</f>
        <v>#N/A</v>
      </c>
      <c r="C1282" s="183" t="s">
        <v>2708</v>
      </c>
      <c r="D1282" s="186" t="e">
        <f>"Press the BLUE OPEN button marked for breaker " &amp; DEEMSuite1 &amp; "-GenB (Outside primary generator breaker)."</f>
        <v>#N/A</v>
      </c>
      <c r="E1282" s="183" t="s">
        <v>1464</v>
      </c>
      <c r="F1282" s="186"/>
      <c r="G1282" s="187" t="s">
        <v>1519</v>
      </c>
    </row>
    <row r="1283" spans="1:7" ht="37.5" x14ac:dyDescent="0.25">
      <c r="A1283" s="200">
        <v>1278</v>
      </c>
      <c r="B1283" s="183" t="s">
        <v>724</v>
      </c>
      <c r="C1283" s="183" t="e">
        <f>DEEMSuite1 &amp; " GCBB"</f>
        <v>#N/A</v>
      </c>
      <c r="D1283" s="186" t="e">
        <f>"Apply LOTO to breaker " &amp; DEEMSuite1 &amp; "-GenB (Outside primary generator breaker)."</f>
        <v>#N/A</v>
      </c>
      <c r="E1283" s="183" t="s">
        <v>1464</v>
      </c>
      <c r="F1283" s="186"/>
      <c r="G1283" s="187" t="s">
        <v>1519</v>
      </c>
    </row>
    <row r="1284" spans="1:7" ht="37.5" x14ac:dyDescent="0.25">
      <c r="A1284" s="200">
        <v>1279</v>
      </c>
      <c r="B1284" s="183" t="s">
        <v>1462</v>
      </c>
      <c r="C1284" s="183" t="s">
        <v>84</v>
      </c>
      <c r="D1284" s="187" t="s">
        <v>2119</v>
      </c>
      <c r="E1284" s="183" t="s">
        <v>1464</v>
      </c>
      <c r="F1284" s="186"/>
      <c r="G1284" s="187" t="s">
        <v>1519</v>
      </c>
    </row>
    <row r="1285" spans="1:7" ht="37.5" x14ac:dyDescent="0.25">
      <c r="A1285" s="200">
        <v>1280</v>
      </c>
      <c r="B1285" s="183" t="e">
        <f>DEEMSuite1&amp;" Electrical Room B"</f>
        <v>#N/A</v>
      </c>
      <c r="C1285" s="183" t="s">
        <v>2729</v>
      </c>
      <c r="D1285" s="186" t="s">
        <v>3408</v>
      </c>
      <c r="E1285" s="183" t="s">
        <v>1464</v>
      </c>
      <c r="F1285" s="186"/>
      <c r="G1285" s="187" t="s">
        <v>1519</v>
      </c>
    </row>
    <row r="1286" spans="1:7" ht="37.5" x14ac:dyDescent="0.25">
      <c r="A1286" s="200">
        <v>1281</v>
      </c>
      <c r="B1286" s="183" t="e">
        <f>DEEMSuite1&amp;" Electrical Room B"</f>
        <v>#N/A</v>
      </c>
      <c r="C1286" s="183" t="s">
        <v>2729</v>
      </c>
      <c r="D1286" s="186" t="s">
        <v>3409</v>
      </c>
      <c r="E1286" s="183" t="s">
        <v>1464</v>
      </c>
      <c r="F1286" s="186"/>
      <c r="G1286" s="187" t="s">
        <v>1519</v>
      </c>
    </row>
    <row r="1287" spans="1:7" ht="37.5" x14ac:dyDescent="0.25">
      <c r="A1287" s="200">
        <v>1282</v>
      </c>
      <c r="B1287" s="183" t="e">
        <f>DEEMSuite1&amp;" Electrical Room B"</f>
        <v>#N/A</v>
      </c>
      <c r="C1287" s="183" t="s">
        <v>2729</v>
      </c>
      <c r="D1287" s="186" t="s">
        <v>3410</v>
      </c>
      <c r="E1287" s="183" t="s">
        <v>1464</v>
      </c>
      <c r="F1287" s="186"/>
      <c r="G1287" s="187" t="s">
        <v>1519</v>
      </c>
    </row>
    <row r="1288" spans="1:7" x14ac:dyDescent="0.25">
      <c r="A1288" s="200">
        <v>1283</v>
      </c>
      <c r="B1288" s="712" t="s">
        <v>3060</v>
      </c>
      <c r="C1288" s="712"/>
      <c r="D1288" s="712"/>
      <c r="E1288" s="712"/>
      <c r="F1288" s="712"/>
      <c r="G1288" s="712"/>
    </row>
    <row r="1289" spans="1:7" ht="56.25" x14ac:dyDescent="0.25">
      <c r="A1289" s="200">
        <v>1284</v>
      </c>
      <c r="B1289" s="206" t="s">
        <v>2737</v>
      </c>
      <c r="C1289" s="206" t="s">
        <v>84</v>
      </c>
      <c r="D1289" s="187" t="s">
        <v>3061</v>
      </c>
      <c r="E1289" s="206" t="s">
        <v>3062</v>
      </c>
      <c r="F1289" s="187"/>
      <c r="G1289" s="187" t="s">
        <v>1519</v>
      </c>
    </row>
    <row r="1290" spans="1:7" ht="37.5" x14ac:dyDescent="0.25">
      <c r="A1290" s="200">
        <v>1285</v>
      </c>
      <c r="B1290" s="206" t="s">
        <v>2737</v>
      </c>
      <c r="C1290" s="206" t="s">
        <v>84</v>
      </c>
      <c r="D1290" s="187" t="s">
        <v>3063</v>
      </c>
      <c r="E1290" s="206" t="s">
        <v>3062</v>
      </c>
      <c r="F1290" s="187"/>
      <c r="G1290" s="187" t="s">
        <v>1519</v>
      </c>
    </row>
    <row r="1291" spans="1:7" ht="37.5" x14ac:dyDescent="0.25">
      <c r="A1291" s="200">
        <v>1286</v>
      </c>
      <c r="B1291" s="206" t="s">
        <v>2737</v>
      </c>
      <c r="C1291" s="206" t="s">
        <v>84</v>
      </c>
      <c r="D1291" s="187" t="s">
        <v>3064</v>
      </c>
      <c r="E1291" s="206" t="s">
        <v>3062</v>
      </c>
      <c r="F1291" s="187"/>
      <c r="G1291" s="187" t="s">
        <v>1519</v>
      </c>
    </row>
    <row r="1292" spans="1:7" x14ac:dyDescent="0.25">
      <c r="A1292" s="200">
        <v>1287</v>
      </c>
      <c r="B1292" s="712" t="s">
        <v>3411</v>
      </c>
      <c r="C1292" s="712"/>
      <c r="D1292" s="712"/>
      <c r="E1292" s="712"/>
      <c r="F1292" s="712"/>
      <c r="G1292" s="712"/>
    </row>
    <row r="1293" spans="1:7" ht="37.5" x14ac:dyDescent="0.25">
      <c r="A1293" s="200">
        <v>1288</v>
      </c>
      <c r="B1293" s="183" t="s">
        <v>724</v>
      </c>
      <c r="C1293" s="183" t="e">
        <f>DEEMSuite1 &amp; " GCBB"</f>
        <v>#N/A</v>
      </c>
      <c r="D1293" s="186" t="e">
        <f>"Remove LOTO from breaker " &amp; DEEMSuite1 &amp; "-GenB (Outside primary generator breaker)."</f>
        <v>#N/A</v>
      </c>
      <c r="E1293" s="183" t="s">
        <v>1464</v>
      </c>
      <c r="F1293" s="186"/>
      <c r="G1293" s="187" t="s">
        <v>1519</v>
      </c>
    </row>
    <row r="1294" spans="1:7" ht="37.5" x14ac:dyDescent="0.25">
      <c r="A1294" s="200">
        <v>1289</v>
      </c>
      <c r="B1294" s="183" t="e">
        <f>DEEMSuite1 &amp; " Utility Input Room"</f>
        <v>#N/A</v>
      </c>
      <c r="C1294" s="183" t="s">
        <v>598</v>
      </c>
      <c r="D1294" s="186" t="s">
        <v>3412</v>
      </c>
      <c r="E1294" s="183" t="s">
        <v>1464</v>
      </c>
      <c r="F1294" s="186"/>
      <c r="G1294" s="187" t="s">
        <v>1519</v>
      </c>
    </row>
    <row r="1295" spans="1:7" ht="37.5" x14ac:dyDescent="0.25">
      <c r="A1295" s="200">
        <v>1290</v>
      </c>
      <c r="B1295" s="183" t="e">
        <f>DEEMSuite1&amp;" Electrical Room A"</f>
        <v>#N/A</v>
      </c>
      <c r="C1295" s="183" t="s">
        <v>2737</v>
      </c>
      <c r="D1295" s="186" t="s">
        <v>3413</v>
      </c>
      <c r="E1295" s="183" t="s">
        <v>1464</v>
      </c>
      <c r="F1295" s="186"/>
      <c r="G1295" s="187" t="s">
        <v>1519</v>
      </c>
    </row>
    <row r="1296" spans="1:7" ht="37.5" x14ac:dyDescent="0.25">
      <c r="A1296" s="200">
        <v>1291</v>
      </c>
      <c r="B1296" s="183" t="e">
        <f>DEEMSuite1&amp;" Electrical Room B"</f>
        <v>#N/A</v>
      </c>
      <c r="C1296" s="183" t="s">
        <v>2708</v>
      </c>
      <c r="D1296" s="187" t="s">
        <v>2709</v>
      </c>
      <c r="E1296" s="183" t="s">
        <v>1464</v>
      </c>
      <c r="F1296" s="186"/>
      <c r="G1296" s="187" t="s">
        <v>1519</v>
      </c>
    </row>
    <row r="1297" spans="1:7" ht="37.5" x14ac:dyDescent="0.25">
      <c r="A1297" s="200">
        <v>1292</v>
      </c>
      <c r="B1297" s="183" t="e">
        <f>DEEMSuite1&amp;" Electrical Room B"</f>
        <v>#N/A</v>
      </c>
      <c r="C1297" s="183" t="s">
        <v>2708</v>
      </c>
      <c r="D1297" s="186" t="s">
        <v>2120</v>
      </c>
      <c r="E1297" s="183" t="s">
        <v>1464</v>
      </c>
      <c r="F1297" s="186"/>
      <c r="G1297" s="187" t="s">
        <v>1519</v>
      </c>
    </row>
    <row r="1298" spans="1:7" ht="37.5" x14ac:dyDescent="0.25">
      <c r="A1298" s="200">
        <v>1293</v>
      </c>
      <c r="B1298" s="183" t="e">
        <f>DEEMSuite1&amp;" Electrical Room B"</f>
        <v>#N/A</v>
      </c>
      <c r="C1298" s="183" t="s">
        <v>2708</v>
      </c>
      <c r="D1298" s="187" t="s">
        <v>2710</v>
      </c>
      <c r="E1298" s="183" t="s">
        <v>1464</v>
      </c>
      <c r="F1298" s="186"/>
      <c r="G1298" s="187" t="s">
        <v>1519</v>
      </c>
    </row>
    <row r="1299" spans="1:7" ht="37.5" x14ac:dyDescent="0.25">
      <c r="A1299" s="200">
        <v>1294</v>
      </c>
      <c r="B1299" s="183" t="e">
        <f>DEEMSuite1&amp;" Electrical Room B"</f>
        <v>#N/A</v>
      </c>
      <c r="C1299" s="183" t="s">
        <v>2708</v>
      </c>
      <c r="D1299" s="186" t="s">
        <v>3068</v>
      </c>
      <c r="E1299" s="183" t="s">
        <v>1464</v>
      </c>
      <c r="F1299" s="186"/>
      <c r="G1299" s="187" t="s">
        <v>1519</v>
      </c>
    </row>
    <row r="1300" spans="1:7" ht="37.5" x14ac:dyDescent="0.25">
      <c r="A1300" s="200">
        <v>1295</v>
      </c>
      <c r="B1300" s="183" t="e">
        <f>DEEMSuite1&amp;" Electrical Room B"</f>
        <v>#N/A</v>
      </c>
      <c r="C1300" s="183" t="s">
        <v>2708</v>
      </c>
      <c r="D1300" s="186" t="s">
        <v>3069</v>
      </c>
      <c r="E1300" s="183" t="s">
        <v>1464</v>
      </c>
      <c r="F1300" s="186"/>
      <c r="G1300" s="187" t="s">
        <v>1519</v>
      </c>
    </row>
    <row r="1301" spans="1:7" ht="37.5" x14ac:dyDescent="0.25">
      <c r="A1301" s="200">
        <v>1296</v>
      </c>
      <c r="B1301" s="183" t="e">
        <f>DEEMSuite1&amp;" Electrical Room B"</f>
        <v>#N/A</v>
      </c>
      <c r="C1301" s="183" t="s">
        <v>2708</v>
      </c>
      <c r="D1301" s="186" t="s">
        <v>3070</v>
      </c>
      <c r="E1301" s="183" t="s">
        <v>1464</v>
      </c>
      <c r="F1301" s="186"/>
      <c r="G1301" s="187" t="s">
        <v>1519</v>
      </c>
    </row>
    <row r="1302" spans="1:7" ht="37.5" x14ac:dyDescent="0.25">
      <c r="A1302" s="200">
        <v>1297</v>
      </c>
      <c r="B1302" s="183" t="e">
        <f>DEEMSuite1&amp;" Electrical Room B"</f>
        <v>#N/A</v>
      </c>
      <c r="C1302" s="183" t="s">
        <v>2708</v>
      </c>
      <c r="D1302" s="186" t="s">
        <v>3071</v>
      </c>
      <c r="E1302" s="183" t="s">
        <v>1464</v>
      </c>
      <c r="F1302" s="186"/>
      <c r="G1302" s="187" t="s">
        <v>1519</v>
      </c>
    </row>
    <row r="1303" spans="1:7" ht="37.5" x14ac:dyDescent="0.25">
      <c r="A1303" s="200">
        <v>1298</v>
      </c>
      <c r="B1303" s="183" t="e">
        <f>DEEMSuite1 &amp; " Utility Input Room"</f>
        <v>#N/A</v>
      </c>
      <c r="C1303" s="183" t="s">
        <v>598</v>
      </c>
      <c r="D1303" s="186" t="s">
        <v>2736</v>
      </c>
      <c r="E1303" s="183" t="s">
        <v>1464</v>
      </c>
      <c r="F1303" s="186"/>
      <c r="G1303" s="187" t="s">
        <v>1519</v>
      </c>
    </row>
    <row r="1304" spans="1:7" ht="37.5" x14ac:dyDescent="0.25">
      <c r="A1304" s="200">
        <v>1299</v>
      </c>
      <c r="B1304" s="183" t="e">
        <f>DEEMSuite1&amp;" Electrical Room B"</f>
        <v>#N/A</v>
      </c>
      <c r="C1304" s="183" t="s">
        <v>2708</v>
      </c>
      <c r="D1304" s="186" t="s">
        <v>3414</v>
      </c>
      <c r="E1304" s="183" t="s">
        <v>1464</v>
      </c>
      <c r="F1304" s="186"/>
      <c r="G1304" s="187" t="s">
        <v>1519</v>
      </c>
    </row>
    <row r="1305" spans="1:7" ht="37.5" x14ac:dyDescent="0.25">
      <c r="A1305" s="200">
        <v>1300</v>
      </c>
      <c r="B1305" s="183" t="e">
        <f>DEEMSuite1&amp;" Electrical Room B"</f>
        <v>#N/A</v>
      </c>
      <c r="C1305" s="183" t="s">
        <v>2729</v>
      </c>
      <c r="D1305" s="186" t="s">
        <v>3190</v>
      </c>
      <c r="E1305" s="183" t="s">
        <v>1464</v>
      </c>
      <c r="F1305" s="186"/>
      <c r="G1305" s="187" t="s">
        <v>1519</v>
      </c>
    </row>
    <row r="1306" spans="1:7" ht="37.5" x14ac:dyDescent="0.25">
      <c r="A1306" s="200">
        <v>1301</v>
      </c>
      <c r="B1306" s="183" t="e">
        <f>DEEMSuite1&amp;" Electrical Room B"</f>
        <v>#N/A</v>
      </c>
      <c r="C1306" s="183" t="s">
        <v>2708</v>
      </c>
      <c r="D1306" s="186" t="e">
        <f>"Press the BLUE CLOSE button marked for breaker " &amp; DEEMSuite1 &amp; "-GenB (Outside primary generator breaker)."</f>
        <v>#N/A</v>
      </c>
      <c r="E1306" s="183" t="s">
        <v>1464</v>
      </c>
      <c r="F1306" s="186"/>
      <c r="G1306" s="187" t="s">
        <v>1519</v>
      </c>
    </row>
    <row r="1307" spans="1:7" ht="37.5" x14ac:dyDescent="0.25">
      <c r="A1307" s="200">
        <v>1302</v>
      </c>
      <c r="B1307" s="183" t="s">
        <v>724</v>
      </c>
      <c r="C1307" s="183" t="e">
        <f>DEEMSuite1 &amp; " GCBB"</f>
        <v>#N/A</v>
      </c>
      <c r="D1307" s="186" t="e">
        <f>"VERIFY breaker " &amp; DEEMSuite1 &amp; " -GenB (Outside primary generator breaker) is CLOSED."</f>
        <v>#N/A</v>
      </c>
      <c r="E1307" s="183" t="s">
        <v>1464</v>
      </c>
      <c r="F1307" s="186"/>
      <c r="G1307" s="187" t="s">
        <v>1519</v>
      </c>
    </row>
    <row r="1308" spans="1:7" ht="37.5" x14ac:dyDescent="0.25">
      <c r="A1308" s="200">
        <v>1303</v>
      </c>
      <c r="B1308" s="183" t="e">
        <f>DEEMSuite1&amp;" Electrical Room B"</f>
        <v>#N/A</v>
      </c>
      <c r="C1308" s="183" t="s">
        <v>2729</v>
      </c>
      <c r="D1308" s="186" t="s">
        <v>3415</v>
      </c>
      <c r="E1308" s="183" t="s">
        <v>1464</v>
      </c>
      <c r="F1308" s="186"/>
      <c r="G1308" s="187" t="s">
        <v>1519</v>
      </c>
    </row>
    <row r="1309" spans="1:7" ht="37.5" x14ac:dyDescent="0.25">
      <c r="A1309" s="200">
        <v>1304</v>
      </c>
      <c r="B1309" s="183" t="e">
        <f>DEEMSuite1&amp;" Electrical Room B"</f>
        <v>#N/A</v>
      </c>
      <c r="C1309" s="183" t="s">
        <v>3416</v>
      </c>
      <c r="D1309" s="186" t="s">
        <v>3417</v>
      </c>
      <c r="E1309" s="183" t="s">
        <v>1464</v>
      </c>
      <c r="F1309" s="186"/>
      <c r="G1309" s="187" t="s">
        <v>1519</v>
      </c>
    </row>
    <row r="1310" spans="1:7" ht="37.5" x14ac:dyDescent="0.25">
      <c r="A1310" s="200">
        <v>1305</v>
      </c>
      <c r="B1310" s="183" t="e">
        <f>DEEMSuite1&amp;" Electrical Room A"</f>
        <v>#N/A</v>
      </c>
      <c r="C1310" s="183" t="e">
        <f>"ATS RTU " &amp; DEEMSuite1 &amp; "-3"</f>
        <v>#N/A</v>
      </c>
      <c r="D1310" s="186" t="e">
        <f>"Verify ATS RTU " &amp; DEEMSuite1 &amp; "-3 remains on primary source."</f>
        <v>#N/A</v>
      </c>
      <c r="E1310" s="183" t="s">
        <v>1464</v>
      </c>
      <c r="F1310" s="186"/>
      <c r="G1310" s="187" t="s">
        <v>1519</v>
      </c>
    </row>
    <row r="1311" spans="1:7" ht="37.5" x14ac:dyDescent="0.25">
      <c r="A1311" s="200">
        <v>1306</v>
      </c>
      <c r="B1311" s="183" t="e">
        <f>DEEMSuite1&amp;" Electrical Room A"</f>
        <v>#N/A</v>
      </c>
      <c r="C1311" s="183" t="e">
        <f>"ATS RTU " &amp; DEEMSuite1 &amp; "-4"</f>
        <v>#N/A</v>
      </c>
      <c r="D1311" s="186" t="e">
        <f>"Verify ATS RTU " &amp; DEEMSuite1 &amp; "-4 returns to primary source."</f>
        <v>#N/A</v>
      </c>
      <c r="E1311" s="183" t="s">
        <v>1464</v>
      </c>
      <c r="F1311" s="186"/>
      <c r="G1311" s="187" t="s">
        <v>1519</v>
      </c>
    </row>
    <row r="1312" spans="1:7" ht="37.5" x14ac:dyDescent="0.25">
      <c r="A1312" s="200">
        <v>1307</v>
      </c>
      <c r="B1312" s="183" t="s">
        <v>3032</v>
      </c>
      <c r="C1312" s="183" t="s">
        <v>3033</v>
      </c>
      <c r="D1312" s="186" t="s">
        <v>3034</v>
      </c>
      <c r="E1312" s="183" t="s">
        <v>1464</v>
      </c>
      <c r="F1312" s="186"/>
      <c r="G1312" s="187" t="s">
        <v>1519</v>
      </c>
    </row>
    <row r="1313" spans="1:7" ht="37.5" x14ac:dyDescent="0.25">
      <c r="A1313" s="200">
        <v>1308</v>
      </c>
      <c r="B1313" s="183" t="e">
        <f>DEEMSuite1 &amp; " Suite"</f>
        <v>#N/A</v>
      </c>
      <c r="C1313" s="183" t="s">
        <v>2058</v>
      </c>
      <c r="D1313" s="186" t="s">
        <v>3035</v>
      </c>
      <c r="E1313" s="183" t="s">
        <v>1464</v>
      </c>
      <c r="F1313" s="186"/>
      <c r="G1313" s="187" t="s">
        <v>1519</v>
      </c>
    </row>
    <row r="1314" spans="1:7" ht="37.5" x14ac:dyDescent="0.25">
      <c r="A1314" s="200">
        <v>1309</v>
      </c>
      <c r="B1314" s="183" t="e">
        <f>DEEMSuite1&amp;" Electrical Room A"</f>
        <v>#N/A</v>
      </c>
      <c r="C1314" s="183" t="s">
        <v>3036</v>
      </c>
      <c r="D1314" s="186" t="s">
        <v>3037</v>
      </c>
      <c r="E1314" s="183" t="s">
        <v>1464</v>
      </c>
      <c r="F1314" s="186"/>
      <c r="G1314" s="187" t="s">
        <v>1519</v>
      </c>
    </row>
    <row r="1315" spans="1:7" ht="37.5" x14ac:dyDescent="0.25">
      <c r="A1315" s="200">
        <v>1310</v>
      </c>
      <c r="B1315" s="183" t="e">
        <f>DEEMSuite1&amp;" Electrical Room B"</f>
        <v>#N/A</v>
      </c>
      <c r="C1315" s="183" t="s">
        <v>3038</v>
      </c>
      <c r="D1315" s="186" t="s">
        <v>3039</v>
      </c>
      <c r="E1315" s="183" t="s">
        <v>1464</v>
      </c>
      <c r="F1315" s="186"/>
      <c r="G1315" s="187" t="s">
        <v>1519</v>
      </c>
    </row>
    <row r="1316" spans="1:7" ht="37.5" x14ac:dyDescent="0.25">
      <c r="A1316" s="200">
        <v>1311</v>
      </c>
      <c r="B1316" s="183" t="e">
        <f>DEEMSuite1 &amp; " Suite &amp; Electrical Rooms"</f>
        <v>#N/A</v>
      </c>
      <c r="C1316" s="183" t="s">
        <v>3040</v>
      </c>
      <c r="D1316" s="186" t="s">
        <v>3041</v>
      </c>
      <c r="E1316" s="183" t="s">
        <v>1464</v>
      </c>
      <c r="F1316" s="186"/>
      <c r="G1316" s="187" t="s">
        <v>1519</v>
      </c>
    </row>
    <row r="1317" spans="1:7" ht="37.5" x14ac:dyDescent="0.25">
      <c r="A1317" s="200">
        <v>1312</v>
      </c>
      <c r="B1317" s="183" t="e">
        <f>DEEMSuite1&amp;" CRAC Gallery"</f>
        <v>#N/A</v>
      </c>
      <c r="C1317" s="183" t="e">
        <f>DEEMSuite1 &amp; " Humidifier-1"</f>
        <v>#N/A</v>
      </c>
      <c r="D1317" s="186" t="e">
        <f>"Verify " &amp; DEEMSuite1 &amp; " Humidifier-1 remains energized via bodine switch."</f>
        <v>#N/A</v>
      </c>
      <c r="E1317" s="183" t="s">
        <v>1464</v>
      </c>
      <c r="F1317" s="186"/>
      <c r="G1317" s="187" t="s">
        <v>1519</v>
      </c>
    </row>
    <row r="1318" spans="1:7" ht="37.5" x14ac:dyDescent="0.25">
      <c r="A1318" s="200">
        <v>1313</v>
      </c>
      <c r="B1318" s="183" t="e">
        <f>DEEMSuite1&amp;" CRAC Gallery"</f>
        <v>#N/A</v>
      </c>
      <c r="C1318" s="183" t="e">
        <f>DEEMSuite1 &amp; " Humidifier-2"</f>
        <v>#N/A</v>
      </c>
      <c r="D1318" s="186" t="e">
        <f>"Verify " &amp; DEEMSuite1 &amp; " Humidifier-2 remains energized via bodine switch."</f>
        <v>#N/A</v>
      </c>
      <c r="E1318" s="183" t="s">
        <v>1464</v>
      </c>
      <c r="F1318" s="186"/>
      <c r="G1318" s="187" t="s">
        <v>1519</v>
      </c>
    </row>
    <row r="1319" spans="1:7" ht="37.5" x14ac:dyDescent="0.25">
      <c r="A1319" s="200">
        <v>1314</v>
      </c>
      <c r="B1319" s="183" t="e">
        <f>DEEMSuite1&amp;" Electrical Room B"</f>
        <v>#N/A</v>
      </c>
      <c r="C1319" s="183" t="s">
        <v>2729</v>
      </c>
      <c r="D1319" s="186" t="s">
        <v>3418</v>
      </c>
      <c r="E1319" s="183" t="s">
        <v>1464</v>
      </c>
      <c r="F1319" s="186"/>
      <c r="G1319" s="187" t="s">
        <v>1519</v>
      </c>
    </row>
    <row r="1320" spans="1:7" ht="37.5" x14ac:dyDescent="0.25">
      <c r="A1320" s="200">
        <v>1315</v>
      </c>
      <c r="B1320" s="183" t="e">
        <f>DEEMSuite1&amp;" Electrical Room B"</f>
        <v>#N/A</v>
      </c>
      <c r="C1320" s="183" t="s">
        <v>2729</v>
      </c>
      <c r="D1320" s="186" t="s">
        <v>3419</v>
      </c>
      <c r="E1320" s="183" t="s">
        <v>1464</v>
      </c>
      <c r="F1320" s="186"/>
      <c r="G1320" s="187" t="s">
        <v>1519</v>
      </c>
    </row>
    <row r="1321" spans="1:7" ht="37.5" x14ac:dyDescent="0.25">
      <c r="A1321" s="200">
        <v>1316</v>
      </c>
      <c r="B1321" s="183" t="e">
        <f>DEEMSuite1&amp;" CRAC Gallery"</f>
        <v>#N/A</v>
      </c>
      <c r="C1321" s="201" t="s">
        <v>2056</v>
      </c>
      <c r="D1321" s="186" t="s">
        <v>3078</v>
      </c>
      <c r="E1321" s="183" t="s">
        <v>1464</v>
      </c>
      <c r="F1321" s="186"/>
      <c r="G1321" s="187" t="s">
        <v>1519</v>
      </c>
    </row>
    <row r="1322" spans="1:7" ht="37.5" x14ac:dyDescent="0.25">
      <c r="A1322" s="200">
        <v>1317</v>
      </c>
      <c r="B1322" s="183" t="e">
        <f>DEEMSuite1&amp;" Electrical Room B"</f>
        <v>#N/A</v>
      </c>
      <c r="C1322" s="183" t="s">
        <v>3399</v>
      </c>
      <c r="D1322" s="186" t="s">
        <v>3079</v>
      </c>
      <c r="E1322" s="183" t="s">
        <v>1464</v>
      </c>
      <c r="F1322" s="186"/>
      <c r="G1322" s="187" t="s">
        <v>1519</v>
      </c>
    </row>
    <row r="1323" spans="1:7" ht="37.5" x14ac:dyDescent="0.25">
      <c r="A1323" s="200">
        <v>1318</v>
      </c>
      <c r="B1323" s="183" t="e">
        <f>DEEMSuite1&amp;" Electrical Room B"</f>
        <v>#N/A</v>
      </c>
      <c r="C1323" s="183" t="s">
        <v>3399</v>
      </c>
      <c r="D1323" s="186" t="s">
        <v>3080</v>
      </c>
      <c r="E1323" s="183" t="s">
        <v>1464</v>
      </c>
      <c r="F1323" s="186"/>
      <c r="G1323" s="187" t="s">
        <v>1519</v>
      </c>
    </row>
    <row r="1324" spans="1:7" ht="37.5" x14ac:dyDescent="0.25">
      <c r="A1324" s="200">
        <v>1319</v>
      </c>
      <c r="B1324" s="183" t="e">
        <f>DEEMSuite1&amp;" Electrical Room B"</f>
        <v>#N/A</v>
      </c>
      <c r="C1324" s="183" t="s">
        <v>3399</v>
      </c>
      <c r="D1324" s="186" t="s">
        <v>3081</v>
      </c>
      <c r="E1324" s="183" t="s">
        <v>1464</v>
      </c>
      <c r="F1324" s="186"/>
      <c r="G1324" s="187" t="s">
        <v>1519</v>
      </c>
    </row>
    <row r="1325" spans="1:7" ht="37.5" x14ac:dyDescent="0.25">
      <c r="A1325" s="200">
        <v>1320</v>
      </c>
      <c r="B1325" s="183" t="e">
        <f>DEEMSuite1&amp;" Electrical Room B"</f>
        <v>#N/A</v>
      </c>
      <c r="C1325" s="183" t="s">
        <v>3399</v>
      </c>
      <c r="D1325" s="186" t="s">
        <v>3082</v>
      </c>
      <c r="E1325" s="183" t="s">
        <v>1464</v>
      </c>
      <c r="F1325" s="186"/>
      <c r="G1325" s="187" t="s">
        <v>1519</v>
      </c>
    </row>
    <row r="1326" spans="1:7" ht="37.5" x14ac:dyDescent="0.25">
      <c r="A1326" s="200">
        <v>1321</v>
      </c>
      <c r="B1326" s="183" t="e">
        <f>DEEMSuite1&amp;" Electrical Room B"</f>
        <v>#N/A</v>
      </c>
      <c r="C1326" s="183" t="s">
        <v>3399</v>
      </c>
      <c r="D1326" s="186" t="s">
        <v>3083</v>
      </c>
      <c r="E1326" s="183" t="s">
        <v>1464</v>
      </c>
      <c r="F1326" s="186"/>
      <c r="G1326" s="187" t="s">
        <v>1519</v>
      </c>
    </row>
    <row r="1327" spans="1:7" ht="37.5" x14ac:dyDescent="0.25">
      <c r="A1327" s="200">
        <v>1322</v>
      </c>
      <c r="B1327" s="183" t="e">
        <f>DEEMSuite1&amp;" Electrical Room B"</f>
        <v>#N/A</v>
      </c>
      <c r="C1327" s="183" t="s">
        <v>3399</v>
      </c>
      <c r="D1327" s="186" t="s">
        <v>3084</v>
      </c>
      <c r="E1327" s="183" t="s">
        <v>1464</v>
      </c>
      <c r="F1327" s="183"/>
      <c r="G1327" s="187" t="s">
        <v>1519</v>
      </c>
    </row>
    <row r="1328" spans="1:7" ht="37.5" x14ac:dyDescent="0.25">
      <c r="A1328" s="200">
        <v>1323</v>
      </c>
      <c r="B1328" s="183" t="e">
        <f>DEEMSuite1&amp;" CRAC Gallery"</f>
        <v>#N/A</v>
      </c>
      <c r="C1328" s="183" t="e">
        <f>DEEMSuite1 &amp; " Humidifier-1"</f>
        <v>#N/A</v>
      </c>
      <c r="D1328" s="186" t="e">
        <f>"Verify " &amp; DEEMSuite1 &amp; " Humidifier-1 returns to normal source via bodine switch."</f>
        <v>#N/A</v>
      </c>
      <c r="E1328" s="183" t="s">
        <v>1464</v>
      </c>
      <c r="F1328" s="183"/>
      <c r="G1328" s="187" t="s">
        <v>1519</v>
      </c>
    </row>
    <row r="1329" spans="1:7" ht="37.5" x14ac:dyDescent="0.25">
      <c r="A1329" s="200">
        <v>1324</v>
      </c>
      <c r="B1329" s="183" t="e">
        <f>DEEMSuite1&amp;" Electrical Room B"</f>
        <v>#N/A</v>
      </c>
      <c r="C1329" s="183" t="s">
        <v>3400</v>
      </c>
      <c r="D1329" s="186" t="s">
        <v>3085</v>
      </c>
      <c r="E1329" s="183" t="s">
        <v>1464</v>
      </c>
      <c r="F1329" s="186"/>
      <c r="G1329" s="187" t="s">
        <v>1519</v>
      </c>
    </row>
    <row r="1330" spans="1:7" ht="37.5" x14ac:dyDescent="0.25">
      <c r="A1330" s="200">
        <v>1325</v>
      </c>
      <c r="B1330" s="183" t="e">
        <f>DEEMSuite1&amp;" Electrical Room B"</f>
        <v>#N/A</v>
      </c>
      <c r="C1330" s="183" t="s">
        <v>3400</v>
      </c>
      <c r="D1330" s="186" t="s">
        <v>3086</v>
      </c>
      <c r="E1330" s="183" t="s">
        <v>1464</v>
      </c>
      <c r="F1330" s="186"/>
      <c r="G1330" s="187" t="s">
        <v>1519</v>
      </c>
    </row>
    <row r="1331" spans="1:7" ht="37.5" x14ac:dyDescent="0.25">
      <c r="A1331" s="200">
        <v>1326</v>
      </c>
      <c r="B1331" s="183" t="e">
        <f>DEEMSuite1&amp;" Electrical Room B"</f>
        <v>#N/A</v>
      </c>
      <c r="C1331" s="183" t="s">
        <v>3400</v>
      </c>
      <c r="D1331" s="186" t="s">
        <v>3087</v>
      </c>
      <c r="E1331" s="183" t="s">
        <v>1464</v>
      </c>
      <c r="F1331" s="186"/>
      <c r="G1331" s="187" t="s">
        <v>1519</v>
      </c>
    </row>
    <row r="1332" spans="1:7" ht="37.5" x14ac:dyDescent="0.25">
      <c r="A1332" s="200">
        <v>1327</v>
      </c>
      <c r="B1332" s="183" t="e">
        <f>DEEMSuite1&amp;" Electrical Room B"</f>
        <v>#N/A</v>
      </c>
      <c r="C1332" s="183" t="s">
        <v>3400</v>
      </c>
      <c r="D1332" s="186" t="s">
        <v>3088</v>
      </c>
      <c r="E1332" s="183" t="s">
        <v>1464</v>
      </c>
      <c r="F1332" s="186"/>
      <c r="G1332" s="187" t="s">
        <v>1519</v>
      </c>
    </row>
    <row r="1333" spans="1:7" ht="37.5" x14ac:dyDescent="0.25">
      <c r="A1333" s="200">
        <v>1328</v>
      </c>
      <c r="B1333" s="183" t="e">
        <f>DEEMSuite1&amp;" Electrical Room B"</f>
        <v>#N/A</v>
      </c>
      <c r="C1333" s="183" t="s">
        <v>3400</v>
      </c>
      <c r="D1333" s="186" t="s">
        <v>3089</v>
      </c>
      <c r="E1333" s="183" t="s">
        <v>1464</v>
      </c>
      <c r="F1333" s="186"/>
      <c r="G1333" s="187" t="s">
        <v>1519</v>
      </c>
    </row>
    <row r="1334" spans="1:7" ht="37.5" x14ac:dyDescent="0.25">
      <c r="A1334" s="200">
        <v>1329</v>
      </c>
      <c r="B1334" s="183" t="e">
        <f>DEEMSuite1&amp;" Electrical Room B"</f>
        <v>#N/A</v>
      </c>
      <c r="C1334" s="183" t="e">
        <f>"ATS RTU " &amp; DEEMSuite1 &amp; "-2"</f>
        <v>#N/A</v>
      </c>
      <c r="D1334" s="186" t="e">
        <f>"Verify ATS RTU " &amp; DEEMSuite1 &amp; "-2 remains on primary source."</f>
        <v>#N/A</v>
      </c>
      <c r="E1334" s="183" t="s">
        <v>1464</v>
      </c>
      <c r="F1334" s="186"/>
      <c r="G1334" s="187" t="s">
        <v>1519</v>
      </c>
    </row>
    <row r="1335" spans="1:7" x14ac:dyDescent="0.25">
      <c r="A1335" s="200">
        <v>1330</v>
      </c>
      <c r="B1335" s="756" t="s">
        <v>3420</v>
      </c>
      <c r="C1335" s="757"/>
      <c r="D1335" s="757"/>
      <c r="E1335" s="757"/>
      <c r="F1335" s="757"/>
      <c r="G1335" s="758"/>
    </row>
    <row r="1336" spans="1:7" ht="37.5" x14ac:dyDescent="0.25">
      <c r="A1336" s="200">
        <v>1331</v>
      </c>
      <c r="B1336" s="183" t="e">
        <f>DEEMSuite1&amp;" Battery Room B"</f>
        <v>#N/A</v>
      </c>
      <c r="C1336" s="183" t="s">
        <v>3387</v>
      </c>
      <c r="D1336" s="187" t="s">
        <v>3091</v>
      </c>
      <c r="E1336" s="183" t="s">
        <v>1464</v>
      </c>
      <c r="F1336" s="186"/>
      <c r="G1336" s="187" t="s">
        <v>1519</v>
      </c>
    </row>
    <row r="1337" spans="1:7" ht="37.5" x14ac:dyDescent="0.25">
      <c r="A1337" s="200">
        <v>1332</v>
      </c>
      <c r="B1337" s="183" t="e">
        <f>DEEMSuite1&amp;" Battery Room B"</f>
        <v>#N/A</v>
      </c>
      <c r="C1337" s="183" t="s">
        <v>3388</v>
      </c>
      <c r="D1337" s="187" t="s">
        <v>3092</v>
      </c>
      <c r="E1337" s="183" t="s">
        <v>1464</v>
      </c>
      <c r="F1337" s="186"/>
      <c r="G1337" s="187" t="s">
        <v>1519</v>
      </c>
    </row>
    <row r="1338" spans="1:7" ht="37.5" x14ac:dyDescent="0.25">
      <c r="A1338" s="200">
        <v>1333</v>
      </c>
      <c r="B1338" s="183" t="e">
        <f>DEEMSuite1&amp;" Battery Room B"</f>
        <v>#N/A</v>
      </c>
      <c r="C1338" s="183" t="s">
        <v>3389</v>
      </c>
      <c r="D1338" s="187" t="s">
        <v>3093</v>
      </c>
      <c r="E1338" s="183" t="s">
        <v>1464</v>
      </c>
      <c r="F1338" s="186"/>
      <c r="G1338" s="187" t="s">
        <v>1519</v>
      </c>
    </row>
    <row r="1339" spans="1:7" ht="37.5" x14ac:dyDescent="0.25">
      <c r="A1339" s="200">
        <v>1334</v>
      </c>
      <c r="B1339" s="183" t="e">
        <f>DEEMSuite1&amp;" Battery Room B"</f>
        <v>#N/A</v>
      </c>
      <c r="C1339" s="183" t="s">
        <v>3390</v>
      </c>
      <c r="D1339" s="187" t="s">
        <v>3094</v>
      </c>
      <c r="E1339" s="183" t="s">
        <v>1464</v>
      </c>
      <c r="F1339" s="186"/>
      <c r="G1339" s="187" t="s">
        <v>1519</v>
      </c>
    </row>
    <row r="1340" spans="1:7" ht="37.5" x14ac:dyDescent="0.25">
      <c r="A1340" s="200">
        <v>1335</v>
      </c>
      <c r="B1340" s="183" t="e">
        <f>DEEMSuite1&amp;" Battery Room B"</f>
        <v>#N/A</v>
      </c>
      <c r="C1340" s="183" t="s">
        <v>3391</v>
      </c>
      <c r="D1340" s="187" t="s">
        <v>3091</v>
      </c>
      <c r="E1340" s="183" t="s">
        <v>1464</v>
      </c>
      <c r="F1340" s="186"/>
      <c r="G1340" s="187" t="s">
        <v>1519</v>
      </c>
    </row>
    <row r="1341" spans="1:7" ht="37.5" x14ac:dyDescent="0.25">
      <c r="A1341" s="200">
        <v>1336</v>
      </c>
      <c r="B1341" s="183" t="e">
        <f>DEEMSuite1&amp;" Battery Room B"</f>
        <v>#N/A</v>
      </c>
      <c r="C1341" s="183" t="s">
        <v>3392</v>
      </c>
      <c r="D1341" s="187" t="s">
        <v>3092</v>
      </c>
      <c r="E1341" s="183" t="s">
        <v>1464</v>
      </c>
      <c r="F1341" s="186"/>
      <c r="G1341" s="187" t="s">
        <v>1519</v>
      </c>
    </row>
    <row r="1342" spans="1:7" ht="37.5" x14ac:dyDescent="0.25">
      <c r="A1342" s="200">
        <v>1337</v>
      </c>
      <c r="B1342" s="183" t="e">
        <f>DEEMSuite1&amp;" Battery Room B"</f>
        <v>#N/A</v>
      </c>
      <c r="C1342" s="183" t="s">
        <v>3393</v>
      </c>
      <c r="D1342" s="187" t="s">
        <v>3093</v>
      </c>
      <c r="E1342" s="183" t="s">
        <v>1464</v>
      </c>
      <c r="F1342" s="186"/>
      <c r="G1342" s="187" t="s">
        <v>1519</v>
      </c>
    </row>
    <row r="1343" spans="1:7" ht="37.5" x14ac:dyDescent="0.25">
      <c r="A1343" s="200">
        <v>1338</v>
      </c>
      <c r="B1343" s="183" t="e">
        <f>DEEMSuite1&amp;" Battery Room B"</f>
        <v>#N/A</v>
      </c>
      <c r="C1343" s="183" t="s">
        <v>3394</v>
      </c>
      <c r="D1343" s="187" t="s">
        <v>3094</v>
      </c>
      <c r="E1343" s="183" t="s">
        <v>1464</v>
      </c>
      <c r="F1343" s="186"/>
      <c r="G1343" s="187" t="s">
        <v>1519</v>
      </c>
    </row>
    <row r="1344" spans="1:7" ht="37.5" x14ac:dyDescent="0.25">
      <c r="A1344" s="200">
        <v>1339</v>
      </c>
      <c r="B1344" s="183" t="e">
        <f>DEEMSuite1&amp;" Electrical Room B"</f>
        <v>#N/A</v>
      </c>
      <c r="C1344" s="183" t="s">
        <v>2729</v>
      </c>
      <c r="D1344" s="187" t="s">
        <v>3421</v>
      </c>
      <c r="E1344" s="183" t="s">
        <v>1464</v>
      </c>
      <c r="F1344" s="186"/>
      <c r="G1344" s="187" t="s">
        <v>1519</v>
      </c>
    </row>
    <row r="1345" spans="1:7" ht="37.5" x14ac:dyDescent="0.25">
      <c r="A1345" s="200">
        <v>1340</v>
      </c>
      <c r="B1345" s="183" t="e">
        <f>DEEMSuite1&amp;" Electrical Room B"</f>
        <v>#N/A</v>
      </c>
      <c r="C1345" s="183" t="s">
        <v>2729</v>
      </c>
      <c r="D1345" s="187" t="s">
        <v>3422</v>
      </c>
      <c r="E1345" s="183" t="s">
        <v>1464</v>
      </c>
      <c r="F1345" s="186"/>
      <c r="G1345" s="187" t="s">
        <v>1519</v>
      </c>
    </row>
    <row r="1346" spans="1:7" ht="37.5" x14ac:dyDescent="0.25">
      <c r="A1346" s="200">
        <v>1341</v>
      </c>
      <c r="B1346" s="183" t="e">
        <f>DEEMSuite1&amp;" Electrical Room B"</f>
        <v>#N/A</v>
      </c>
      <c r="C1346" s="183" t="s">
        <v>3382</v>
      </c>
      <c r="D1346" s="186" t="s">
        <v>3097</v>
      </c>
      <c r="E1346" s="183" t="s">
        <v>1464</v>
      </c>
      <c r="F1346" s="186"/>
      <c r="G1346" s="187" t="s">
        <v>1519</v>
      </c>
    </row>
    <row r="1347" spans="1:7" ht="37.5" x14ac:dyDescent="0.25">
      <c r="A1347" s="200">
        <v>1342</v>
      </c>
      <c r="B1347" s="183" t="e">
        <f>DEEMSuite1&amp;" Electrical Room B"</f>
        <v>#N/A</v>
      </c>
      <c r="C1347" s="183" t="s">
        <v>3380</v>
      </c>
      <c r="D1347" s="187" t="s">
        <v>3381</v>
      </c>
      <c r="E1347" s="183" t="s">
        <v>1464</v>
      </c>
      <c r="F1347" s="186"/>
      <c r="G1347" s="187" t="s">
        <v>1519</v>
      </c>
    </row>
    <row r="1348" spans="1:7" ht="37.5" x14ac:dyDescent="0.25">
      <c r="A1348" s="200">
        <v>1343</v>
      </c>
      <c r="B1348" s="183" t="e">
        <f>DEEMSuite1&amp;" Electrical Room B"</f>
        <v>#N/A</v>
      </c>
      <c r="C1348" s="183" t="s">
        <v>3380</v>
      </c>
      <c r="D1348" s="187" t="s">
        <v>2981</v>
      </c>
      <c r="E1348" s="183" t="s">
        <v>1464</v>
      </c>
      <c r="F1348" s="186"/>
      <c r="G1348" s="187" t="s">
        <v>1519</v>
      </c>
    </row>
    <row r="1349" spans="1:7" ht="37.5" x14ac:dyDescent="0.25">
      <c r="A1349" s="200">
        <v>1344</v>
      </c>
      <c r="B1349" s="183" t="e">
        <f>DEEMSuite1&amp;" Electrical Room B"</f>
        <v>#N/A</v>
      </c>
      <c r="C1349" s="183" t="s">
        <v>3380</v>
      </c>
      <c r="D1349" s="187" t="s">
        <v>3098</v>
      </c>
      <c r="E1349" s="183" t="s">
        <v>1464</v>
      </c>
      <c r="F1349" s="186"/>
      <c r="G1349" s="187" t="s">
        <v>1519</v>
      </c>
    </row>
    <row r="1350" spans="1:7" ht="37.5" x14ac:dyDescent="0.25">
      <c r="A1350" s="200">
        <v>1345</v>
      </c>
      <c r="B1350" s="183" t="e">
        <f>DEEMSuite1&amp;" Electrical Room B"</f>
        <v>#N/A</v>
      </c>
      <c r="C1350" s="183" t="s">
        <v>3380</v>
      </c>
      <c r="D1350" s="186" t="s">
        <v>2983</v>
      </c>
      <c r="E1350" s="183" t="s">
        <v>1464</v>
      </c>
      <c r="F1350" s="186"/>
      <c r="G1350" s="187" t="s">
        <v>1519</v>
      </c>
    </row>
    <row r="1351" spans="1:7" ht="37.5" x14ac:dyDescent="0.25">
      <c r="A1351" s="200">
        <v>1346</v>
      </c>
      <c r="B1351" s="183" t="e">
        <f>DEEMSuite1&amp;" Electrical Room B"</f>
        <v>#N/A</v>
      </c>
      <c r="C1351" s="183" t="s">
        <v>3380</v>
      </c>
      <c r="D1351" s="186" t="s">
        <v>2984</v>
      </c>
      <c r="E1351" s="183" t="s">
        <v>1464</v>
      </c>
      <c r="F1351" s="186"/>
      <c r="G1351" s="187" t="s">
        <v>1519</v>
      </c>
    </row>
    <row r="1352" spans="1:7" ht="37.5" x14ac:dyDescent="0.25">
      <c r="A1352" s="200">
        <v>1347</v>
      </c>
      <c r="B1352" s="183" t="e">
        <f>DEEMSuite1&amp;" Electrical Room B"</f>
        <v>#N/A</v>
      </c>
      <c r="C1352" s="183" t="s">
        <v>3380</v>
      </c>
      <c r="D1352" s="186" t="s">
        <v>2985</v>
      </c>
      <c r="E1352" s="183" t="s">
        <v>1464</v>
      </c>
      <c r="F1352" s="186"/>
      <c r="G1352" s="187" t="s">
        <v>1519</v>
      </c>
    </row>
    <row r="1353" spans="1:7" ht="37.5" x14ac:dyDescent="0.25">
      <c r="A1353" s="200">
        <v>1348</v>
      </c>
      <c r="B1353" s="183" t="e">
        <f>DEEMSuite1&amp;" Electrical Room B"</f>
        <v>#N/A</v>
      </c>
      <c r="C1353" s="183" t="s">
        <v>3380</v>
      </c>
      <c r="D1353" s="187" t="s">
        <v>3099</v>
      </c>
      <c r="E1353" s="183" t="s">
        <v>1464</v>
      </c>
      <c r="F1353" s="186"/>
      <c r="G1353" s="187" t="s">
        <v>1519</v>
      </c>
    </row>
    <row r="1354" spans="1:7" ht="168.75" x14ac:dyDescent="0.25">
      <c r="A1354" s="200">
        <v>1349</v>
      </c>
      <c r="B1354" s="183" t="e">
        <f>DEEMSuite1&amp;" Electrical Room B"</f>
        <v>#N/A</v>
      </c>
      <c r="C1354" s="183" t="s">
        <v>3380</v>
      </c>
      <c r="D1354" s="187" t="s">
        <v>3100</v>
      </c>
      <c r="E1354" s="183" t="s">
        <v>1464</v>
      </c>
      <c r="F1354" s="186"/>
      <c r="G1354" s="187" t="s">
        <v>1519</v>
      </c>
    </row>
    <row r="1355" spans="1:7" ht="37.5" x14ac:dyDescent="0.25">
      <c r="A1355" s="200">
        <v>1350</v>
      </c>
      <c r="B1355" s="183" t="e">
        <f>DEEMSuite1&amp;" Electrical Room B"</f>
        <v>#N/A</v>
      </c>
      <c r="C1355" s="183" t="s">
        <v>3380</v>
      </c>
      <c r="D1355" s="187" t="s">
        <v>3101</v>
      </c>
      <c r="E1355" s="183" t="s">
        <v>1464</v>
      </c>
      <c r="F1355" s="186"/>
      <c r="G1355" s="187" t="s">
        <v>1519</v>
      </c>
    </row>
    <row r="1356" spans="1:7" ht="37.5" x14ac:dyDescent="0.25">
      <c r="A1356" s="200">
        <v>1351</v>
      </c>
      <c r="B1356" s="183" t="e">
        <f>DEEMSuite1&amp;" Electrical Room B"</f>
        <v>#N/A</v>
      </c>
      <c r="C1356" s="183" t="s">
        <v>3380</v>
      </c>
      <c r="D1356" s="186" t="s">
        <v>3102</v>
      </c>
      <c r="E1356" s="183" t="s">
        <v>1464</v>
      </c>
      <c r="F1356" s="186"/>
      <c r="G1356" s="187" t="s">
        <v>1519</v>
      </c>
    </row>
    <row r="1357" spans="1:7" ht="37.5" x14ac:dyDescent="0.25">
      <c r="A1357" s="200">
        <v>1352</v>
      </c>
      <c r="B1357" s="183" t="e">
        <f>DEEMSuite1&amp;" Battery Room B"</f>
        <v>#N/A</v>
      </c>
      <c r="C1357" s="183" t="s">
        <v>1812</v>
      </c>
      <c r="D1357" s="187" t="s">
        <v>3103</v>
      </c>
      <c r="E1357" s="183" t="s">
        <v>1464</v>
      </c>
      <c r="F1357" s="186"/>
      <c r="G1357" s="187" t="s">
        <v>1519</v>
      </c>
    </row>
    <row r="1358" spans="1:7" ht="37.5" x14ac:dyDescent="0.25">
      <c r="A1358" s="200">
        <v>1353</v>
      </c>
      <c r="B1358" s="183" t="e">
        <f>DEEMSuite1&amp;" Battery Room B"</f>
        <v>#N/A</v>
      </c>
      <c r="C1358" s="183" t="s">
        <v>3387</v>
      </c>
      <c r="D1358" s="187" t="s">
        <v>3104</v>
      </c>
      <c r="E1358" s="183" t="s">
        <v>1464</v>
      </c>
      <c r="F1358" s="186"/>
      <c r="G1358" s="187" t="s">
        <v>1519</v>
      </c>
    </row>
    <row r="1359" spans="1:7" ht="37.5" x14ac:dyDescent="0.25">
      <c r="A1359" s="200">
        <v>1354</v>
      </c>
      <c r="B1359" s="183" t="e">
        <f>DEEMSuite1&amp;" Battery Room B"</f>
        <v>#N/A</v>
      </c>
      <c r="C1359" s="183" t="s">
        <v>3388</v>
      </c>
      <c r="D1359" s="187" t="s">
        <v>3105</v>
      </c>
      <c r="E1359" s="183" t="s">
        <v>1464</v>
      </c>
      <c r="F1359" s="186"/>
      <c r="G1359" s="187" t="s">
        <v>1519</v>
      </c>
    </row>
    <row r="1360" spans="1:7" ht="37.5" x14ac:dyDescent="0.25">
      <c r="A1360" s="200">
        <v>1355</v>
      </c>
      <c r="B1360" s="183" t="e">
        <f>DEEMSuite1&amp;" Battery Room B"</f>
        <v>#N/A</v>
      </c>
      <c r="C1360" s="183" t="s">
        <v>3389</v>
      </c>
      <c r="D1360" s="187" t="s">
        <v>3106</v>
      </c>
      <c r="E1360" s="183" t="s">
        <v>1464</v>
      </c>
      <c r="F1360" s="186"/>
      <c r="G1360" s="187" t="s">
        <v>1519</v>
      </c>
    </row>
    <row r="1361" spans="1:7" ht="37.5" x14ac:dyDescent="0.25">
      <c r="A1361" s="200">
        <v>1356</v>
      </c>
      <c r="B1361" s="183" t="e">
        <f>DEEMSuite1&amp;" Battery Room B"</f>
        <v>#N/A</v>
      </c>
      <c r="C1361" s="183" t="s">
        <v>3390</v>
      </c>
      <c r="D1361" s="187" t="s">
        <v>3107</v>
      </c>
      <c r="E1361" s="183" t="s">
        <v>1464</v>
      </c>
      <c r="F1361" s="186"/>
      <c r="G1361" s="187" t="s">
        <v>1519</v>
      </c>
    </row>
    <row r="1362" spans="1:7" ht="37.5" x14ac:dyDescent="0.25">
      <c r="A1362" s="200">
        <v>1357</v>
      </c>
      <c r="B1362" s="183" t="e">
        <f>DEEMSuite1&amp;" Electrical Room B"</f>
        <v>#N/A</v>
      </c>
      <c r="C1362" s="183" t="s">
        <v>1476</v>
      </c>
      <c r="D1362" s="187" t="s">
        <v>3423</v>
      </c>
      <c r="E1362" s="183" t="s">
        <v>1464</v>
      </c>
      <c r="F1362" s="186"/>
      <c r="G1362" s="187" t="s">
        <v>1519</v>
      </c>
    </row>
    <row r="1363" spans="1:7" ht="37.5" x14ac:dyDescent="0.25">
      <c r="A1363" s="200">
        <v>1358</v>
      </c>
      <c r="B1363" s="183" t="e">
        <f>DEEMSuite1&amp;" Electrical Room B"</f>
        <v>#N/A</v>
      </c>
      <c r="C1363" s="183" t="s">
        <v>3380</v>
      </c>
      <c r="D1363" s="187" t="s">
        <v>3109</v>
      </c>
      <c r="E1363" s="183" t="s">
        <v>1464</v>
      </c>
      <c r="F1363" s="186"/>
      <c r="G1363" s="187" t="s">
        <v>1519</v>
      </c>
    </row>
    <row r="1364" spans="1:7" ht="37.5" x14ac:dyDescent="0.25">
      <c r="A1364" s="200">
        <v>1359</v>
      </c>
      <c r="B1364" s="183" t="e">
        <f>DEEMSuite1&amp;" Electrical Room B"</f>
        <v>#N/A</v>
      </c>
      <c r="C1364" s="183" t="s">
        <v>1566</v>
      </c>
      <c r="D1364" s="186" t="s">
        <v>3110</v>
      </c>
      <c r="E1364" s="183" t="s">
        <v>1464</v>
      </c>
      <c r="F1364" s="186"/>
      <c r="G1364" s="187" t="s">
        <v>1519</v>
      </c>
    </row>
    <row r="1365" spans="1:7" ht="37.5" x14ac:dyDescent="0.25">
      <c r="A1365" s="200">
        <v>1360</v>
      </c>
      <c r="B1365" s="183" t="e">
        <f>DEEMSuite1&amp;" Electrical Room B"</f>
        <v>#N/A</v>
      </c>
      <c r="C1365" s="183" t="s">
        <v>3385</v>
      </c>
      <c r="D1365" s="187" t="s">
        <v>3424</v>
      </c>
      <c r="E1365" s="183" t="s">
        <v>1464</v>
      </c>
      <c r="F1365" s="186"/>
      <c r="G1365" s="187" t="s">
        <v>1519</v>
      </c>
    </row>
    <row r="1366" spans="1:7" ht="37.5" x14ac:dyDescent="0.25">
      <c r="A1366" s="200">
        <v>1361</v>
      </c>
      <c r="B1366" s="183" t="e">
        <f>DEEMSuite1&amp;" Electrical Room B"</f>
        <v>#N/A</v>
      </c>
      <c r="C1366" s="183" t="s">
        <v>3385</v>
      </c>
      <c r="D1366" s="187" t="s">
        <v>2981</v>
      </c>
      <c r="E1366" s="183" t="s">
        <v>1464</v>
      </c>
      <c r="F1366" s="186"/>
      <c r="G1366" s="187" t="s">
        <v>1519</v>
      </c>
    </row>
    <row r="1367" spans="1:7" ht="37.5" x14ac:dyDescent="0.25">
      <c r="A1367" s="200">
        <v>1362</v>
      </c>
      <c r="B1367" s="183" t="e">
        <f>DEEMSuite1&amp;" Electrical Room B"</f>
        <v>#N/A</v>
      </c>
      <c r="C1367" s="183" t="s">
        <v>3385</v>
      </c>
      <c r="D1367" s="187" t="s">
        <v>3098</v>
      </c>
      <c r="E1367" s="183" t="s">
        <v>1464</v>
      </c>
      <c r="F1367" s="186"/>
      <c r="G1367" s="187" t="s">
        <v>1519</v>
      </c>
    </row>
    <row r="1368" spans="1:7" ht="37.5" x14ac:dyDescent="0.25">
      <c r="A1368" s="200">
        <v>1363</v>
      </c>
      <c r="B1368" s="183" t="e">
        <f>DEEMSuite1&amp;" Electrical Room B"</f>
        <v>#N/A</v>
      </c>
      <c r="C1368" s="183" t="s">
        <v>3385</v>
      </c>
      <c r="D1368" s="186" t="s">
        <v>2983</v>
      </c>
      <c r="E1368" s="183" t="s">
        <v>1464</v>
      </c>
      <c r="F1368" s="186"/>
      <c r="G1368" s="187" t="s">
        <v>1519</v>
      </c>
    </row>
    <row r="1369" spans="1:7" ht="37.5" x14ac:dyDescent="0.25">
      <c r="A1369" s="200">
        <v>1364</v>
      </c>
      <c r="B1369" s="183" t="e">
        <f>DEEMSuite1&amp;" Electrical Room B"</f>
        <v>#N/A</v>
      </c>
      <c r="C1369" s="183" t="s">
        <v>3385</v>
      </c>
      <c r="D1369" s="186" t="s">
        <v>2984</v>
      </c>
      <c r="E1369" s="183" t="s">
        <v>1464</v>
      </c>
      <c r="F1369" s="186"/>
      <c r="G1369" s="187" t="s">
        <v>1519</v>
      </c>
    </row>
    <row r="1370" spans="1:7" ht="37.5" x14ac:dyDescent="0.25">
      <c r="A1370" s="200">
        <v>1365</v>
      </c>
      <c r="B1370" s="183" t="e">
        <f>DEEMSuite1&amp;" Electrical Room B"</f>
        <v>#N/A</v>
      </c>
      <c r="C1370" s="183" t="s">
        <v>3385</v>
      </c>
      <c r="D1370" s="186" t="s">
        <v>2985</v>
      </c>
      <c r="E1370" s="183" t="s">
        <v>1464</v>
      </c>
      <c r="F1370" s="186"/>
      <c r="G1370" s="187" t="s">
        <v>1519</v>
      </c>
    </row>
    <row r="1371" spans="1:7" ht="37.5" x14ac:dyDescent="0.25">
      <c r="A1371" s="200">
        <v>1366</v>
      </c>
      <c r="B1371" s="183" t="e">
        <f>DEEMSuite1&amp;" Electrical Room B"</f>
        <v>#N/A</v>
      </c>
      <c r="C1371" s="183" t="s">
        <v>3385</v>
      </c>
      <c r="D1371" s="187" t="s">
        <v>3099</v>
      </c>
      <c r="E1371" s="183" t="s">
        <v>1464</v>
      </c>
      <c r="F1371" s="186"/>
      <c r="G1371" s="187" t="s">
        <v>1519</v>
      </c>
    </row>
    <row r="1372" spans="1:7" ht="168.75" x14ac:dyDescent="0.25">
      <c r="A1372" s="200">
        <v>1367</v>
      </c>
      <c r="B1372" s="183" t="e">
        <f>DEEMSuite1&amp;" Electrical Room B"</f>
        <v>#N/A</v>
      </c>
      <c r="C1372" s="183" t="s">
        <v>3385</v>
      </c>
      <c r="D1372" s="187" t="s">
        <v>3100</v>
      </c>
      <c r="E1372" s="183" t="s">
        <v>1464</v>
      </c>
      <c r="F1372" s="186"/>
      <c r="G1372" s="187" t="s">
        <v>1519</v>
      </c>
    </row>
    <row r="1373" spans="1:7" ht="37.5" x14ac:dyDescent="0.25">
      <c r="A1373" s="200">
        <v>1368</v>
      </c>
      <c r="B1373" s="183" t="e">
        <f>DEEMSuite1&amp;" Electrical Room B"</f>
        <v>#N/A</v>
      </c>
      <c r="C1373" s="183" t="s">
        <v>3385</v>
      </c>
      <c r="D1373" s="187" t="s">
        <v>3101</v>
      </c>
      <c r="E1373" s="183" t="s">
        <v>1464</v>
      </c>
      <c r="F1373" s="186"/>
      <c r="G1373" s="187" t="s">
        <v>1519</v>
      </c>
    </row>
    <row r="1374" spans="1:7" ht="37.5" x14ac:dyDescent="0.25">
      <c r="A1374" s="200">
        <v>1369</v>
      </c>
      <c r="B1374" s="183" t="e">
        <f>DEEMSuite1&amp;" Electrical Room B"</f>
        <v>#N/A</v>
      </c>
      <c r="C1374" s="183" t="s">
        <v>3385</v>
      </c>
      <c r="D1374" s="186" t="s">
        <v>3102</v>
      </c>
      <c r="E1374" s="183" t="s">
        <v>1464</v>
      </c>
      <c r="F1374" s="186"/>
      <c r="G1374" s="187" t="s">
        <v>1519</v>
      </c>
    </row>
    <row r="1375" spans="1:7" ht="37.5" x14ac:dyDescent="0.25">
      <c r="A1375" s="200">
        <v>1370</v>
      </c>
      <c r="B1375" s="183" t="e">
        <f>DEEMSuite1&amp;" Battery Room B"</f>
        <v>#N/A</v>
      </c>
      <c r="C1375" s="183" t="s">
        <v>1832</v>
      </c>
      <c r="D1375" s="187" t="s">
        <v>3103</v>
      </c>
      <c r="E1375" s="183" t="s">
        <v>1464</v>
      </c>
      <c r="F1375" s="186"/>
      <c r="G1375" s="187" t="s">
        <v>1519</v>
      </c>
    </row>
    <row r="1376" spans="1:7" ht="37.5" x14ac:dyDescent="0.25">
      <c r="A1376" s="200">
        <v>1371</v>
      </c>
      <c r="B1376" s="183" t="e">
        <f>DEEMSuite1&amp;" Battery Room B"</f>
        <v>#N/A</v>
      </c>
      <c r="C1376" s="183" t="s">
        <v>3391</v>
      </c>
      <c r="D1376" s="187" t="s">
        <v>3104</v>
      </c>
      <c r="E1376" s="183" t="s">
        <v>1464</v>
      </c>
      <c r="F1376" s="186"/>
      <c r="G1376" s="187" t="s">
        <v>1519</v>
      </c>
    </row>
    <row r="1377" spans="1:7" ht="37.5" x14ac:dyDescent="0.25">
      <c r="A1377" s="200">
        <v>1372</v>
      </c>
      <c r="B1377" s="183" t="e">
        <f>DEEMSuite1&amp;" Battery Room B"</f>
        <v>#N/A</v>
      </c>
      <c r="C1377" s="183" t="s">
        <v>3392</v>
      </c>
      <c r="D1377" s="187" t="s">
        <v>3105</v>
      </c>
      <c r="E1377" s="183" t="s">
        <v>1464</v>
      </c>
      <c r="F1377" s="186"/>
      <c r="G1377" s="187" t="s">
        <v>1519</v>
      </c>
    </row>
    <row r="1378" spans="1:7" ht="37.5" x14ac:dyDescent="0.25">
      <c r="A1378" s="200">
        <v>1373</v>
      </c>
      <c r="B1378" s="183" t="e">
        <f>DEEMSuite1&amp;" Battery Room B"</f>
        <v>#N/A</v>
      </c>
      <c r="C1378" s="183" t="s">
        <v>3393</v>
      </c>
      <c r="D1378" s="187" t="s">
        <v>3106</v>
      </c>
      <c r="E1378" s="183" t="s">
        <v>1464</v>
      </c>
      <c r="F1378" s="186"/>
      <c r="G1378" s="187" t="s">
        <v>1519</v>
      </c>
    </row>
    <row r="1379" spans="1:7" ht="37.5" x14ac:dyDescent="0.25">
      <c r="A1379" s="200">
        <v>1374</v>
      </c>
      <c r="B1379" s="183" t="e">
        <f>DEEMSuite1&amp;" Battery Room B"</f>
        <v>#N/A</v>
      </c>
      <c r="C1379" s="183" t="s">
        <v>3394</v>
      </c>
      <c r="D1379" s="187" t="s">
        <v>3107</v>
      </c>
      <c r="E1379" s="183" t="s">
        <v>1464</v>
      </c>
      <c r="F1379" s="186"/>
      <c r="G1379" s="187" t="s">
        <v>1519</v>
      </c>
    </row>
    <row r="1380" spans="1:7" ht="37.5" x14ac:dyDescent="0.25">
      <c r="A1380" s="200">
        <v>1375</v>
      </c>
      <c r="B1380" s="183" t="e">
        <f>DEEMSuite1&amp;" Electrical Room B"</f>
        <v>#N/A</v>
      </c>
      <c r="C1380" s="183" t="s">
        <v>1470</v>
      </c>
      <c r="D1380" s="187" t="s">
        <v>3425</v>
      </c>
      <c r="E1380" s="183" t="s">
        <v>1464</v>
      </c>
      <c r="F1380" s="186"/>
      <c r="G1380" s="187" t="s">
        <v>1519</v>
      </c>
    </row>
    <row r="1381" spans="1:7" ht="37.5" x14ac:dyDescent="0.25">
      <c r="A1381" s="200">
        <v>1376</v>
      </c>
      <c r="B1381" s="183" t="e">
        <f>DEEMSuite1&amp;" Electrical Room B"</f>
        <v>#N/A</v>
      </c>
      <c r="C1381" s="183" t="s">
        <v>3385</v>
      </c>
      <c r="D1381" s="187" t="s">
        <v>3109</v>
      </c>
      <c r="E1381" s="183" t="s">
        <v>1464</v>
      </c>
      <c r="F1381" s="186"/>
      <c r="G1381" s="187" t="s">
        <v>1519</v>
      </c>
    </row>
    <row r="1382" spans="1:7" ht="37.5" x14ac:dyDescent="0.25">
      <c r="A1382" s="200">
        <v>1377</v>
      </c>
      <c r="B1382" s="183" t="e">
        <f>DEEMSuite1&amp;" Electrical Room B"</f>
        <v>#N/A</v>
      </c>
      <c r="C1382" s="201" t="s">
        <v>1566</v>
      </c>
      <c r="D1382" s="186" t="s">
        <v>3113</v>
      </c>
      <c r="E1382" s="183" t="s">
        <v>1464</v>
      </c>
      <c r="F1382" s="186"/>
      <c r="G1382" s="187" t="s">
        <v>1519</v>
      </c>
    </row>
    <row r="1383" spans="1:7" ht="37.5" x14ac:dyDescent="0.25">
      <c r="A1383" s="200">
        <v>1378</v>
      </c>
      <c r="B1383" s="183" t="e">
        <f>DEEMSuite1&amp;" Electrical Room B"</f>
        <v>#N/A</v>
      </c>
      <c r="C1383" s="183" t="s">
        <v>3380</v>
      </c>
      <c r="D1383" s="187" t="s">
        <v>3114</v>
      </c>
      <c r="E1383" s="183" t="s">
        <v>1464</v>
      </c>
      <c r="F1383" s="186"/>
      <c r="G1383" s="187" t="s">
        <v>1519</v>
      </c>
    </row>
    <row r="1384" spans="1:7" ht="37.5" x14ac:dyDescent="0.25">
      <c r="A1384" s="200">
        <v>1379</v>
      </c>
      <c r="B1384" s="183" t="e">
        <f>DEEMSuite1&amp;" Electrical Room B"</f>
        <v>#N/A</v>
      </c>
      <c r="C1384" s="183" t="s">
        <v>3380</v>
      </c>
      <c r="D1384" s="187" t="s">
        <v>2982</v>
      </c>
      <c r="E1384" s="183" t="s">
        <v>1464</v>
      </c>
      <c r="F1384" s="186"/>
      <c r="G1384" s="187" t="s">
        <v>1519</v>
      </c>
    </row>
    <row r="1385" spans="1:7" ht="37.5" x14ac:dyDescent="0.25">
      <c r="A1385" s="200">
        <v>1380</v>
      </c>
      <c r="B1385" s="183" t="e">
        <f>DEEMSuite1&amp;" Electrical Room B"</f>
        <v>#N/A</v>
      </c>
      <c r="C1385" s="183" t="s">
        <v>3380</v>
      </c>
      <c r="D1385" s="187" t="s">
        <v>3115</v>
      </c>
      <c r="E1385" s="183" t="s">
        <v>1464</v>
      </c>
      <c r="F1385" s="186"/>
      <c r="G1385" s="187" t="s">
        <v>1519</v>
      </c>
    </row>
    <row r="1386" spans="1:7" ht="37.5" x14ac:dyDescent="0.25">
      <c r="A1386" s="200">
        <v>1381</v>
      </c>
      <c r="B1386" s="183" t="e">
        <f>DEEMSuite1&amp;" Electrical Room B"</f>
        <v>#N/A</v>
      </c>
      <c r="C1386" s="183" t="s">
        <v>1566</v>
      </c>
      <c r="D1386" s="186" t="s">
        <v>3116</v>
      </c>
      <c r="E1386" s="183" t="s">
        <v>1464</v>
      </c>
      <c r="F1386" s="186"/>
      <c r="G1386" s="187" t="s">
        <v>1519</v>
      </c>
    </row>
    <row r="1387" spans="1:7" ht="37.5" x14ac:dyDescent="0.25">
      <c r="A1387" s="200">
        <v>1382</v>
      </c>
      <c r="B1387" s="183" t="e">
        <f>DEEMSuite1&amp;" Electrical Room B"</f>
        <v>#N/A</v>
      </c>
      <c r="C1387" s="183" t="s">
        <v>3382</v>
      </c>
      <c r="D1387" s="186" t="s">
        <v>3426</v>
      </c>
      <c r="E1387" s="183" t="s">
        <v>1464</v>
      </c>
      <c r="F1387" s="186"/>
      <c r="G1387" s="187" t="s">
        <v>1519</v>
      </c>
    </row>
    <row r="1388" spans="1:7" x14ac:dyDescent="0.25">
      <c r="A1388" s="200">
        <v>1383</v>
      </c>
      <c r="B1388" s="756" t="s">
        <v>3427</v>
      </c>
      <c r="C1388" s="757"/>
      <c r="D1388" s="759"/>
      <c r="E1388" s="757"/>
      <c r="F1388" s="757"/>
      <c r="G1388" s="758"/>
    </row>
    <row r="1389" spans="1:7" ht="37.5" x14ac:dyDescent="0.25">
      <c r="A1389" s="200">
        <v>1384</v>
      </c>
      <c r="B1389" s="183" t="e">
        <f>DEEMSuite1&amp;" Electrical Room B"</f>
        <v>#N/A</v>
      </c>
      <c r="C1389" s="183" t="s">
        <v>2729</v>
      </c>
      <c r="D1389" s="186" t="s">
        <v>3428</v>
      </c>
      <c r="E1389" s="183" t="s">
        <v>1464</v>
      </c>
      <c r="F1389" s="186"/>
      <c r="G1389" s="187" t="s">
        <v>1519</v>
      </c>
    </row>
    <row r="1390" spans="1:7" ht="37.5" x14ac:dyDescent="0.25">
      <c r="A1390" s="200">
        <v>1385</v>
      </c>
      <c r="B1390" s="183" t="e">
        <f>DEEMSuite1&amp;" Electrical Room B"</f>
        <v>#N/A</v>
      </c>
      <c r="C1390" s="183" t="s">
        <v>2729</v>
      </c>
      <c r="D1390" s="187" t="s">
        <v>1731</v>
      </c>
      <c r="E1390" s="183" t="s">
        <v>1464</v>
      </c>
      <c r="F1390" s="186"/>
      <c r="G1390" s="187" t="s">
        <v>1519</v>
      </c>
    </row>
    <row r="1391" spans="1:7" ht="37.5" x14ac:dyDescent="0.25">
      <c r="A1391" s="200">
        <v>1386</v>
      </c>
      <c r="B1391" s="183" t="e">
        <f>DEEMSuite1&amp;" Electrical Room B"</f>
        <v>#N/A</v>
      </c>
      <c r="C1391" s="183" t="s">
        <v>2729</v>
      </c>
      <c r="D1391" s="187" t="s">
        <v>3120</v>
      </c>
      <c r="E1391" s="183" t="s">
        <v>1464</v>
      </c>
      <c r="F1391" s="186"/>
      <c r="G1391" s="187" t="s">
        <v>1519</v>
      </c>
    </row>
    <row r="1392" spans="1:7" ht="37.5" x14ac:dyDescent="0.25">
      <c r="A1392" s="200">
        <v>1387</v>
      </c>
      <c r="B1392" s="183" t="e">
        <f>DEEMSuite1&amp;" Electrical Room B"</f>
        <v>#N/A</v>
      </c>
      <c r="C1392" s="183" t="s">
        <v>1566</v>
      </c>
      <c r="D1392" s="186" t="s">
        <v>3121</v>
      </c>
      <c r="E1392" s="183" t="s">
        <v>1464</v>
      </c>
      <c r="F1392" s="186"/>
      <c r="G1392" s="187" t="s">
        <v>1519</v>
      </c>
    </row>
    <row r="1393" spans="1:7" ht="37.5" x14ac:dyDescent="0.25">
      <c r="A1393" s="200">
        <v>1388</v>
      </c>
      <c r="B1393" s="183" t="e">
        <f>DEEMSuite1&amp;" Electrical Room B"</f>
        <v>#N/A</v>
      </c>
      <c r="C1393" s="183" t="s">
        <v>2729</v>
      </c>
      <c r="D1393" s="186" t="s">
        <v>3429</v>
      </c>
      <c r="E1393" s="183" t="s">
        <v>1464</v>
      </c>
      <c r="F1393" s="186"/>
      <c r="G1393" s="187" t="s">
        <v>1519</v>
      </c>
    </row>
    <row r="1394" spans="1:7" ht="37.5" x14ac:dyDescent="0.25">
      <c r="A1394" s="200">
        <v>1389</v>
      </c>
      <c r="B1394" s="183" t="e">
        <f>DEEMSuite1&amp;" Electrical Room B"</f>
        <v>#N/A</v>
      </c>
      <c r="C1394" s="183" t="s">
        <v>2729</v>
      </c>
      <c r="D1394" s="187" t="s">
        <v>3123</v>
      </c>
      <c r="E1394" s="183" t="s">
        <v>1464</v>
      </c>
      <c r="F1394" s="186"/>
      <c r="G1394" s="187" t="s">
        <v>1519</v>
      </c>
    </row>
    <row r="1395" spans="1:7" ht="37.5" x14ac:dyDescent="0.25">
      <c r="A1395" s="200">
        <v>1390</v>
      </c>
      <c r="B1395" s="183" t="e">
        <f>DEEMSuite1&amp;" Electrical Room B"</f>
        <v>#N/A</v>
      </c>
      <c r="C1395" s="183" t="s">
        <v>2729</v>
      </c>
      <c r="D1395" s="187" t="s">
        <v>3124</v>
      </c>
      <c r="E1395" s="183" t="s">
        <v>1464</v>
      </c>
      <c r="F1395" s="186"/>
      <c r="G1395" s="187" t="s">
        <v>1519</v>
      </c>
    </row>
    <row r="1396" spans="1:7" ht="37.5" x14ac:dyDescent="0.25">
      <c r="A1396" s="200">
        <v>1391</v>
      </c>
      <c r="B1396" s="183" t="e">
        <f>DEEMSuite1&amp;" Electrical Room B"</f>
        <v>#N/A</v>
      </c>
      <c r="C1396" s="183" t="s">
        <v>2729</v>
      </c>
      <c r="D1396" s="187" t="s">
        <v>3125</v>
      </c>
      <c r="E1396" s="183" t="s">
        <v>1464</v>
      </c>
      <c r="F1396" s="186"/>
      <c r="G1396" s="187" t="s">
        <v>1519</v>
      </c>
    </row>
    <row r="1397" spans="1:7" ht="37.5" x14ac:dyDescent="0.25">
      <c r="A1397" s="200">
        <v>1392</v>
      </c>
      <c r="B1397" s="183" t="e">
        <f>DEEMSuite1&amp;" Electrical Room B"</f>
        <v>#N/A</v>
      </c>
      <c r="C1397" s="183" t="s">
        <v>2729</v>
      </c>
      <c r="D1397" s="187" t="s">
        <v>3430</v>
      </c>
      <c r="E1397" s="183" t="s">
        <v>1464</v>
      </c>
      <c r="F1397" s="186"/>
      <c r="G1397" s="187" t="s">
        <v>1519</v>
      </c>
    </row>
    <row r="1398" spans="1:7" ht="37.5" x14ac:dyDescent="0.25">
      <c r="A1398" s="200">
        <v>1393</v>
      </c>
      <c r="B1398" s="183" t="e">
        <f>DEEMSuite1&amp;" Electrical Room B"</f>
        <v>#N/A</v>
      </c>
      <c r="C1398" s="183" t="s">
        <v>2729</v>
      </c>
      <c r="D1398" s="187" t="s">
        <v>3127</v>
      </c>
      <c r="E1398" s="183" t="s">
        <v>1464</v>
      </c>
      <c r="F1398" s="186"/>
      <c r="G1398" s="187" t="s">
        <v>1519</v>
      </c>
    </row>
    <row r="1399" spans="1:7" ht="37.5" x14ac:dyDescent="0.25">
      <c r="A1399" s="200">
        <v>1394</v>
      </c>
      <c r="B1399" s="183" t="e">
        <f>DEEMSuite1&amp;" Electrical Room B"</f>
        <v>#N/A</v>
      </c>
      <c r="C1399" s="183" t="s">
        <v>2729</v>
      </c>
      <c r="D1399" s="187" t="s">
        <v>1721</v>
      </c>
      <c r="E1399" s="183" t="s">
        <v>1464</v>
      </c>
      <c r="F1399" s="186"/>
      <c r="G1399" s="187" t="s">
        <v>1519</v>
      </c>
    </row>
    <row r="1400" spans="1:7" ht="37.5" x14ac:dyDescent="0.25">
      <c r="A1400" s="200">
        <v>1395</v>
      </c>
      <c r="B1400" s="183" t="e">
        <f>DEEMSuite1&amp;" Electrical Room B"</f>
        <v>#N/A</v>
      </c>
      <c r="C1400" s="183" t="s">
        <v>2729</v>
      </c>
      <c r="D1400" s="187" t="s">
        <v>3120</v>
      </c>
      <c r="E1400" s="183" t="s">
        <v>1464</v>
      </c>
      <c r="F1400" s="186"/>
      <c r="G1400" s="187" t="s">
        <v>1519</v>
      </c>
    </row>
    <row r="1401" spans="1:7" ht="37.5" x14ac:dyDescent="0.25">
      <c r="A1401" s="200">
        <v>1396</v>
      </c>
      <c r="B1401" s="183" t="e">
        <f>DEEMSuite1&amp;" Electrical Room B"</f>
        <v>#N/A</v>
      </c>
      <c r="C1401" s="183" t="s">
        <v>2729</v>
      </c>
      <c r="D1401" s="187" t="s">
        <v>3431</v>
      </c>
      <c r="E1401" s="183" t="s">
        <v>1464</v>
      </c>
      <c r="F1401" s="186"/>
      <c r="G1401" s="187" t="s">
        <v>1519</v>
      </c>
    </row>
    <row r="1402" spans="1:7" ht="37.5" x14ac:dyDescent="0.25">
      <c r="A1402" s="200">
        <v>1397</v>
      </c>
      <c r="B1402" s="183" t="e">
        <f>DEEMSuite1&amp;" Electrical Room B"</f>
        <v>#N/A</v>
      </c>
      <c r="C1402" s="183" t="s">
        <v>2729</v>
      </c>
      <c r="D1402" s="187" t="s">
        <v>3129</v>
      </c>
      <c r="E1402" s="183" t="s">
        <v>1464</v>
      </c>
      <c r="F1402" s="186"/>
      <c r="G1402" s="187" t="s">
        <v>1519</v>
      </c>
    </row>
    <row r="1403" spans="1:7" ht="37.5" x14ac:dyDescent="0.25">
      <c r="A1403" s="200">
        <v>1398</v>
      </c>
      <c r="B1403" s="183" t="e">
        <f>DEEMSuite1&amp;" Electrical Room B"</f>
        <v>#N/A</v>
      </c>
      <c r="C1403" s="183" t="s">
        <v>2729</v>
      </c>
      <c r="D1403" s="187" t="s">
        <v>3125</v>
      </c>
      <c r="E1403" s="183" t="s">
        <v>1464</v>
      </c>
      <c r="F1403" s="186"/>
      <c r="G1403" s="187" t="s">
        <v>1519</v>
      </c>
    </row>
    <row r="1404" spans="1:7" ht="37.5" x14ac:dyDescent="0.25">
      <c r="A1404" s="200">
        <v>1399</v>
      </c>
      <c r="B1404" s="183" t="e">
        <f>DEEMSuite1&amp;" Electrical Room B"</f>
        <v>#N/A</v>
      </c>
      <c r="C1404" s="183" t="s">
        <v>2729</v>
      </c>
      <c r="D1404" s="187" t="s">
        <v>3130</v>
      </c>
      <c r="E1404" s="183" t="s">
        <v>1464</v>
      </c>
      <c r="F1404" s="186"/>
      <c r="G1404" s="187" t="s">
        <v>1519</v>
      </c>
    </row>
    <row r="1405" spans="1:7" ht="37.5" x14ac:dyDescent="0.25">
      <c r="A1405" s="200">
        <v>1400</v>
      </c>
      <c r="B1405" s="183" t="e">
        <f>DEEMSuite1&amp;" Electrical Room B"</f>
        <v>#N/A</v>
      </c>
      <c r="C1405" s="183" t="s">
        <v>2729</v>
      </c>
      <c r="D1405" s="207" t="s">
        <v>3131</v>
      </c>
      <c r="E1405" s="183" t="s">
        <v>1464</v>
      </c>
      <c r="F1405" s="186"/>
      <c r="G1405" s="187" t="s">
        <v>1519</v>
      </c>
    </row>
    <row r="1406" spans="1:7" ht="37.5" x14ac:dyDescent="0.25">
      <c r="A1406" s="200">
        <v>1401</v>
      </c>
      <c r="B1406" s="183" t="e">
        <f>DEEMSuite1&amp;" Electrical Room B"</f>
        <v>#N/A</v>
      </c>
      <c r="C1406" s="201" t="s">
        <v>2729</v>
      </c>
      <c r="D1406" s="204" t="s">
        <v>1646</v>
      </c>
      <c r="E1406" s="183" t="s">
        <v>1464</v>
      </c>
      <c r="F1406" s="186"/>
      <c r="G1406" s="187" t="s">
        <v>1519</v>
      </c>
    </row>
    <row r="1407" spans="1:7" ht="37.5" x14ac:dyDescent="0.25">
      <c r="A1407" s="200">
        <v>1402</v>
      </c>
      <c r="B1407" s="183" t="e">
        <f>DEEMSuite1&amp;" Electrical Room B"</f>
        <v>#N/A</v>
      </c>
      <c r="C1407" s="183" t="s">
        <v>1476</v>
      </c>
      <c r="D1407" s="208" t="s">
        <v>3432</v>
      </c>
      <c r="E1407" s="183" t="s">
        <v>1464</v>
      </c>
      <c r="F1407" s="186"/>
      <c r="G1407" s="187" t="s">
        <v>1519</v>
      </c>
    </row>
    <row r="1408" spans="1:7" x14ac:dyDescent="0.25">
      <c r="A1408" s="200">
        <v>1403</v>
      </c>
      <c r="B1408" s="756" t="s">
        <v>3433</v>
      </c>
      <c r="C1408" s="757"/>
      <c r="D1408" s="757"/>
      <c r="E1408" s="757"/>
      <c r="F1408" s="757"/>
      <c r="G1408" s="758"/>
    </row>
    <row r="1409" spans="1:7" ht="37.5" x14ac:dyDescent="0.25">
      <c r="A1409" s="200">
        <v>1404</v>
      </c>
      <c r="B1409" s="183" t="e">
        <f>DEEMSuite1&amp;" Electrical Room B"</f>
        <v>#N/A</v>
      </c>
      <c r="C1409" s="201" t="s">
        <v>2930</v>
      </c>
      <c r="D1409" s="186" t="str">
        <f>"Close the breaker marked as supplying PDU-B1 if it was initially in the closed position as recorded in step " &amp; A1189 &amp; "."</f>
        <v>Close the breaker marked as supplying PDU-B1 if it was initially in the closed position as recorded in step 1184.</v>
      </c>
      <c r="E1409" s="183" t="s">
        <v>1464</v>
      </c>
      <c r="F1409" s="186"/>
      <c r="G1409" s="187" t="s">
        <v>1519</v>
      </c>
    </row>
    <row r="1410" spans="1:7" ht="37.5" x14ac:dyDescent="0.25">
      <c r="A1410" s="200">
        <v>1405</v>
      </c>
      <c r="B1410" s="183" t="e">
        <f>DEEMSuite1&amp;" Electrical Room B"</f>
        <v>#N/A</v>
      </c>
      <c r="C1410" s="201" t="s">
        <v>2930</v>
      </c>
      <c r="D1410" s="186" t="str">
        <f>"Close the breaker marked as supplying PDU-B2 if it was initially in the closed position as recorded in step " &amp; A1190 &amp; "."</f>
        <v>Close the breaker marked as supplying PDU-B2 if it was initially in the closed position as recorded in step 1185.</v>
      </c>
      <c r="E1410" s="183" t="s">
        <v>1464</v>
      </c>
      <c r="F1410" s="186"/>
      <c r="G1410" s="187" t="s">
        <v>1519</v>
      </c>
    </row>
    <row r="1411" spans="1:7" ht="37.5" x14ac:dyDescent="0.25">
      <c r="A1411" s="200">
        <v>1406</v>
      </c>
      <c r="B1411" s="183" t="e">
        <f>DEEMSuite1&amp;" Electrical Room B"</f>
        <v>#N/A</v>
      </c>
      <c r="C1411" s="201" t="s">
        <v>2930</v>
      </c>
      <c r="D1411" s="186" t="str">
        <f>"Close the breaker marked as supplying PDU-B3 if it was initially in the closed position as recorded in step " &amp; A1191 &amp; "."</f>
        <v>Close the breaker marked as supplying PDU-B3 if it was initially in the closed position as recorded in step 1186.</v>
      </c>
      <c r="E1411" s="183" t="s">
        <v>1464</v>
      </c>
      <c r="F1411" s="186"/>
      <c r="G1411" s="187" t="s">
        <v>1519</v>
      </c>
    </row>
    <row r="1412" spans="1:7" ht="37.5" x14ac:dyDescent="0.25">
      <c r="A1412" s="200">
        <v>1407</v>
      </c>
      <c r="B1412" s="183" t="e">
        <f>DEEMSuite1&amp;" Electrical Room B"</f>
        <v>#N/A</v>
      </c>
      <c r="C1412" s="201" t="s">
        <v>2930</v>
      </c>
      <c r="D1412" s="186" t="str">
        <f>"Close the breaker marked as supplying PDU-B4 if it was initially in the closed position as recorded in step " &amp; A1192 &amp; "."</f>
        <v>Close the breaker marked as supplying PDU-B4 if it was initially in the closed position as recorded in step 1187.</v>
      </c>
      <c r="E1412" s="183" t="s">
        <v>1464</v>
      </c>
      <c r="F1412" s="186"/>
      <c r="G1412" s="187" t="s">
        <v>1519</v>
      </c>
    </row>
    <row r="1413" spans="1:7" ht="37.5" x14ac:dyDescent="0.25">
      <c r="A1413" s="200">
        <v>1408</v>
      </c>
      <c r="B1413" s="183" t="e">
        <f>DEEMSuite1&amp;" Electrical Room B"</f>
        <v>#N/A</v>
      </c>
      <c r="C1413" s="201" t="s">
        <v>2930</v>
      </c>
      <c r="D1413" s="186" t="str">
        <f>"Close the breaker marked as supplying PDU-B5 if it was initially in the closed position as recorded in step " &amp; A1193 &amp; "."</f>
        <v>Close the breaker marked as supplying PDU-B5 if it was initially in the closed position as recorded in step 1188.</v>
      </c>
      <c r="E1413" s="183" t="s">
        <v>1464</v>
      </c>
      <c r="F1413" s="186"/>
      <c r="G1413" s="187" t="s">
        <v>1519</v>
      </c>
    </row>
    <row r="1414" spans="1:7" ht="37.5" x14ac:dyDescent="0.25">
      <c r="A1414" s="200">
        <v>1409</v>
      </c>
      <c r="B1414" s="183" t="e">
        <f>DEEMSuite1&amp;" Electrical Room B"</f>
        <v>#N/A</v>
      </c>
      <c r="C1414" s="201" t="s">
        <v>2930</v>
      </c>
      <c r="D1414" s="186" t="s">
        <v>3434</v>
      </c>
      <c r="E1414" s="183" t="s">
        <v>1464</v>
      </c>
      <c r="F1414" s="186"/>
      <c r="G1414" s="187" t="s">
        <v>1519</v>
      </c>
    </row>
    <row r="1415" spans="1:7" ht="37.5" x14ac:dyDescent="0.25">
      <c r="A1415" s="200">
        <v>1410</v>
      </c>
      <c r="B1415" s="183" t="e">
        <f>DEEMSuite1&amp;" Electrical Room B"</f>
        <v>#N/A</v>
      </c>
      <c r="C1415" s="201" t="s">
        <v>2930</v>
      </c>
      <c r="D1415" s="186" t="s">
        <v>3135</v>
      </c>
      <c r="E1415" s="183" t="s">
        <v>1464</v>
      </c>
      <c r="F1415" s="186"/>
      <c r="G1415" s="187" t="s">
        <v>1519</v>
      </c>
    </row>
    <row r="1416" spans="1:7" ht="37.5" x14ac:dyDescent="0.25">
      <c r="A1416" s="200">
        <v>1411</v>
      </c>
      <c r="B1416" s="183" t="s">
        <v>1462</v>
      </c>
      <c r="C1416" s="183" t="s">
        <v>84</v>
      </c>
      <c r="D1416" s="186" t="e">
        <f>"Verify all BMS indications for suite " &amp; DEEMSuite1 &amp; " are normal by contacting the Engineer stationed on base."</f>
        <v>#N/A</v>
      </c>
      <c r="E1416" s="183" t="s">
        <v>1464</v>
      </c>
      <c r="F1416" s="186"/>
      <c r="G1416" s="187" t="s">
        <v>1519</v>
      </c>
    </row>
    <row r="1417" spans="1:7" ht="37.5" x14ac:dyDescent="0.25">
      <c r="A1417" s="200">
        <v>1412</v>
      </c>
      <c r="B1417" s="183" t="e">
        <f>DEEMSuite1&amp;" Suite"</f>
        <v>#N/A</v>
      </c>
      <c r="C1417" s="201" t="s">
        <v>2687</v>
      </c>
      <c r="D1417" s="186" t="s">
        <v>2975</v>
      </c>
      <c r="E1417" s="183" t="s">
        <v>1464</v>
      </c>
      <c r="F1417" s="186"/>
      <c r="G1417" s="187" t="s">
        <v>1519</v>
      </c>
    </row>
    <row r="1418" spans="1:7" ht="37.5" x14ac:dyDescent="0.25">
      <c r="A1418" s="200">
        <v>1413</v>
      </c>
      <c r="B1418" s="183" t="e">
        <f>DEEMSuite1&amp;" Suite"</f>
        <v>#N/A</v>
      </c>
      <c r="C1418" s="201" t="s">
        <v>2687</v>
      </c>
      <c r="D1418" s="186" t="s">
        <v>2976</v>
      </c>
      <c r="E1418" s="183" t="s">
        <v>1464</v>
      </c>
      <c r="F1418" s="186"/>
      <c r="G1418" s="187" t="s">
        <v>1519</v>
      </c>
    </row>
    <row r="1419" spans="1:7" x14ac:dyDescent="0.25">
      <c r="A1419" s="200">
        <v>1414</v>
      </c>
      <c r="B1419" s="756" t="s">
        <v>3435</v>
      </c>
      <c r="C1419" s="757"/>
      <c r="D1419" s="757"/>
      <c r="E1419" s="757"/>
      <c r="F1419" s="757"/>
      <c r="G1419" s="758"/>
    </row>
    <row r="1420" spans="1:7" ht="37.5" x14ac:dyDescent="0.25">
      <c r="A1420" s="200">
        <v>1415</v>
      </c>
      <c r="B1420" s="183" t="e">
        <f>DEEMSuite1&amp;" CRAC Gallery"</f>
        <v>#N/A</v>
      </c>
      <c r="C1420" s="183" t="s">
        <v>2933</v>
      </c>
      <c r="D1420" s="186" t="s">
        <v>3436</v>
      </c>
      <c r="E1420" s="183" t="s">
        <v>1464</v>
      </c>
      <c r="F1420" s="186"/>
      <c r="G1420" s="187" t="s">
        <v>1519</v>
      </c>
    </row>
    <row r="1421" spans="1:7" ht="37.5" x14ac:dyDescent="0.25">
      <c r="A1421" s="200">
        <v>1416</v>
      </c>
      <c r="B1421" s="183" t="e">
        <f>DEEMSuite1&amp;" CRAC Gallery"</f>
        <v>#N/A</v>
      </c>
      <c r="C1421" s="183" t="s">
        <v>2933</v>
      </c>
      <c r="D1421" s="186" t="str">
        <f>"Close subfeed breaker #1 if it was initially in the closed position as recorded in step " &amp; A1103 &amp; "."</f>
        <v>Close subfeed breaker #1 if it was initially in the closed position as recorded in step 1098.</v>
      </c>
      <c r="E1421" s="183" t="s">
        <v>1464</v>
      </c>
      <c r="F1421" s="186"/>
      <c r="G1421" s="187" t="s">
        <v>1519</v>
      </c>
    </row>
    <row r="1422" spans="1:7" ht="37.5" x14ac:dyDescent="0.25">
      <c r="A1422" s="200">
        <v>1417</v>
      </c>
      <c r="B1422" s="183" t="e">
        <f>DEEMSuite1&amp;" CRAC Gallery"</f>
        <v>#N/A</v>
      </c>
      <c r="C1422" s="183" t="s">
        <v>2933</v>
      </c>
      <c r="D1422" s="186" t="str">
        <f>"Close subfeed breaker #2 if it was initially in the closed position as recorded in step " &amp; A1104 &amp; "."</f>
        <v>Close subfeed breaker #2 if it was initially in the closed position as recorded in step 1099.</v>
      </c>
      <c r="E1422" s="183" t="s">
        <v>1464</v>
      </c>
      <c r="F1422" s="186"/>
      <c r="G1422" s="187" t="s">
        <v>1519</v>
      </c>
    </row>
    <row r="1423" spans="1:7" ht="37.5" x14ac:dyDescent="0.25">
      <c r="A1423" s="200">
        <v>1418</v>
      </c>
      <c r="B1423" s="183" t="e">
        <f>DEEMSuite1&amp;" CRAC Gallery"</f>
        <v>#N/A</v>
      </c>
      <c r="C1423" s="183" t="s">
        <v>2933</v>
      </c>
      <c r="D1423" s="186" t="str">
        <f>"Close subfeed breaker #3 if it was initially in the closed position as recorded in step " &amp; A1105 &amp; "."</f>
        <v>Close subfeed breaker #3 if it was initially in the closed position as recorded in step 1100.</v>
      </c>
      <c r="E1423" s="183" t="s">
        <v>1464</v>
      </c>
      <c r="F1423" s="186"/>
      <c r="G1423" s="187" t="s">
        <v>1519</v>
      </c>
    </row>
    <row r="1424" spans="1:7" ht="37.5" x14ac:dyDescent="0.25">
      <c r="A1424" s="200">
        <v>1419</v>
      </c>
      <c r="B1424" s="183" t="e">
        <f>DEEMSuite1&amp;" CRAC Gallery"</f>
        <v>#N/A</v>
      </c>
      <c r="C1424" s="183" t="s">
        <v>2933</v>
      </c>
      <c r="D1424" s="186" t="str">
        <f>"Close subfeed breaker #4 if it was initially in the closed position as recorded in step " &amp; A1106 &amp; "."</f>
        <v>Close subfeed breaker #4 if it was initially in the closed position as recorded in step 1101.</v>
      </c>
      <c r="E1424" s="183" t="s">
        <v>1464</v>
      </c>
      <c r="F1424" s="186"/>
      <c r="G1424" s="187" t="s">
        <v>1519</v>
      </c>
    </row>
    <row r="1425" spans="1:7" ht="37.5" x14ac:dyDescent="0.25">
      <c r="A1425" s="200">
        <v>1420</v>
      </c>
      <c r="B1425" s="183" t="e">
        <f>DEEMSuite1&amp;" CRAC Gallery"</f>
        <v>#N/A</v>
      </c>
      <c r="C1425" s="183" t="s">
        <v>2933</v>
      </c>
      <c r="D1425" s="186" t="str">
        <f>"Close subfeed breaker #5 if it was initially in the closed position as recorded in step " &amp; A1107 &amp; "."</f>
        <v>Close subfeed breaker #5 if it was initially in the closed position as recorded in step 1102.</v>
      </c>
      <c r="E1425" s="183" t="s">
        <v>1464</v>
      </c>
      <c r="F1425" s="186"/>
      <c r="G1425" s="187" t="s">
        <v>1519</v>
      </c>
    </row>
    <row r="1426" spans="1:7" ht="37.5" x14ac:dyDescent="0.25">
      <c r="A1426" s="200">
        <v>1421</v>
      </c>
      <c r="B1426" s="183" t="e">
        <f>DEEMSuite1&amp;" CRAC Gallery"</f>
        <v>#N/A</v>
      </c>
      <c r="C1426" s="183" t="s">
        <v>2933</v>
      </c>
      <c r="D1426" s="186" t="str">
        <f>"Close subfeed breaker #6 if it was initially in the closed position as recorded in step " &amp; A1108 &amp; "."</f>
        <v>Close subfeed breaker #6 if it was initially in the closed position as recorded in step 1103.</v>
      </c>
      <c r="E1426" s="183" t="s">
        <v>1464</v>
      </c>
      <c r="F1426" s="186"/>
      <c r="G1426" s="187" t="s">
        <v>1519</v>
      </c>
    </row>
    <row r="1427" spans="1:7" ht="37.5" x14ac:dyDescent="0.25">
      <c r="A1427" s="200">
        <v>1422</v>
      </c>
      <c r="B1427" s="183" t="e">
        <f>DEEMSuite1&amp;" CRAC Gallery"</f>
        <v>#N/A</v>
      </c>
      <c r="C1427" s="183" t="s">
        <v>2934</v>
      </c>
      <c r="D1427" s="186" t="s">
        <v>3437</v>
      </c>
      <c r="E1427" s="183" t="s">
        <v>1464</v>
      </c>
      <c r="F1427" s="186"/>
      <c r="G1427" s="187" t="s">
        <v>1519</v>
      </c>
    </row>
    <row r="1428" spans="1:7" ht="37.5" x14ac:dyDescent="0.25">
      <c r="A1428" s="200">
        <v>1423</v>
      </c>
      <c r="B1428" s="183" t="e">
        <f>DEEMSuite1&amp;" CRAC Gallery"</f>
        <v>#N/A</v>
      </c>
      <c r="C1428" s="183" t="s">
        <v>2934</v>
      </c>
      <c r="D1428" s="186" t="str">
        <f>"Close subfeed breaker #1 if it was initially in the closed position as recorded in step " &amp; A1120 &amp; "."</f>
        <v>Close subfeed breaker #1 if it was initially in the closed position as recorded in step 1115.</v>
      </c>
      <c r="E1428" s="183" t="s">
        <v>1464</v>
      </c>
      <c r="F1428" s="186"/>
      <c r="G1428" s="187" t="s">
        <v>1519</v>
      </c>
    </row>
    <row r="1429" spans="1:7" ht="37.5" x14ac:dyDescent="0.25">
      <c r="A1429" s="200">
        <v>1424</v>
      </c>
      <c r="B1429" s="183" t="e">
        <f>DEEMSuite1&amp;" CRAC Gallery"</f>
        <v>#N/A</v>
      </c>
      <c r="C1429" s="183" t="s">
        <v>2934</v>
      </c>
      <c r="D1429" s="186" t="str">
        <f>"Close subfeed breaker #2 if it was initially in the closed position as recorded in step " &amp; A1121 &amp; "."</f>
        <v>Close subfeed breaker #2 if it was initially in the closed position as recorded in step 1116.</v>
      </c>
      <c r="E1429" s="183" t="s">
        <v>1464</v>
      </c>
      <c r="F1429" s="186"/>
      <c r="G1429" s="187" t="s">
        <v>1519</v>
      </c>
    </row>
    <row r="1430" spans="1:7" ht="37.5" x14ac:dyDescent="0.25">
      <c r="A1430" s="200">
        <v>1425</v>
      </c>
      <c r="B1430" s="183" t="e">
        <f>DEEMSuite1&amp;" CRAC Gallery"</f>
        <v>#N/A</v>
      </c>
      <c r="C1430" s="183" t="s">
        <v>2934</v>
      </c>
      <c r="D1430" s="186" t="str">
        <f>"Close subfeed breaker #3 if it was initially in the closed position as recorded in step " &amp; A1122 &amp; "."</f>
        <v>Close subfeed breaker #3 if it was initially in the closed position as recorded in step 1117.</v>
      </c>
      <c r="E1430" s="183" t="s">
        <v>1464</v>
      </c>
      <c r="F1430" s="186"/>
      <c r="G1430" s="187" t="s">
        <v>1519</v>
      </c>
    </row>
    <row r="1431" spans="1:7" ht="37.5" x14ac:dyDescent="0.25">
      <c r="A1431" s="200">
        <v>1426</v>
      </c>
      <c r="B1431" s="183" t="e">
        <f>DEEMSuite1&amp;" CRAC Gallery"</f>
        <v>#N/A</v>
      </c>
      <c r="C1431" s="183" t="s">
        <v>2934</v>
      </c>
      <c r="D1431" s="186" t="str">
        <f>"Close subfeed breaker #4 if it was initially in the closed position as recorded in step " &amp; A1123 &amp; "."</f>
        <v>Close subfeed breaker #4 if it was initially in the closed position as recorded in step 1118.</v>
      </c>
      <c r="E1431" s="183" t="s">
        <v>1464</v>
      </c>
      <c r="F1431" s="186"/>
      <c r="G1431" s="187" t="s">
        <v>1519</v>
      </c>
    </row>
    <row r="1432" spans="1:7" ht="37.5" x14ac:dyDescent="0.25">
      <c r="A1432" s="200">
        <v>1427</v>
      </c>
      <c r="B1432" s="183" t="e">
        <f>DEEMSuite1&amp;" CRAC Gallery"</f>
        <v>#N/A</v>
      </c>
      <c r="C1432" s="183" t="s">
        <v>2934</v>
      </c>
      <c r="D1432" s="186" t="str">
        <f>"Close subfeed breaker #5 if it was initially in the closed position as recorded in step " &amp; A1124 &amp; "."</f>
        <v>Close subfeed breaker #5 if it was initially in the closed position as recorded in step 1119.</v>
      </c>
      <c r="E1432" s="183" t="s">
        <v>1464</v>
      </c>
      <c r="F1432" s="186"/>
      <c r="G1432" s="187" t="s">
        <v>1519</v>
      </c>
    </row>
    <row r="1433" spans="1:7" ht="37.5" x14ac:dyDescent="0.25">
      <c r="A1433" s="200">
        <v>1428</v>
      </c>
      <c r="B1433" s="183" t="e">
        <f>DEEMSuite1&amp;" CRAC Gallery"</f>
        <v>#N/A</v>
      </c>
      <c r="C1433" s="183" t="s">
        <v>2934</v>
      </c>
      <c r="D1433" s="186" t="str">
        <f>"Close subfeed breaker #6 if it was initially in the closed position as recorded in step " &amp; A1125 &amp; "."</f>
        <v>Close subfeed breaker #6 if it was initially in the closed position as recorded in step 1120.</v>
      </c>
      <c r="E1433" s="183" t="s">
        <v>1464</v>
      </c>
      <c r="F1433" s="186"/>
      <c r="G1433" s="187" t="s">
        <v>1519</v>
      </c>
    </row>
    <row r="1434" spans="1:7" ht="37.5" x14ac:dyDescent="0.25">
      <c r="A1434" s="200">
        <v>1429</v>
      </c>
      <c r="B1434" s="183" t="e">
        <f>DEEMSuite1&amp;" CRAC Gallery"</f>
        <v>#N/A</v>
      </c>
      <c r="C1434" s="183" t="s">
        <v>2935</v>
      </c>
      <c r="D1434" s="186" t="s">
        <v>3438</v>
      </c>
      <c r="E1434" s="183" t="s">
        <v>1464</v>
      </c>
      <c r="F1434" s="186"/>
      <c r="G1434" s="187" t="s">
        <v>1519</v>
      </c>
    </row>
    <row r="1435" spans="1:7" ht="37.5" x14ac:dyDescent="0.25">
      <c r="A1435" s="200">
        <v>1430</v>
      </c>
      <c r="B1435" s="183" t="e">
        <f>DEEMSuite1&amp;" CRAC Gallery"</f>
        <v>#N/A</v>
      </c>
      <c r="C1435" s="183" t="s">
        <v>2935</v>
      </c>
      <c r="D1435" s="186" t="str">
        <f>"Close subfeed breaker #1 if it was initially in the closed position as recorded in step " &amp; A1137 &amp; "."</f>
        <v>Close subfeed breaker #1 if it was initially in the closed position as recorded in step 1132.</v>
      </c>
      <c r="E1435" s="183" t="s">
        <v>1464</v>
      </c>
      <c r="F1435" s="186"/>
      <c r="G1435" s="187" t="s">
        <v>1519</v>
      </c>
    </row>
    <row r="1436" spans="1:7" ht="37.5" x14ac:dyDescent="0.25">
      <c r="A1436" s="200">
        <v>1431</v>
      </c>
      <c r="B1436" s="183" t="e">
        <f>DEEMSuite1&amp;" CRAC Gallery"</f>
        <v>#N/A</v>
      </c>
      <c r="C1436" s="183" t="s">
        <v>2935</v>
      </c>
      <c r="D1436" s="186" t="str">
        <f>"Close subfeed breaker #2 if it was initially in the closed position as recorded in step " &amp; A1138 &amp; "."</f>
        <v>Close subfeed breaker #2 if it was initially in the closed position as recorded in step 1133.</v>
      </c>
      <c r="E1436" s="183" t="s">
        <v>1464</v>
      </c>
      <c r="F1436" s="186"/>
      <c r="G1436" s="187" t="s">
        <v>1519</v>
      </c>
    </row>
    <row r="1437" spans="1:7" ht="37.5" x14ac:dyDescent="0.25">
      <c r="A1437" s="200">
        <v>1432</v>
      </c>
      <c r="B1437" s="183" t="e">
        <f>DEEMSuite1&amp;" CRAC Gallery"</f>
        <v>#N/A</v>
      </c>
      <c r="C1437" s="183" t="s">
        <v>2935</v>
      </c>
      <c r="D1437" s="186" t="str">
        <f>"Close subfeed breaker #3 if it was initially in the closed position as recorded in step " &amp; A1139 &amp; "."</f>
        <v>Close subfeed breaker #3 if it was initially in the closed position as recorded in step 1134.</v>
      </c>
      <c r="E1437" s="183" t="s">
        <v>1464</v>
      </c>
      <c r="F1437" s="186"/>
      <c r="G1437" s="187" t="s">
        <v>1519</v>
      </c>
    </row>
    <row r="1438" spans="1:7" ht="37.5" x14ac:dyDescent="0.25">
      <c r="A1438" s="200">
        <v>1433</v>
      </c>
      <c r="B1438" s="183" t="e">
        <f>DEEMSuite1&amp;" CRAC Gallery"</f>
        <v>#N/A</v>
      </c>
      <c r="C1438" s="183" t="s">
        <v>2935</v>
      </c>
      <c r="D1438" s="186" t="str">
        <f>"Close subfeed breaker #4 if it was initially in the closed position as recorded in step " &amp; A1140 &amp; "."</f>
        <v>Close subfeed breaker #4 if it was initially in the closed position as recorded in step 1135.</v>
      </c>
      <c r="E1438" s="183" t="s">
        <v>1464</v>
      </c>
      <c r="F1438" s="186"/>
      <c r="G1438" s="187" t="s">
        <v>1519</v>
      </c>
    </row>
    <row r="1439" spans="1:7" ht="37.5" x14ac:dyDescent="0.25">
      <c r="A1439" s="200">
        <v>1434</v>
      </c>
      <c r="B1439" s="183" t="e">
        <f>DEEMSuite1&amp;" CRAC Gallery"</f>
        <v>#N/A</v>
      </c>
      <c r="C1439" s="183" t="s">
        <v>2935</v>
      </c>
      <c r="D1439" s="186" t="str">
        <f>"Close subfeed breaker #5 if it was initially in the closed position as recorded in step " &amp; A1141 &amp; "."</f>
        <v>Close subfeed breaker #5 if it was initially in the closed position as recorded in step 1136.</v>
      </c>
      <c r="E1439" s="183" t="s">
        <v>1464</v>
      </c>
      <c r="F1439" s="186"/>
      <c r="G1439" s="187" t="s">
        <v>1519</v>
      </c>
    </row>
    <row r="1440" spans="1:7" ht="37.5" x14ac:dyDescent="0.25">
      <c r="A1440" s="200">
        <v>1435</v>
      </c>
      <c r="B1440" s="183" t="e">
        <f>DEEMSuite1&amp;" CRAC Gallery"</f>
        <v>#N/A</v>
      </c>
      <c r="C1440" s="183" t="s">
        <v>2935</v>
      </c>
      <c r="D1440" s="186" t="str">
        <f>"Close subfeed breaker #6 if it was initially in the closed position as recorded in step " &amp; A1142 &amp; "."</f>
        <v>Close subfeed breaker #6 if it was initially in the closed position as recorded in step 1137.</v>
      </c>
      <c r="E1440" s="183" t="s">
        <v>1464</v>
      </c>
      <c r="F1440" s="186"/>
      <c r="G1440" s="187" t="s">
        <v>1519</v>
      </c>
    </row>
    <row r="1441" spans="1:7" ht="37.5" x14ac:dyDescent="0.25">
      <c r="A1441" s="200">
        <v>1436</v>
      </c>
      <c r="B1441" s="183" t="e">
        <f>DEEMSuite1&amp;" CRAC Gallery"</f>
        <v>#N/A</v>
      </c>
      <c r="C1441" s="183" t="s">
        <v>2936</v>
      </c>
      <c r="D1441" s="186" t="s">
        <v>3439</v>
      </c>
      <c r="E1441" s="183" t="s">
        <v>1464</v>
      </c>
      <c r="F1441" s="186"/>
      <c r="G1441" s="187" t="s">
        <v>1519</v>
      </c>
    </row>
    <row r="1442" spans="1:7" ht="37.5" x14ac:dyDescent="0.25">
      <c r="A1442" s="200">
        <v>1437</v>
      </c>
      <c r="B1442" s="183" t="e">
        <f>DEEMSuite1&amp;" CRAC Gallery"</f>
        <v>#N/A</v>
      </c>
      <c r="C1442" s="183" t="s">
        <v>2936</v>
      </c>
      <c r="D1442" s="186" t="str">
        <f>"Close subfeed breaker #1 if it was initially in the closed position as recorded in step " &amp; A1154 &amp; "."</f>
        <v>Close subfeed breaker #1 if it was initially in the closed position as recorded in step 1149.</v>
      </c>
      <c r="E1442" s="183" t="s">
        <v>1464</v>
      </c>
      <c r="F1442" s="186"/>
      <c r="G1442" s="187" t="s">
        <v>1519</v>
      </c>
    </row>
    <row r="1443" spans="1:7" ht="37.5" x14ac:dyDescent="0.25">
      <c r="A1443" s="200">
        <v>1438</v>
      </c>
      <c r="B1443" s="183" t="e">
        <f>DEEMSuite1&amp;" CRAC Gallery"</f>
        <v>#N/A</v>
      </c>
      <c r="C1443" s="183" t="s">
        <v>2936</v>
      </c>
      <c r="D1443" s="186" t="str">
        <f>"Close subfeed breaker #2 if it was initially in the closed position as recorded in step " &amp; A1155 &amp; "."</f>
        <v>Close subfeed breaker #2 if it was initially in the closed position as recorded in step 1150.</v>
      </c>
      <c r="E1443" s="183" t="s">
        <v>1464</v>
      </c>
      <c r="F1443" s="186"/>
      <c r="G1443" s="187" t="s">
        <v>1519</v>
      </c>
    </row>
    <row r="1444" spans="1:7" ht="37.5" x14ac:dyDescent="0.25">
      <c r="A1444" s="200">
        <v>1439</v>
      </c>
      <c r="B1444" s="183" t="e">
        <f>DEEMSuite1&amp;" CRAC Gallery"</f>
        <v>#N/A</v>
      </c>
      <c r="C1444" s="183" t="s">
        <v>2936</v>
      </c>
      <c r="D1444" s="186" t="str">
        <f>"Close subfeed breaker #3 if it was initially in the closed position as recorded in step " &amp; A1156 &amp; "."</f>
        <v>Close subfeed breaker #3 if it was initially in the closed position as recorded in step 1151.</v>
      </c>
      <c r="E1444" s="183" t="s">
        <v>1464</v>
      </c>
      <c r="F1444" s="186"/>
      <c r="G1444" s="187" t="s">
        <v>1519</v>
      </c>
    </row>
    <row r="1445" spans="1:7" ht="37.5" x14ac:dyDescent="0.25">
      <c r="A1445" s="200">
        <v>1440</v>
      </c>
      <c r="B1445" s="183" t="e">
        <f>DEEMSuite1&amp;" CRAC Gallery"</f>
        <v>#N/A</v>
      </c>
      <c r="C1445" s="183" t="s">
        <v>2936</v>
      </c>
      <c r="D1445" s="186" t="str">
        <f>"Close subfeed breaker #4 if it was initially in the closed position as recorded in step " &amp; A1157 &amp; "."</f>
        <v>Close subfeed breaker #4 if it was initially in the closed position as recorded in step 1152.</v>
      </c>
      <c r="E1445" s="183" t="s">
        <v>1464</v>
      </c>
      <c r="F1445" s="186"/>
      <c r="G1445" s="187" t="s">
        <v>1519</v>
      </c>
    </row>
    <row r="1446" spans="1:7" ht="37.5" x14ac:dyDescent="0.25">
      <c r="A1446" s="200">
        <v>1441</v>
      </c>
      <c r="B1446" s="183" t="e">
        <f>DEEMSuite1&amp;" CRAC Gallery"</f>
        <v>#N/A</v>
      </c>
      <c r="C1446" s="183" t="s">
        <v>2936</v>
      </c>
      <c r="D1446" s="186" t="str">
        <f>"Close subfeed breaker #5 if it was initially in the closed position as recorded in step " &amp; A1158 &amp; "."</f>
        <v>Close subfeed breaker #5 if it was initially in the closed position as recorded in step 1153.</v>
      </c>
      <c r="E1446" s="183" t="s">
        <v>1464</v>
      </c>
      <c r="F1446" s="186"/>
      <c r="G1446" s="187" t="s">
        <v>1519</v>
      </c>
    </row>
    <row r="1447" spans="1:7" ht="37.5" x14ac:dyDescent="0.25">
      <c r="A1447" s="200">
        <v>1442</v>
      </c>
      <c r="B1447" s="183" t="e">
        <f>DEEMSuite1&amp;" CRAC Gallery"</f>
        <v>#N/A</v>
      </c>
      <c r="C1447" s="183" t="s">
        <v>2936</v>
      </c>
      <c r="D1447" s="186" t="str">
        <f>"Close subfeed breaker #6 if it was initially in the closed position as recorded in step " &amp; A1159 &amp; "."</f>
        <v>Close subfeed breaker #6 if it was initially in the closed position as recorded in step 1154.</v>
      </c>
      <c r="E1447" s="183" t="s">
        <v>1464</v>
      </c>
      <c r="F1447" s="186"/>
      <c r="G1447" s="187" t="s">
        <v>1519</v>
      </c>
    </row>
    <row r="1448" spans="1:7" ht="37.5" x14ac:dyDescent="0.25">
      <c r="A1448" s="200">
        <v>1443</v>
      </c>
      <c r="B1448" s="183" t="e">
        <f>DEEMSuite1&amp;" CRAC Gallery"</f>
        <v>#N/A</v>
      </c>
      <c r="C1448" s="183" t="s">
        <v>2937</v>
      </c>
      <c r="D1448" s="186" t="s">
        <v>3440</v>
      </c>
      <c r="E1448" s="183" t="s">
        <v>1464</v>
      </c>
      <c r="F1448" s="186"/>
      <c r="G1448" s="187" t="s">
        <v>1519</v>
      </c>
    </row>
    <row r="1449" spans="1:7" ht="37.5" x14ac:dyDescent="0.25">
      <c r="A1449" s="200">
        <v>1444</v>
      </c>
      <c r="B1449" s="183" t="e">
        <f>DEEMSuite1&amp;" CRAC Gallery"</f>
        <v>#N/A</v>
      </c>
      <c r="C1449" s="183" t="s">
        <v>2937</v>
      </c>
      <c r="D1449" s="186" t="str">
        <f>"Close subfeed breaker #1 if it was initially in the closed position as recorded in step " &amp; A1171 &amp; "."</f>
        <v>Close subfeed breaker #1 if it was initially in the closed position as recorded in step 1166.</v>
      </c>
      <c r="E1449" s="183" t="s">
        <v>1464</v>
      </c>
      <c r="F1449" s="186"/>
      <c r="G1449" s="187" t="s">
        <v>1519</v>
      </c>
    </row>
    <row r="1450" spans="1:7" ht="37.5" x14ac:dyDescent="0.25">
      <c r="A1450" s="200">
        <v>1445</v>
      </c>
      <c r="B1450" s="183" t="e">
        <f>DEEMSuite1&amp;" CRAC Gallery"</f>
        <v>#N/A</v>
      </c>
      <c r="C1450" s="183" t="s">
        <v>2937</v>
      </c>
      <c r="D1450" s="186" t="str">
        <f>"Close subfeed breaker #2 if it was initially in the closed position as recorded in step " &amp; A1172 &amp; "."</f>
        <v>Close subfeed breaker #2 if it was initially in the closed position as recorded in step 1167.</v>
      </c>
      <c r="E1450" s="183" t="s">
        <v>1464</v>
      </c>
      <c r="F1450" s="186"/>
      <c r="G1450" s="187" t="s">
        <v>1519</v>
      </c>
    </row>
    <row r="1451" spans="1:7" ht="37.5" x14ac:dyDescent="0.25">
      <c r="A1451" s="200">
        <v>1446</v>
      </c>
      <c r="B1451" s="183" t="e">
        <f>DEEMSuite1&amp;" CRAC Gallery"</f>
        <v>#N/A</v>
      </c>
      <c r="C1451" s="183" t="s">
        <v>2937</v>
      </c>
      <c r="D1451" s="186" t="str">
        <f>"Close subfeed breaker #3 if it was initially in the closed position as recorded in step " &amp; A1173 &amp; "."</f>
        <v>Close subfeed breaker #3 if it was initially in the closed position as recorded in step 1168.</v>
      </c>
      <c r="E1451" s="183" t="s">
        <v>1464</v>
      </c>
      <c r="F1451" s="186"/>
      <c r="G1451" s="187" t="s">
        <v>1519</v>
      </c>
    </row>
    <row r="1452" spans="1:7" ht="37.5" x14ac:dyDescent="0.25">
      <c r="A1452" s="200">
        <v>1447</v>
      </c>
      <c r="B1452" s="183" t="e">
        <f>DEEMSuite1&amp;" CRAC Gallery"</f>
        <v>#N/A</v>
      </c>
      <c r="C1452" s="183" t="s">
        <v>2937</v>
      </c>
      <c r="D1452" s="186" t="str">
        <f>"Close subfeed breaker #4 if it was initially in the closed position as recorded in step " &amp; A1174 &amp; "."</f>
        <v>Close subfeed breaker #4 if it was initially in the closed position as recorded in step 1169.</v>
      </c>
      <c r="E1452" s="183" t="s">
        <v>1464</v>
      </c>
      <c r="F1452" s="186"/>
      <c r="G1452" s="187" t="s">
        <v>1519</v>
      </c>
    </row>
    <row r="1453" spans="1:7" ht="37.5" x14ac:dyDescent="0.25">
      <c r="A1453" s="200">
        <v>1448</v>
      </c>
      <c r="B1453" s="183" t="e">
        <f>DEEMSuite1&amp;" CRAC Gallery"</f>
        <v>#N/A</v>
      </c>
      <c r="C1453" s="183" t="s">
        <v>2937</v>
      </c>
      <c r="D1453" s="186" t="str">
        <f>"Close subfeed breaker #5 if it was initially in the closed position as recorded in step " &amp; A1175 &amp; "."</f>
        <v>Close subfeed breaker #5 if it was initially in the closed position as recorded in step 1170.</v>
      </c>
      <c r="E1453" s="183" t="s">
        <v>1464</v>
      </c>
      <c r="F1453" s="186"/>
      <c r="G1453" s="187" t="s">
        <v>1519</v>
      </c>
    </row>
    <row r="1454" spans="1:7" ht="37.5" x14ac:dyDescent="0.25">
      <c r="A1454" s="200">
        <v>1449</v>
      </c>
      <c r="B1454" s="183" t="e">
        <f>DEEMSuite1&amp;" CRAC Gallery"</f>
        <v>#N/A</v>
      </c>
      <c r="C1454" s="183" t="s">
        <v>2937</v>
      </c>
      <c r="D1454" s="186" t="str">
        <f>"Close subfeed breaker #6 if it was initially in the closed position as recorded in step " &amp; A1176 &amp; "."</f>
        <v>Close subfeed breaker #6 if it was initially in the closed position as recorded in step 1171.</v>
      </c>
      <c r="E1454" s="183" t="s">
        <v>1464</v>
      </c>
      <c r="F1454" s="186"/>
      <c r="G1454" s="187" t="s">
        <v>1519</v>
      </c>
    </row>
    <row r="1455" spans="1:7" x14ac:dyDescent="0.25">
      <c r="A1455" s="200">
        <v>1450</v>
      </c>
      <c r="B1455" s="756" t="s">
        <v>3441</v>
      </c>
      <c r="C1455" s="757"/>
      <c r="D1455" s="757"/>
      <c r="E1455" s="757"/>
      <c r="F1455" s="757"/>
      <c r="G1455" s="758"/>
    </row>
    <row r="1456" spans="1:7" ht="37.5" x14ac:dyDescent="0.25">
      <c r="A1456" s="200">
        <v>1451</v>
      </c>
      <c r="B1456" s="183" t="e">
        <f>DEEMSuite1&amp;" Electrical Room B"</f>
        <v>#N/A</v>
      </c>
      <c r="C1456" s="183" t="s">
        <v>1566</v>
      </c>
      <c r="D1456" s="186" t="s">
        <v>3116</v>
      </c>
      <c r="E1456" s="183" t="s">
        <v>1464</v>
      </c>
      <c r="F1456" s="186"/>
      <c r="G1456" s="187" t="s">
        <v>1519</v>
      </c>
    </row>
    <row r="1457" spans="1:7" ht="37.5" x14ac:dyDescent="0.25">
      <c r="A1457" s="200">
        <v>1452</v>
      </c>
      <c r="B1457" s="183" t="e">
        <f>DEEMSuite1&amp;" Electrical Room B"</f>
        <v>#N/A</v>
      </c>
      <c r="C1457" s="183" t="s">
        <v>2729</v>
      </c>
      <c r="D1457" s="186" t="s">
        <v>3428</v>
      </c>
      <c r="E1457" s="183" t="s">
        <v>1464</v>
      </c>
      <c r="F1457" s="186"/>
      <c r="G1457" s="187" t="s">
        <v>1519</v>
      </c>
    </row>
    <row r="1458" spans="1:7" ht="37.5" x14ac:dyDescent="0.25">
      <c r="A1458" s="200">
        <v>1453</v>
      </c>
      <c r="B1458" s="183" t="e">
        <f>DEEMSuite1&amp;" Electrical Room B"</f>
        <v>#N/A</v>
      </c>
      <c r="C1458" s="183" t="s">
        <v>2729</v>
      </c>
      <c r="D1458" s="187" t="s">
        <v>3123</v>
      </c>
      <c r="E1458" s="183" t="s">
        <v>1464</v>
      </c>
      <c r="F1458" s="186"/>
      <c r="G1458" s="187" t="s">
        <v>1519</v>
      </c>
    </row>
    <row r="1459" spans="1:7" ht="37.5" x14ac:dyDescent="0.25">
      <c r="A1459" s="200">
        <v>1454</v>
      </c>
      <c r="B1459" s="183" t="e">
        <f>DEEMSuite1&amp;" Electrical Room B"</f>
        <v>#N/A</v>
      </c>
      <c r="C1459" s="183" t="s">
        <v>2729</v>
      </c>
      <c r="D1459" s="187" t="s">
        <v>3124</v>
      </c>
      <c r="E1459" s="183" t="s">
        <v>1464</v>
      </c>
      <c r="F1459" s="186"/>
      <c r="G1459" s="187" t="s">
        <v>1519</v>
      </c>
    </row>
    <row r="1460" spans="1:7" ht="37.5" x14ac:dyDescent="0.25">
      <c r="A1460" s="200">
        <v>1455</v>
      </c>
      <c r="B1460" s="183" t="e">
        <f>DEEMSuite1&amp;" Electrical Room B"</f>
        <v>#N/A</v>
      </c>
      <c r="C1460" s="183" t="s">
        <v>2729</v>
      </c>
      <c r="D1460" s="187" t="s">
        <v>3125</v>
      </c>
      <c r="E1460" s="183" t="s">
        <v>1464</v>
      </c>
      <c r="F1460" s="186"/>
      <c r="G1460" s="187" t="s">
        <v>1519</v>
      </c>
    </row>
    <row r="1461" spans="1:7" ht="37.5" x14ac:dyDescent="0.25">
      <c r="A1461" s="200">
        <v>1456</v>
      </c>
      <c r="B1461" s="183" t="e">
        <f>DEEMSuite1&amp;" Electrical Room B"</f>
        <v>#N/A</v>
      </c>
      <c r="C1461" s="183" t="s">
        <v>2729</v>
      </c>
      <c r="D1461" s="187" t="s">
        <v>3442</v>
      </c>
      <c r="E1461" s="183" t="s">
        <v>1464</v>
      </c>
      <c r="F1461" s="186"/>
      <c r="G1461" s="187" t="s">
        <v>1519</v>
      </c>
    </row>
    <row r="1462" spans="1:7" ht="37.5" x14ac:dyDescent="0.25">
      <c r="A1462" s="200">
        <v>1457</v>
      </c>
      <c r="B1462" s="183" t="e">
        <f>DEEMSuite1&amp;" Electrical Room B"</f>
        <v>#N/A</v>
      </c>
      <c r="C1462" s="183" t="s">
        <v>2729</v>
      </c>
      <c r="D1462" s="187" t="s">
        <v>3127</v>
      </c>
      <c r="E1462" s="183" t="s">
        <v>1464</v>
      </c>
      <c r="F1462" s="186"/>
      <c r="G1462" s="187" t="s">
        <v>1519</v>
      </c>
    </row>
    <row r="1463" spans="1:7" ht="37.5" x14ac:dyDescent="0.25">
      <c r="A1463" s="200">
        <v>1458</v>
      </c>
      <c r="B1463" s="183" t="e">
        <f>DEEMSuite1&amp;" Electrical Room B"</f>
        <v>#N/A</v>
      </c>
      <c r="C1463" s="183" t="s">
        <v>2729</v>
      </c>
      <c r="D1463" s="187" t="s">
        <v>1731</v>
      </c>
      <c r="E1463" s="183" t="s">
        <v>1464</v>
      </c>
      <c r="F1463" s="186"/>
      <c r="G1463" s="187" t="s">
        <v>1519</v>
      </c>
    </row>
    <row r="1464" spans="1:7" ht="37.5" x14ac:dyDescent="0.25">
      <c r="A1464" s="200">
        <v>1459</v>
      </c>
      <c r="B1464" s="183" t="e">
        <f>DEEMSuite1&amp;" Electrical Room B"</f>
        <v>#N/A</v>
      </c>
      <c r="C1464" s="183" t="s">
        <v>2729</v>
      </c>
      <c r="D1464" s="187" t="s">
        <v>3120</v>
      </c>
      <c r="E1464" s="183" t="s">
        <v>1464</v>
      </c>
      <c r="F1464" s="186"/>
      <c r="G1464" s="187" t="s">
        <v>1519</v>
      </c>
    </row>
    <row r="1465" spans="1:7" ht="37.5" x14ac:dyDescent="0.25">
      <c r="A1465" s="200">
        <v>1460</v>
      </c>
      <c r="B1465" s="183" t="e">
        <f>DEEMSuite1&amp;" Electrical Room B"</f>
        <v>#N/A</v>
      </c>
      <c r="C1465" s="183" t="s">
        <v>2729</v>
      </c>
      <c r="D1465" s="187" t="s">
        <v>3443</v>
      </c>
      <c r="E1465" s="183" t="s">
        <v>1464</v>
      </c>
      <c r="F1465" s="186"/>
      <c r="G1465" s="187" t="s">
        <v>1519</v>
      </c>
    </row>
    <row r="1466" spans="1:7" ht="37.5" x14ac:dyDescent="0.25">
      <c r="A1466" s="200">
        <v>1461</v>
      </c>
      <c r="B1466" s="183" t="e">
        <f>DEEMSuite1&amp;" Electrical Room B"</f>
        <v>#N/A</v>
      </c>
      <c r="C1466" s="183" t="s">
        <v>2729</v>
      </c>
      <c r="D1466" s="187" t="s">
        <v>3129</v>
      </c>
      <c r="E1466" s="183" t="s">
        <v>1464</v>
      </c>
      <c r="F1466" s="186"/>
      <c r="G1466" s="187" t="s">
        <v>1519</v>
      </c>
    </row>
    <row r="1467" spans="1:7" ht="37.5" x14ac:dyDescent="0.25">
      <c r="A1467" s="200">
        <v>1462</v>
      </c>
      <c r="B1467" s="183" t="e">
        <f>DEEMSuite1&amp;" Electrical Room B"</f>
        <v>#N/A</v>
      </c>
      <c r="C1467" s="183" t="s">
        <v>2729</v>
      </c>
      <c r="D1467" s="187" t="s">
        <v>3125</v>
      </c>
      <c r="E1467" s="183" t="s">
        <v>1464</v>
      </c>
      <c r="F1467" s="186"/>
      <c r="G1467" s="187" t="s">
        <v>1519</v>
      </c>
    </row>
    <row r="1468" spans="1:7" ht="37.5" x14ac:dyDescent="0.25">
      <c r="A1468" s="200">
        <v>1463</v>
      </c>
      <c r="B1468" s="183" t="e">
        <f>DEEMSuite1&amp;" Electrical Room B"</f>
        <v>#N/A</v>
      </c>
      <c r="C1468" s="183" t="s">
        <v>2729</v>
      </c>
      <c r="D1468" s="187" t="s">
        <v>3130</v>
      </c>
      <c r="E1468" s="183" t="s">
        <v>1464</v>
      </c>
      <c r="F1468" s="186"/>
      <c r="G1468" s="187" t="s">
        <v>1519</v>
      </c>
    </row>
    <row r="1469" spans="1:7" ht="37.5" x14ac:dyDescent="0.25">
      <c r="A1469" s="200">
        <v>1464</v>
      </c>
      <c r="B1469" s="183" t="e">
        <f>DEEMSuite1&amp;" Electrical Room B"</f>
        <v>#N/A</v>
      </c>
      <c r="C1469" s="183" t="s">
        <v>2729</v>
      </c>
      <c r="D1469" s="207" t="s">
        <v>3131</v>
      </c>
      <c r="E1469" s="183" t="s">
        <v>1464</v>
      </c>
      <c r="F1469" s="186"/>
      <c r="G1469" s="187" t="s">
        <v>1519</v>
      </c>
    </row>
    <row r="1470" spans="1:7" ht="37.5" x14ac:dyDescent="0.25">
      <c r="A1470" s="200">
        <v>1465</v>
      </c>
      <c r="B1470" s="183" t="e">
        <f>DEEMSuite1&amp;" Electrical Room B"</f>
        <v>#N/A</v>
      </c>
      <c r="C1470" s="183" t="s">
        <v>2729</v>
      </c>
      <c r="D1470" s="204" t="s">
        <v>1646</v>
      </c>
      <c r="E1470" s="183" t="s">
        <v>1464</v>
      </c>
      <c r="F1470" s="186"/>
      <c r="G1470" s="187" t="s">
        <v>1519</v>
      </c>
    </row>
    <row r="1471" spans="1:7" ht="37.5" x14ac:dyDescent="0.25">
      <c r="A1471" s="200">
        <v>1466</v>
      </c>
      <c r="B1471" s="183" t="e">
        <f>DEEMSuite1&amp;" Electrical Room B"</f>
        <v>#N/A</v>
      </c>
      <c r="C1471" s="183" t="s">
        <v>1476</v>
      </c>
      <c r="D1471" s="208" t="s">
        <v>3444</v>
      </c>
      <c r="E1471" s="183" t="s">
        <v>1464</v>
      </c>
      <c r="F1471" s="186"/>
      <c r="G1471" s="187" t="s">
        <v>1519</v>
      </c>
    </row>
    <row r="1472" spans="1:7" x14ac:dyDescent="0.25">
      <c r="A1472" s="200">
        <v>1467</v>
      </c>
      <c r="B1472" s="756" t="s">
        <v>3445</v>
      </c>
      <c r="C1472" s="757"/>
      <c r="D1472" s="757"/>
      <c r="E1472" s="757"/>
      <c r="F1472" s="757"/>
      <c r="G1472" s="758"/>
    </row>
    <row r="1473" spans="1:7" ht="37.5" x14ac:dyDescent="0.25">
      <c r="A1473" s="200">
        <v>1468</v>
      </c>
      <c r="B1473" s="183" t="e">
        <f>DEEMSuite1&amp;" Electrical Room B"</f>
        <v>#N/A</v>
      </c>
      <c r="C1473" s="183" t="s">
        <v>3380</v>
      </c>
      <c r="D1473" s="187" t="s">
        <v>3381</v>
      </c>
      <c r="E1473" s="183" t="s">
        <v>1464</v>
      </c>
      <c r="F1473" s="186"/>
      <c r="G1473" s="187" t="s">
        <v>1519</v>
      </c>
    </row>
    <row r="1474" spans="1:7" ht="37.5" x14ac:dyDescent="0.25">
      <c r="A1474" s="200">
        <v>1469</v>
      </c>
      <c r="B1474" s="183" t="e">
        <f>DEEMSuite1&amp;" Electrical Room B"</f>
        <v>#N/A</v>
      </c>
      <c r="C1474" s="183" t="s">
        <v>3380</v>
      </c>
      <c r="D1474" s="187" t="s">
        <v>2981</v>
      </c>
      <c r="E1474" s="183" t="s">
        <v>1464</v>
      </c>
      <c r="F1474" s="186"/>
      <c r="G1474" s="187" t="s">
        <v>1519</v>
      </c>
    </row>
    <row r="1475" spans="1:7" ht="37.5" x14ac:dyDescent="0.25">
      <c r="A1475" s="200">
        <v>1470</v>
      </c>
      <c r="B1475" s="183" t="e">
        <f>DEEMSuite1&amp;" Electrical Room B"</f>
        <v>#N/A</v>
      </c>
      <c r="C1475" s="183" t="s">
        <v>3380</v>
      </c>
      <c r="D1475" s="187" t="s">
        <v>3147</v>
      </c>
      <c r="E1475" s="183" t="s">
        <v>1464</v>
      </c>
      <c r="F1475" s="186"/>
      <c r="G1475" s="187" t="s">
        <v>1519</v>
      </c>
    </row>
    <row r="1476" spans="1:7" ht="37.5" x14ac:dyDescent="0.25">
      <c r="A1476" s="200">
        <v>1471</v>
      </c>
      <c r="B1476" s="183" t="e">
        <f>DEEMSuite1&amp;" Electrical Room B"</f>
        <v>#N/A</v>
      </c>
      <c r="C1476" s="183" t="s">
        <v>3380</v>
      </c>
      <c r="D1476" s="187" t="s">
        <v>3148</v>
      </c>
      <c r="E1476" s="183" t="s">
        <v>1464</v>
      </c>
      <c r="F1476" s="186"/>
      <c r="G1476" s="187" t="s">
        <v>1519</v>
      </c>
    </row>
    <row r="1477" spans="1:7" ht="37.5" x14ac:dyDescent="0.25">
      <c r="A1477" s="200">
        <v>1472</v>
      </c>
      <c r="B1477" s="183" t="e">
        <f>DEEMSuite1&amp;" Electrical Room B"</f>
        <v>#N/A</v>
      </c>
      <c r="C1477" s="183" t="s">
        <v>3382</v>
      </c>
      <c r="D1477" s="186" t="s">
        <v>3446</v>
      </c>
      <c r="E1477" s="183" t="s">
        <v>1464</v>
      </c>
      <c r="F1477" s="186"/>
      <c r="G1477" s="187" t="s">
        <v>1519</v>
      </c>
    </row>
    <row r="1478" spans="1:7" ht="37.5" x14ac:dyDescent="0.25">
      <c r="A1478" s="200">
        <v>1473</v>
      </c>
      <c r="B1478" s="183" t="e">
        <f>DEEMSuite1&amp;" Electrical Room B"</f>
        <v>#N/A</v>
      </c>
      <c r="C1478" s="183" t="s">
        <v>3382</v>
      </c>
      <c r="D1478" s="204" t="s">
        <v>1557</v>
      </c>
      <c r="E1478" s="183" t="s">
        <v>1464</v>
      </c>
      <c r="F1478" s="186"/>
      <c r="G1478" s="187" t="s">
        <v>1519</v>
      </c>
    </row>
    <row r="1479" spans="1:7" ht="37.5" x14ac:dyDescent="0.25">
      <c r="A1479" s="200">
        <v>1474</v>
      </c>
      <c r="B1479" s="183" t="e">
        <f>DEEMSuite1&amp;" Electrical Room B"</f>
        <v>#N/A</v>
      </c>
      <c r="C1479" s="183" t="s">
        <v>3382</v>
      </c>
      <c r="D1479" s="186" t="s">
        <v>3150</v>
      </c>
      <c r="E1479" s="183" t="s">
        <v>1464</v>
      </c>
      <c r="F1479" s="186"/>
      <c r="G1479" s="187" t="s">
        <v>1519</v>
      </c>
    </row>
    <row r="1480" spans="1:7" ht="37.5" x14ac:dyDescent="0.25">
      <c r="A1480" s="200">
        <v>1475</v>
      </c>
      <c r="B1480" s="183" t="e">
        <f>DEEMSuite1&amp;" Electrical Room B"</f>
        <v>#N/A</v>
      </c>
      <c r="C1480" s="183" t="s">
        <v>3380</v>
      </c>
      <c r="D1480" s="186" t="s">
        <v>3151</v>
      </c>
      <c r="E1480" s="183" t="s">
        <v>1464</v>
      </c>
      <c r="F1480" s="186"/>
      <c r="G1480" s="187" t="s">
        <v>1519</v>
      </c>
    </row>
    <row r="1481" spans="1:7" ht="37.5" x14ac:dyDescent="0.25">
      <c r="A1481" s="200">
        <v>1476</v>
      </c>
      <c r="B1481" s="183" t="e">
        <f>DEEMSuite1&amp;" Electrical Room B"</f>
        <v>#N/A</v>
      </c>
      <c r="C1481" s="183" t="s">
        <v>3385</v>
      </c>
      <c r="D1481" s="186" t="s">
        <v>3151</v>
      </c>
      <c r="E1481" s="183" t="s">
        <v>1464</v>
      </c>
      <c r="F1481" s="186"/>
      <c r="G1481" s="187" t="s">
        <v>1519</v>
      </c>
    </row>
    <row r="1482" spans="1:7" x14ac:dyDescent="0.25">
      <c r="A1482" s="200">
        <v>1477</v>
      </c>
      <c r="B1482" s="756" t="s">
        <v>3447</v>
      </c>
      <c r="C1482" s="757"/>
      <c r="D1482" s="757"/>
      <c r="E1482" s="757"/>
      <c r="F1482" s="757"/>
      <c r="G1482" s="758"/>
    </row>
    <row r="1483" spans="1:7" ht="56.25" x14ac:dyDescent="0.25">
      <c r="A1483" s="200">
        <v>1478</v>
      </c>
      <c r="B1483" s="183" t="e">
        <f>DEEMSuite1&amp;" CRAC Gallery"</f>
        <v>#N/A</v>
      </c>
      <c r="C1483" s="183" t="s">
        <v>84</v>
      </c>
      <c r="D1483" s="186" t="s">
        <v>3153</v>
      </c>
      <c r="E1483" s="183" t="s">
        <v>1464</v>
      </c>
      <c r="F1483" s="186"/>
      <c r="G1483" s="187" t="s">
        <v>1519</v>
      </c>
    </row>
    <row r="1484" spans="1:7" ht="37.5" x14ac:dyDescent="0.25">
      <c r="A1484" s="200">
        <v>1479</v>
      </c>
      <c r="B1484" s="183" t="e">
        <f>DEEMSuite1&amp;" CRAC Gallery"</f>
        <v>#N/A</v>
      </c>
      <c r="C1484" s="183" t="s">
        <v>2933</v>
      </c>
      <c r="D1484" s="186" t="s">
        <v>3448</v>
      </c>
      <c r="E1484" s="183" t="s">
        <v>1464</v>
      </c>
      <c r="F1484" s="186"/>
      <c r="G1484" s="187" t="s">
        <v>1519</v>
      </c>
    </row>
    <row r="1485" spans="1:7" ht="37.5" x14ac:dyDescent="0.25">
      <c r="A1485" s="200">
        <v>1480</v>
      </c>
      <c r="B1485" s="183" t="e">
        <f>DEEMSuite1&amp;" CRAC Gallery"</f>
        <v>#N/A</v>
      </c>
      <c r="C1485" s="183" t="s">
        <v>2933</v>
      </c>
      <c r="D1485" s="186" t="s">
        <v>3449</v>
      </c>
      <c r="E1485" s="183" t="s">
        <v>1464</v>
      </c>
      <c r="F1485" s="186"/>
      <c r="G1485" s="187" t="s">
        <v>1519</v>
      </c>
    </row>
    <row r="1486" spans="1:7" ht="37.5" x14ac:dyDescent="0.25">
      <c r="A1486" s="200">
        <v>1481</v>
      </c>
      <c r="B1486" s="183" t="e">
        <f>DEEMSuite1&amp;" CRAC Gallery"</f>
        <v>#N/A</v>
      </c>
      <c r="C1486" s="183" t="s">
        <v>2933</v>
      </c>
      <c r="D1486" s="186" t="s">
        <v>3450</v>
      </c>
      <c r="E1486" s="183" t="s">
        <v>1464</v>
      </c>
      <c r="F1486" s="186"/>
      <c r="G1486" s="187" t="s">
        <v>1519</v>
      </c>
    </row>
    <row r="1487" spans="1:7" ht="37.5" x14ac:dyDescent="0.25">
      <c r="A1487" s="200">
        <v>1482</v>
      </c>
      <c r="B1487" s="183" t="e">
        <f>DEEMSuite1&amp;" CRAC Gallery"</f>
        <v>#N/A</v>
      </c>
      <c r="C1487" s="183" t="s">
        <v>2933</v>
      </c>
      <c r="D1487" s="186" t="s">
        <v>3451</v>
      </c>
      <c r="E1487" s="183" t="s">
        <v>1464</v>
      </c>
      <c r="F1487" s="186"/>
      <c r="G1487" s="187" t="s">
        <v>1519</v>
      </c>
    </row>
    <row r="1488" spans="1:7" ht="37.5" x14ac:dyDescent="0.25">
      <c r="A1488" s="200">
        <v>1483</v>
      </c>
      <c r="B1488" s="183" t="e">
        <f>DEEMSuite1&amp;" CRAC Gallery"</f>
        <v>#N/A</v>
      </c>
      <c r="C1488" s="183" t="s">
        <v>2933</v>
      </c>
      <c r="D1488" s="186" t="s">
        <v>3452</v>
      </c>
      <c r="E1488" s="183" t="s">
        <v>1464</v>
      </c>
      <c r="F1488" s="186"/>
      <c r="G1488" s="187" t="s">
        <v>1519</v>
      </c>
    </row>
    <row r="1489" spans="1:7" ht="37.5" x14ac:dyDescent="0.25">
      <c r="A1489" s="200">
        <v>1484</v>
      </c>
      <c r="B1489" s="183" t="e">
        <f>DEEMSuite1&amp;" CRAC Gallery"</f>
        <v>#N/A</v>
      </c>
      <c r="C1489" s="183" t="s">
        <v>2933</v>
      </c>
      <c r="D1489" s="186" t="s">
        <v>3453</v>
      </c>
      <c r="E1489" s="183" t="s">
        <v>1464</v>
      </c>
      <c r="F1489" s="186"/>
      <c r="G1489" s="187" t="s">
        <v>1519</v>
      </c>
    </row>
    <row r="1490" spans="1:7" ht="37.5" x14ac:dyDescent="0.25">
      <c r="A1490" s="200">
        <v>1485</v>
      </c>
      <c r="B1490" s="183" t="e">
        <f>DEEMSuite1&amp;" CRAC Gallery"</f>
        <v>#N/A</v>
      </c>
      <c r="C1490" s="183" t="s">
        <v>2934</v>
      </c>
      <c r="D1490" s="186" t="s">
        <v>3454</v>
      </c>
      <c r="E1490" s="183" t="s">
        <v>1464</v>
      </c>
      <c r="F1490" s="186"/>
      <c r="G1490" s="187" t="s">
        <v>1519</v>
      </c>
    </row>
    <row r="1491" spans="1:7" ht="37.5" x14ac:dyDescent="0.25">
      <c r="A1491" s="200">
        <v>1486</v>
      </c>
      <c r="B1491" s="183" t="e">
        <f>DEEMSuite1&amp;" CRAC Gallery"</f>
        <v>#N/A</v>
      </c>
      <c r="C1491" s="183" t="s">
        <v>2934</v>
      </c>
      <c r="D1491" s="186" t="s">
        <v>3455</v>
      </c>
      <c r="E1491" s="183" t="s">
        <v>1464</v>
      </c>
      <c r="F1491" s="186"/>
      <c r="G1491" s="187" t="s">
        <v>1519</v>
      </c>
    </row>
    <row r="1492" spans="1:7" ht="37.5" x14ac:dyDescent="0.25">
      <c r="A1492" s="200">
        <v>1487</v>
      </c>
      <c r="B1492" s="183" t="e">
        <f>DEEMSuite1&amp;" CRAC Gallery"</f>
        <v>#N/A</v>
      </c>
      <c r="C1492" s="183" t="s">
        <v>2934</v>
      </c>
      <c r="D1492" s="186" t="s">
        <v>3456</v>
      </c>
      <c r="E1492" s="183" t="s">
        <v>1464</v>
      </c>
      <c r="F1492" s="186"/>
      <c r="G1492" s="187" t="s">
        <v>1519</v>
      </c>
    </row>
    <row r="1493" spans="1:7" ht="37.5" x14ac:dyDescent="0.25">
      <c r="A1493" s="200">
        <v>1488</v>
      </c>
      <c r="B1493" s="183" t="e">
        <f>DEEMSuite1&amp;" CRAC Gallery"</f>
        <v>#N/A</v>
      </c>
      <c r="C1493" s="183" t="s">
        <v>2934</v>
      </c>
      <c r="D1493" s="186" t="s">
        <v>3457</v>
      </c>
      <c r="E1493" s="183" t="s">
        <v>1464</v>
      </c>
      <c r="F1493" s="186"/>
      <c r="G1493" s="187" t="s">
        <v>1519</v>
      </c>
    </row>
    <row r="1494" spans="1:7" ht="37.5" x14ac:dyDescent="0.25">
      <c r="A1494" s="200">
        <v>1489</v>
      </c>
      <c r="B1494" s="183" t="e">
        <f>DEEMSuite1&amp;" CRAC Gallery"</f>
        <v>#N/A</v>
      </c>
      <c r="C1494" s="183" t="s">
        <v>2934</v>
      </c>
      <c r="D1494" s="186" t="s">
        <v>3458</v>
      </c>
      <c r="E1494" s="183" t="s">
        <v>1464</v>
      </c>
      <c r="F1494" s="186"/>
      <c r="G1494" s="187" t="s">
        <v>1519</v>
      </c>
    </row>
    <row r="1495" spans="1:7" ht="37.5" x14ac:dyDescent="0.25">
      <c r="A1495" s="200">
        <v>1490</v>
      </c>
      <c r="B1495" s="183" t="e">
        <f>DEEMSuite1&amp;" CRAC Gallery"</f>
        <v>#N/A</v>
      </c>
      <c r="C1495" s="183" t="s">
        <v>2934</v>
      </c>
      <c r="D1495" s="186" t="s">
        <v>3459</v>
      </c>
      <c r="E1495" s="183" t="s">
        <v>1464</v>
      </c>
      <c r="F1495" s="186"/>
      <c r="G1495" s="187" t="s">
        <v>1519</v>
      </c>
    </row>
    <row r="1496" spans="1:7" ht="37.5" x14ac:dyDescent="0.25">
      <c r="A1496" s="200">
        <v>1491</v>
      </c>
      <c r="B1496" s="183" t="e">
        <f>DEEMSuite1&amp;" CRAC Gallery"</f>
        <v>#N/A</v>
      </c>
      <c r="C1496" s="183" t="s">
        <v>2935</v>
      </c>
      <c r="D1496" s="186" t="s">
        <v>3460</v>
      </c>
      <c r="E1496" s="183" t="s">
        <v>1464</v>
      </c>
      <c r="F1496" s="186"/>
      <c r="G1496" s="187" t="s">
        <v>1519</v>
      </c>
    </row>
    <row r="1497" spans="1:7" ht="37.5" x14ac:dyDescent="0.25">
      <c r="A1497" s="200">
        <v>1492</v>
      </c>
      <c r="B1497" s="183" t="e">
        <f>DEEMSuite1&amp;" CRAC Gallery"</f>
        <v>#N/A</v>
      </c>
      <c r="C1497" s="183" t="s">
        <v>2935</v>
      </c>
      <c r="D1497" s="186" t="s">
        <v>3461</v>
      </c>
      <c r="E1497" s="183" t="s">
        <v>1464</v>
      </c>
      <c r="F1497" s="186"/>
      <c r="G1497" s="187" t="s">
        <v>1519</v>
      </c>
    </row>
    <row r="1498" spans="1:7" ht="37.5" x14ac:dyDescent="0.25">
      <c r="A1498" s="200">
        <v>1493</v>
      </c>
      <c r="B1498" s="183" t="e">
        <f>DEEMSuite1&amp;" CRAC Gallery"</f>
        <v>#N/A</v>
      </c>
      <c r="C1498" s="183" t="s">
        <v>2935</v>
      </c>
      <c r="D1498" s="186" t="s">
        <v>3462</v>
      </c>
      <c r="E1498" s="183" t="s">
        <v>1464</v>
      </c>
      <c r="F1498" s="186"/>
      <c r="G1498" s="187" t="s">
        <v>1519</v>
      </c>
    </row>
    <row r="1499" spans="1:7" ht="37.5" x14ac:dyDescent="0.25">
      <c r="A1499" s="200">
        <v>1494</v>
      </c>
      <c r="B1499" s="183" t="e">
        <f>DEEMSuite1&amp;" CRAC Gallery"</f>
        <v>#N/A</v>
      </c>
      <c r="C1499" s="183" t="s">
        <v>2935</v>
      </c>
      <c r="D1499" s="186" t="s">
        <v>3463</v>
      </c>
      <c r="E1499" s="183" t="s">
        <v>1464</v>
      </c>
      <c r="F1499" s="186"/>
      <c r="G1499" s="187" t="s">
        <v>1519</v>
      </c>
    </row>
    <row r="1500" spans="1:7" ht="37.5" x14ac:dyDescent="0.25">
      <c r="A1500" s="200">
        <v>1495</v>
      </c>
      <c r="B1500" s="183" t="e">
        <f>DEEMSuite1&amp;" CRAC Gallery"</f>
        <v>#N/A</v>
      </c>
      <c r="C1500" s="183" t="s">
        <v>2935</v>
      </c>
      <c r="D1500" s="186" t="s">
        <v>3464</v>
      </c>
      <c r="E1500" s="183" t="s">
        <v>1464</v>
      </c>
      <c r="F1500" s="186"/>
      <c r="G1500" s="187" t="s">
        <v>1519</v>
      </c>
    </row>
    <row r="1501" spans="1:7" ht="37.5" x14ac:dyDescent="0.25">
      <c r="A1501" s="200">
        <v>1496</v>
      </c>
      <c r="B1501" s="183" t="e">
        <f>DEEMSuite1&amp;" CRAC Gallery"</f>
        <v>#N/A</v>
      </c>
      <c r="C1501" s="183" t="s">
        <v>2935</v>
      </c>
      <c r="D1501" s="186" t="s">
        <v>3465</v>
      </c>
      <c r="E1501" s="183" t="s">
        <v>1464</v>
      </c>
      <c r="F1501" s="186"/>
      <c r="G1501" s="187" t="s">
        <v>1519</v>
      </c>
    </row>
    <row r="1502" spans="1:7" ht="37.5" x14ac:dyDescent="0.25">
      <c r="A1502" s="200">
        <v>1497</v>
      </c>
      <c r="B1502" s="183" t="e">
        <f>DEEMSuite1&amp;" CRAC Gallery"</f>
        <v>#N/A</v>
      </c>
      <c r="C1502" s="183" t="s">
        <v>2936</v>
      </c>
      <c r="D1502" s="186" t="s">
        <v>3466</v>
      </c>
      <c r="E1502" s="183" t="s">
        <v>1464</v>
      </c>
      <c r="F1502" s="186"/>
      <c r="G1502" s="187" t="s">
        <v>1519</v>
      </c>
    </row>
    <row r="1503" spans="1:7" ht="37.5" x14ac:dyDescent="0.25">
      <c r="A1503" s="200">
        <v>1498</v>
      </c>
      <c r="B1503" s="183" t="e">
        <f>DEEMSuite1&amp;" CRAC Gallery"</f>
        <v>#N/A</v>
      </c>
      <c r="C1503" s="183" t="s">
        <v>2936</v>
      </c>
      <c r="D1503" s="186" t="s">
        <v>3467</v>
      </c>
      <c r="E1503" s="183" t="s">
        <v>1464</v>
      </c>
      <c r="F1503" s="186"/>
      <c r="G1503" s="187" t="s">
        <v>1519</v>
      </c>
    </row>
    <row r="1504" spans="1:7" ht="37.5" x14ac:dyDescent="0.25">
      <c r="A1504" s="200">
        <v>1499</v>
      </c>
      <c r="B1504" s="183" t="e">
        <f>DEEMSuite1&amp;" CRAC Gallery"</f>
        <v>#N/A</v>
      </c>
      <c r="C1504" s="183" t="s">
        <v>2936</v>
      </c>
      <c r="D1504" s="186" t="s">
        <v>3468</v>
      </c>
      <c r="E1504" s="183" t="s">
        <v>1464</v>
      </c>
      <c r="F1504" s="186"/>
      <c r="G1504" s="187" t="s">
        <v>1519</v>
      </c>
    </row>
    <row r="1505" spans="1:7" ht="37.5" x14ac:dyDescent="0.25">
      <c r="A1505" s="200">
        <v>1500</v>
      </c>
      <c r="B1505" s="183" t="e">
        <f>DEEMSuite1&amp;" CRAC Gallery"</f>
        <v>#N/A</v>
      </c>
      <c r="C1505" s="183" t="s">
        <v>2936</v>
      </c>
      <c r="D1505" s="186" t="s">
        <v>3469</v>
      </c>
      <c r="E1505" s="183" t="s">
        <v>1464</v>
      </c>
      <c r="F1505" s="186"/>
      <c r="G1505" s="187" t="s">
        <v>1519</v>
      </c>
    </row>
    <row r="1506" spans="1:7" ht="37.5" x14ac:dyDescent="0.25">
      <c r="A1506" s="200">
        <v>1501</v>
      </c>
      <c r="B1506" s="183" t="e">
        <f>DEEMSuite1&amp;" CRAC Gallery"</f>
        <v>#N/A</v>
      </c>
      <c r="C1506" s="183" t="s">
        <v>2936</v>
      </c>
      <c r="D1506" s="186" t="s">
        <v>3470</v>
      </c>
      <c r="E1506" s="183" t="s">
        <v>1464</v>
      </c>
      <c r="F1506" s="186"/>
      <c r="G1506" s="187" t="s">
        <v>1519</v>
      </c>
    </row>
    <row r="1507" spans="1:7" ht="37.5" x14ac:dyDescent="0.25">
      <c r="A1507" s="200">
        <v>1502</v>
      </c>
      <c r="B1507" s="183" t="e">
        <f>DEEMSuite1&amp;" CRAC Gallery"</f>
        <v>#N/A</v>
      </c>
      <c r="C1507" s="183" t="s">
        <v>2936</v>
      </c>
      <c r="D1507" s="186" t="s">
        <v>3471</v>
      </c>
      <c r="E1507" s="183" t="s">
        <v>1464</v>
      </c>
      <c r="F1507" s="186"/>
      <c r="G1507" s="187" t="s">
        <v>1519</v>
      </c>
    </row>
    <row r="1508" spans="1:7" ht="37.5" x14ac:dyDescent="0.25">
      <c r="A1508" s="200">
        <v>1503</v>
      </c>
      <c r="B1508" s="183" t="e">
        <f>DEEMSuite1&amp;" CRAC Gallery"</f>
        <v>#N/A</v>
      </c>
      <c r="C1508" s="183" t="s">
        <v>2937</v>
      </c>
      <c r="D1508" s="186" t="s">
        <v>3472</v>
      </c>
      <c r="E1508" s="183" t="s">
        <v>1464</v>
      </c>
      <c r="F1508" s="186"/>
      <c r="G1508" s="187" t="s">
        <v>1519</v>
      </c>
    </row>
    <row r="1509" spans="1:7" ht="37.5" x14ac:dyDescent="0.25">
      <c r="A1509" s="200">
        <v>1504</v>
      </c>
      <c r="B1509" s="183" t="e">
        <f>DEEMSuite1&amp;" CRAC Gallery"</f>
        <v>#N/A</v>
      </c>
      <c r="C1509" s="183" t="s">
        <v>2937</v>
      </c>
      <c r="D1509" s="186" t="s">
        <v>3473</v>
      </c>
      <c r="E1509" s="183" t="s">
        <v>1464</v>
      </c>
      <c r="F1509" s="186"/>
      <c r="G1509" s="187" t="s">
        <v>1519</v>
      </c>
    </row>
    <row r="1510" spans="1:7" ht="37.5" x14ac:dyDescent="0.25">
      <c r="A1510" s="200">
        <v>1505</v>
      </c>
      <c r="B1510" s="183" t="e">
        <f>DEEMSuite1&amp;" CRAC Gallery"</f>
        <v>#N/A</v>
      </c>
      <c r="C1510" s="183" t="s">
        <v>2937</v>
      </c>
      <c r="D1510" s="186" t="s">
        <v>3474</v>
      </c>
      <c r="E1510" s="183" t="s">
        <v>1464</v>
      </c>
      <c r="F1510" s="186"/>
      <c r="G1510" s="187" t="s">
        <v>1519</v>
      </c>
    </row>
    <row r="1511" spans="1:7" ht="37.5" x14ac:dyDescent="0.25">
      <c r="A1511" s="200">
        <v>1506</v>
      </c>
      <c r="B1511" s="183" t="e">
        <f>DEEMSuite1&amp;" CRAC Gallery"</f>
        <v>#N/A</v>
      </c>
      <c r="C1511" s="183" t="s">
        <v>2937</v>
      </c>
      <c r="D1511" s="186" t="s">
        <v>3475</v>
      </c>
      <c r="E1511" s="183" t="s">
        <v>1464</v>
      </c>
      <c r="F1511" s="186"/>
      <c r="G1511" s="187" t="s">
        <v>1519</v>
      </c>
    </row>
    <row r="1512" spans="1:7" ht="37.5" x14ac:dyDescent="0.25">
      <c r="A1512" s="200">
        <v>1507</v>
      </c>
      <c r="B1512" s="183" t="e">
        <f>DEEMSuite1&amp;" CRAC Gallery"</f>
        <v>#N/A</v>
      </c>
      <c r="C1512" s="183" t="s">
        <v>2937</v>
      </c>
      <c r="D1512" s="186" t="s">
        <v>3476</v>
      </c>
      <c r="E1512" s="183" t="s">
        <v>1464</v>
      </c>
      <c r="F1512" s="186"/>
      <c r="G1512" s="187" t="s">
        <v>1519</v>
      </c>
    </row>
    <row r="1513" spans="1:7" ht="37.5" x14ac:dyDescent="0.25">
      <c r="A1513" s="200">
        <v>1508</v>
      </c>
      <c r="B1513" s="183" t="e">
        <f>DEEMSuite1&amp;" CRAC Gallery"</f>
        <v>#N/A</v>
      </c>
      <c r="C1513" s="183" t="s">
        <v>2937</v>
      </c>
      <c r="D1513" s="186" t="s">
        <v>3477</v>
      </c>
      <c r="E1513" s="183" t="s">
        <v>1464</v>
      </c>
      <c r="F1513" s="186"/>
      <c r="G1513" s="187" t="s">
        <v>1519</v>
      </c>
    </row>
    <row r="1514" spans="1:7" x14ac:dyDescent="0.25">
      <c r="A1514" s="200">
        <v>1509</v>
      </c>
      <c r="B1514" s="756" t="s">
        <v>3184</v>
      </c>
      <c r="C1514" s="757"/>
      <c r="D1514" s="757"/>
      <c r="E1514" s="757"/>
      <c r="F1514" s="757"/>
      <c r="G1514" s="758"/>
    </row>
    <row r="1515" spans="1:7" ht="37.5" x14ac:dyDescent="0.25">
      <c r="A1515" s="200">
        <v>1510</v>
      </c>
      <c r="B1515" s="183" t="e">
        <f>DEEMSuite1&amp;" Electrical Room A"</f>
        <v>#N/A</v>
      </c>
      <c r="C1515" s="201" t="s">
        <v>2929</v>
      </c>
      <c r="D1515" s="202" t="s">
        <v>2692</v>
      </c>
      <c r="E1515" s="183" t="s">
        <v>1464</v>
      </c>
      <c r="F1515" s="186"/>
      <c r="G1515" s="187" t="s">
        <v>1519</v>
      </c>
    </row>
    <row r="1516" spans="1:7" ht="37.5" x14ac:dyDescent="0.25">
      <c r="A1516" s="200">
        <v>1511</v>
      </c>
      <c r="B1516" s="183" t="e">
        <f>DEEMSuite1&amp;" Electrical Room B"</f>
        <v>#N/A</v>
      </c>
      <c r="C1516" s="201" t="s">
        <v>2930</v>
      </c>
      <c r="D1516" s="202" t="s">
        <v>2693</v>
      </c>
      <c r="E1516" s="183" t="s">
        <v>1464</v>
      </c>
      <c r="F1516" s="186"/>
      <c r="G1516" s="187" t="s">
        <v>1519</v>
      </c>
    </row>
    <row r="1517" spans="1:7" ht="56.25" x14ac:dyDescent="0.25">
      <c r="A1517" s="200">
        <v>1512</v>
      </c>
      <c r="B1517" s="183" t="e">
        <f>DEEMSuite1&amp;" Electrical Rooms"</f>
        <v>#N/A</v>
      </c>
      <c r="C1517" s="183" t="s">
        <v>2931</v>
      </c>
      <c r="D1517" s="186" t="str">
        <f>"Add the UPA and UPB kW readings: ________ and compare to step " &amp; A1074 &amp; ":________."</f>
        <v>Add the UPA and UPB kW readings: ________ and compare to step 1069:________.</v>
      </c>
      <c r="E1517" s="183" t="s">
        <v>1464</v>
      </c>
      <c r="F1517" s="186"/>
      <c r="G1517" s="187" t="s">
        <v>1519</v>
      </c>
    </row>
    <row r="1518" spans="1:7" ht="56.25" x14ac:dyDescent="0.25">
      <c r="A1518" s="200">
        <v>1513</v>
      </c>
      <c r="B1518" s="183" t="e">
        <f>DEEMSuite1&amp;" Electrical Rooms"</f>
        <v>#N/A</v>
      </c>
      <c r="C1518" s="183" t="s">
        <v>2931</v>
      </c>
      <c r="D1518" s="186" t="s">
        <v>2932</v>
      </c>
      <c r="E1518" s="183" t="s">
        <v>1464</v>
      </c>
      <c r="F1518" s="186"/>
      <c r="G1518" s="187" t="s">
        <v>1519</v>
      </c>
    </row>
    <row r="1519" spans="1:7" ht="37.5" x14ac:dyDescent="0.25">
      <c r="A1519" s="200">
        <v>1514</v>
      </c>
      <c r="B1519" s="183" t="e">
        <f>DEEMSuite1&amp;" Electrical Room A"</f>
        <v>#N/A</v>
      </c>
      <c r="C1519" s="201" t="s">
        <v>2929</v>
      </c>
      <c r="D1519" s="202" t="s">
        <v>2748</v>
      </c>
      <c r="E1519" s="183" t="s">
        <v>1464</v>
      </c>
      <c r="F1519" s="186"/>
      <c r="G1519" s="187" t="s">
        <v>1519</v>
      </c>
    </row>
    <row r="1520" spans="1:7" ht="37.5" x14ac:dyDescent="0.25">
      <c r="A1520" s="200">
        <v>1515</v>
      </c>
      <c r="B1520" s="183" t="e">
        <f>DEEMSuite1&amp;" Electrical Room A"</f>
        <v>#N/A</v>
      </c>
      <c r="C1520" s="201" t="s">
        <v>2929</v>
      </c>
      <c r="D1520" s="202" t="s">
        <v>2749</v>
      </c>
      <c r="E1520" s="183" t="s">
        <v>1464</v>
      </c>
      <c r="F1520" s="186"/>
      <c r="G1520" s="187" t="s">
        <v>1519</v>
      </c>
    </row>
    <row r="1521" spans="1:7" ht="37.5" x14ac:dyDescent="0.25">
      <c r="A1521" s="200">
        <v>1516</v>
      </c>
      <c r="B1521" s="183" t="e">
        <f>DEEMSuite1&amp;" Electrical Room A"</f>
        <v>#N/A</v>
      </c>
      <c r="C1521" s="201" t="s">
        <v>2929</v>
      </c>
      <c r="D1521" s="202" t="s">
        <v>2750</v>
      </c>
      <c r="E1521" s="183" t="s">
        <v>1464</v>
      </c>
      <c r="F1521" s="186"/>
      <c r="G1521" s="187" t="s">
        <v>1519</v>
      </c>
    </row>
    <row r="1522" spans="1:7" ht="37.5" x14ac:dyDescent="0.25">
      <c r="A1522" s="200">
        <v>1517</v>
      </c>
      <c r="B1522" s="183" t="e">
        <f>DEEMSuite1&amp;" Electrical Room A"</f>
        <v>#N/A</v>
      </c>
      <c r="C1522" s="201" t="s">
        <v>2929</v>
      </c>
      <c r="D1522" s="202" t="s">
        <v>2751</v>
      </c>
      <c r="E1522" s="183" t="s">
        <v>1464</v>
      </c>
      <c r="F1522" s="186"/>
      <c r="G1522" s="187" t="s">
        <v>1519</v>
      </c>
    </row>
    <row r="1523" spans="1:7" ht="37.5" x14ac:dyDescent="0.25">
      <c r="A1523" s="200">
        <v>1518</v>
      </c>
      <c r="B1523" s="183" t="e">
        <f>DEEMSuite1&amp;" Electrical Room A"</f>
        <v>#N/A</v>
      </c>
      <c r="C1523" s="201" t="s">
        <v>2929</v>
      </c>
      <c r="D1523" s="202" t="s">
        <v>2752</v>
      </c>
      <c r="E1523" s="183" t="s">
        <v>1464</v>
      </c>
      <c r="F1523" s="186"/>
      <c r="G1523" s="187" t="s">
        <v>1519</v>
      </c>
    </row>
    <row r="1524" spans="1:7" ht="37.5" x14ac:dyDescent="0.25">
      <c r="A1524" s="200">
        <v>1519</v>
      </c>
      <c r="B1524" s="183" t="e">
        <f>DEEMSuite1&amp;" Electrical Room B"</f>
        <v>#N/A</v>
      </c>
      <c r="C1524" s="201" t="s">
        <v>2930</v>
      </c>
      <c r="D1524" s="202" t="s">
        <v>2753</v>
      </c>
      <c r="E1524" s="183" t="s">
        <v>1464</v>
      </c>
      <c r="F1524" s="186"/>
      <c r="G1524" s="187" t="s">
        <v>1519</v>
      </c>
    </row>
    <row r="1525" spans="1:7" ht="37.5" x14ac:dyDescent="0.25">
      <c r="A1525" s="200">
        <v>1520</v>
      </c>
      <c r="B1525" s="183" t="e">
        <f>DEEMSuite1&amp;" Electrical Room B"</f>
        <v>#N/A</v>
      </c>
      <c r="C1525" s="201" t="s">
        <v>2930</v>
      </c>
      <c r="D1525" s="202" t="s">
        <v>2754</v>
      </c>
      <c r="E1525" s="183" t="s">
        <v>1464</v>
      </c>
      <c r="F1525" s="186"/>
      <c r="G1525" s="187" t="s">
        <v>1519</v>
      </c>
    </row>
    <row r="1526" spans="1:7" ht="37.5" x14ac:dyDescent="0.25">
      <c r="A1526" s="200">
        <v>1521</v>
      </c>
      <c r="B1526" s="183" t="e">
        <f>DEEMSuite1&amp;" Electrical Room B"</f>
        <v>#N/A</v>
      </c>
      <c r="C1526" s="201" t="s">
        <v>2930</v>
      </c>
      <c r="D1526" s="202" t="s">
        <v>2755</v>
      </c>
      <c r="E1526" s="183" t="s">
        <v>1464</v>
      </c>
      <c r="F1526" s="186"/>
      <c r="G1526" s="187" t="s">
        <v>1519</v>
      </c>
    </row>
    <row r="1527" spans="1:7" ht="37.5" x14ac:dyDescent="0.25">
      <c r="A1527" s="200">
        <v>1522</v>
      </c>
      <c r="B1527" s="183" t="e">
        <f>DEEMSuite1&amp;" Electrical Room B"</f>
        <v>#N/A</v>
      </c>
      <c r="C1527" s="201" t="s">
        <v>2930</v>
      </c>
      <c r="D1527" s="202" t="s">
        <v>2756</v>
      </c>
      <c r="E1527" s="183" t="s">
        <v>1464</v>
      </c>
      <c r="F1527" s="186"/>
      <c r="G1527" s="187" t="s">
        <v>1519</v>
      </c>
    </row>
    <row r="1528" spans="1:7" ht="37.5" x14ac:dyDescent="0.25">
      <c r="A1528" s="200">
        <v>1523</v>
      </c>
      <c r="B1528" s="183" t="e">
        <f>DEEMSuite1&amp;" Electrical Room B"</f>
        <v>#N/A</v>
      </c>
      <c r="C1528" s="201" t="s">
        <v>2930</v>
      </c>
      <c r="D1528" s="202" t="s">
        <v>2757</v>
      </c>
      <c r="E1528" s="183" t="s">
        <v>1464</v>
      </c>
      <c r="F1528" s="186"/>
      <c r="G1528" s="187" t="s">
        <v>1519</v>
      </c>
    </row>
    <row r="1529" spans="1:7" ht="37.5" x14ac:dyDescent="0.25">
      <c r="A1529" s="200">
        <v>1524</v>
      </c>
      <c r="B1529" s="183" t="e">
        <f>DEEMSuite1&amp;" CRAC Gallery"</f>
        <v>#N/A</v>
      </c>
      <c r="C1529" s="183" t="s">
        <v>2758</v>
      </c>
      <c r="D1529" s="202" t="s">
        <v>2759</v>
      </c>
      <c r="E1529" s="183" t="s">
        <v>1464</v>
      </c>
      <c r="F1529" s="186"/>
      <c r="G1529" s="187" t="s">
        <v>1519</v>
      </c>
    </row>
    <row r="1530" spans="1:7" ht="37.5" x14ac:dyDescent="0.25">
      <c r="A1530" s="200">
        <v>1525</v>
      </c>
      <c r="B1530" s="183" t="e">
        <f>DEEMSuite1&amp;" CRAC Gallery"</f>
        <v>#N/A</v>
      </c>
      <c r="C1530" s="183" t="s">
        <v>2933</v>
      </c>
      <c r="D1530" s="202" t="s">
        <v>2761</v>
      </c>
      <c r="E1530" s="183" t="s">
        <v>1464</v>
      </c>
      <c r="F1530" s="186"/>
      <c r="G1530" s="187" t="s">
        <v>1519</v>
      </c>
    </row>
    <row r="1531" spans="1:7" ht="56.25" x14ac:dyDescent="0.25">
      <c r="A1531" s="200">
        <v>1526</v>
      </c>
      <c r="B1531" s="183" t="e">
        <f>DEEMSuite1&amp;" CRAC Gallery"</f>
        <v>#N/A</v>
      </c>
      <c r="C1531" s="183" t="s">
        <v>2762</v>
      </c>
      <c r="D1531" s="186" t="str">
        <f>"Add readings from previous 2 steps:  __________ kW and compare to step " &amp; A1118 &amp; ":________. If the combined load on the paired PDUs has changed by more than 10 kW stop and inform the MOP facilitator."</f>
        <v>Add readings from previous 2 steps:  __________ kW and compare to step 1113:________. If the combined load on the paired PDUs has changed by more than 10 kW stop and inform the MOP facilitator.</v>
      </c>
      <c r="E1531" s="183" t="s">
        <v>1464</v>
      </c>
      <c r="F1531" s="186"/>
      <c r="G1531" s="187" t="s">
        <v>1519</v>
      </c>
    </row>
    <row r="1532" spans="1:7" ht="37.5" x14ac:dyDescent="0.25">
      <c r="A1532" s="200">
        <v>1527</v>
      </c>
      <c r="B1532" s="183" t="e">
        <f>DEEMSuite1&amp;" CRAC Gallery"</f>
        <v>#N/A</v>
      </c>
      <c r="C1532" s="183" t="s">
        <v>2764</v>
      </c>
      <c r="D1532" s="202" t="s">
        <v>2765</v>
      </c>
      <c r="E1532" s="183" t="s">
        <v>1464</v>
      </c>
      <c r="F1532" s="186"/>
      <c r="G1532" s="187" t="s">
        <v>1519</v>
      </c>
    </row>
    <row r="1533" spans="1:7" ht="37.5" x14ac:dyDescent="0.25">
      <c r="A1533" s="200">
        <v>1528</v>
      </c>
      <c r="B1533" s="183" t="e">
        <f>DEEMSuite1&amp;" CRAC Gallery"</f>
        <v>#N/A</v>
      </c>
      <c r="C1533" s="183" t="s">
        <v>2934</v>
      </c>
      <c r="D1533" s="202" t="s">
        <v>2767</v>
      </c>
      <c r="E1533" s="183" t="s">
        <v>1464</v>
      </c>
      <c r="F1533" s="186"/>
      <c r="G1533" s="187" t="s">
        <v>1519</v>
      </c>
    </row>
    <row r="1534" spans="1:7" ht="56.25" x14ac:dyDescent="0.25">
      <c r="A1534" s="200">
        <v>1529</v>
      </c>
      <c r="B1534" s="183" t="e">
        <f>DEEMSuite1&amp;" CRAC Gallery"</f>
        <v>#N/A</v>
      </c>
      <c r="C1534" s="183" t="s">
        <v>2768</v>
      </c>
      <c r="D1534" s="186" t="str">
        <f>"Add readings from previous 2 steps:  __________ kW and compare to step " &amp; A1135 &amp; ":________. If the combined load on the paired PDUs has changed by more than 10 kW stop and inform the MOP facilitator."</f>
        <v>Add readings from previous 2 steps:  __________ kW and compare to step 1130:________. If the combined load on the paired PDUs has changed by more than 10 kW stop and inform the MOP facilitator.</v>
      </c>
      <c r="E1534" s="183" t="s">
        <v>1464</v>
      </c>
      <c r="F1534" s="186"/>
      <c r="G1534" s="187" t="s">
        <v>1519</v>
      </c>
    </row>
    <row r="1535" spans="1:7" ht="37.5" x14ac:dyDescent="0.25">
      <c r="A1535" s="200">
        <v>1530</v>
      </c>
      <c r="B1535" s="183" t="e">
        <f>DEEMSuite1&amp;" CRAC Gallery"</f>
        <v>#N/A</v>
      </c>
      <c r="C1535" s="183" t="s">
        <v>2769</v>
      </c>
      <c r="D1535" s="202" t="s">
        <v>2770</v>
      </c>
      <c r="E1535" s="183" t="s">
        <v>1464</v>
      </c>
      <c r="F1535" s="186"/>
      <c r="G1535" s="187" t="s">
        <v>1519</v>
      </c>
    </row>
    <row r="1536" spans="1:7" ht="37.5" x14ac:dyDescent="0.25">
      <c r="A1536" s="200">
        <v>1531</v>
      </c>
      <c r="B1536" s="183" t="e">
        <f>DEEMSuite1&amp;" CRAC Gallery"</f>
        <v>#N/A</v>
      </c>
      <c r="C1536" s="183" t="s">
        <v>2935</v>
      </c>
      <c r="D1536" s="202" t="s">
        <v>2772</v>
      </c>
      <c r="E1536" s="183" t="s">
        <v>1464</v>
      </c>
      <c r="F1536" s="186"/>
      <c r="G1536" s="187" t="s">
        <v>1519</v>
      </c>
    </row>
    <row r="1537" spans="1:7" ht="56.25" x14ac:dyDescent="0.25">
      <c r="A1537" s="200">
        <v>1532</v>
      </c>
      <c r="B1537" s="183" t="e">
        <f>DEEMSuite1&amp;" CRAC Gallery"</f>
        <v>#N/A</v>
      </c>
      <c r="C1537" s="183" t="s">
        <v>2773</v>
      </c>
      <c r="D1537" s="186" t="str">
        <f>"Add readings from previous 2 steps:  __________ kW and compare to step " &amp; A1152 &amp; ":________. If the combined load on the paired PDUs has changed by more than 10 kW stop and inform the MOP facilitator."</f>
        <v>Add readings from previous 2 steps:  __________ kW and compare to step 1147:________. If the combined load on the paired PDUs has changed by more than 10 kW stop and inform the MOP facilitator.</v>
      </c>
      <c r="E1537" s="183" t="s">
        <v>1464</v>
      </c>
      <c r="F1537" s="186"/>
      <c r="G1537" s="187" t="s">
        <v>1519</v>
      </c>
    </row>
    <row r="1538" spans="1:7" ht="37.5" x14ac:dyDescent="0.25">
      <c r="A1538" s="200">
        <v>1533</v>
      </c>
      <c r="B1538" s="183" t="e">
        <f>DEEMSuite1&amp;" CRAC Gallery"</f>
        <v>#N/A</v>
      </c>
      <c r="C1538" s="183" t="s">
        <v>2774</v>
      </c>
      <c r="D1538" s="202" t="s">
        <v>2775</v>
      </c>
      <c r="E1538" s="183" t="s">
        <v>1464</v>
      </c>
      <c r="F1538" s="186"/>
      <c r="G1538" s="187" t="s">
        <v>1519</v>
      </c>
    </row>
    <row r="1539" spans="1:7" ht="37.5" x14ac:dyDescent="0.25">
      <c r="A1539" s="200">
        <v>1534</v>
      </c>
      <c r="B1539" s="183" t="e">
        <f>DEEMSuite1&amp;" CRAC Gallery"</f>
        <v>#N/A</v>
      </c>
      <c r="C1539" s="183" t="s">
        <v>2936</v>
      </c>
      <c r="D1539" s="202" t="s">
        <v>2777</v>
      </c>
      <c r="E1539" s="183" t="s">
        <v>1464</v>
      </c>
      <c r="F1539" s="186"/>
      <c r="G1539" s="187" t="s">
        <v>1519</v>
      </c>
    </row>
    <row r="1540" spans="1:7" ht="56.25" x14ac:dyDescent="0.25">
      <c r="A1540" s="200">
        <v>1535</v>
      </c>
      <c r="B1540" s="183" t="e">
        <f>DEEMSuite1&amp;" CRAC Gallery"</f>
        <v>#N/A</v>
      </c>
      <c r="C1540" s="183" t="s">
        <v>2778</v>
      </c>
      <c r="D1540" s="186" t="str">
        <f>"Add readings from previous 2 steps:  __________ kW and compare to step " &amp; A1169 &amp; ":________. If the combined load on the paired PDUs has changed by more than 10 kW stop and inform the MOP facilitator."</f>
        <v>Add readings from previous 2 steps:  __________ kW and compare to step 1164:________. If the combined load on the paired PDUs has changed by more than 10 kW stop and inform the MOP facilitator.</v>
      </c>
      <c r="E1540" s="183" t="s">
        <v>1464</v>
      </c>
      <c r="F1540" s="186"/>
      <c r="G1540" s="187" t="s">
        <v>1519</v>
      </c>
    </row>
    <row r="1541" spans="1:7" ht="37.5" x14ac:dyDescent="0.25">
      <c r="A1541" s="200">
        <v>1536</v>
      </c>
      <c r="B1541" s="183" t="e">
        <f>DEEMSuite1&amp;" CRAC Gallery"</f>
        <v>#N/A</v>
      </c>
      <c r="C1541" s="183" t="s">
        <v>2779</v>
      </c>
      <c r="D1541" s="202" t="s">
        <v>2780</v>
      </c>
      <c r="E1541" s="183" t="s">
        <v>1464</v>
      </c>
      <c r="F1541" s="186"/>
      <c r="G1541" s="187" t="s">
        <v>1519</v>
      </c>
    </row>
    <row r="1542" spans="1:7" ht="37.5" x14ac:dyDescent="0.25">
      <c r="A1542" s="200">
        <v>1537</v>
      </c>
      <c r="B1542" s="183" t="e">
        <f>DEEMSuite1&amp;" CRAC Gallery"</f>
        <v>#N/A</v>
      </c>
      <c r="C1542" s="183" t="s">
        <v>2937</v>
      </c>
      <c r="D1542" s="202" t="s">
        <v>2782</v>
      </c>
      <c r="E1542" s="183" t="s">
        <v>1464</v>
      </c>
      <c r="F1542" s="186"/>
      <c r="G1542" s="187" t="s">
        <v>1519</v>
      </c>
    </row>
    <row r="1543" spans="1:7" ht="56.25" x14ac:dyDescent="0.25">
      <c r="A1543" s="200">
        <v>1538</v>
      </c>
      <c r="B1543" s="183" t="e">
        <f>DEEMSuite1&amp;" CRAC Gallery"</f>
        <v>#N/A</v>
      </c>
      <c r="C1543" s="183" t="s">
        <v>2783</v>
      </c>
      <c r="D1543" s="186" t="str">
        <f>"Add readings from previous 2 steps:  __________ kW and compare to step " &amp; A1186 &amp; ":________. If the combined load on the paired PDUs has changed by more than 10 kW stop and inform the MOP facilitator."</f>
        <v>Add readings from previous 2 steps:  __________ kW and compare to step 1181:________. If the combined load on the paired PDUs has changed by more than 10 kW stop and inform the MOP facilitator.</v>
      </c>
      <c r="E1543" s="183" t="s">
        <v>1464</v>
      </c>
      <c r="F1543" s="186"/>
      <c r="G1543" s="187" t="s">
        <v>1519</v>
      </c>
    </row>
    <row r="1544" spans="1:7" x14ac:dyDescent="0.25">
      <c r="A1544" s="200">
        <v>1539</v>
      </c>
      <c r="B1544" s="756" t="s">
        <v>3478</v>
      </c>
      <c r="C1544" s="757"/>
      <c r="D1544" s="757"/>
      <c r="E1544" s="757"/>
      <c r="F1544" s="757"/>
      <c r="G1544" s="758"/>
    </row>
    <row r="1545" spans="1:7" ht="37.5" x14ac:dyDescent="0.25">
      <c r="A1545" s="200">
        <v>1540</v>
      </c>
      <c r="B1545" s="183" t="e">
        <f>DEEMSuite1&amp;" Electrical Room A"</f>
        <v>#N/A</v>
      </c>
      <c r="C1545" s="183" t="s">
        <v>3042</v>
      </c>
      <c r="D1545" s="187" t="s">
        <v>2709</v>
      </c>
      <c r="E1545" s="183" t="s">
        <v>1464</v>
      </c>
      <c r="F1545" s="186"/>
      <c r="G1545" s="187" t="s">
        <v>1519</v>
      </c>
    </row>
    <row r="1546" spans="1:7" ht="37.5" x14ac:dyDescent="0.25">
      <c r="A1546" s="200">
        <v>1541</v>
      </c>
      <c r="B1546" s="183" t="e">
        <f>DEEMSuite1&amp;" Electrical Room A"</f>
        <v>#N/A</v>
      </c>
      <c r="C1546" s="183" t="s">
        <v>3042</v>
      </c>
      <c r="D1546" s="186" t="s">
        <v>2120</v>
      </c>
      <c r="E1546" s="183" t="s">
        <v>1464</v>
      </c>
      <c r="F1546" s="186"/>
      <c r="G1546" s="187" t="s">
        <v>1519</v>
      </c>
    </row>
    <row r="1547" spans="1:7" ht="37.5" x14ac:dyDescent="0.25">
      <c r="A1547" s="200">
        <v>1542</v>
      </c>
      <c r="B1547" s="183" t="e">
        <f>DEEMSuite1&amp;" Electrical Room A"</f>
        <v>#N/A</v>
      </c>
      <c r="C1547" s="183" t="s">
        <v>3042</v>
      </c>
      <c r="D1547" s="187" t="s">
        <v>2710</v>
      </c>
      <c r="E1547" s="183" t="s">
        <v>1464</v>
      </c>
      <c r="F1547" s="186"/>
      <c r="G1547" s="187" t="s">
        <v>1519</v>
      </c>
    </row>
    <row r="1548" spans="1:7" ht="37.5" x14ac:dyDescent="0.25">
      <c r="A1548" s="200">
        <v>1543</v>
      </c>
      <c r="B1548" s="183" t="e">
        <f>DEEMSuite1&amp;" Electrical Room A"</f>
        <v>#N/A</v>
      </c>
      <c r="C1548" s="183" t="s">
        <v>3042</v>
      </c>
      <c r="D1548" s="186" t="s">
        <v>3068</v>
      </c>
      <c r="E1548" s="183" t="s">
        <v>1464</v>
      </c>
      <c r="F1548" s="186"/>
      <c r="G1548" s="187" t="s">
        <v>1519</v>
      </c>
    </row>
    <row r="1549" spans="1:7" ht="37.5" x14ac:dyDescent="0.25">
      <c r="A1549" s="200">
        <v>1544</v>
      </c>
      <c r="B1549" s="183" t="e">
        <f>DEEMSuite1&amp;" Electrical Room A"</f>
        <v>#N/A</v>
      </c>
      <c r="C1549" s="183" t="s">
        <v>3042</v>
      </c>
      <c r="D1549" s="186" t="s">
        <v>3069</v>
      </c>
      <c r="E1549" s="183" t="s">
        <v>1464</v>
      </c>
      <c r="F1549" s="186"/>
      <c r="G1549" s="187" t="s">
        <v>1519</v>
      </c>
    </row>
    <row r="1550" spans="1:7" ht="37.5" x14ac:dyDescent="0.25">
      <c r="A1550" s="200">
        <v>1545</v>
      </c>
      <c r="B1550" s="183" t="e">
        <f>DEEMSuite1&amp;" Electrical Room A"</f>
        <v>#N/A</v>
      </c>
      <c r="C1550" s="183" t="s">
        <v>3042</v>
      </c>
      <c r="D1550" s="186" t="s">
        <v>3479</v>
      </c>
      <c r="E1550" s="183" t="s">
        <v>1464</v>
      </c>
      <c r="F1550" s="186"/>
      <c r="G1550" s="187" t="s">
        <v>1519</v>
      </c>
    </row>
    <row r="1551" spans="1:7" ht="37.5" x14ac:dyDescent="0.25">
      <c r="A1551" s="200">
        <v>1546</v>
      </c>
      <c r="B1551" s="183" t="e">
        <f>DEEMSuite1&amp;" Electrical Room A"</f>
        <v>#N/A</v>
      </c>
      <c r="C1551" s="183" t="s">
        <v>3042</v>
      </c>
      <c r="D1551" s="186" t="s">
        <v>3480</v>
      </c>
      <c r="E1551" s="183" t="s">
        <v>1464</v>
      </c>
      <c r="F1551" s="186"/>
      <c r="G1551" s="187" t="s">
        <v>1519</v>
      </c>
    </row>
    <row r="1552" spans="1:7" ht="37.5" x14ac:dyDescent="0.25">
      <c r="A1552" s="200">
        <v>1547</v>
      </c>
      <c r="B1552" s="183" t="e">
        <f>DEEMSuite1&amp;" Electrical Room A"</f>
        <v>#N/A</v>
      </c>
      <c r="C1552" s="183" t="s">
        <v>3042</v>
      </c>
      <c r="D1552" s="186" t="s">
        <v>3481</v>
      </c>
      <c r="E1552" s="183" t="s">
        <v>1464</v>
      </c>
      <c r="F1552" s="186"/>
      <c r="G1552" s="187" t="s">
        <v>1519</v>
      </c>
    </row>
    <row r="1553" spans="1:7" ht="37.5" x14ac:dyDescent="0.25">
      <c r="A1553" s="200">
        <v>1548</v>
      </c>
      <c r="B1553" s="183" t="e">
        <f>DEEMSuite1&amp;" Electrical Room A"</f>
        <v>#N/A</v>
      </c>
      <c r="C1553" s="183" t="s">
        <v>3042</v>
      </c>
      <c r="D1553" s="186" t="s">
        <v>3482</v>
      </c>
      <c r="E1553" s="183" t="s">
        <v>1464</v>
      </c>
      <c r="F1553" s="186"/>
      <c r="G1553" s="187" t="s">
        <v>1519</v>
      </c>
    </row>
    <row r="1554" spans="1:7" ht="37.5" x14ac:dyDescent="0.25">
      <c r="A1554" s="200">
        <v>1549</v>
      </c>
      <c r="B1554" s="183" t="e">
        <f>DEEMSuite1&amp;" Electrical Room A"</f>
        <v>#N/A</v>
      </c>
      <c r="C1554" s="183" t="s">
        <v>3042</v>
      </c>
      <c r="D1554" s="186" t="s">
        <v>3483</v>
      </c>
      <c r="E1554" s="183" t="s">
        <v>1464</v>
      </c>
      <c r="F1554" s="186"/>
      <c r="G1554" s="187" t="s">
        <v>1519</v>
      </c>
    </row>
    <row r="1555" spans="1:7" ht="37.5" x14ac:dyDescent="0.25">
      <c r="A1555" s="200">
        <v>1550</v>
      </c>
      <c r="B1555" s="183" t="e">
        <f>DEEMSuite1&amp;" Electrical Room A"</f>
        <v>#N/A</v>
      </c>
      <c r="C1555" s="201" t="s">
        <v>1470</v>
      </c>
      <c r="D1555" s="186" t="str">
        <f>"NOTATE the kW reading on UPA:  ___________and compare to step " &amp; A1515 &amp; ":______"</f>
        <v>NOTATE the kW reading on UPA:  ___________and compare to step 1510:______</v>
      </c>
      <c r="E1555" s="183" t="s">
        <v>1464</v>
      </c>
      <c r="F1555" s="186"/>
      <c r="G1555" s="187" t="s">
        <v>1519</v>
      </c>
    </row>
    <row r="1556" spans="1:7" ht="37.5" x14ac:dyDescent="0.25">
      <c r="A1556" s="200">
        <v>1551</v>
      </c>
      <c r="B1556" s="183" t="e">
        <f>DEEMSuite1&amp;" Electrical Room B"</f>
        <v>#N/A</v>
      </c>
      <c r="C1556" s="201" t="s">
        <v>1476</v>
      </c>
      <c r="D1556" s="186" t="str">
        <f>"NOTATE the kW reading on UPB:  ___________and compare to step " &amp; A1516 &amp; ":______"</f>
        <v>NOTATE the kW reading on UPB:  ___________and compare to step 1511:______</v>
      </c>
      <c r="E1556" s="183" t="s">
        <v>1464</v>
      </c>
      <c r="F1556" s="186"/>
      <c r="G1556" s="187" t="s">
        <v>1519</v>
      </c>
    </row>
    <row r="1557" spans="1:7" ht="37.5" x14ac:dyDescent="0.25">
      <c r="A1557" s="200">
        <v>1552</v>
      </c>
      <c r="B1557" s="183" t="e">
        <f>DEEMSuite1&amp;" Electrical Rooms"</f>
        <v>#N/A</v>
      </c>
      <c r="C1557" s="201" t="s">
        <v>2694</v>
      </c>
      <c r="D1557" s="186" t="s">
        <v>2728</v>
      </c>
      <c r="E1557" s="183" t="s">
        <v>1464</v>
      </c>
      <c r="F1557" s="186"/>
      <c r="G1557" s="187" t="s">
        <v>1519</v>
      </c>
    </row>
    <row r="1558" spans="1:7" ht="37.5" x14ac:dyDescent="0.25">
      <c r="A1558" s="200">
        <v>1553</v>
      </c>
      <c r="B1558" s="183" t="e">
        <f>DEEMSuite1&amp;" Electrical Room B"</f>
        <v>#N/A</v>
      </c>
      <c r="C1558" s="183" t="s">
        <v>2729</v>
      </c>
      <c r="D1558" s="186" t="s">
        <v>3190</v>
      </c>
      <c r="E1558" s="183" t="s">
        <v>1464</v>
      </c>
      <c r="F1558" s="186"/>
      <c r="G1558" s="187" t="s">
        <v>1519</v>
      </c>
    </row>
    <row r="1559" spans="1:7" ht="37.5" x14ac:dyDescent="0.25">
      <c r="A1559" s="200">
        <v>1554</v>
      </c>
      <c r="B1559" s="183" t="e">
        <f>DEEMSuite1&amp;" Electrical Room B"</f>
        <v>#N/A</v>
      </c>
      <c r="C1559" s="183" t="s">
        <v>2729</v>
      </c>
      <c r="D1559" s="186" t="s">
        <v>3191</v>
      </c>
      <c r="E1559" s="183" t="s">
        <v>1464</v>
      </c>
      <c r="F1559" s="186"/>
      <c r="G1559" s="187" t="s">
        <v>1519</v>
      </c>
    </row>
    <row r="1560" spans="1:7" ht="37.5" x14ac:dyDescent="0.25">
      <c r="A1560" s="200">
        <v>1555</v>
      </c>
      <c r="B1560" s="183" t="e">
        <f>DEEMSuite1&amp;" Electrical Room B"</f>
        <v>#N/A</v>
      </c>
      <c r="C1560" s="201" t="s">
        <v>1476</v>
      </c>
      <c r="D1560" s="186" t="s">
        <v>2733</v>
      </c>
      <c r="E1560" s="183" t="s">
        <v>1464</v>
      </c>
      <c r="F1560" s="186"/>
      <c r="G1560" s="187" t="s">
        <v>1519</v>
      </c>
    </row>
    <row r="1561" spans="1:7" ht="37.5" x14ac:dyDescent="0.25">
      <c r="A1561" s="200">
        <v>1556</v>
      </c>
      <c r="B1561" s="183" t="e">
        <f>DEEMSuite1&amp;" Electrical Room B"</f>
        <v>#N/A</v>
      </c>
      <c r="C1561" s="201" t="s">
        <v>1476</v>
      </c>
      <c r="D1561" s="186" t="s">
        <v>2734</v>
      </c>
      <c r="E1561" s="183" t="s">
        <v>1464</v>
      </c>
      <c r="F1561" s="186"/>
      <c r="G1561" s="187" t="s">
        <v>1519</v>
      </c>
    </row>
    <row r="1562" spans="1:7" ht="37.5" x14ac:dyDescent="0.25">
      <c r="A1562" s="200">
        <v>1557</v>
      </c>
      <c r="B1562" s="183" t="e">
        <f>DEEMSuite1&amp;" Electrical Room B"</f>
        <v>#N/A</v>
      </c>
      <c r="C1562" s="201" t="s">
        <v>1476</v>
      </c>
      <c r="D1562" s="186" t="s">
        <v>2735</v>
      </c>
      <c r="E1562" s="183" t="s">
        <v>1464</v>
      </c>
      <c r="F1562" s="186"/>
      <c r="G1562" s="187" t="s">
        <v>1519</v>
      </c>
    </row>
    <row r="1563" spans="1:7" ht="37.5" x14ac:dyDescent="0.25">
      <c r="A1563" s="200">
        <v>1558</v>
      </c>
      <c r="B1563" s="183" t="e">
        <f>DEEMSuite1 &amp; " Utility Input Room"</f>
        <v>#N/A</v>
      </c>
      <c r="C1563" s="183" t="s">
        <v>598</v>
      </c>
      <c r="D1563" s="186" t="s">
        <v>2736</v>
      </c>
      <c r="E1563" s="183" t="s">
        <v>1464</v>
      </c>
      <c r="F1563" s="186"/>
      <c r="G1563" s="187" t="s">
        <v>1519</v>
      </c>
    </row>
    <row r="1564" spans="1:7" ht="37.5" x14ac:dyDescent="0.25">
      <c r="A1564" s="200">
        <v>1559</v>
      </c>
      <c r="B1564" s="183" t="e">
        <f>DEEMSuite1&amp;" Electrical Room A"</f>
        <v>#N/A</v>
      </c>
      <c r="C1564" s="183" t="s">
        <v>2737</v>
      </c>
      <c r="D1564" s="186" t="s">
        <v>2738</v>
      </c>
      <c r="E1564" s="183" t="s">
        <v>1464</v>
      </c>
      <c r="F1564" s="186"/>
      <c r="G1564" s="187" t="s">
        <v>1519</v>
      </c>
    </row>
    <row r="1565" spans="1:7" ht="37.5" x14ac:dyDescent="0.25">
      <c r="A1565" s="200">
        <v>1560</v>
      </c>
      <c r="B1565" s="183" t="e">
        <f>DEEMSuite1&amp;" Electrical Room A"</f>
        <v>#N/A</v>
      </c>
      <c r="C1565" s="183" t="s">
        <v>2737</v>
      </c>
      <c r="D1565" s="186" t="s">
        <v>2739</v>
      </c>
      <c r="E1565" s="183" t="s">
        <v>1464</v>
      </c>
      <c r="F1565" s="186"/>
      <c r="G1565" s="187" t="s">
        <v>1519</v>
      </c>
    </row>
    <row r="1566" spans="1:7" ht="37.5" x14ac:dyDescent="0.25">
      <c r="A1566" s="200">
        <v>1561</v>
      </c>
      <c r="B1566" s="183" t="e">
        <f>DEEMSuite1&amp;" Electrical Room A"</f>
        <v>#N/A</v>
      </c>
      <c r="C1566" s="183" t="s">
        <v>1470</v>
      </c>
      <c r="D1566" s="186" t="s">
        <v>2740</v>
      </c>
      <c r="E1566" s="183" t="s">
        <v>1464</v>
      </c>
      <c r="F1566" s="186"/>
      <c r="G1566" s="187" t="s">
        <v>1519</v>
      </c>
    </row>
    <row r="1567" spans="1:7" ht="37.5" x14ac:dyDescent="0.25">
      <c r="A1567" s="200">
        <v>1562</v>
      </c>
      <c r="B1567" s="183" t="e">
        <f>DEEMSuite1&amp;" Electrical Room A"</f>
        <v>#N/A</v>
      </c>
      <c r="C1567" s="183" t="s">
        <v>1470</v>
      </c>
      <c r="D1567" s="186" t="s">
        <v>2741</v>
      </c>
      <c r="E1567" s="183" t="s">
        <v>1464</v>
      </c>
      <c r="F1567" s="186"/>
      <c r="G1567" s="187" t="s">
        <v>1519</v>
      </c>
    </row>
    <row r="1568" spans="1:7" ht="37.5" x14ac:dyDescent="0.25">
      <c r="A1568" s="200">
        <v>1563</v>
      </c>
      <c r="B1568" s="183" t="e">
        <f>DEEMSuite1&amp;" Electrical Room A"</f>
        <v>#N/A</v>
      </c>
      <c r="C1568" s="183" t="s">
        <v>1470</v>
      </c>
      <c r="D1568" s="186" t="s">
        <v>2742</v>
      </c>
      <c r="E1568" s="183" t="s">
        <v>1464</v>
      </c>
      <c r="F1568" s="186"/>
      <c r="G1568" s="187" t="s">
        <v>1519</v>
      </c>
    </row>
    <row r="1569" spans="1:7" ht="37.5" x14ac:dyDescent="0.25">
      <c r="A1569" s="200">
        <v>1564</v>
      </c>
      <c r="B1569" s="183" t="e">
        <f>DEEMSuite1&amp;" Electrical Rooms"</f>
        <v>#N/A</v>
      </c>
      <c r="C1569" s="201" t="s">
        <v>2084</v>
      </c>
      <c r="D1569" s="187" t="s">
        <v>2743</v>
      </c>
      <c r="E1569" s="183" t="s">
        <v>1464</v>
      </c>
      <c r="F1569" s="186"/>
      <c r="G1569" s="187" t="s">
        <v>1519</v>
      </c>
    </row>
    <row r="1570" spans="1:7" ht="37.5" x14ac:dyDescent="0.25">
      <c r="A1570" s="200">
        <v>1565</v>
      </c>
      <c r="B1570" s="183" t="e">
        <f>DEEMSuite1&amp;" CRAC Gallery"</f>
        <v>#N/A</v>
      </c>
      <c r="C1570" s="183" t="s">
        <v>2056</v>
      </c>
      <c r="D1570" s="187" t="s">
        <v>2744</v>
      </c>
      <c r="E1570" s="183" t="s">
        <v>1464</v>
      </c>
      <c r="F1570" s="186"/>
      <c r="G1570" s="187" t="s">
        <v>1519</v>
      </c>
    </row>
    <row r="1571" spans="1:7" ht="37.5" x14ac:dyDescent="0.25">
      <c r="A1571" s="200">
        <v>1566</v>
      </c>
      <c r="B1571" s="183" t="s">
        <v>1462</v>
      </c>
      <c r="C1571" s="183" t="s">
        <v>84</v>
      </c>
      <c r="D1571" s="187" t="s">
        <v>2119</v>
      </c>
      <c r="E1571" s="183" t="s">
        <v>1464</v>
      </c>
      <c r="F1571" s="186"/>
      <c r="G1571" s="187" t="s">
        <v>1519</v>
      </c>
    </row>
    <row r="1572" spans="1:7" ht="37.5" x14ac:dyDescent="0.25">
      <c r="A1572" s="200">
        <v>1567</v>
      </c>
      <c r="B1572" s="183" t="s">
        <v>1462</v>
      </c>
      <c r="C1572" s="183" t="s">
        <v>84</v>
      </c>
      <c r="D1572" s="184" t="s">
        <v>2022</v>
      </c>
      <c r="E1572" s="183" t="s">
        <v>1464</v>
      </c>
      <c r="F1572" s="186"/>
      <c r="G1572" s="187" t="s">
        <v>1519</v>
      </c>
    </row>
    <row r="1573" spans="1:7" ht="37.5" x14ac:dyDescent="0.25">
      <c r="A1573" s="200">
        <v>1568</v>
      </c>
      <c r="B1573" s="183" t="s">
        <v>1462</v>
      </c>
      <c r="C1573" s="183" t="s">
        <v>84</v>
      </c>
      <c r="D1573" s="184" t="s">
        <v>2167</v>
      </c>
      <c r="E1573" s="183" t="s">
        <v>1464</v>
      </c>
      <c r="F1573" s="186"/>
      <c r="G1573" s="187" t="s">
        <v>1519</v>
      </c>
    </row>
    <row r="1574" spans="1:7" ht="56.25" x14ac:dyDescent="0.25">
      <c r="A1574" s="200">
        <v>1569</v>
      </c>
      <c r="B1574" s="183" t="s">
        <v>1462</v>
      </c>
      <c r="C1574" s="183" t="s">
        <v>84</v>
      </c>
      <c r="D1574" s="186" t="s">
        <v>2024</v>
      </c>
      <c r="E1574" s="183" t="s">
        <v>1464</v>
      </c>
      <c r="F1574" s="186"/>
      <c r="G1574" s="187" t="s">
        <v>1519</v>
      </c>
    </row>
    <row r="1575" spans="1:7" ht="37.5" x14ac:dyDescent="0.25">
      <c r="A1575" s="200">
        <v>1570</v>
      </c>
      <c r="B1575" s="183" t="s">
        <v>1462</v>
      </c>
      <c r="C1575" s="183" t="s">
        <v>84</v>
      </c>
      <c r="D1575" s="187" t="s">
        <v>2025</v>
      </c>
      <c r="E1575" s="183" t="s">
        <v>1464</v>
      </c>
      <c r="F1575" s="186"/>
      <c r="G1575" s="187" t="s">
        <v>1519</v>
      </c>
    </row>
    <row r="1576" spans="1:7" ht="56.25" x14ac:dyDescent="0.3">
      <c r="A1576" s="200">
        <v>1571</v>
      </c>
      <c r="B1576" s="183" t="s">
        <v>1462</v>
      </c>
      <c r="C1576" s="183" t="s">
        <v>84</v>
      </c>
      <c r="D1576" s="196" t="s">
        <v>3194</v>
      </c>
      <c r="E1576" s="183" t="s">
        <v>1464</v>
      </c>
      <c r="F1576" s="186"/>
      <c r="G1576" s="187" t="s">
        <v>1519</v>
      </c>
    </row>
    <row r="1577" spans="1:7" ht="37.5" x14ac:dyDescent="0.25">
      <c r="A1577" s="200">
        <v>1572</v>
      </c>
      <c r="B1577" s="183" t="s">
        <v>1462</v>
      </c>
      <c r="C1577" s="183" t="s">
        <v>84</v>
      </c>
      <c r="D1577" s="184" t="s">
        <v>3195</v>
      </c>
      <c r="E1577" s="183" t="s">
        <v>1464</v>
      </c>
      <c r="F1577" s="186"/>
      <c r="G1577" s="187" t="s">
        <v>1519</v>
      </c>
    </row>
    <row r="1578" spans="1:7" x14ac:dyDescent="0.25">
      <c r="A1578" s="192"/>
    </row>
    <row r="1579" spans="1:7" x14ac:dyDescent="0.25">
      <c r="A1579" s="192"/>
    </row>
    <row r="1580" spans="1:7" x14ac:dyDescent="0.25">
      <c r="A1580" s="192"/>
    </row>
  </sheetData>
  <sheetProtection formatCells="0" formatColumns="0" formatRows="0" insertRows="0" deleteRows="0" sort="0" autoFilter="0"/>
  <mergeCells count="47">
    <mergeCell ref="A2:B2"/>
    <mergeCell ref="A3:B3"/>
    <mergeCell ref="C3:D3"/>
    <mergeCell ref="C2:G2"/>
    <mergeCell ref="B505:G505"/>
    <mergeCell ref="A4:C4"/>
    <mergeCell ref="B6:G6"/>
    <mergeCell ref="B12:G12"/>
    <mergeCell ref="B30:G30"/>
    <mergeCell ref="B76:G76"/>
    <mergeCell ref="B106:G106"/>
    <mergeCell ref="B279:G279"/>
    <mergeCell ref="B309:G309"/>
    <mergeCell ref="B395:G395"/>
    <mergeCell ref="B413:G413"/>
    <mergeCell ref="B450:G450"/>
    <mergeCell ref="B808:G808"/>
    <mergeCell ref="B509:G509"/>
    <mergeCell ref="B555:G555"/>
    <mergeCell ref="B608:G608"/>
    <mergeCell ref="B628:G628"/>
    <mergeCell ref="B639:G639"/>
    <mergeCell ref="B675:G675"/>
    <mergeCell ref="B692:G692"/>
    <mergeCell ref="B702:G702"/>
    <mergeCell ref="B734:G734"/>
    <mergeCell ref="B764:G764"/>
    <mergeCell ref="B802:G802"/>
    <mergeCell ref="B1388:G1388"/>
    <mergeCell ref="B826:G826"/>
    <mergeCell ref="B868:G868"/>
    <mergeCell ref="B898:G898"/>
    <mergeCell ref="B1071:G1071"/>
    <mergeCell ref="B1101:G1101"/>
    <mergeCell ref="B1187:G1187"/>
    <mergeCell ref="B1205:G1205"/>
    <mergeCell ref="B1242:G1242"/>
    <mergeCell ref="B1288:G1288"/>
    <mergeCell ref="B1292:G1292"/>
    <mergeCell ref="B1335:G1335"/>
    <mergeCell ref="B1544:G1544"/>
    <mergeCell ref="B1408:G1408"/>
    <mergeCell ref="B1419:G1419"/>
    <mergeCell ref="B1455:G1455"/>
    <mergeCell ref="B1472:G1472"/>
    <mergeCell ref="B1482:G1482"/>
    <mergeCell ref="B1514:G1514"/>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77BB6-5EF2-4728-9B4C-FA7BB00820F5}">
  <sheetPr codeName="DEEM_SWR">
    <pageSetUpPr fitToPage="1"/>
  </sheetPr>
  <dimension ref="A1:I144"/>
  <sheetViews>
    <sheetView view="pageBreakPreview" zoomScale="90" zoomScaleNormal="100" zoomScaleSheetLayoutView="90" workbookViewId="0">
      <selection activeCell="K12" sqref="K12"/>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style="153" hidden="1" customWidth="1"/>
    <col min="9" max="9" width="10.7109375" customWidth="1"/>
    <col min="10" max="10" width="9.140625" customWidth="1"/>
    <col min="11" max="11" width="9.85546875" customWidth="1"/>
  </cols>
  <sheetData>
    <row r="1" spans="1:9" x14ac:dyDescent="0.25">
      <c r="A1" s="172" t="s">
        <v>1454</v>
      </c>
      <c r="B1" s="172"/>
      <c r="C1" s="173"/>
      <c r="D1" s="173"/>
      <c r="E1" s="173"/>
      <c r="F1" s="173"/>
      <c r="G1" s="173"/>
      <c r="H1"/>
    </row>
    <row r="2" spans="1:9" ht="18.75" customHeight="1" x14ac:dyDescent="0.25">
      <c r="A2" s="705" t="s">
        <v>42</v>
      </c>
      <c r="B2" s="705"/>
      <c r="C2" s="708" t="str">
        <f>zTaskName</f>
        <v>Routine Generator run with no load transfer</v>
      </c>
      <c r="D2" s="709"/>
      <c r="E2" s="709"/>
      <c r="F2" s="709"/>
      <c r="G2" s="710"/>
      <c r="H2"/>
    </row>
    <row r="3" spans="1:9" ht="9.9499999999999993" customHeight="1" x14ac:dyDescent="0.25">
      <c r="A3" s="728"/>
      <c r="B3" s="729"/>
      <c r="C3" s="730"/>
      <c r="D3" s="730"/>
      <c r="E3" s="380"/>
      <c r="F3" s="380"/>
      <c r="G3" s="381"/>
      <c r="H3"/>
    </row>
    <row r="4" spans="1:9" ht="9.9499999999999993" customHeight="1" x14ac:dyDescent="0.25">
      <c r="A4" s="706"/>
      <c r="B4" s="707"/>
      <c r="C4" s="707"/>
      <c r="D4" s="382"/>
      <c r="E4" s="382"/>
      <c r="F4" s="382"/>
      <c r="G4" s="383"/>
      <c r="H4" s="3"/>
      <c r="I4" s="3"/>
    </row>
    <row r="5" spans="1:9" ht="37.5" x14ac:dyDescent="0.25">
      <c r="A5" s="378" t="s">
        <v>1455</v>
      </c>
      <c r="B5" s="379" t="s">
        <v>8</v>
      </c>
      <c r="C5" s="379" t="s">
        <v>1456</v>
      </c>
      <c r="D5" s="378" t="s">
        <v>1457</v>
      </c>
      <c r="E5" s="379" t="s">
        <v>1458</v>
      </c>
      <c r="F5" s="379" t="s">
        <v>1459</v>
      </c>
      <c r="G5" s="378" t="s">
        <v>1460</v>
      </c>
      <c r="H5"/>
    </row>
    <row r="6" spans="1:9" x14ac:dyDescent="0.25">
      <c r="A6" s="174">
        <v>1</v>
      </c>
      <c r="B6" s="712" t="str">
        <f>"PERFORM PRE-WORK NOTIFICATION AND CALLOUT"</f>
        <v>PERFORM PRE-WORK NOTIFICATION AND CALLOUT</v>
      </c>
      <c r="C6" s="712"/>
      <c r="D6" s="712"/>
      <c r="E6" s="712"/>
      <c r="F6" s="712"/>
      <c r="G6" s="712"/>
    </row>
    <row r="7" spans="1:9" ht="37.5" x14ac:dyDescent="0.25">
      <c r="A7" s="174">
        <f>A6+1</f>
        <v>2</v>
      </c>
      <c r="B7" s="183" t="s">
        <v>1462</v>
      </c>
      <c r="C7" s="183" t="s">
        <v>84</v>
      </c>
      <c r="D7" s="186" t="e">
        <f>"Contact the engineer stationed on base to verify no abnormal conditions exist related to " &amp; DEEMOutsideGear &amp; "."</f>
        <v>#N/A</v>
      </c>
      <c r="E7" s="183" t="s">
        <v>1464</v>
      </c>
      <c r="F7" s="193" t="s">
        <v>1519</v>
      </c>
      <c r="G7" s="193"/>
    </row>
    <row r="8" spans="1:9" ht="37.5" x14ac:dyDescent="0.25">
      <c r="A8" s="174">
        <f t="shared" ref="A8:A83" si="0">A7+1</f>
        <v>3</v>
      </c>
      <c r="B8" s="183" t="s">
        <v>1462</v>
      </c>
      <c r="C8" s="183" t="s">
        <v>84</v>
      </c>
      <c r="D8" s="187" t="s">
        <v>2669</v>
      </c>
      <c r="E8" s="183" t="s">
        <v>1464</v>
      </c>
      <c r="F8" s="193" t="s">
        <v>1519</v>
      </c>
      <c r="G8" s="193"/>
    </row>
    <row r="9" spans="1:9" ht="37.5" x14ac:dyDescent="0.25">
      <c r="A9" s="174">
        <f t="shared" si="0"/>
        <v>4</v>
      </c>
      <c r="B9" s="183" t="s">
        <v>1462</v>
      </c>
      <c r="C9" s="183" t="s">
        <v>84</v>
      </c>
      <c r="D9" s="186" t="s">
        <v>2025</v>
      </c>
      <c r="E9" s="183" t="s">
        <v>1464</v>
      </c>
      <c r="F9" s="193" t="s">
        <v>1519</v>
      </c>
      <c r="G9" s="193"/>
    </row>
    <row r="10" spans="1:9" ht="37.5" x14ac:dyDescent="0.25">
      <c r="A10" s="174">
        <f t="shared" si="0"/>
        <v>5</v>
      </c>
      <c r="B10" s="183" t="s">
        <v>1462</v>
      </c>
      <c r="C10" s="183" t="s">
        <v>84</v>
      </c>
      <c r="D10" s="186" t="s">
        <v>3484</v>
      </c>
      <c r="E10" s="183" t="s">
        <v>1464</v>
      </c>
      <c r="F10" s="193" t="s">
        <v>1519</v>
      </c>
      <c r="G10" s="193"/>
    </row>
    <row r="11" spans="1:9" x14ac:dyDescent="0.25">
      <c r="A11" s="174">
        <f t="shared" si="0"/>
        <v>6</v>
      </c>
      <c r="B11" s="716" t="e">
        <f>"PERFORM " &amp; DEEMOutsideGear &amp; " DE-ENERGIZED ELECTRICAL MAINTENANCE"</f>
        <v>#N/A</v>
      </c>
      <c r="C11" s="716"/>
      <c r="D11" s="716"/>
      <c r="E11" s="716"/>
      <c r="F11" s="716"/>
      <c r="G11" s="716"/>
    </row>
    <row r="12" spans="1:9" ht="131.25" x14ac:dyDescent="0.25">
      <c r="A12" s="174">
        <f t="shared" si="0"/>
        <v>7</v>
      </c>
      <c r="B12" s="183" t="str">
        <f t="shared" ref="B12:B23" si="1">IADNumber &amp; " Generator Yard"</f>
        <v>IAD35 Generator Yard</v>
      </c>
      <c r="C12" s="388" t="e">
        <f>DEEMOutsideGear</f>
        <v>#N/A</v>
      </c>
      <c r="D12" s="186" t="s">
        <v>3485</v>
      </c>
      <c r="E12" s="183" t="s">
        <v>3486</v>
      </c>
      <c r="F12" s="193"/>
      <c r="G12" s="189" t="s">
        <v>1519</v>
      </c>
    </row>
    <row r="13" spans="1:9" ht="37.5" x14ac:dyDescent="0.25">
      <c r="A13" s="174">
        <f t="shared" si="0"/>
        <v>8</v>
      </c>
      <c r="B13" s="183" t="str">
        <f t="shared" si="1"/>
        <v>IAD35 Generator Yard</v>
      </c>
      <c r="C13" s="388" t="e">
        <f>DEEMOutsideGear</f>
        <v>#N/A</v>
      </c>
      <c r="D13" s="186" t="e" cm="1">
        <f t="array" ref="D13">"Record phase to phase voltage (A-B) on " &amp; DEEMOutsideGear &amp; " UR1 breaker: _______ VAC"</f>
        <v>#N/A</v>
      </c>
      <c r="E13" s="183" t="s">
        <v>1464</v>
      </c>
      <c r="F13" s="193"/>
      <c r="G13" s="189" t="s">
        <v>1519</v>
      </c>
    </row>
    <row r="14" spans="1:9" ht="37.5" x14ac:dyDescent="0.25">
      <c r="A14" s="174">
        <f t="shared" si="0"/>
        <v>9</v>
      </c>
      <c r="B14" s="183" t="str">
        <f t="shared" si="1"/>
        <v>IAD35 Generator Yard</v>
      </c>
      <c r="C14" s="388" t="e">
        <f>DEEMOutsideGear</f>
        <v>#N/A</v>
      </c>
      <c r="D14" s="186" t="e" cm="1">
        <f t="array" ref="D14">"Record phase to phase voltage (B-C) on " &amp; DEEMOutsideGear &amp; " UR1 breaker: _______ VAC"</f>
        <v>#N/A</v>
      </c>
      <c r="E14" s="183" t="s">
        <v>1464</v>
      </c>
      <c r="F14" s="193"/>
      <c r="G14" s="189" t="s">
        <v>1519</v>
      </c>
    </row>
    <row r="15" spans="1:9" ht="37.5" x14ac:dyDescent="0.25">
      <c r="A15" s="174">
        <f t="shared" si="0"/>
        <v>10</v>
      </c>
      <c r="B15" s="183" t="str">
        <f t="shared" si="1"/>
        <v>IAD35 Generator Yard</v>
      </c>
      <c r="C15" s="388" t="e">
        <f>DEEMOutsideGear</f>
        <v>#N/A</v>
      </c>
      <c r="D15" s="186" t="e" cm="1">
        <f t="array" ref="D15">"Record phase to phase voltage (C-A) on " &amp; DEEMOutsideGear &amp; " UR1 breaker: _______ VAC"</f>
        <v>#N/A</v>
      </c>
      <c r="E15" s="183" t="s">
        <v>1464</v>
      </c>
      <c r="F15" s="193"/>
      <c r="G15" s="189" t="s">
        <v>1519</v>
      </c>
    </row>
    <row r="16" spans="1:9" ht="37.5" x14ac:dyDescent="0.25">
      <c r="A16" s="174">
        <f t="shared" si="0"/>
        <v>11</v>
      </c>
      <c r="B16" s="183" t="str">
        <f t="shared" si="1"/>
        <v>IAD35 Generator Yard</v>
      </c>
      <c r="C16" s="388" t="e">
        <f>DEEMOutsideGear</f>
        <v>#N/A</v>
      </c>
      <c r="D16" s="186" t="e">
        <f>"Place " &amp; DEEMOutsideGear &amp; " into manual Mode by turning the key switch from AUTO to MANUAL. Note: the keyswitch is located behind the ROP in the controls section of the switchgear."</f>
        <v>#N/A</v>
      </c>
      <c r="E16" s="183" t="s">
        <v>1464</v>
      </c>
      <c r="F16" s="193"/>
      <c r="G16" s="189" t="s">
        <v>1519</v>
      </c>
    </row>
    <row r="17" spans="1:8" ht="37.5" x14ac:dyDescent="0.25">
      <c r="A17" s="174">
        <f t="shared" si="0"/>
        <v>12</v>
      </c>
      <c r="B17" s="183" t="str">
        <f t="shared" si="1"/>
        <v>IAD35 Generator Yard</v>
      </c>
      <c r="C17" s="388" t="e">
        <f>DEEMOutsideGear</f>
        <v>#N/A</v>
      </c>
      <c r="D17" s="186" t="e">
        <f>"Verify " &amp; DEEMOutsideGear &amp; " GR1 breaker is OPEN."</f>
        <v>#N/A</v>
      </c>
      <c r="E17" s="183" t="s">
        <v>1464</v>
      </c>
      <c r="F17" s="193"/>
      <c r="G17" s="189" t="s">
        <v>1519</v>
      </c>
    </row>
    <row r="18" spans="1:8" ht="37.5" x14ac:dyDescent="0.25">
      <c r="A18" s="174">
        <f>A17+1</f>
        <v>13</v>
      </c>
      <c r="B18" s="183" t="str">
        <f t="shared" si="1"/>
        <v>IAD35 Generator Yard</v>
      </c>
      <c r="C18" s="388" t="e">
        <f>DEEMOutsideGear</f>
        <v>#N/A</v>
      </c>
      <c r="D18" s="186" t="e">
        <f>"Verify " &amp; DEEMOutsideGear &amp; " PR1 breaker is OPEN."</f>
        <v>#N/A</v>
      </c>
      <c r="E18" s="183" t="s">
        <v>1464</v>
      </c>
      <c r="F18" s="193"/>
      <c r="G18" s="189" t="s">
        <v>1519</v>
      </c>
    </row>
    <row r="19" spans="1:8" ht="37.5" x14ac:dyDescent="0.25">
      <c r="A19" s="174">
        <f t="shared" ref="A19:A20" si="2">A18+1</f>
        <v>14</v>
      </c>
      <c r="B19" s="183" t="str">
        <f t="shared" si="1"/>
        <v>IAD35 Generator Yard</v>
      </c>
      <c r="C19" s="388" t="e">
        <f>DEEMOutsideGear</f>
        <v>#N/A</v>
      </c>
      <c r="D19" s="186" t="e">
        <f>"Verify " &amp; DEEMOutsideGear &amp; " UR1 breaker is CLOSED."</f>
        <v>#N/A</v>
      </c>
      <c r="E19" s="183" t="s">
        <v>1464</v>
      </c>
      <c r="F19" s="193"/>
      <c r="G19" s="189" t="s">
        <v>1519</v>
      </c>
    </row>
    <row r="20" spans="1:8" ht="37.5" x14ac:dyDescent="0.25">
      <c r="A20" s="174">
        <f t="shared" si="2"/>
        <v>15</v>
      </c>
      <c r="B20" s="183" t="str">
        <f t="shared" si="1"/>
        <v>IAD35 Generator Yard</v>
      </c>
      <c r="C20" s="388" t="e">
        <f>DEEMOutsideGear</f>
        <v>#N/A</v>
      </c>
      <c r="D20" s="186" t="e">
        <f>"Verify " &amp; DEEMSuite1 &amp; " RA1 breaker is CLOSED."</f>
        <v>#N/A</v>
      </c>
      <c r="E20" s="183" t="s">
        <v>1464</v>
      </c>
      <c r="F20" s="193"/>
      <c r="G20" s="189" t="s">
        <v>1519</v>
      </c>
    </row>
    <row r="21" spans="1:8" ht="37.5" x14ac:dyDescent="0.25">
      <c r="A21" s="174">
        <f t="shared" si="0"/>
        <v>16</v>
      </c>
      <c r="B21" s="183" t="str">
        <f t="shared" si="1"/>
        <v>IAD35 Generator Yard</v>
      </c>
      <c r="C21" s="388" t="e">
        <f>DEEMOutsideGear</f>
        <v>#N/A</v>
      </c>
      <c r="D21" s="186" t="e">
        <f>"Verify " &amp; DEEMSuite2 &amp; " RA1 breaker is CLOSED."</f>
        <v>#N/A</v>
      </c>
      <c r="E21" s="183" t="s">
        <v>1464</v>
      </c>
      <c r="F21" s="193"/>
      <c r="G21" s="189" t="s">
        <v>1519</v>
      </c>
    </row>
    <row r="22" spans="1:8" ht="37.5" x14ac:dyDescent="0.25">
      <c r="A22" s="174">
        <f t="shared" si="0"/>
        <v>17</v>
      </c>
      <c r="B22" s="183" t="str">
        <f t="shared" si="1"/>
        <v>IAD35 Generator Yard</v>
      </c>
      <c r="C22" s="388" t="e">
        <f>DEEMOutsideGear</f>
        <v>#N/A</v>
      </c>
      <c r="D22" s="186" t="e">
        <f>"Verify " &amp; DEEMSuite3 &amp; " RA1 breaker is CLOSED."</f>
        <v>#N/A</v>
      </c>
      <c r="E22" s="183" t="s">
        <v>1464</v>
      </c>
      <c r="F22" s="193"/>
      <c r="G22" s="189" t="s">
        <v>1519</v>
      </c>
    </row>
    <row r="23" spans="1:8" ht="37.5" x14ac:dyDescent="0.25">
      <c r="A23" s="174">
        <f t="shared" si="0"/>
        <v>18</v>
      </c>
      <c r="B23" s="183" t="str">
        <f t="shared" si="1"/>
        <v>IAD35 Generator Yard</v>
      </c>
      <c r="C23" s="388" t="e">
        <f>DEEMOutsideGear</f>
        <v>#N/A</v>
      </c>
      <c r="D23" s="186" t="e">
        <f>"Verify " &amp; DEEMSuite4 &amp; " RA1 breaker is CLOSED."</f>
        <v>#N/A</v>
      </c>
      <c r="E23" s="183" t="s">
        <v>1464</v>
      </c>
      <c r="F23" s="193"/>
      <c r="G23" s="189" t="s">
        <v>1519</v>
      </c>
      <c r="H23" s="153" t="s">
        <v>203</v>
      </c>
    </row>
    <row r="24" spans="1:8" ht="37.5" x14ac:dyDescent="0.25">
      <c r="A24" s="174" t="e">
        <f>IF(DEEMSuite4="XXX", A22+1, A23+1)</f>
        <v>#N/A</v>
      </c>
      <c r="B24" s="388" t="e">
        <f>DEEMSuite1 &amp; " Electrical Room"</f>
        <v>#N/A</v>
      </c>
      <c r="C24" s="183" t="s">
        <v>2670</v>
      </c>
      <c r="D24" s="186" t="e">
        <f>"Verify " &amp; DEEMSuite1 &amp; " RA2 breaker is OPEN."</f>
        <v>#N/A</v>
      </c>
      <c r="E24" s="183" t="s">
        <v>1464</v>
      </c>
      <c r="F24" s="193"/>
      <c r="G24" s="189" t="s">
        <v>1519</v>
      </c>
    </row>
    <row r="25" spans="1:8" ht="37.5" x14ac:dyDescent="0.25">
      <c r="A25" s="174" t="e">
        <f t="shared" si="0"/>
        <v>#N/A</v>
      </c>
      <c r="B25" s="388" t="e">
        <f>DEEMSuite1 &amp; " Electrical Room"</f>
        <v>#N/A</v>
      </c>
      <c r="C25" s="183" t="s">
        <v>2670</v>
      </c>
      <c r="D25" s="186" t="e">
        <f>"Apply LOTO to " &amp; DEEMSuite1 &amp; " RA2 breaker."</f>
        <v>#N/A</v>
      </c>
      <c r="E25" s="183" t="s">
        <v>1464</v>
      </c>
      <c r="F25" s="193"/>
      <c r="G25" s="189" t="s">
        <v>1519</v>
      </c>
    </row>
    <row r="26" spans="1:8" ht="37.5" x14ac:dyDescent="0.25">
      <c r="A26" s="174" t="e">
        <f t="shared" si="0"/>
        <v>#N/A</v>
      </c>
      <c r="B26" s="388" t="e">
        <f>DEEMSuite1 &amp; " Electrical Room"</f>
        <v>#N/A</v>
      </c>
      <c r="C26" s="183" t="s">
        <v>2670</v>
      </c>
      <c r="D26" s="186" t="s">
        <v>3487</v>
      </c>
      <c r="E26" s="183" t="s">
        <v>1464</v>
      </c>
      <c r="F26" s="193"/>
      <c r="G26" s="189" t="s">
        <v>1519</v>
      </c>
    </row>
    <row r="27" spans="1:8" ht="37.5" x14ac:dyDescent="0.25">
      <c r="A27" s="174" t="e">
        <f t="shared" si="0"/>
        <v>#N/A</v>
      </c>
      <c r="B27" s="388" t="e">
        <f>DEEMSuite2 &amp; " Electrical Room"</f>
        <v>#N/A</v>
      </c>
      <c r="C27" s="183" t="s">
        <v>2670</v>
      </c>
      <c r="D27" s="186" t="e">
        <f>"Verify " &amp; DEEMSuite2 &amp; " RA2 breaker is OPEN."</f>
        <v>#N/A</v>
      </c>
      <c r="E27" s="183" t="s">
        <v>1464</v>
      </c>
      <c r="F27" s="193"/>
      <c r="G27" s="189" t="s">
        <v>1519</v>
      </c>
    </row>
    <row r="28" spans="1:8" ht="37.5" x14ac:dyDescent="0.25">
      <c r="A28" s="174" t="e">
        <f t="shared" si="0"/>
        <v>#N/A</v>
      </c>
      <c r="B28" s="388" t="e">
        <f>DEEMSuite2 &amp; " Electrical Room"</f>
        <v>#N/A</v>
      </c>
      <c r="C28" s="183" t="s">
        <v>2670</v>
      </c>
      <c r="D28" s="186" t="e">
        <f>"Apply LOTO to " &amp; DEEMSuite2 &amp; " RA2 breaker."</f>
        <v>#N/A</v>
      </c>
      <c r="E28" s="183" t="s">
        <v>1464</v>
      </c>
      <c r="F28" s="193"/>
      <c r="G28" s="189" t="s">
        <v>1519</v>
      </c>
    </row>
    <row r="29" spans="1:8" ht="37.5" x14ac:dyDescent="0.25">
      <c r="A29" s="174" t="e">
        <f t="shared" si="0"/>
        <v>#N/A</v>
      </c>
      <c r="B29" s="388" t="e">
        <f>DEEMSuite2 &amp; " Electrical Room"</f>
        <v>#N/A</v>
      </c>
      <c r="C29" s="183" t="s">
        <v>2670</v>
      </c>
      <c r="D29" s="186" t="s">
        <v>3487</v>
      </c>
      <c r="E29" s="183" t="s">
        <v>1464</v>
      </c>
      <c r="F29" s="193"/>
      <c r="G29" s="189" t="s">
        <v>1519</v>
      </c>
    </row>
    <row r="30" spans="1:8" ht="37.5" x14ac:dyDescent="0.25">
      <c r="A30" s="174" t="e">
        <f t="shared" si="0"/>
        <v>#N/A</v>
      </c>
      <c r="B30" s="388" t="e">
        <f>DEEMSuite3 &amp; " Electrical Room"</f>
        <v>#N/A</v>
      </c>
      <c r="C30" s="183" t="s">
        <v>2670</v>
      </c>
      <c r="D30" s="186" t="e">
        <f>"Verify " &amp; DEEMSuite3 &amp; " RA2 breaker is OPEN."</f>
        <v>#N/A</v>
      </c>
      <c r="E30" s="183" t="s">
        <v>1464</v>
      </c>
      <c r="F30" s="193"/>
      <c r="G30" s="189" t="s">
        <v>1519</v>
      </c>
    </row>
    <row r="31" spans="1:8" ht="37.5" x14ac:dyDescent="0.25">
      <c r="A31" s="174" t="e">
        <f t="shared" si="0"/>
        <v>#N/A</v>
      </c>
      <c r="B31" s="388" t="e">
        <f>DEEMSuite3 &amp; " Electrical Room"</f>
        <v>#N/A</v>
      </c>
      <c r="C31" s="183" t="s">
        <v>2670</v>
      </c>
      <c r="D31" s="186" t="e">
        <f>"Apply LOTO to " &amp; DEEMSuite3 &amp; " RA2 breaker."</f>
        <v>#N/A</v>
      </c>
      <c r="E31" s="183" t="s">
        <v>1464</v>
      </c>
      <c r="F31" s="193"/>
      <c r="G31" s="189" t="s">
        <v>1519</v>
      </c>
    </row>
    <row r="32" spans="1:8" ht="37.5" x14ac:dyDescent="0.25">
      <c r="A32" s="174" t="e">
        <f t="shared" si="0"/>
        <v>#N/A</v>
      </c>
      <c r="B32" s="388" t="e">
        <f>DEEMSuite3 &amp; " Electrical Room"</f>
        <v>#N/A</v>
      </c>
      <c r="C32" s="183" t="s">
        <v>2670</v>
      </c>
      <c r="D32" s="186" t="s">
        <v>3487</v>
      </c>
      <c r="E32" s="183" t="s">
        <v>1464</v>
      </c>
      <c r="F32" s="193"/>
      <c r="G32" s="189" t="s">
        <v>1519</v>
      </c>
    </row>
    <row r="33" spans="1:8" ht="37.5" x14ac:dyDescent="0.25">
      <c r="A33" s="174" t="e">
        <f t="shared" si="0"/>
        <v>#N/A</v>
      </c>
      <c r="B33" s="388" t="e">
        <f>DEEMSuite4 &amp; " Electrical Room"</f>
        <v>#N/A</v>
      </c>
      <c r="C33" s="183" t="s">
        <v>2670</v>
      </c>
      <c r="D33" s="186" t="e">
        <f>"Verify " &amp; DEEMSuite4 &amp; " RA2 breaker is OPEN."</f>
        <v>#N/A</v>
      </c>
      <c r="E33" s="183" t="s">
        <v>1464</v>
      </c>
      <c r="F33" s="193"/>
      <c r="G33" s="189" t="s">
        <v>1519</v>
      </c>
      <c r="H33" s="153" t="s">
        <v>203</v>
      </c>
    </row>
    <row r="34" spans="1:8" ht="37.5" x14ac:dyDescent="0.25">
      <c r="A34" s="174" t="e">
        <f t="shared" si="0"/>
        <v>#N/A</v>
      </c>
      <c r="B34" s="388" t="e">
        <f>DEEMSuite4 &amp; " Electrical Room"</f>
        <v>#N/A</v>
      </c>
      <c r="C34" s="183" t="s">
        <v>2670</v>
      </c>
      <c r="D34" s="186" t="e">
        <f>"Apply LOTO to " &amp; DEEMSuite4 &amp; " RA2 breaker."</f>
        <v>#N/A</v>
      </c>
      <c r="E34" s="183" t="s">
        <v>1464</v>
      </c>
      <c r="F34" s="193"/>
      <c r="G34" s="189" t="s">
        <v>1519</v>
      </c>
      <c r="H34" s="153" t="s">
        <v>203</v>
      </c>
    </row>
    <row r="35" spans="1:8" ht="37.5" x14ac:dyDescent="0.25">
      <c r="A35" s="174" t="e">
        <f t="shared" si="0"/>
        <v>#N/A</v>
      </c>
      <c r="B35" s="388" t="e">
        <f>DEEMSuite4 &amp; " Electrical Room"</f>
        <v>#N/A</v>
      </c>
      <c r="C35" s="183" t="s">
        <v>2670</v>
      </c>
      <c r="D35" s="186" t="s">
        <v>3487</v>
      </c>
      <c r="E35" s="183" t="s">
        <v>1464</v>
      </c>
      <c r="F35" s="193"/>
      <c r="G35" s="189" t="s">
        <v>1519</v>
      </c>
      <c r="H35" s="153" t="s">
        <v>203</v>
      </c>
    </row>
    <row r="36" spans="1:8" ht="37.5" x14ac:dyDescent="0.25">
      <c r="A36" s="174" t="e">
        <f>IF(DEEMSuite4="XXX", A32+1, A35+1)</f>
        <v>#N/A</v>
      </c>
      <c r="B36" s="183" t="str">
        <f t="shared" ref="B36:B78" si="3">IADNumber &amp; " Generator Yard"</f>
        <v>IAD35 Generator Yard</v>
      </c>
      <c r="C36" s="388" t="str">
        <f>zSelectedEquipment &amp; " Generator"</f>
        <v>G104-Gen-B Generator</v>
      </c>
      <c r="D36" s="186" t="str">
        <f>"Press the E-Stop button on the redundant generator " &amp; zSelectedEquipment &amp; " control panel."</f>
        <v>Press the E-Stop button on the redundant generator G104-Gen-B control panel.</v>
      </c>
      <c r="E36" s="183" t="s">
        <v>1464</v>
      </c>
      <c r="F36" s="193"/>
      <c r="G36" s="189" t="s">
        <v>1519</v>
      </c>
    </row>
    <row r="37" spans="1:8" ht="37.5" x14ac:dyDescent="0.25">
      <c r="A37" s="174" t="e">
        <f t="shared" si="0"/>
        <v>#N/A</v>
      </c>
      <c r="B37" s="183" t="str">
        <f t="shared" si="3"/>
        <v>IAD35 Generator Yard</v>
      </c>
      <c r="C37" s="388" t="str">
        <f>zSelectedEquipment &amp; " Generator"</f>
        <v>G104-Gen-B Generator</v>
      </c>
      <c r="D37" s="186" t="str">
        <f>"Apply LOTO to the " &amp; zSelectedEquipment &amp; " E-stop button."</f>
        <v>Apply LOTO to the G104-Gen-B E-stop button.</v>
      </c>
      <c r="E37" s="183" t="s">
        <v>1464</v>
      </c>
      <c r="F37" s="193"/>
      <c r="G37" s="189" t="s">
        <v>1519</v>
      </c>
    </row>
    <row r="38" spans="1:8" ht="37.5" x14ac:dyDescent="0.25">
      <c r="A38" s="174" t="e">
        <f t="shared" si="0"/>
        <v>#N/A</v>
      </c>
      <c r="B38" s="183" t="str">
        <f t="shared" si="3"/>
        <v>IAD35 Generator Yard</v>
      </c>
      <c r="C38" s="388" t="str">
        <f>zSelectedEquipment &amp; " Generator"</f>
        <v>G104-Gen-B Generator</v>
      </c>
      <c r="D38" s="186" t="s">
        <v>3487</v>
      </c>
      <c r="E38" s="183" t="s">
        <v>1464</v>
      </c>
      <c r="F38" s="193"/>
      <c r="G38" s="189" t="s">
        <v>1519</v>
      </c>
    </row>
    <row r="39" spans="1:8" ht="37.5" x14ac:dyDescent="0.25">
      <c r="A39" s="174" t="e">
        <f t="shared" si="0"/>
        <v>#N/A</v>
      </c>
      <c r="B39" s="183" t="str">
        <f t="shared" si="3"/>
        <v>IAD35 Generator Yard</v>
      </c>
      <c r="C39" s="388" t="e">
        <f>DEEMOutsideGear</f>
        <v>#N/A</v>
      </c>
      <c r="D39" s="186" t="s">
        <v>3488</v>
      </c>
      <c r="E39" s="183" t="s">
        <v>1464</v>
      </c>
      <c r="F39" s="193"/>
      <c r="G39" s="189" t="s">
        <v>1519</v>
      </c>
    </row>
    <row r="40" spans="1:8" ht="37.5" x14ac:dyDescent="0.25">
      <c r="A40" s="174" t="e">
        <f t="shared" si="0"/>
        <v>#N/A</v>
      </c>
      <c r="B40" s="183" t="str">
        <f t="shared" si="3"/>
        <v>IAD35 Generator Yard</v>
      </c>
      <c r="C40" s="388" t="e">
        <f>DEEMOutsideGear</f>
        <v>#N/A</v>
      </c>
      <c r="D40" s="186" t="s">
        <v>3489</v>
      </c>
      <c r="E40" s="183" t="s">
        <v>1464</v>
      </c>
      <c r="F40" s="193"/>
      <c r="G40" s="189" t="s">
        <v>1519</v>
      </c>
    </row>
    <row r="41" spans="1:8" ht="37.5" x14ac:dyDescent="0.25">
      <c r="A41" s="174" t="e">
        <f t="shared" si="0"/>
        <v>#N/A</v>
      </c>
      <c r="B41" s="183" t="str">
        <f t="shared" si="3"/>
        <v>IAD35 Generator Yard</v>
      </c>
      <c r="C41" s="388" t="e">
        <f>DEEMOutsideGear</f>
        <v>#N/A</v>
      </c>
      <c r="D41" s="186" t="s">
        <v>2671</v>
      </c>
      <c r="E41" s="183" t="s">
        <v>1464</v>
      </c>
      <c r="F41" s="193"/>
      <c r="G41" s="189" t="s">
        <v>1519</v>
      </c>
    </row>
    <row r="42" spans="1:8" ht="37.5" x14ac:dyDescent="0.25">
      <c r="A42" s="174" t="e">
        <f t="shared" si="0"/>
        <v>#N/A</v>
      </c>
      <c r="B42" s="183" t="str">
        <f t="shared" si="3"/>
        <v>IAD35 Generator Yard</v>
      </c>
      <c r="C42" s="388" t="e">
        <f>DEEMOutsideGear</f>
        <v>#N/A</v>
      </c>
      <c r="D42" s="186" t="s">
        <v>3488</v>
      </c>
      <c r="E42" s="183" t="s">
        <v>1464</v>
      </c>
      <c r="F42" s="193"/>
      <c r="G42" s="189" t="s">
        <v>1519</v>
      </c>
    </row>
    <row r="43" spans="1:8" ht="37.5" x14ac:dyDescent="0.25">
      <c r="A43" s="174" t="e">
        <f t="shared" si="0"/>
        <v>#N/A</v>
      </c>
      <c r="B43" s="183" t="str">
        <f t="shared" si="3"/>
        <v>IAD35 Generator Yard</v>
      </c>
      <c r="C43" s="388" t="e">
        <f>DEEMOutsideGear</f>
        <v>#N/A</v>
      </c>
      <c r="D43" s="186" t="e">
        <f>"Press the LOGIN button on the " &amp; DEEMOutsideGear &amp; " ROP."</f>
        <v>#N/A</v>
      </c>
      <c r="E43" s="183" t="s">
        <v>1464</v>
      </c>
      <c r="F43" s="193"/>
      <c r="G43" s="189" t="s">
        <v>1519</v>
      </c>
    </row>
    <row r="44" spans="1:8" ht="37.5" x14ac:dyDescent="0.25">
      <c r="A44" s="174" t="e">
        <f t="shared" si="0"/>
        <v>#N/A</v>
      </c>
      <c r="B44" s="183" t="str">
        <f t="shared" si="3"/>
        <v>IAD35 Generator Yard</v>
      </c>
      <c r="C44" s="388" t="e">
        <f>DEEMOutsideGear</f>
        <v>#N/A</v>
      </c>
      <c r="D44" s="186" t="s">
        <v>2092</v>
      </c>
      <c r="E44" s="183" t="s">
        <v>1464</v>
      </c>
      <c r="F44" s="193"/>
      <c r="G44" s="189" t="s">
        <v>1519</v>
      </c>
    </row>
    <row r="45" spans="1:8" ht="37.5" x14ac:dyDescent="0.25">
      <c r="A45" s="174" t="e">
        <f t="shared" si="0"/>
        <v>#N/A</v>
      </c>
      <c r="B45" s="183" t="str">
        <f t="shared" si="3"/>
        <v>IAD35 Generator Yard</v>
      </c>
      <c r="C45" s="388" t="e">
        <f>DEEMOutsideGear</f>
        <v>#N/A</v>
      </c>
      <c r="D45" s="186" t="s">
        <v>3490</v>
      </c>
      <c r="E45" s="183" t="s">
        <v>1464</v>
      </c>
      <c r="F45" s="193"/>
      <c r="G45" s="189" t="s">
        <v>1519</v>
      </c>
    </row>
    <row r="46" spans="1:8" ht="37.5" x14ac:dyDescent="0.25">
      <c r="A46" s="174" t="e">
        <f t="shared" si="0"/>
        <v>#N/A</v>
      </c>
      <c r="B46" s="183" t="str">
        <f t="shared" si="3"/>
        <v>IAD35 Generator Yard</v>
      </c>
      <c r="C46" s="388" t="e">
        <f>DEEMOutsideGear</f>
        <v>#N/A</v>
      </c>
      <c r="D46" s="186" t="s">
        <v>2672</v>
      </c>
      <c r="E46" s="183" t="s">
        <v>1464</v>
      </c>
      <c r="F46" s="193"/>
      <c r="G46" s="189" t="s">
        <v>1519</v>
      </c>
    </row>
    <row r="47" spans="1:8" ht="37.5" x14ac:dyDescent="0.25">
      <c r="A47" s="174" t="e">
        <f t="shared" si="0"/>
        <v>#N/A</v>
      </c>
      <c r="B47" s="183" t="str">
        <f t="shared" si="3"/>
        <v>IAD35 Generator Yard</v>
      </c>
      <c r="C47" s="388" t="e">
        <f>DEEMOutsideGear</f>
        <v>#N/A</v>
      </c>
      <c r="D47" s="186" t="e">
        <f>"OPEN " &amp; DEEMOutsideGear &amp; " UR1 Breaker, by pressing the UR1 breaker graphic on the touchscreen."</f>
        <v>#N/A</v>
      </c>
      <c r="E47" s="183" t="s">
        <v>1464</v>
      </c>
      <c r="F47" s="193"/>
      <c r="G47" s="189" t="s">
        <v>1519</v>
      </c>
    </row>
    <row r="48" spans="1:8" ht="37.5" x14ac:dyDescent="0.25">
      <c r="A48" s="174" t="e">
        <f t="shared" si="0"/>
        <v>#N/A</v>
      </c>
      <c r="B48" s="183" t="str">
        <f t="shared" si="3"/>
        <v>IAD35 Generator Yard</v>
      </c>
      <c r="C48" s="388" t="e">
        <f>DEEMOutsideGear</f>
        <v>#N/A</v>
      </c>
      <c r="D48" s="186" t="e">
        <f>"Verify " &amp; DEEMOutsideGear &amp; " UR1 breaker is OPEN."</f>
        <v>#N/A</v>
      </c>
      <c r="E48" s="183" t="s">
        <v>1464</v>
      </c>
      <c r="F48" s="193"/>
      <c r="G48" s="189" t="s">
        <v>1519</v>
      </c>
    </row>
    <row r="49" spans="1:8" ht="37.5" x14ac:dyDescent="0.25">
      <c r="A49" s="174" t="e">
        <f t="shared" si="0"/>
        <v>#N/A</v>
      </c>
      <c r="B49" s="183" t="str">
        <f t="shared" si="3"/>
        <v>IAD35 Generator Yard</v>
      </c>
      <c r="C49" s="388" t="e">
        <f>DEEMOutsideGear</f>
        <v>#N/A</v>
      </c>
      <c r="D49" s="186" t="e">
        <f>"OPEN " &amp; DEEMSuite1 &amp; "-RA1 Breaker, by pressing the " &amp; DEEMSuite1 &amp; "-RA1 breaker graphic on the touchscreen."</f>
        <v>#N/A</v>
      </c>
      <c r="E49" s="183" t="s">
        <v>1464</v>
      </c>
      <c r="F49" s="193"/>
      <c r="G49" s="189" t="s">
        <v>1519</v>
      </c>
    </row>
    <row r="50" spans="1:8" ht="37.5" x14ac:dyDescent="0.25">
      <c r="A50" s="174" t="e">
        <f t="shared" si="0"/>
        <v>#N/A</v>
      </c>
      <c r="B50" s="183" t="str">
        <f t="shared" si="3"/>
        <v>IAD35 Generator Yard</v>
      </c>
      <c r="C50" s="388" t="e">
        <f>DEEMOutsideGear</f>
        <v>#N/A</v>
      </c>
      <c r="D50" s="186" t="e">
        <f>"Verify " &amp; DEEMSuite1 &amp; "-RA1 Breaker is OPEN."</f>
        <v>#N/A</v>
      </c>
      <c r="E50" s="183" t="s">
        <v>1464</v>
      </c>
      <c r="F50" s="193"/>
      <c r="G50" s="189" t="s">
        <v>1519</v>
      </c>
    </row>
    <row r="51" spans="1:8" ht="37.5" x14ac:dyDescent="0.25">
      <c r="A51" s="174" t="e">
        <f t="shared" si="0"/>
        <v>#N/A</v>
      </c>
      <c r="B51" s="183" t="str">
        <f t="shared" si="3"/>
        <v>IAD35 Generator Yard</v>
      </c>
      <c r="C51" s="388" t="e">
        <f>DEEMOutsideGear</f>
        <v>#N/A</v>
      </c>
      <c r="D51" s="186" t="e">
        <f>"OPEN " &amp; DEEMSuite2 &amp; "-RA1 Breaker, by pressing the " &amp; DEEMSuite2 &amp; "-RA1 breaker graphic on the touchscreen."</f>
        <v>#N/A</v>
      </c>
      <c r="E51" s="183" t="s">
        <v>1464</v>
      </c>
      <c r="F51" s="193"/>
      <c r="G51" s="189" t="s">
        <v>1519</v>
      </c>
    </row>
    <row r="52" spans="1:8" ht="37.5" x14ac:dyDescent="0.25">
      <c r="A52" s="174" t="e">
        <f t="shared" si="0"/>
        <v>#N/A</v>
      </c>
      <c r="B52" s="183" t="str">
        <f t="shared" si="3"/>
        <v>IAD35 Generator Yard</v>
      </c>
      <c r="C52" s="388" t="e">
        <f>DEEMOutsideGear</f>
        <v>#N/A</v>
      </c>
      <c r="D52" s="186" t="e">
        <f>"Verify " &amp; DEEMSuite2 &amp; "-RA1 Breaker is OPEN."</f>
        <v>#N/A</v>
      </c>
      <c r="E52" s="183" t="s">
        <v>1464</v>
      </c>
      <c r="F52" s="193"/>
      <c r="G52" s="189" t="s">
        <v>1519</v>
      </c>
    </row>
    <row r="53" spans="1:8" ht="37.5" x14ac:dyDescent="0.25">
      <c r="A53" s="174" t="e">
        <f t="shared" si="0"/>
        <v>#N/A</v>
      </c>
      <c r="B53" s="183" t="str">
        <f t="shared" si="3"/>
        <v>IAD35 Generator Yard</v>
      </c>
      <c r="C53" s="388" t="e">
        <f>DEEMOutsideGear</f>
        <v>#N/A</v>
      </c>
      <c r="D53" s="186" t="e">
        <f>"OPEN " &amp; DEEMSuite3 &amp; "-RA1 Breaker, by pressing the " &amp; DEEMSuite3 &amp; "-RA1 breaker graphic on the touchscreen."</f>
        <v>#N/A</v>
      </c>
      <c r="E53" s="183" t="s">
        <v>1464</v>
      </c>
      <c r="F53" s="193"/>
      <c r="G53" s="189" t="s">
        <v>1519</v>
      </c>
    </row>
    <row r="54" spans="1:8" ht="37.5" x14ac:dyDescent="0.25">
      <c r="A54" s="174" t="e">
        <f t="shared" si="0"/>
        <v>#N/A</v>
      </c>
      <c r="B54" s="183" t="str">
        <f t="shared" si="3"/>
        <v>IAD35 Generator Yard</v>
      </c>
      <c r="C54" s="388" t="e">
        <f>DEEMOutsideGear</f>
        <v>#N/A</v>
      </c>
      <c r="D54" s="186" t="e">
        <f>"Verify " &amp; DEEMSuite3 &amp; "-RA1 Breaker is OPEN."</f>
        <v>#N/A</v>
      </c>
      <c r="E54" s="183" t="s">
        <v>1464</v>
      </c>
      <c r="F54" s="193"/>
      <c r="G54" s="189" t="s">
        <v>1519</v>
      </c>
    </row>
    <row r="55" spans="1:8" ht="37.5" x14ac:dyDescent="0.25">
      <c r="A55" s="174" t="e">
        <f t="shared" si="0"/>
        <v>#N/A</v>
      </c>
      <c r="B55" s="183" t="str">
        <f t="shared" si="3"/>
        <v>IAD35 Generator Yard</v>
      </c>
      <c r="C55" s="388" t="e">
        <f>DEEMOutsideGear</f>
        <v>#N/A</v>
      </c>
      <c r="D55" s="186" t="e">
        <f>"OPEN " &amp; DEEMSuite4 &amp; "-RA1 Breaker, by pressing the " &amp; DEEMSuite4 &amp; "-RA1 breaker graphic on the touchscreen."</f>
        <v>#N/A</v>
      </c>
      <c r="E55" s="183" t="s">
        <v>1464</v>
      </c>
      <c r="F55" s="193"/>
      <c r="G55" s="189" t="s">
        <v>1519</v>
      </c>
      <c r="H55" s="153" t="s">
        <v>203</v>
      </c>
    </row>
    <row r="56" spans="1:8" ht="37.5" x14ac:dyDescent="0.25">
      <c r="A56" s="174" t="e">
        <f t="shared" si="0"/>
        <v>#N/A</v>
      </c>
      <c r="B56" s="183" t="str">
        <f t="shared" si="3"/>
        <v>IAD35 Generator Yard</v>
      </c>
      <c r="C56" s="388" t="e">
        <f>DEEMOutsideGear</f>
        <v>#N/A</v>
      </c>
      <c r="D56" s="186" t="e">
        <f>"Verify " &amp; DEEMSuite4 &amp; "-RA1 Breaker is OPEN."</f>
        <v>#N/A</v>
      </c>
      <c r="E56" s="183" t="s">
        <v>1464</v>
      </c>
      <c r="F56" s="193"/>
      <c r="G56" s="189" t="s">
        <v>1519</v>
      </c>
      <c r="H56" s="153" t="s">
        <v>203</v>
      </c>
    </row>
    <row r="57" spans="1:8" ht="56.25" x14ac:dyDescent="0.25">
      <c r="A57" s="174" t="e">
        <f>IF(DEEMSuite4="XXX", A54+1, A56+1)</f>
        <v>#N/A</v>
      </c>
      <c r="B57" s="183" t="str">
        <f t="shared" si="3"/>
        <v>IAD35 Generator Yard</v>
      </c>
      <c r="C57" s="388" t="s">
        <v>3057</v>
      </c>
      <c r="D57" s="186" t="e">
        <f>"Direct Dominion Power to de-energize the " &amp; DEEMOutsideGear &amp; " utility transformer by opening Vista switch " &amp; DEEMXFMR &amp; " which supplies it."</f>
        <v>#N/A</v>
      </c>
      <c r="E57" s="183" t="s">
        <v>1464</v>
      </c>
      <c r="F57" s="193"/>
      <c r="G57" s="189" t="s">
        <v>1519</v>
      </c>
    </row>
    <row r="58" spans="1:8" ht="56.25" x14ac:dyDescent="0.25">
      <c r="A58" s="174" t="e">
        <f>A57+1</f>
        <v>#N/A</v>
      </c>
      <c r="B58" s="183" t="str">
        <f t="shared" si="3"/>
        <v>IAD35 Generator Yard</v>
      </c>
      <c r="C58" s="388" t="s">
        <v>3057</v>
      </c>
      <c r="D58" s="186" t="e">
        <f>"Vista switch " &amp; DEEMXFMR &amp; " is open and grounded.
Dominion Power Rep. Name:____________________________________________
Dominion Power Rep. Sign.:_____________________________________________"</f>
        <v>#N/A</v>
      </c>
      <c r="E58" s="183" t="s">
        <v>3491</v>
      </c>
      <c r="F58" s="193"/>
      <c r="G58" s="189" t="s">
        <v>1519</v>
      </c>
    </row>
    <row r="59" spans="1:8" ht="56.25" x14ac:dyDescent="0.25">
      <c r="A59" s="174" t="e">
        <f t="shared" ref="A59:A74" si="4">A58+1</f>
        <v>#N/A</v>
      </c>
      <c r="B59" s="183" t="str">
        <f t="shared" si="3"/>
        <v>IAD35 Generator Yard</v>
      </c>
      <c r="C59" s="388" t="s">
        <v>3057</v>
      </c>
      <c r="D59" s="186" t="e">
        <f>"Direct Dominion Power to apply a LOTO to the " &amp; DEEMXFMR &amp; " Vista switch feeding the " &amp; DEEMOutsideGear &amp; " utility transformer."</f>
        <v>#N/A</v>
      </c>
      <c r="E59" s="183" t="s">
        <v>1464</v>
      </c>
      <c r="F59" s="193"/>
      <c r="G59" s="189" t="s">
        <v>1519</v>
      </c>
    </row>
    <row r="60" spans="1:8" ht="56.25" x14ac:dyDescent="0.25">
      <c r="A60" s="174" t="e">
        <f t="shared" si="4"/>
        <v>#N/A</v>
      </c>
      <c r="B60" s="183" t="str">
        <f t="shared" si="3"/>
        <v>IAD35 Generator Yard</v>
      </c>
      <c r="C60" s="388" t="s">
        <v>3057</v>
      </c>
      <c r="D60" s="186" t="e">
        <f>"LOTO is applied to " &amp; DEEMXFMR &amp; " Vista switch feeding the " &amp; DEEMOutsideGear &amp; " utility transformer.
Dominion Power Rep. Name:____________________________________________
Dominion Power Rep. Sign.:_____________________________________________"</f>
        <v>#N/A</v>
      </c>
      <c r="E60" s="183" t="s">
        <v>3491</v>
      </c>
      <c r="F60" s="193"/>
      <c r="G60" s="189" t="s">
        <v>1519</v>
      </c>
    </row>
    <row r="61" spans="1:8" ht="56.25" x14ac:dyDescent="0.25">
      <c r="A61" s="174" t="e">
        <f t="shared" si="4"/>
        <v>#N/A</v>
      </c>
      <c r="B61" s="183" t="str">
        <f t="shared" si="3"/>
        <v>IAD35 Generator Yard</v>
      </c>
      <c r="C61" s="388" t="s">
        <v>3057</v>
      </c>
      <c r="D61" s="186" t="s">
        <v>3487</v>
      </c>
      <c r="E61" s="183" t="s">
        <v>1464</v>
      </c>
      <c r="F61" s="193"/>
      <c r="G61" s="189" t="s">
        <v>1519</v>
      </c>
    </row>
    <row r="62" spans="1:8" ht="37.5" x14ac:dyDescent="0.25">
      <c r="A62" s="174" t="e">
        <f t="shared" si="4"/>
        <v>#N/A</v>
      </c>
      <c r="B62" s="183" t="str">
        <f t="shared" si="3"/>
        <v>IAD35 Generator Yard</v>
      </c>
      <c r="C62" s="388" t="e">
        <f>DEEMOutsideGear &amp; " Transformer"</f>
        <v>#N/A</v>
      </c>
      <c r="D62" s="186" t="e">
        <f>"Direct Dominion Power to open the input circuit breaker of the " &amp; DEEMOutsideGear &amp; " utility transformer."</f>
        <v>#N/A</v>
      </c>
      <c r="E62" s="183" t="s">
        <v>1464</v>
      </c>
      <c r="F62" s="193"/>
      <c r="G62" s="189" t="s">
        <v>1519</v>
      </c>
    </row>
    <row r="63" spans="1:8" ht="37.5" x14ac:dyDescent="0.25">
      <c r="A63" s="174" t="e">
        <f t="shared" si="4"/>
        <v>#N/A</v>
      </c>
      <c r="B63" s="183" t="str">
        <f t="shared" si="3"/>
        <v>IAD35 Generator Yard</v>
      </c>
      <c r="C63" s="388" t="e">
        <f>DEEMOutsideGear &amp; " Transformer"</f>
        <v>#N/A</v>
      </c>
      <c r="D63" s="186" t="e">
        <f>"The input circuit breaker of the " &amp; DEEMOutsideGear &amp; " utility transformer is open.
Dominion Power Rep. Name:____________________________________________
Dominion Power Rep. Sign.:_____________________________________________"</f>
        <v>#N/A</v>
      </c>
      <c r="E63" s="183" t="s">
        <v>3491</v>
      </c>
      <c r="F63" s="193"/>
      <c r="G63" s="189" t="s">
        <v>1519</v>
      </c>
    </row>
    <row r="64" spans="1:8" ht="37.5" x14ac:dyDescent="0.25">
      <c r="A64" s="174" t="e">
        <f t="shared" si="4"/>
        <v>#N/A</v>
      </c>
      <c r="B64" s="183" t="str">
        <f t="shared" si="3"/>
        <v>IAD35 Generator Yard</v>
      </c>
      <c r="C64" s="388" t="e">
        <f>DEEMOutsideGear &amp; " Transformer"</f>
        <v>#N/A</v>
      </c>
      <c r="D64" s="186" t="e">
        <f>"Direct Dominion Power to apply a LOTO to the input circuit breaker of the " &amp; DEEMOutsideGear &amp; " utility transformer."</f>
        <v>#N/A</v>
      </c>
      <c r="E64" s="183" t="s">
        <v>1464</v>
      </c>
      <c r="F64" s="193"/>
      <c r="G64" s="189" t="s">
        <v>1519</v>
      </c>
    </row>
    <row r="65" spans="1:7" ht="37.5" x14ac:dyDescent="0.25">
      <c r="A65" s="174" t="e">
        <f t="shared" si="4"/>
        <v>#N/A</v>
      </c>
      <c r="B65" s="183" t="str">
        <f t="shared" si="3"/>
        <v>IAD35 Generator Yard</v>
      </c>
      <c r="C65" s="388" t="e">
        <f>DEEMOutsideGear &amp; " Transformer"</f>
        <v>#N/A</v>
      </c>
      <c r="D65" s="186" t="e">
        <f>"LOTO is applied to the input circuit breaker of the " &amp; DEEMOutsideGear &amp; " utility transformer.
Dominion Power Rep. Name:____________________________________________
Dominion Power Rep. Sign.:_____________________________________________"</f>
        <v>#N/A</v>
      </c>
      <c r="E65" s="183" t="s">
        <v>3491</v>
      </c>
      <c r="F65" s="193"/>
      <c r="G65" s="189" t="s">
        <v>1519</v>
      </c>
    </row>
    <row r="66" spans="1:7" ht="37.5" x14ac:dyDescent="0.25">
      <c r="A66" s="174" t="e">
        <f t="shared" si="4"/>
        <v>#N/A</v>
      </c>
      <c r="B66" s="183" t="str">
        <f t="shared" si="3"/>
        <v>IAD35 Generator Yard</v>
      </c>
      <c r="C66" s="388" t="e">
        <f>DEEMOutsideGear &amp; " Transformer"</f>
        <v>#N/A</v>
      </c>
      <c r="D66" s="186" t="s">
        <v>3487</v>
      </c>
      <c r="E66" s="183" t="s">
        <v>1464</v>
      </c>
      <c r="F66" s="193"/>
      <c r="G66" s="189" t="s">
        <v>1519</v>
      </c>
    </row>
    <row r="67" spans="1:7" ht="37.5" x14ac:dyDescent="0.25">
      <c r="A67" s="174" t="e">
        <f t="shared" si="4"/>
        <v>#N/A</v>
      </c>
      <c r="B67" s="183" t="str">
        <f t="shared" si="3"/>
        <v>IAD35 Generator Yard</v>
      </c>
      <c r="C67" s="388" t="e">
        <f>DEEMOutsideGear</f>
        <v>#N/A</v>
      </c>
      <c r="D67" s="186" t="e">
        <f>"Direct electrical contractors to verify all hazardous energy is removed from " &amp; DEEMOutsideGear &amp; "."</f>
        <v>#N/A</v>
      </c>
      <c r="E67" s="183" t="s">
        <v>2674</v>
      </c>
      <c r="F67" s="193"/>
      <c r="G67" s="189" t="s">
        <v>1519</v>
      </c>
    </row>
    <row r="68" spans="1:7" ht="37.5" x14ac:dyDescent="0.25">
      <c r="A68" s="174" t="e">
        <f t="shared" si="4"/>
        <v>#N/A</v>
      </c>
      <c r="B68" s="183" t="str">
        <f t="shared" si="3"/>
        <v>IAD35 Generator Yard</v>
      </c>
      <c r="C68" s="388" t="e">
        <f>DEEMOutsideGear</f>
        <v>#N/A</v>
      </c>
      <c r="D68" s="186" t="e" cm="1">
        <f t="array" ref="D68">"Record phase to phase voltage (A-B) on " &amp; DEEMOutsideGear &amp; " UR1 breaker input-side bus bars: _______ VAC"</f>
        <v>#N/A</v>
      </c>
      <c r="E68" s="183" t="s">
        <v>2674</v>
      </c>
      <c r="F68" s="193"/>
      <c r="G68" s="189" t="s">
        <v>1519</v>
      </c>
    </row>
    <row r="69" spans="1:7" ht="37.5" x14ac:dyDescent="0.25">
      <c r="A69" s="174" t="e">
        <f t="shared" si="4"/>
        <v>#N/A</v>
      </c>
      <c r="B69" s="183" t="str">
        <f t="shared" si="3"/>
        <v>IAD35 Generator Yard</v>
      </c>
      <c r="C69" s="388" t="e">
        <f>DEEMOutsideGear</f>
        <v>#N/A</v>
      </c>
      <c r="D69" s="186" t="e" cm="1">
        <f t="array" ref="D69">"Record phase to phase voltage (B-C) on " &amp; DEEMOutsideGear &amp; " UR1 breaker input-side bus bars: _______ VAC"</f>
        <v>#N/A</v>
      </c>
      <c r="E69" s="183" t="s">
        <v>2674</v>
      </c>
      <c r="F69" s="193"/>
      <c r="G69" s="189" t="s">
        <v>1519</v>
      </c>
    </row>
    <row r="70" spans="1:7" ht="37.5" x14ac:dyDescent="0.25">
      <c r="A70" s="174" t="e">
        <f t="shared" si="4"/>
        <v>#N/A</v>
      </c>
      <c r="B70" s="183" t="str">
        <f t="shared" si="3"/>
        <v>IAD35 Generator Yard</v>
      </c>
      <c r="C70" s="388" t="e">
        <f>DEEMOutsideGear</f>
        <v>#N/A</v>
      </c>
      <c r="D70" s="186" t="e" cm="1">
        <f t="array" ref="D70">"Record phase to phase voltage (C-A) on " &amp; DEEMOutsideGear &amp; " UR1 breaker input-side bus bars: _______ VAC"</f>
        <v>#N/A</v>
      </c>
      <c r="E70" s="183" t="s">
        <v>2674</v>
      </c>
      <c r="F70" s="193"/>
      <c r="G70" s="189" t="s">
        <v>1519</v>
      </c>
    </row>
    <row r="71" spans="1:7" ht="37.5" x14ac:dyDescent="0.25">
      <c r="A71" s="174" t="e">
        <f t="shared" si="4"/>
        <v>#N/A</v>
      </c>
      <c r="B71" s="183" t="str">
        <f t="shared" si="3"/>
        <v>IAD35 Generator Yard</v>
      </c>
      <c r="C71" s="388" t="e">
        <f>DEEMOutsideGear</f>
        <v>#N/A</v>
      </c>
      <c r="D71" s="186" t="e">
        <f>"Direct electrical contractors to perform De-energized Electrical Maintenance on " &amp; DEEMOutsideGear &amp; " per Bass Electric MSA Scope of Work."</f>
        <v>#N/A</v>
      </c>
      <c r="E71" s="183" t="s">
        <v>1464</v>
      </c>
      <c r="F71" s="189"/>
      <c r="G71" s="189" t="s">
        <v>1519</v>
      </c>
    </row>
    <row r="72" spans="1:7" ht="56.25" x14ac:dyDescent="0.25">
      <c r="A72" s="174" t="e">
        <f t="shared" si="4"/>
        <v>#N/A</v>
      </c>
      <c r="B72" s="183" t="str">
        <f t="shared" si="3"/>
        <v>IAD35 Generator Yard</v>
      </c>
      <c r="C72" s="388" t="e">
        <f>DEEMOutsideGear</f>
        <v>#N/A</v>
      </c>
      <c r="D72" s="186" t="s">
        <v>3492</v>
      </c>
      <c r="E72" s="183" t="s">
        <v>1464</v>
      </c>
      <c r="F72" s="189"/>
      <c r="G72" s="189" t="s">
        <v>1519</v>
      </c>
    </row>
    <row r="73" spans="1:7" ht="37.5" x14ac:dyDescent="0.25">
      <c r="A73" s="174" t="e">
        <f t="shared" si="4"/>
        <v>#N/A</v>
      </c>
      <c r="B73" s="183" t="str">
        <f t="shared" si="3"/>
        <v>IAD35 Generator Yard</v>
      </c>
      <c r="C73" s="388" t="e">
        <f>DEEMOutsideGear</f>
        <v>#N/A</v>
      </c>
      <c r="D73" s="184" t="e">
        <f>"At the end of the De-Energized inspection and tests the electrical vendor will confirm that " &amp; DEEMOutsideGear &amp; " is ready to be safely re-energized before moving on to the next steps."</f>
        <v>#N/A</v>
      </c>
      <c r="E73" s="183" t="s">
        <v>2674</v>
      </c>
      <c r="F73" s="189"/>
      <c r="G73" s="189" t="s">
        <v>1519</v>
      </c>
    </row>
    <row r="74" spans="1:7" ht="37.5" x14ac:dyDescent="0.25">
      <c r="A74" s="174" t="e">
        <f t="shared" si="4"/>
        <v>#N/A</v>
      </c>
      <c r="B74" s="183" t="str">
        <f t="shared" si="3"/>
        <v>IAD35 Generator Yard</v>
      </c>
      <c r="C74" s="388" t="e">
        <f>DEEMOutsideGear</f>
        <v>#N/A</v>
      </c>
      <c r="D74" s="184" t="s">
        <v>2676</v>
      </c>
      <c r="E74" s="183" t="s">
        <v>2674</v>
      </c>
      <c r="F74" s="189"/>
      <c r="G74" s="189" t="s">
        <v>1519</v>
      </c>
    </row>
    <row r="75" spans="1:7" ht="37.5" x14ac:dyDescent="0.25">
      <c r="A75" s="174" t="e">
        <f t="shared" si="0"/>
        <v>#N/A</v>
      </c>
      <c r="B75" s="183" t="str">
        <f t="shared" si="3"/>
        <v>IAD35 Generator Yard</v>
      </c>
      <c r="C75" s="388" t="e">
        <f>DEEMOutsideGear</f>
        <v>#N/A</v>
      </c>
      <c r="D75" s="184" t="s">
        <v>2677</v>
      </c>
      <c r="E75" s="183" t="s">
        <v>2674</v>
      </c>
      <c r="F75" s="189"/>
      <c r="G75" s="189" t="s">
        <v>1519</v>
      </c>
    </row>
    <row r="76" spans="1:7" ht="131.25" x14ac:dyDescent="0.25">
      <c r="A76" s="174" t="e">
        <f t="shared" si="0"/>
        <v>#N/A</v>
      </c>
      <c r="B76" s="183" t="str">
        <f t="shared" si="3"/>
        <v>IAD35 Generator Yard</v>
      </c>
      <c r="C76" s="388" t="e">
        <f>DEEMOutsideGear</f>
        <v>#N/A</v>
      </c>
      <c r="D76" s="186" t="s">
        <v>3485</v>
      </c>
      <c r="E76" s="183" t="s">
        <v>3486</v>
      </c>
      <c r="F76" s="189"/>
      <c r="G76" s="189" t="s">
        <v>1519</v>
      </c>
    </row>
    <row r="77" spans="1:7" ht="37.5" x14ac:dyDescent="0.25">
      <c r="A77" s="174" t="e">
        <f t="shared" si="0"/>
        <v>#N/A</v>
      </c>
      <c r="B77" s="183" t="str">
        <f t="shared" si="3"/>
        <v>IAD35 Generator Yard</v>
      </c>
      <c r="C77" s="388" t="e">
        <f>DEEMOutsideGear</f>
        <v>#N/A</v>
      </c>
      <c r="D77" s="184" t="s">
        <v>3493</v>
      </c>
      <c r="E77" s="183" t="s">
        <v>1464</v>
      </c>
      <c r="F77" s="189"/>
      <c r="G77" s="189" t="s">
        <v>1519</v>
      </c>
    </row>
    <row r="78" spans="1:7" ht="37.5" x14ac:dyDescent="0.25">
      <c r="A78" s="174" t="e">
        <f t="shared" si="0"/>
        <v>#N/A</v>
      </c>
      <c r="B78" s="183" t="str">
        <f t="shared" si="3"/>
        <v>IAD35 Generator Yard</v>
      </c>
      <c r="C78" s="388" t="e">
        <f>DEEMOutsideGear</f>
        <v>#N/A</v>
      </c>
      <c r="D78" s="184" t="str">
        <f>"Verify " &amp; zSelectedEquipment &amp; " is in its original ''as-found'' condition."</f>
        <v>Verify G104-Gen-B is in its original ''as-found'' condition.</v>
      </c>
      <c r="E78" s="183" t="s">
        <v>1464</v>
      </c>
      <c r="F78" s="189"/>
      <c r="G78" s="189" t="s">
        <v>1519</v>
      </c>
    </row>
    <row r="79" spans="1:7" x14ac:dyDescent="0.25">
      <c r="A79" s="174" t="e">
        <f t="shared" si="0"/>
        <v>#N/A</v>
      </c>
      <c r="B79" s="716" t="e">
        <f>"RESTORE FROM " &amp; DEEMOutsideGear &amp; " DE-ENERGIZED ELECTRICAL MAINTENANCE"</f>
        <v>#N/A</v>
      </c>
      <c r="C79" s="716"/>
      <c r="D79" s="716"/>
      <c r="E79" s="716"/>
      <c r="F79" s="716"/>
      <c r="G79" s="716"/>
    </row>
    <row r="80" spans="1:7" ht="37.5" x14ac:dyDescent="0.25">
      <c r="A80" s="174" t="e">
        <f t="shared" si="0"/>
        <v>#N/A</v>
      </c>
      <c r="B80" s="183" t="str">
        <f t="shared" ref="B80:B118" si="5">IADNumber &amp; " Generator Yard"</f>
        <v>IAD35 Generator Yard</v>
      </c>
      <c r="C80" s="388" t="e">
        <f>DEEMOutsideGear</f>
        <v>#N/A</v>
      </c>
      <c r="D80" s="186" t="e">
        <f>"Verify " &amp; DEEMSuite1 &amp; " RA1 breaker is OPEN and racked in."</f>
        <v>#N/A</v>
      </c>
      <c r="E80" s="183" t="s">
        <v>1464</v>
      </c>
      <c r="F80" s="193"/>
      <c r="G80" s="189" t="s">
        <v>1519</v>
      </c>
    </row>
    <row r="81" spans="1:8" ht="37.5" x14ac:dyDescent="0.25">
      <c r="A81" s="174" t="e">
        <f t="shared" si="0"/>
        <v>#N/A</v>
      </c>
      <c r="B81" s="183" t="str">
        <f t="shared" si="5"/>
        <v>IAD35 Generator Yard</v>
      </c>
      <c r="C81" s="388" t="e">
        <f>DEEMOutsideGear</f>
        <v>#N/A</v>
      </c>
      <c r="D81" s="186" t="e">
        <f>"Verify " &amp; DEEMSuite2 &amp; " RA1 breaker is OPEN and racked in."</f>
        <v>#N/A</v>
      </c>
      <c r="E81" s="183" t="s">
        <v>1464</v>
      </c>
      <c r="F81" s="193"/>
      <c r="G81" s="189" t="s">
        <v>1519</v>
      </c>
    </row>
    <row r="82" spans="1:8" ht="37.5" x14ac:dyDescent="0.25">
      <c r="A82" s="174" t="e">
        <f t="shared" si="0"/>
        <v>#N/A</v>
      </c>
      <c r="B82" s="183" t="str">
        <f t="shared" si="5"/>
        <v>IAD35 Generator Yard</v>
      </c>
      <c r="C82" s="388" t="e">
        <f>DEEMOutsideGear</f>
        <v>#N/A</v>
      </c>
      <c r="D82" s="186" t="e">
        <f>"Verify " &amp; DEEMSuite3 &amp; " RA1 breaker is OPEN and racked in."</f>
        <v>#N/A</v>
      </c>
      <c r="E82" s="183" t="s">
        <v>1464</v>
      </c>
      <c r="F82" s="193"/>
      <c r="G82" s="189" t="s">
        <v>1519</v>
      </c>
    </row>
    <row r="83" spans="1:8" ht="37.5" x14ac:dyDescent="0.25">
      <c r="A83" s="174" t="e">
        <f t="shared" si="0"/>
        <v>#N/A</v>
      </c>
      <c r="B83" s="183" t="str">
        <f t="shared" si="5"/>
        <v>IAD35 Generator Yard</v>
      </c>
      <c r="C83" s="388" t="e">
        <f>DEEMOutsideGear</f>
        <v>#N/A</v>
      </c>
      <c r="D83" s="186" t="e">
        <f>"Verify " &amp; DEEMSuite4 &amp; " RA1 breaker is OPEN and racked in."</f>
        <v>#N/A</v>
      </c>
      <c r="E83" s="183" t="s">
        <v>1464</v>
      </c>
      <c r="F83" s="193"/>
      <c r="G83" s="189" t="s">
        <v>1519</v>
      </c>
      <c r="H83" s="153" t="s">
        <v>203</v>
      </c>
    </row>
    <row r="84" spans="1:8" ht="37.5" x14ac:dyDescent="0.25">
      <c r="A84" s="174" t="e">
        <f>IF(DEEMSuite4="XXX", A82+1, A83+1)</f>
        <v>#N/A</v>
      </c>
      <c r="B84" s="183" t="str">
        <f t="shared" si="5"/>
        <v>IAD35 Generator Yard</v>
      </c>
      <c r="C84" s="388" t="e">
        <f>DEEMOutsideGear</f>
        <v>#N/A</v>
      </c>
      <c r="D84" s="186" t="e">
        <f>"Verify " &amp; DEEMOutsideGear &amp; " GR1 breaker is OPEN and racked in."</f>
        <v>#N/A</v>
      </c>
      <c r="E84" s="183" t="s">
        <v>1464</v>
      </c>
      <c r="F84" s="193"/>
      <c r="G84" s="189" t="s">
        <v>1519</v>
      </c>
    </row>
    <row r="85" spans="1:8" ht="37.5" x14ac:dyDescent="0.25">
      <c r="A85" s="174" t="e">
        <f t="shared" ref="A85:A91" si="6">A84+1</f>
        <v>#N/A</v>
      </c>
      <c r="B85" s="183" t="str">
        <f t="shared" si="5"/>
        <v>IAD35 Generator Yard</v>
      </c>
      <c r="C85" s="388" t="e">
        <f>DEEMOutsideGear</f>
        <v>#N/A</v>
      </c>
      <c r="D85" s="186" t="e">
        <f>"Verify " &amp; DEEMOutsideGear &amp; " UR1 breaker is OPEN and racked in."</f>
        <v>#N/A</v>
      </c>
      <c r="E85" s="183" t="s">
        <v>1464</v>
      </c>
      <c r="F85" s="193"/>
      <c r="G85" s="189" t="s">
        <v>1519</v>
      </c>
    </row>
    <row r="86" spans="1:8" ht="37.5" x14ac:dyDescent="0.25">
      <c r="A86" s="174" t="e">
        <f t="shared" si="6"/>
        <v>#N/A</v>
      </c>
      <c r="B86" s="183" t="str">
        <f t="shared" si="5"/>
        <v>IAD35 Generator Yard</v>
      </c>
      <c r="C86" s="388" t="e">
        <f>DEEMOutsideGear</f>
        <v>#N/A</v>
      </c>
      <c r="D86" s="186" t="e">
        <f>"Verify " &amp; DEEMOutsideGear &amp; " UR1 breaker is OPEN and racked in."</f>
        <v>#N/A</v>
      </c>
      <c r="E86" s="183" t="s">
        <v>1464</v>
      </c>
      <c r="F86" s="193"/>
      <c r="G86" s="189" t="s">
        <v>1519</v>
      </c>
    </row>
    <row r="87" spans="1:8" ht="37.5" x14ac:dyDescent="0.25">
      <c r="A87" s="174" t="e">
        <f t="shared" si="6"/>
        <v>#N/A</v>
      </c>
      <c r="B87" s="183" t="str">
        <f t="shared" si="5"/>
        <v>IAD35 Generator Yard</v>
      </c>
      <c r="C87" s="388" t="e">
        <f>DEEMOutsideGear &amp; " Transformer"</f>
        <v>#N/A</v>
      </c>
      <c r="D87" s="186" t="e">
        <f>"Direct Dominion Power to remove the LOTO from the input circuit breaker of the " &amp; DEEMOutsideGear &amp; " utility transformer."</f>
        <v>#N/A</v>
      </c>
      <c r="E87" s="183" t="s">
        <v>1464</v>
      </c>
      <c r="F87" s="193"/>
      <c r="G87" s="189" t="s">
        <v>1519</v>
      </c>
    </row>
    <row r="88" spans="1:8" ht="37.5" x14ac:dyDescent="0.25">
      <c r="A88" s="174" t="e">
        <f t="shared" si="6"/>
        <v>#N/A</v>
      </c>
      <c r="B88" s="183" t="str">
        <f t="shared" si="5"/>
        <v>IAD35 Generator Yard</v>
      </c>
      <c r="C88" s="388" t="e">
        <f>DEEMOutsideGear &amp; " Transformer"</f>
        <v>#N/A</v>
      </c>
      <c r="D88" s="186" t="e">
        <f>"LOTO is removed from the input circuit breaker of the " &amp; DEEMOutsideGear &amp; " utility transformer.
Dominion Power Rep. Name:____________________________________________
Dominion Power Rep. Sign.:_____________________________________________"</f>
        <v>#N/A</v>
      </c>
      <c r="E88" s="183" t="s">
        <v>3491</v>
      </c>
      <c r="F88" s="193"/>
      <c r="G88" s="189" t="s">
        <v>1519</v>
      </c>
    </row>
    <row r="89" spans="1:8" ht="37.5" x14ac:dyDescent="0.25">
      <c r="A89" s="174" t="e">
        <f t="shared" si="6"/>
        <v>#N/A</v>
      </c>
      <c r="B89" s="183" t="str">
        <f t="shared" si="5"/>
        <v>IAD35 Generator Yard</v>
      </c>
      <c r="C89" s="388" t="e">
        <f>DEEMOutsideGear &amp; " Transformer"</f>
        <v>#N/A</v>
      </c>
      <c r="D89" s="186" t="s">
        <v>3487</v>
      </c>
      <c r="E89" s="183" t="s">
        <v>1464</v>
      </c>
      <c r="F89" s="193"/>
      <c r="G89" s="189" t="s">
        <v>1519</v>
      </c>
    </row>
    <row r="90" spans="1:8" ht="37.5" x14ac:dyDescent="0.25">
      <c r="A90" s="174" t="e">
        <f t="shared" si="6"/>
        <v>#N/A</v>
      </c>
      <c r="B90" s="183" t="str">
        <f t="shared" si="5"/>
        <v>IAD35 Generator Yard</v>
      </c>
      <c r="C90" s="388" t="e">
        <f>DEEMOutsideGear &amp; " Transformer"</f>
        <v>#N/A</v>
      </c>
      <c r="D90" s="186" t="e">
        <f>"Direct Dominion Power to open the input circuit breaker of the " &amp; DEEMOutsideGear &amp; " utility transformer."</f>
        <v>#N/A</v>
      </c>
      <c r="E90" s="183" t="s">
        <v>1464</v>
      </c>
      <c r="F90" s="193"/>
      <c r="G90" s="189" t="s">
        <v>1519</v>
      </c>
    </row>
    <row r="91" spans="1:8" ht="37.5" x14ac:dyDescent="0.25">
      <c r="A91" s="174" t="e">
        <f t="shared" si="6"/>
        <v>#N/A</v>
      </c>
      <c r="B91" s="183" t="str">
        <f t="shared" si="5"/>
        <v>IAD35 Generator Yard</v>
      </c>
      <c r="C91" s="388" t="e">
        <f>DEEMOutsideGear &amp; " Transformer"</f>
        <v>#N/A</v>
      </c>
      <c r="D91" s="186" t="e">
        <f>"The input circuit breaker of the " &amp; DEEMOutsideGear &amp; " utility transformer is open.
Dominion Power Rep. Name:____________________________________________
Dominion Power Rep. Sign.:_____________________________________________"</f>
        <v>#N/A</v>
      </c>
      <c r="E91" s="183" t="s">
        <v>3491</v>
      </c>
      <c r="F91" s="193"/>
      <c r="G91" s="189" t="s">
        <v>1519</v>
      </c>
    </row>
    <row r="92" spans="1:8" ht="56.25" x14ac:dyDescent="0.25">
      <c r="A92" s="174" t="e">
        <f t="shared" ref="A92:A129" si="7">A91+1</f>
        <v>#N/A</v>
      </c>
      <c r="B92" s="183" t="str">
        <f t="shared" si="5"/>
        <v>IAD35 Generator Yard</v>
      </c>
      <c r="C92" s="388" t="s">
        <v>3057</v>
      </c>
      <c r="D92" s="186" t="e">
        <f>"Direct Dominion Power to remove the LOTO from the " &amp; DEEMXFMR &amp; " Vista switch feeding the " &amp; DEEMOutsideGear &amp; " utility transformer."</f>
        <v>#N/A</v>
      </c>
      <c r="E92" s="183" t="s">
        <v>1464</v>
      </c>
      <c r="F92" s="193"/>
      <c r="G92" s="189" t="s">
        <v>1519</v>
      </c>
    </row>
    <row r="93" spans="1:8" ht="56.25" x14ac:dyDescent="0.25">
      <c r="A93" s="174" t="e">
        <f t="shared" si="7"/>
        <v>#N/A</v>
      </c>
      <c r="B93" s="183" t="str">
        <f t="shared" si="5"/>
        <v>IAD35 Generator Yard</v>
      </c>
      <c r="C93" s="388" t="s">
        <v>3057</v>
      </c>
      <c r="D93" s="186" t="e">
        <f>"LOTO is removed from the " &amp; DEEMXFMR &amp; " Vista switch feeding the " &amp; DEEMOutsideGear &amp; " utility transformer.
Dominion Power Rep. Name:____________________________________________
Dominion Power Rep. Sign.:_____________________________________________"</f>
        <v>#N/A</v>
      </c>
      <c r="E93" s="183" t="s">
        <v>3491</v>
      </c>
      <c r="F93" s="193"/>
      <c r="G93" s="189" t="s">
        <v>1519</v>
      </c>
    </row>
    <row r="94" spans="1:8" ht="56.25" x14ac:dyDescent="0.25">
      <c r="A94" s="174" t="e">
        <f t="shared" si="7"/>
        <v>#N/A</v>
      </c>
      <c r="B94" s="183" t="str">
        <f t="shared" si="5"/>
        <v>IAD35 Generator Yard</v>
      </c>
      <c r="C94" s="388" t="s">
        <v>3057</v>
      </c>
      <c r="D94" s="186" t="e">
        <f>"Direct Dominion Power to remove grounding from Vista switch " &amp; DEEMXFMR &amp; " by placing the operator in the open position."</f>
        <v>#N/A</v>
      </c>
      <c r="E94" s="183" t="s">
        <v>1464</v>
      </c>
      <c r="F94" s="193"/>
      <c r="G94" s="189" t="s">
        <v>1519</v>
      </c>
    </row>
    <row r="95" spans="1:8" ht="56.25" x14ac:dyDescent="0.25">
      <c r="A95" s="174" t="e">
        <f t="shared" si="7"/>
        <v>#N/A</v>
      </c>
      <c r="B95" s="183" t="str">
        <f t="shared" si="5"/>
        <v>IAD35 Generator Yard</v>
      </c>
      <c r="C95" s="388" t="s">
        <v>3057</v>
      </c>
      <c r="D95" s="186" t="e">
        <f>"Vista switch " &amp; DEEMXFMR &amp; " is open and NOT grounded.
Dominion Power Rep. Name:____________________________________________
Dominion Power Rep. Sign.:_____________________________________________"</f>
        <v>#N/A</v>
      </c>
      <c r="E95" s="183" t="s">
        <v>3491</v>
      </c>
      <c r="F95" s="193"/>
      <c r="G95" s="189" t="s">
        <v>1519</v>
      </c>
    </row>
    <row r="96" spans="1:8" ht="56.25" x14ac:dyDescent="0.25">
      <c r="A96" s="174" t="e">
        <f t="shared" si="7"/>
        <v>#N/A</v>
      </c>
      <c r="B96" s="183" t="str">
        <f t="shared" si="5"/>
        <v>IAD35 Generator Yard</v>
      </c>
      <c r="C96" s="388" t="s">
        <v>3057</v>
      </c>
      <c r="D96" s="186" t="s">
        <v>3487</v>
      </c>
      <c r="E96" s="183" t="s">
        <v>1464</v>
      </c>
      <c r="F96" s="193"/>
      <c r="G96" s="189" t="s">
        <v>1519</v>
      </c>
    </row>
    <row r="97" spans="1:7" ht="56.25" x14ac:dyDescent="0.25">
      <c r="A97" s="174" t="e">
        <f t="shared" si="7"/>
        <v>#N/A</v>
      </c>
      <c r="B97" s="183" t="str">
        <f t="shared" si="5"/>
        <v>IAD35 Generator Yard</v>
      </c>
      <c r="C97" s="388" t="s">
        <v>3057</v>
      </c>
      <c r="D97" s="186" t="e">
        <f>"Direct Dominion Power to energize the " &amp; DEEMOutsideGear &amp; " utility transformer by closing Vista switch " &amp; DEEMXFMR &amp; " which supplies it."</f>
        <v>#N/A</v>
      </c>
      <c r="E97" s="183" t="s">
        <v>1464</v>
      </c>
      <c r="F97" s="189"/>
      <c r="G97" s="189" t="s">
        <v>1519</v>
      </c>
    </row>
    <row r="98" spans="1:7" ht="56.25" x14ac:dyDescent="0.25">
      <c r="A98" s="174" t="e">
        <f t="shared" si="7"/>
        <v>#N/A</v>
      </c>
      <c r="B98" s="183" t="str">
        <f t="shared" si="5"/>
        <v>IAD35 Generator Yard</v>
      </c>
      <c r="C98" s="388" t="s">
        <v>3057</v>
      </c>
      <c r="D98" s="186" t="e">
        <f>"Vista switch " &amp; DEEMXFMR &amp; " is closed.
Dominion Power Rep. Name:____________________________________________
Dominion Power Rep. Sign.:_____________________________________________"</f>
        <v>#N/A</v>
      </c>
      <c r="E98" s="183" t="s">
        <v>3491</v>
      </c>
      <c r="F98" s="189"/>
      <c r="G98" s="189" t="s">
        <v>1519</v>
      </c>
    </row>
    <row r="99" spans="1:7" ht="37.5" x14ac:dyDescent="0.25">
      <c r="A99" s="174" t="e">
        <f t="shared" si="7"/>
        <v>#N/A</v>
      </c>
      <c r="B99" s="183" t="str">
        <f t="shared" si="5"/>
        <v>IAD35 Generator Yard</v>
      </c>
      <c r="C99" s="388" t="e">
        <f>DEEMOutsideGear</f>
        <v>#N/A</v>
      </c>
      <c r="D99" s="186" t="s">
        <v>3488</v>
      </c>
      <c r="E99" s="183" t="s">
        <v>1464</v>
      </c>
      <c r="F99" s="189"/>
      <c r="G99" s="189" t="s">
        <v>1519</v>
      </c>
    </row>
    <row r="100" spans="1:7" ht="37.5" x14ac:dyDescent="0.25">
      <c r="A100" s="174" t="e">
        <f t="shared" si="7"/>
        <v>#N/A</v>
      </c>
      <c r="B100" s="183" t="str">
        <f t="shared" si="5"/>
        <v>IAD35 Generator Yard</v>
      </c>
      <c r="C100" s="388" t="e">
        <f>DEEMOutsideGear</f>
        <v>#N/A</v>
      </c>
      <c r="D100" s="194" t="s">
        <v>2680</v>
      </c>
      <c r="E100" s="183" t="s">
        <v>1464</v>
      </c>
      <c r="F100" s="189"/>
      <c r="G100" s="189" t="s">
        <v>1519</v>
      </c>
    </row>
    <row r="101" spans="1:7" ht="37.5" x14ac:dyDescent="0.25">
      <c r="A101" s="174" t="e">
        <f t="shared" si="7"/>
        <v>#N/A</v>
      </c>
      <c r="B101" s="183" t="str">
        <f t="shared" si="5"/>
        <v>IAD35 Generator Yard</v>
      </c>
      <c r="C101" s="388" t="e">
        <f>DEEMOutsideGear</f>
        <v>#N/A</v>
      </c>
      <c r="D101" s="186" t="s">
        <v>3488</v>
      </c>
      <c r="E101" s="183" t="s">
        <v>1464</v>
      </c>
      <c r="F101" s="189"/>
      <c r="G101" s="189" t="s">
        <v>1519</v>
      </c>
    </row>
    <row r="102" spans="1:7" ht="37.5" x14ac:dyDescent="0.25">
      <c r="A102" s="174" t="e">
        <f t="shared" si="7"/>
        <v>#N/A</v>
      </c>
      <c r="B102" s="183" t="str">
        <f t="shared" si="5"/>
        <v>IAD35 Generator Yard</v>
      </c>
      <c r="C102" s="388" t="e">
        <f>DEEMOutsideGear</f>
        <v>#N/A</v>
      </c>
      <c r="D102" s="186" t="e">
        <f>"Press the LOGIN button on the " &amp; DEEMOutsideGear &amp; " ROP."</f>
        <v>#N/A</v>
      </c>
      <c r="E102" s="183" t="s">
        <v>1464</v>
      </c>
      <c r="F102" s="189"/>
      <c r="G102" s="189" t="s">
        <v>1519</v>
      </c>
    </row>
    <row r="103" spans="1:7" ht="37.5" x14ac:dyDescent="0.25">
      <c r="A103" s="174" t="e">
        <f t="shared" si="7"/>
        <v>#N/A</v>
      </c>
      <c r="B103" s="183" t="str">
        <f t="shared" si="5"/>
        <v>IAD35 Generator Yard</v>
      </c>
      <c r="C103" s="388" t="e">
        <f>DEEMOutsideGear</f>
        <v>#N/A</v>
      </c>
      <c r="D103" s="186" t="s">
        <v>2092</v>
      </c>
      <c r="E103" s="183" t="s">
        <v>1464</v>
      </c>
      <c r="F103" s="189"/>
      <c r="G103" s="189" t="s">
        <v>1519</v>
      </c>
    </row>
    <row r="104" spans="1:7" ht="37.5" x14ac:dyDescent="0.25">
      <c r="A104" s="174" t="e">
        <f t="shared" si="7"/>
        <v>#N/A</v>
      </c>
      <c r="B104" s="183" t="str">
        <f t="shared" si="5"/>
        <v>IAD35 Generator Yard</v>
      </c>
      <c r="C104" s="388" t="e">
        <f>DEEMOutsideGear</f>
        <v>#N/A</v>
      </c>
      <c r="D104" s="186" t="s">
        <v>3490</v>
      </c>
      <c r="E104" s="183" t="s">
        <v>1464</v>
      </c>
      <c r="F104" s="189"/>
      <c r="G104" s="189" t="s">
        <v>1519</v>
      </c>
    </row>
    <row r="105" spans="1:7" ht="37.5" x14ac:dyDescent="0.25">
      <c r="A105" s="174" t="e">
        <f t="shared" si="7"/>
        <v>#N/A</v>
      </c>
      <c r="B105" s="183" t="str">
        <f t="shared" si="5"/>
        <v>IAD35 Generator Yard</v>
      </c>
      <c r="C105" s="388" t="e">
        <f>DEEMOutsideGear</f>
        <v>#N/A</v>
      </c>
      <c r="D105" s="186" t="s">
        <v>2672</v>
      </c>
      <c r="E105" s="183" t="s">
        <v>1464</v>
      </c>
      <c r="F105" s="189"/>
      <c r="G105" s="189" t="s">
        <v>1519</v>
      </c>
    </row>
    <row r="106" spans="1:7" ht="37.5" x14ac:dyDescent="0.25">
      <c r="A106" s="174" t="e">
        <f t="shared" si="7"/>
        <v>#N/A</v>
      </c>
      <c r="B106" s="183" t="str">
        <f t="shared" si="5"/>
        <v>IAD35 Generator Yard</v>
      </c>
      <c r="C106" s="388" t="e">
        <f>DEEMOutsideGear</f>
        <v>#N/A</v>
      </c>
      <c r="D106" s="186" t="e">
        <f>"CLOSE " &amp; DEEMOutsideGear &amp; " UR1 Breaker by pressing the " &amp; DEEMOutsideGear &amp; " UR1 Breaker graphic on the touchscreen."</f>
        <v>#N/A</v>
      </c>
      <c r="E106" s="183" t="s">
        <v>1464</v>
      </c>
      <c r="F106" s="189"/>
      <c r="G106" s="189" t="s">
        <v>1519</v>
      </c>
    </row>
    <row r="107" spans="1:7" ht="37.5" x14ac:dyDescent="0.25">
      <c r="A107" s="174" t="e">
        <f t="shared" si="7"/>
        <v>#N/A</v>
      </c>
      <c r="B107" s="183" t="str">
        <f t="shared" si="5"/>
        <v>IAD35 Generator Yard</v>
      </c>
      <c r="C107" s="388" t="e">
        <f>DEEMOutsideGear</f>
        <v>#N/A</v>
      </c>
      <c r="D107" s="186" t="e">
        <f>"Verify " &amp; DEEMOutsideGear &amp; " UR1 Breaker is CLOSED."</f>
        <v>#N/A</v>
      </c>
      <c r="E107" s="183" t="s">
        <v>1464</v>
      </c>
      <c r="F107" s="189"/>
      <c r="G107" s="189" t="s">
        <v>1519</v>
      </c>
    </row>
    <row r="108" spans="1:7" ht="37.5" x14ac:dyDescent="0.25">
      <c r="A108" s="174" t="e">
        <f t="shared" si="7"/>
        <v>#N/A</v>
      </c>
      <c r="B108" s="183" t="str">
        <f t="shared" si="5"/>
        <v>IAD35 Generator Yard</v>
      </c>
      <c r="C108" s="388" t="e">
        <f>DEEMOutsideGear</f>
        <v>#N/A</v>
      </c>
      <c r="D108" s="186" t="e" cm="1">
        <f t="array" ref="D108">"Record phase to phase voltage (A-B) on " &amp; DEEMOutsideGear &amp; " UR1 breaker: _______ VAC"</f>
        <v>#N/A</v>
      </c>
      <c r="E108" s="183" t="s">
        <v>1464</v>
      </c>
      <c r="F108" s="193"/>
      <c r="G108" s="189" t="s">
        <v>1519</v>
      </c>
    </row>
    <row r="109" spans="1:7" ht="37.5" x14ac:dyDescent="0.25">
      <c r="A109" s="174" t="e">
        <f t="shared" si="7"/>
        <v>#N/A</v>
      </c>
      <c r="B109" s="183" t="str">
        <f t="shared" si="5"/>
        <v>IAD35 Generator Yard</v>
      </c>
      <c r="C109" s="388" t="e">
        <f>DEEMOutsideGear</f>
        <v>#N/A</v>
      </c>
      <c r="D109" s="186" t="e" cm="1">
        <f t="array" ref="D109">"Record phase to phase voltage (B-C) on " &amp; DEEMOutsideGear &amp; " UR1 breaker: _______ VAC"</f>
        <v>#N/A</v>
      </c>
      <c r="E109" s="183" t="s">
        <v>1464</v>
      </c>
      <c r="F109" s="193"/>
      <c r="G109" s="189" t="s">
        <v>1519</v>
      </c>
    </row>
    <row r="110" spans="1:7" ht="37.5" x14ac:dyDescent="0.25">
      <c r="A110" s="174" t="e">
        <f t="shared" si="7"/>
        <v>#N/A</v>
      </c>
      <c r="B110" s="183" t="str">
        <f t="shared" si="5"/>
        <v>IAD35 Generator Yard</v>
      </c>
      <c r="C110" s="388" t="e">
        <f>DEEMOutsideGear</f>
        <v>#N/A</v>
      </c>
      <c r="D110" s="186" t="e" cm="1">
        <f t="array" ref="D110">"Record phase to phase voltage (C-A) on " &amp; DEEMOutsideGear &amp; " UR1 breaker: _______ VAC"</f>
        <v>#N/A</v>
      </c>
      <c r="E110" s="183" t="s">
        <v>1464</v>
      </c>
      <c r="F110" s="193"/>
      <c r="G110" s="189" t="s">
        <v>1519</v>
      </c>
    </row>
    <row r="111" spans="1:7" ht="37.5" x14ac:dyDescent="0.25">
      <c r="A111" s="174" t="e">
        <f t="shared" si="7"/>
        <v>#N/A</v>
      </c>
      <c r="B111" s="183" t="str">
        <f t="shared" si="5"/>
        <v>IAD35 Generator Yard</v>
      </c>
      <c r="C111" s="388" t="e">
        <f>DEEMOutsideGear</f>
        <v>#N/A</v>
      </c>
      <c r="D111" s="186" t="e">
        <f>"CLOSE " &amp; DEEMSuite1 &amp; "-RA1 Breaker by pressing the " &amp; DEEMSuite1 &amp; "-RA1 breaker graphic on the touchscreen."</f>
        <v>#N/A</v>
      </c>
      <c r="E111" s="183" t="s">
        <v>1464</v>
      </c>
      <c r="F111" s="189"/>
      <c r="G111" s="189" t="s">
        <v>1519</v>
      </c>
    </row>
    <row r="112" spans="1:7" ht="37.5" x14ac:dyDescent="0.25">
      <c r="A112" s="174" t="e">
        <f t="shared" si="7"/>
        <v>#N/A</v>
      </c>
      <c r="B112" s="183" t="str">
        <f t="shared" si="5"/>
        <v>IAD35 Generator Yard</v>
      </c>
      <c r="C112" s="388" t="e">
        <f>DEEMOutsideGear</f>
        <v>#N/A</v>
      </c>
      <c r="D112" s="186" t="e">
        <f>"Verify " &amp; DEEMSuite1 &amp; "-RA1 Breaker is CLOSED."</f>
        <v>#N/A</v>
      </c>
      <c r="E112" s="183" t="s">
        <v>1464</v>
      </c>
      <c r="F112" s="189"/>
      <c r="G112" s="189" t="s">
        <v>1519</v>
      </c>
    </row>
    <row r="113" spans="1:8" ht="37.5" x14ac:dyDescent="0.25">
      <c r="A113" s="174" t="e">
        <f t="shared" si="7"/>
        <v>#N/A</v>
      </c>
      <c r="B113" s="183" t="str">
        <f t="shared" si="5"/>
        <v>IAD35 Generator Yard</v>
      </c>
      <c r="C113" s="388" t="e">
        <f>DEEMOutsideGear</f>
        <v>#N/A</v>
      </c>
      <c r="D113" s="186" t="e">
        <f>"CLOSE " &amp; DEEMSuite2 &amp; "-RA1 Breaker by pressing the " &amp; DEEMSuite2 &amp; "-RA1 breaker graphic on the touchscreen."</f>
        <v>#N/A</v>
      </c>
      <c r="E113" s="183" t="s">
        <v>1464</v>
      </c>
      <c r="F113" s="189"/>
      <c r="G113" s="189" t="s">
        <v>1519</v>
      </c>
    </row>
    <row r="114" spans="1:8" ht="37.5" x14ac:dyDescent="0.25">
      <c r="A114" s="174" t="e">
        <f t="shared" si="7"/>
        <v>#N/A</v>
      </c>
      <c r="B114" s="183" t="str">
        <f t="shared" si="5"/>
        <v>IAD35 Generator Yard</v>
      </c>
      <c r="C114" s="388" t="e">
        <f>DEEMOutsideGear</f>
        <v>#N/A</v>
      </c>
      <c r="D114" s="186" t="e">
        <f>"Verify " &amp; DEEMSuite2 &amp; "-RA1 Breaker is CLOSED."</f>
        <v>#N/A</v>
      </c>
      <c r="E114" s="183" t="s">
        <v>1464</v>
      </c>
      <c r="F114" s="189"/>
      <c r="G114" s="189" t="s">
        <v>1519</v>
      </c>
    </row>
    <row r="115" spans="1:8" ht="37.5" x14ac:dyDescent="0.25">
      <c r="A115" s="174" t="e">
        <f t="shared" si="7"/>
        <v>#N/A</v>
      </c>
      <c r="B115" s="183" t="str">
        <f t="shared" si="5"/>
        <v>IAD35 Generator Yard</v>
      </c>
      <c r="C115" s="388" t="e">
        <f>DEEMOutsideGear</f>
        <v>#N/A</v>
      </c>
      <c r="D115" s="186" t="e">
        <f>"CLOSE " &amp; DEEMSuite3 &amp; "-RA1 Breaker by pressing the " &amp; DEEMSuite3 &amp; "-RA1 breaker graphic on the touchscreen."</f>
        <v>#N/A</v>
      </c>
      <c r="E115" s="183" t="s">
        <v>1464</v>
      </c>
      <c r="F115" s="189"/>
      <c r="G115" s="189" t="s">
        <v>1519</v>
      </c>
    </row>
    <row r="116" spans="1:8" ht="37.5" x14ac:dyDescent="0.25">
      <c r="A116" s="174" t="e">
        <f t="shared" si="7"/>
        <v>#N/A</v>
      </c>
      <c r="B116" s="183" t="str">
        <f t="shared" si="5"/>
        <v>IAD35 Generator Yard</v>
      </c>
      <c r="C116" s="388" t="e">
        <f>DEEMOutsideGear</f>
        <v>#N/A</v>
      </c>
      <c r="D116" s="186" t="e">
        <f>"Verify " &amp; DEEMSuite3 &amp; "-RA1 Breaker is CLOSED."</f>
        <v>#N/A</v>
      </c>
      <c r="E116" s="183" t="s">
        <v>1464</v>
      </c>
      <c r="F116" s="189"/>
      <c r="G116" s="189" t="s">
        <v>1519</v>
      </c>
    </row>
    <row r="117" spans="1:8" ht="37.5" x14ac:dyDescent="0.25">
      <c r="A117" s="174" t="e">
        <f t="shared" si="7"/>
        <v>#N/A</v>
      </c>
      <c r="B117" s="183" t="str">
        <f t="shared" si="5"/>
        <v>IAD35 Generator Yard</v>
      </c>
      <c r="C117" s="388" t="e">
        <f>DEEMOutsideGear</f>
        <v>#N/A</v>
      </c>
      <c r="D117" s="186" t="e">
        <f>"CLOSE " &amp; DEEMSuite4 &amp; "-RA1 Breaker by pressing the " &amp; DEEMSuite4 &amp; "-RA1 breaker graphic on the touchscreen."</f>
        <v>#N/A</v>
      </c>
      <c r="E117" s="183" t="s">
        <v>1464</v>
      </c>
      <c r="F117" s="189"/>
      <c r="G117" s="189" t="s">
        <v>1519</v>
      </c>
      <c r="H117" s="153" t="s">
        <v>203</v>
      </c>
    </row>
    <row r="118" spans="1:8" ht="37.5" x14ac:dyDescent="0.25">
      <c r="A118" s="174" t="e">
        <f t="shared" si="7"/>
        <v>#N/A</v>
      </c>
      <c r="B118" s="183" t="str">
        <f t="shared" si="5"/>
        <v>IAD35 Generator Yard</v>
      </c>
      <c r="C118" s="388" t="e">
        <f>DEEMOutsideGear</f>
        <v>#N/A</v>
      </c>
      <c r="D118" s="186" t="e">
        <f>"Verify " &amp; DEEMSuite4 &amp; "-RA1 Breaker is CLOSED."</f>
        <v>#N/A</v>
      </c>
      <c r="E118" s="183" t="s">
        <v>1464</v>
      </c>
      <c r="F118" s="189"/>
      <c r="G118" s="189" t="s">
        <v>1519</v>
      </c>
      <c r="H118" s="153" t="s">
        <v>203</v>
      </c>
    </row>
    <row r="119" spans="1:8" ht="37.5" x14ac:dyDescent="0.25">
      <c r="A119" s="174" t="e">
        <f>IF(DEEMSuite4="XXX", A116+1, A118+1)</f>
        <v>#N/A</v>
      </c>
      <c r="B119" s="388" t="e">
        <f>DEEMSuite1 &amp; " Electrical Room"</f>
        <v>#N/A</v>
      </c>
      <c r="C119" s="183" t="s">
        <v>2670</v>
      </c>
      <c r="D119" s="194" t="e">
        <f>"Verify voltage on " &amp; DEEMSuite1 &amp; " RA2 breaker is 480 +/- 10 volts."</f>
        <v>#N/A</v>
      </c>
      <c r="E119" s="183" t="s">
        <v>1464</v>
      </c>
      <c r="F119" s="189"/>
      <c r="G119" s="189" t="s">
        <v>1519</v>
      </c>
    </row>
    <row r="120" spans="1:8" ht="37.5" x14ac:dyDescent="0.25">
      <c r="A120" s="174" t="e">
        <f t="shared" si="7"/>
        <v>#N/A</v>
      </c>
      <c r="B120" s="388" t="e">
        <f>DEEMSuite1 &amp; " Electrical Room"</f>
        <v>#N/A</v>
      </c>
      <c r="C120" s="183" t="s">
        <v>2670</v>
      </c>
      <c r="D120" s="194" t="e">
        <f>"Remove LOTO from " &amp; DEEMSuite1 &amp; " RA2 breaker."</f>
        <v>#N/A</v>
      </c>
      <c r="E120" s="183" t="s">
        <v>1464</v>
      </c>
      <c r="F120" s="189"/>
      <c r="G120" s="189" t="s">
        <v>1519</v>
      </c>
    </row>
    <row r="121" spans="1:8" ht="37.5" x14ac:dyDescent="0.25">
      <c r="A121" s="174" t="e">
        <f t="shared" si="7"/>
        <v>#N/A</v>
      </c>
      <c r="B121" s="388" t="e">
        <f>DEEMSuite1 &amp; " Electrical Room"</f>
        <v>#N/A</v>
      </c>
      <c r="C121" s="183" t="s">
        <v>2670</v>
      </c>
      <c r="D121" s="186" t="s">
        <v>3487</v>
      </c>
      <c r="E121" s="183" t="s">
        <v>1464</v>
      </c>
      <c r="F121" s="189"/>
      <c r="G121" s="189" t="s">
        <v>1519</v>
      </c>
    </row>
    <row r="122" spans="1:8" ht="37.5" x14ac:dyDescent="0.25">
      <c r="A122" s="174" t="e">
        <f t="shared" si="7"/>
        <v>#N/A</v>
      </c>
      <c r="B122" s="388" t="e">
        <f>DEEMSuite2 &amp; " Electrical Room"</f>
        <v>#N/A</v>
      </c>
      <c r="C122" s="183" t="s">
        <v>2670</v>
      </c>
      <c r="D122" s="194" t="e">
        <f>"Verify voltage on " &amp; DEEMSuite2 &amp; " RA2 breaker is 480 +/- 10 volts."</f>
        <v>#N/A</v>
      </c>
      <c r="E122" s="183" t="s">
        <v>1464</v>
      </c>
      <c r="F122" s="189"/>
      <c r="G122" s="189" t="s">
        <v>1519</v>
      </c>
    </row>
    <row r="123" spans="1:8" ht="37.5" x14ac:dyDescent="0.25">
      <c r="A123" s="174" t="e">
        <f t="shared" si="7"/>
        <v>#N/A</v>
      </c>
      <c r="B123" s="388" t="e">
        <f>DEEMSuite2 &amp; " Electrical Room"</f>
        <v>#N/A</v>
      </c>
      <c r="C123" s="183" t="s">
        <v>2670</v>
      </c>
      <c r="D123" s="194" t="e">
        <f>"Remove LOTO from " &amp; DEEMSuite2 &amp; " RA2 breaker."</f>
        <v>#N/A</v>
      </c>
      <c r="E123" s="183" t="s">
        <v>1464</v>
      </c>
      <c r="F123" s="189"/>
      <c r="G123" s="189" t="s">
        <v>1519</v>
      </c>
    </row>
    <row r="124" spans="1:8" ht="37.5" x14ac:dyDescent="0.25">
      <c r="A124" s="174" t="e">
        <f t="shared" si="7"/>
        <v>#N/A</v>
      </c>
      <c r="B124" s="388" t="e">
        <f>DEEMSuite2 &amp; " Electrical Room"</f>
        <v>#N/A</v>
      </c>
      <c r="C124" s="183" t="s">
        <v>2670</v>
      </c>
      <c r="D124" s="186" t="s">
        <v>3487</v>
      </c>
      <c r="E124" s="183" t="s">
        <v>1464</v>
      </c>
      <c r="F124" s="189"/>
      <c r="G124" s="189" t="s">
        <v>1519</v>
      </c>
    </row>
    <row r="125" spans="1:8" ht="37.5" x14ac:dyDescent="0.25">
      <c r="A125" s="174" t="e">
        <f t="shared" si="7"/>
        <v>#N/A</v>
      </c>
      <c r="B125" s="388" t="e">
        <f>DEEMSuite3 &amp; " Electrical Room"</f>
        <v>#N/A</v>
      </c>
      <c r="C125" s="183" t="s">
        <v>2670</v>
      </c>
      <c r="D125" s="194" t="e">
        <f>"Verify voltage on " &amp; DEEMSuite3 &amp; " RA2 breaker is 480 +/- 10 volts."</f>
        <v>#N/A</v>
      </c>
      <c r="E125" s="183" t="s">
        <v>1464</v>
      </c>
      <c r="F125" s="189"/>
      <c r="G125" s="189" t="s">
        <v>1519</v>
      </c>
    </row>
    <row r="126" spans="1:8" ht="37.5" x14ac:dyDescent="0.25">
      <c r="A126" s="174" t="e">
        <f t="shared" si="7"/>
        <v>#N/A</v>
      </c>
      <c r="B126" s="388" t="e">
        <f>DEEMSuite3 &amp; " Electrical Room"</f>
        <v>#N/A</v>
      </c>
      <c r="C126" s="183" t="s">
        <v>2670</v>
      </c>
      <c r="D126" s="194" t="e">
        <f>"Remove LOTO from " &amp; DEEMSuite3 &amp; " RA2 breaker."</f>
        <v>#N/A</v>
      </c>
      <c r="E126" s="183" t="s">
        <v>1464</v>
      </c>
      <c r="F126" s="189"/>
      <c r="G126" s="189" t="s">
        <v>1519</v>
      </c>
    </row>
    <row r="127" spans="1:8" ht="37.5" x14ac:dyDescent="0.25">
      <c r="A127" s="174" t="e">
        <f t="shared" si="7"/>
        <v>#N/A</v>
      </c>
      <c r="B127" s="388" t="e">
        <f>DEEMSuite3 &amp; " Electrical Room"</f>
        <v>#N/A</v>
      </c>
      <c r="C127" s="183" t="s">
        <v>2670</v>
      </c>
      <c r="D127" s="186" t="s">
        <v>3487</v>
      </c>
      <c r="E127" s="183" t="s">
        <v>1464</v>
      </c>
      <c r="F127" s="189"/>
      <c r="G127" s="189" t="s">
        <v>1519</v>
      </c>
    </row>
    <row r="128" spans="1:8" ht="37.5" x14ac:dyDescent="0.25">
      <c r="A128" s="174" t="e">
        <f t="shared" si="7"/>
        <v>#N/A</v>
      </c>
      <c r="B128" s="388" t="e">
        <f>DEEMSuite4 &amp; " Electrical Room"</f>
        <v>#N/A</v>
      </c>
      <c r="C128" s="183" t="s">
        <v>2670</v>
      </c>
      <c r="D128" s="194" t="e">
        <f>"Verify voltage on " &amp; DEEMSuite4 &amp; " RA2 breaker is 480 +/- 10 volts."</f>
        <v>#N/A</v>
      </c>
      <c r="E128" s="183" t="s">
        <v>1464</v>
      </c>
      <c r="F128" s="189"/>
      <c r="G128" s="189" t="s">
        <v>1519</v>
      </c>
      <c r="H128" s="153" t="s">
        <v>203</v>
      </c>
    </row>
    <row r="129" spans="1:8" ht="37.5" x14ac:dyDescent="0.25">
      <c r="A129" s="174" t="e">
        <f t="shared" si="7"/>
        <v>#N/A</v>
      </c>
      <c r="B129" s="388" t="e">
        <f>DEEMSuite4 &amp; " Electrical Room"</f>
        <v>#N/A</v>
      </c>
      <c r="C129" s="183" t="s">
        <v>2670</v>
      </c>
      <c r="D129" s="194" t="e">
        <f>"Remove LOTO from " &amp; DEEMSuite4 &amp; " RA2 breaker."</f>
        <v>#N/A</v>
      </c>
      <c r="E129" s="183" t="s">
        <v>1464</v>
      </c>
      <c r="F129" s="189"/>
      <c r="G129" s="189" t="s">
        <v>1519</v>
      </c>
      <c r="H129" s="153" t="s">
        <v>203</v>
      </c>
    </row>
    <row r="130" spans="1:8" ht="37.5" x14ac:dyDescent="0.25">
      <c r="A130" s="174" t="e">
        <f t="shared" ref="A130:A141" si="8">A129+1</f>
        <v>#N/A</v>
      </c>
      <c r="B130" s="388" t="e">
        <f>DEEMSuite4 &amp; " Electrical Room"</f>
        <v>#N/A</v>
      </c>
      <c r="C130" s="183" t="s">
        <v>2670</v>
      </c>
      <c r="D130" s="186" t="s">
        <v>3487</v>
      </c>
      <c r="E130" s="183" t="s">
        <v>1464</v>
      </c>
      <c r="F130" s="189"/>
      <c r="G130" s="189" t="s">
        <v>1519</v>
      </c>
      <c r="H130" s="153" t="s">
        <v>203</v>
      </c>
    </row>
    <row r="131" spans="1:8" ht="37.5" x14ac:dyDescent="0.25">
      <c r="A131" s="174" t="e">
        <f>IF(DEEMSuite4="XXX", A127+1, A130+1)</f>
        <v>#N/A</v>
      </c>
      <c r="B131" s="183" t="str">
        <f t="shared" ref="B131:B136" si="9">IADNumber &amp; " Generator Yard"</f>
        <v>IAD35 Generator Yard</v>
      </c>
      <c r="C131" s="388" t="str">
        <f>zSelectedEquipment &amp; " Generator"</f>
        <v>G104-Gen-B Generator</v>
      </c>
      <c r="D131" s="195" t="str">
        <f>"Remove LOTO from E-Stop on " &amp; zSelectedEquipment &amp; " redundant generator."</f>
        <v>Remove LOTO from E-Stop on G104-Gen-B redundant generator.</v>
      </c>
      <c r="E131" s="183" t="s">
        <v>1464</v>
      </c>
      <c r="F131" s="189"/>
      <c r="G131" s="189" t="s">
        <v>1519</v>
      </c>
    </row>
    <row r="132" spans="1:8" ht="37.5" x14ac:dyDescent="0.25">
      <c r="A132" s="174" t="e">
        <f t="shared" si="8"/>
        <v>#N/A</v>
      </c>
      <c r="B132" s="183" t="str">
        <f t="shared" si="9"/>
        <v>IAD35 Generator Yard</v>
      </c>
      <c r="C132" s="388" t="str">
        <f>zSelectedEquipment &amp; " Generator"</f>
        <v>G104-Gen-B Generator</v>
      </c>
      <c r="D132" s="186" t="s">
        <v>3487</v>
      </c>
      <c r="E132" s="183" t="s">
        <v>1464</v>
      </c>
      <c r="F132" s="189"/>
      <c r="G132" s="189" t="s">
        <v>1519</v>
      </c>
    </row>
    <row r="133" spans="1:8" ht="37.5" x14ac:dyDescent="0.25">
      <c r="A133" s="174" t="e">
        <f t="shared" si="8"/>
        <v>#N/A</v>
      </c>
      <c r="B133" s="183" t="str">
        <f t="shared" si="9"/>
        <v>IAD35 Generator Yard</v>
      </c>
      <c r="C133" s="388" t="str">
        <f>zSelectedEquipment &amp; " Generator"</f>
        <v>G104-Gen-B Generator</v>
      </c>
      <c r="D133" s="195" t="e">
        <f>"Reset the E-Stop on " &amp; DEEMOutsideGear &amp; " redundant generator."</f>
        <v>#N/A</v>
      </c>
      <c r="E133" s="183" t="s">
        <v>1464</v>
      </c>
      <c r="F133" s="189"/>
      <c r="G133" s="189" t="s">
        <v>1519</v>
      </c>
    </row>
    <row r="134" spans="1:8" ht="37.5" x14ac:dyDescent="0.25">
      <c r="A134" s="174" t="e">
        <f t="shared" si="8"/>
        <v>#N/A</v>
      </c>
      <c r="B134" s="183" t="str">
        <f t="shared" si="9"/>
        <v>IAD35 Generator Yard</v>
      </c>
      <c r="C134" s="388" t="str">
        <f>zSelectedEquipment &amp; " Generator"</f>
        <v>G104-Gen-B Generator</v>
      </c>
      <c r="D134" s="195" t="str">
        <f>"Verify no alarms are present on generator " &amp; zSelectedEquipment &amp; "."</f>
        <v>Verify no alarms are present on generator G104-Gen-B.</v>
      </c>
      <c r="E134" s="183" t="s">
        <v>1464</v>
      </c>
      <c r="F134" s="189"/>
      <c r="G134" s="189" t="s">
        <v>1519</v>
      </c>
    </row>
    <row r="135" spans="1:8" ht="37.5" x14ac:dyDescent="0.25">
      <c r="A135" s="174" t="e">
        <f t="shared" si="8"/>
        <v>#N/A</v>
      </c>
      <c r="B135" s="183" t="str">
        <f t="shared" si="9"/>
        <v>IAD35 Generator Yard</v>
      </c>
      <c r="C135" s="388" t="e">
        <f>DEEMOutsideGear</f>
        <v>#N/A</v>
      </c>
      <c r="D135" s="186" t="e">
        <f>"Place " &amp; DEEMOutsideGear &amp; " into automatic mode by turning the key switch from MANUAL to AUTO."</f>
        <v>#N/A</v>
      </c>
      <c r="E135" s="183" t="s">
        <v>1464</v>
      </c>
      <c r="F135" s="189"/>
      <c r="G135" s="189" t="s">
        <v>1519</v>
      </c>
    </row>
    <row r="136" spans="1:8" ht="37.5" x14ac:dyDescent="0.25">
      <c r="A136" s="174" t="e">
        <f t="shared" si="8"/>
        <v>#N/A</v>
      </c>
      <c r="B136" s="183" t="str">
        <f t="shared" si="9"/>
        <v>IAD35 Generator Yard</v>
      </c>
      <c r="C136" s="388" t="e">
        <f>DEEMOutsideGear</f>
        <v>#N/A</v>
      </c>
      <c r="D136" s="195" t="e">
        <f>"Verify no faults are present on " &amp; DEEMOutsideGear &amp; " ROP."</f>
        <v>#N/A</v>
      </c>
      <c r="E136" s="183" t="s">
        <v>1464</v>
      </c>
      <c r="F136" s="189"/>
      <c r="G136" s="189" t="s">
        <v>1519</v>
      </c>
    </row>
    <row r="137" spans="1:8" ht="37.5" x14ac:dyDescent="0.25">
      <c r="A137" s="174" t="e">
        <f t="shared" si="8"/>
        <v>#N/A</v>
      </c>
      <c r="B137" s="183" t="s">
        <v>1462</v>
      </c>
      <c r="C137" s="183" t="s">
        <v>84</v>
      </c>
      <c r="D137" s="186" t="e">
        <f>"Contact the engineer stationed on base to verify no abnormal conditions exist related to " &amp; DEEMOutsideGear &amp; "."</f>
        <v>#N/A</v>
      </c>
      <c r="E137" s="183" t="s">
        <v>1464</v>
      </c>
      <c r="F137" s="193" t="s">
        <v>1519</v>
      </c>
      <c r="G137" s="189" t="s">
        <v>1519</v>
      </c>
    </row>
    <row r="138" spans="1:8" x14ac:dyDescent="0.25">
      <c r="A138" s="174" t="e">
        <f t="shared" si="8"/>
        <v>#N/A</v>
      </c>
      <c r="B138" s="712" t="str">
        <f>"PERFORM POST-WORK NOTIFICATION AND CALLOUT"</f>
        <v>PERFORM POST-WORK NOTIFICATION AND CALLOUT</v>
      </c>
      <c r="C138" s="712"/>
      <c r="D138" s="712"/>
      <c r="E138" s="712"/>
      <c r="F138" s="712"/>
      <c r="G138" s="712"/>
    </row>
    <row r="139" spans="1:8" ht="37.5" x14ac:dyDescent="0.3">
      <c r="A139" s="174" t="e">
        <f t="shared" si="8"/>
        <v>#N/A</v>
      </c>
      <c r="B139" s="183" t="s">
        <v>1462</v>
      </c>
      <c r="C139" s="183" t="s">
        <v>84</v>
      </c>
      <c r="D139" s="186" t="s">
        <v>2037</v>
      </c>
      <c r="E139" s="183" t="s">
        <v>1464</v>
      </c>
      <c r="F139" s="196" t="s">
        <v>1519</v>
      </c>
      <c r="G139" s="197"/>
    </row>
    <row r="140" spans="1:8" ht="37.5" x14ac:dyDescent="0.3">
      <c r="A140" s="174" t="e">
        <f t="shared" si="8"/>
        <v>#N/A</v>
      </c>
      <c r="B140" s="183" t="s">
        <v>1462</v>
      </c>
      <c r="C140" s="183" t="s">
        <v>84</v>
      </c>
      <c r="D140" s="187" t="s">
        <v>2025</v>
      </c>
      <c r="E140" s="183" t="s">
        <v>1464</v>
      </c>
      <c r="F140" s="196" t="s">
        <v>1519</v>
      </c>
      <c r="G140" s="197"/>
    </row>
    <row r="141" spans="1:8" ht="37.5" x14ac:dyDescent="0.3">
      <c r="A141" s="174" t="e">
        <f t="shared" si="8"/>
        <v>#N/A</v>
      </c>
      <c r="B141" s="183" t="s">
        <v>1462</v>
      </c>
      <c r="C141" s="183" t="s">
        <v>84</v>
      </c>
      <c r="D141" s="187" t="s">
        <v>2682</v>
      </c>
      <c r="E141" s="183" t="s">
        <v>1464</v>
      </c>
      <c r="F141" s="198"/>
      <c r="G141" s="199" t="s">
        <v>1519</v>
      </c>
    </row>
    <row r="142" spans="1:8" x14ac:dyDescent="0.3">
      <c r="A142" s="192"/>
    </row>
    <row r="143" spans="1:8" x14ac:dyDescent="0.3">
      <c r="A143" s="192"/>
    </row>
    <row r="144" spans="1:8" x14ac:dyDescent="0.3">
      <c r="A144" s="192"/>
    </row>
  </sheetData>
  <sheetProtection formatCells="0" formatColumns="0" formatRows="0" insertRows="0" deleteRows="0" sort="0" autoFilter="0"/>
  <mergeCells count="9">
    <mergeCell ref="B6:G6"/>
    <mergeCell ref="B11:G11"/>
    <mergeCell ref="B79:G79"/>
    <mergeCell ref="B138:G138"/>
    <mergeCell ref="A2:B2"/>
    <mergeCell ref="A3:B3"/>
    <mergeCell ref="C3:D3"/>
    <mergeCell ref="C2:G2"/>
    <mergeCell ref="A4:C4"/>
  </mergeCells>
  <printOptions horizontalCentered="1"/>
  <pageMargins left="0.2" right="0.2" top="0.45" bottom="0.3" header="0.05" footer="0.05"/>
  <pageSetup scale="59"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84E78-D22C-4375-AD5F-AF655578A071}">
  <sheetPr codeName="RefTableAPC">
    <pageSetUpPr fitToPage="1"/>
  </sheetPr>
  <dimension ref="A1:T53"/>
  <sheetViews>
    <sheetView view="pageBreakPreview" zoomScale="90" zoomScaleNormal="100" zoomScaleSheetLayoutView="90" workbookViewId="0">
      <selection activeCell="K12" sqref="K12"/>
    </sheetView>
  </sheetViews>
  <sheetFormatPr defaultColWidth="2.5703125" defaultRowHeight="15" x14ac:dyDescent="0.25"/>
  <cols>
    <col min="1" max="1" width="12.140625" customWidth="1"/>
    <col min="2" max="2" width="24.5703125" customWidth="1"/>
    <col min="3" max="3" width="21.5703125" customWidth="1"/>
    <col min="4" max="4" width="25.7109375" customWidth="1"/>
    <col min="5" max="5" width="25.28515625" customWidth="1"/>
    <col min="6" max="6" width="17.85546875" bestFit="1" customWidth="1"/>
    <col min="7" max="7" width="17.85546875" customWidth="1"/>
    <col min="8" max="8" width="19.7109375" bestFit="1" customWidth="1"/>
    <col min="9" max="9" width="22.85546875" bestFit="1" customWidth="1"/>
    <col min="10" max="26" width="6.7109375" customWidth="1"/>
  </cols>
  <sheetData>
    <row r="1" spans="1:5" s="1" customFormat="1" ht="14.25" x14ac:dyDescent="0.2">
      <c r="A1" s="761" t="s">
        <v>3494</v>
      </c>
      <c r="B1" s="761"/>
      <c r="C1" s="761"/>
      <c r="D1" s="761"/>
    </row>
    <row r="2" spans="1:5" s="1" customFormat="1" ht="29.45" customHeight="1" x14ac:dyDescent="0.2">
      <c r="A2" s="760" t="s">
        <v>3495</v>
      </c>
      <c r="B2" s="760"/>
      <c r="C2" s="760"/>
      <c r="D2" s="760"/>
    </row>
    <row r="3" spans="1:5" s="1" customFormat="1" x14ac:dyDescent="0.2">
      <c r="A3" s="49" t="s">
        <v>632</v>
      </c>
      <c r="B3" s="49" t="s">
        <v>3496</v>
      </c>
      <c r="C3" s="49" t="s">
        <v>3497</v>
      </c>
      <c r="D3" s="49" t="s">
        <v>3498</v>
      </c>
    </row>
    <row r="4" spans="1:5" s="1" customFormat="1" x14ac:dyDescent="0.2">
      <c r="A4" s="41" t="s">
        <v>3499</v>
      </c>
      <c r="B4" s="41" t="s">
        <v>3500</v>
      </c>
      <c r="C4" s="41" t="s">
        <v>3501</v>
      </c>
      <c r="D4" s="41" t="s">
        <v>3502</v>
      </c>
    </row>
    <row r="5" spans="1:5" s="1" customFormat="1" x14ac:dyDescent="0.2">
      <c r="A5" s="41" t="s">
        <v>3503</v>
      </c>
      <c r="B5" s="41" t="s">
        <v>3504</v>
      </c>
      <c r="C5" s="41" t="s">
        <v>3501</v>
      </c>
      <c r="D5" s="41" t="s">
        <v>3502</v>
      </c>
    </row>
    <row r="6" spans="1:5" s="1" customFormat="1" ht="30" x14ac:dyDescent="0.2">
      <c r="A6" s="41" t="s">
        <v>3505</v>
      </c>
      <c r="B6" s="41" t="s">
        <v>3506</v>
      </c>
      <c r="C6" s="41" t="s">
        <v>3507</v>
      </c>
      <c r="D6" s="41" t="s">
        <v>3508</v>
      </c>
    </row>
    <row r="7" spans="1:5" s="1" customFormat="1" ht="30" x14ac:dyDescent="0.2">
      <c r="A7" s="41" t="s">
        <v>3509</v>
      </c>
      <c r="B7" s="41" t="s">
        <v>3510</v>
      </c>
      <c r="C7" s="41" t="s">
        <v>3511</v>
      </c>
      <c r="D7" s="41" t="s">
        <v>3512</v>
      </c>
    </row>
    <row r="8" spans="1:5" s="1" customFormat="1" ht="30" x14ac:dyDescent="0.2">
      <c r="A8" s="41" t="s">
        <v>3513</v>
      </c>
      <c r="B8" s="41" t="s">
        <v>3514</v>
      </c>
      <c r="C8" s="43" t="s">
        <v>3515</v>
      </c>
      <c r="D8" s="43" t="s">
        <v>3516</v>
      </c>
    </row>
    <row r="9" spans="1:5" s="1" customFormat="1" ht="30" x14ac:dyDescent="0.2">
      <c r="A9" s="41" t="s">
        <v>3517</v>
      </c>
      <c r="B9" s="41" t="s">
        <v>3514</v>
      </c>
      <c r="C9" s="43" t="s">
        <v>3515</v>
      </c>
      <c r="D9" s="43" t="s">
        <v>3516</v>
      </c>
    </row>
    <row r="10" spans="1:5" s="1" customFormat="1" ht="30" x14ac:dyDescent="0.2">
      <c r="A10" s="41" t="s">
        <v>3518</v>
      </c>
      <c r="B10" s="41" t="s">
        <v>3514</v>
      </c>
      <c r="C10" s="43" t="s">
        <v>3515</v>
      </c>
      <c r="D10" s="43" t="s">
        <v>3516</v>
      </c>
      <c r="E10" s="2"/>
    </row>
    <row r="11" spans="1:5" s="1" customFormat="1" ht="30" x14ac:dyDescent="0.2">
      <c r="A11" s="41" t="s">
        <v>3519</v>
      </c>
      <c r="B11" s="41" t="s">
        <v>3514</v>
      </c>
      <c r="C11" s="43" t="s">
        <v>3515</v>
      </c>
      <c r="D11" s="43" t="s">
        <v>3516</v>
      </c>
      <c r="E11" s="2"/>
    </row>
    <row r="12" spans="1:5" s="1" customFormat="1" ht="14.25" x14ac:dyDescent="0.2">
      <c r="A12" s="2"/>
      <c r="B12" s="2"/>
      <c r="C12" s="2"/>
      <c r="D12" s="2"/>
      <c r="E12" s="2"/>
    </row>
    <row r="13" spans="1:5" s="1" customFormat="1" ht="14.25" x14ac:dyDescent="0.2">
      <c r="A13" s="2"/>
      <c r="B13" s="2"/>
      <c r="C13" s="2"/>
      <c r="D13" s="2"/>
      <c r="E13" s="2"/>
    </row>
    <row r="14" spans="1:5" s="1" customFormat="1" ht="14.25" x14ac:dyDescent="0.2">
      <c r="A14" s="2"/>
      <c r="B14" s="2"/>
      <c r="C14" s="2"/>
      <c r="D14" s="2"/>
      <c r="E14" s="2"/>
    </row>
    <row r="15" spans="1:5" s="1" customFormat="1" ht="14.25" x14ac:dyDescent="0.2">
      <c r="A15" s="2"/>
      <c r="B15" s="2"/>
      <c r="C15" s="2"/>
      <c r="D15" s="2"/>
      <c r="E15" s="2"/>
    </row>
    <row r="16" spans="1:5" s="1" customFormat="1" ht="14.25" x14ac:dyDescent="0.2">
      <c r="A16" s="2"/>
      <c r="B16" s="2"/>
      <c r="C16" s="2"/>
      <c r="D16" s="2"/>
      <c r="E16" s="2"/>
    </row>
    <row r="17" spans="1:17" s="1" customFormat="1" ht="14.25" x14ac:dyDescent="0.2">
      <c r="A17" s="2"/>
      <c r="B17" s="2"/>
      <c r="C17" s="2"/>
      <c r="D17" s="2"/>
      <c r="E17" s="2"/>
    </row>
    <row r="18" spans="1:17" s="1" customFormat="1" ht="14.25" x14ac:dyDescent="0.2">
      <c r="A18" s="2"/>
      <c r="B18" s="2"/>
      <c r="C18" s="2"/>
      <c r="D18" s="2"/>
      <c r="E18" s="2"/>
    </row>
    <row r="19" spans="1:17" s="1" customFormat="1" ht="14.25" x14ac:dyDescent="0.2">
      <c r="A19" s="2"/>
      <c r="B19" s="2"/>
      <c r="C19" s="2"/>
      <c r="D19" s="2"/>
      <c r="E19" s="2"/>
    </row>
    <row r="20" spans="1:17" s="1" customFormat="1" ht="14.25" x14ac:dyDescent="0.2">
      <c r="A20" s="2"/>
      <c r="B20" s="2"/>
      <c r="C20" s="2"/>
      <c r="D20" s="2"/>
      <c r="E20" s="2"/>
    </row>
    <row r="21" spans="1:17" s="1" customFormat="1" ht="14.25" x14ac:dyDescent="0.2">
      <c r="A21" s="2"/>
      <c r="B21" s="2"/>
      <c r="C21" s="2"/>
      <c r="D21" s="2"/>
      <c r="E21" s="2"/>
    </row>
    <row r="22" spans="1:17" s="1" customFormat="1" x14ac:dyDescent="0.25">
      <c r="A22" s="2"/>
      <c r="B22" s="2"/>
      <c r="C22" s="2"/>
      <c r="D22"/>
      <c r="E22"/>
    </row>
    <row r="23" spans="1:17" s="1" customFormat="1" x14ac:dyDescent="0.25">
      <c r="A23" s="2"/>
      <c r="B23" s="2"/>
      <c r="C23" s="2"/>
      <c r="D23"/>
      <c r="E23"/>
      <c r="H23"/>
      <c r="I23"/>
      <c r="J23"/>
      <c r="K23"/>
      <c r="L23"/>
      <c r="M23"/>
      <c r="N23"/>
      <c r="O23"/>
      <c r="P23"/>
      <c r="Q23"/>
    </row>
    <row r="24" spans="1:17" s="1" customFormat="1" x14ac:dyDescent="0.25">
      <c r="A24" s="2"/>
      <c r="B24" s="2"/>
      <c r="C24" s="2"/>
      <c r="D24"/>
      <c r="E24"/>
      <c r="H24"/>
      <c r="I24"/>
      <c r="J24"/>
      <c r="K24"/>
      <c r="L24"/>
      <c r="M24"/>
      <c r="N24"/>
      <c r="O24"/>
      <c r="P24"/>
      <c r="Q24"/>
    </row>
    <row r="25" spans="1:17" s="1" customFormat="1" x14ac:dyDescent="0.25">
      <c r="A25" s="2"/>
      <c r="B25" s="2"/>
      <c r="C25" s="2"/>
      <c r="D25"/>
      <c r="E25"/>
      <c r="H25"/>
      <c r="I25"/>
      <c r="J25"/>
      <c r="K25"/>
      <c r="L25"/>
      <c r="M25"/>
      <c r="N25"/>
      <c r="O25"/>
      <c r="P25"/>
      <c r="Q25"/>
    </row>
    <row r="26" spans="1:17" s="1" customFormat="1" x14ac:dyDescent="0.25">
      <c r="A26" s="2"/>
      <c r="B26" s="2"/>
      <c r="C26" s="2"/>
      <c r="D26"/>
      <c r="E26"/>
      <c r="H26"/>
      <c r="I26"/>
      <c r="J26"/>
      <c r="K26"/>
      <c r="L26"/>
      <c r="M26"/>
      <c r="N26"/>
      <c r="O26"/>
      <c r="P26"/>
      <c r="Q26"/>
    </row>
    <row r="27" spans="1:17" s="1" customFormat="1" x14ac:dyDescent="0.25">
      <c r="A27" s="2"/>
      <c r="B27" s="2"/>
      <c r="C27" s="2"/>
      <c r="D27"/>
      <c r="E27"/>
      <c r="H27"/>
      <c r="I27"/>
      <c r="J27"/>
      <c r="K27"/>
      <c r="L27"/>
      <c r="M27"/>
      <c r="N27"/>
      <c r="O27"/>
      <c r="P27"/>
      <c r="Q27"/>
    </row>
    <row r="28" spans="1:17" s="1" customFormat="1" x14ac:dyDescent="0.25">
      <c r="A28" s="2"/>
      <c r="B28" s="2"/>
      <c r="C28" s="2"/>
      <c r="D28"/>
      <c r="E28"/>
      <c r="H28"/>
      <c r="I28"/>
      <c r="J28"/>
      <c r="K28"/>
      <c r="L28"/>
      <c r="M28"/>
      <c r="N28"/>
      <c r="O28"/>
      <c r="P28"/>
      <c r="Q28"/>
    </row>
    <row r="29" spans="1:17" s="1" customFormat="1" x14ac:dyDescent="0.25">
      <c r="A29"/>
      <c r="B29"/>
      <c r="C29"/>
      <c r="D29"/>
      <c r="E29"/>
      <c r="H29"/>
      <c r="I29"/>
      <c r="J29"/>
      <c r="K29"/>
      <c r="L29"/>
      <c r="M29"/>
      <c r="N29"/>
      <c r="O29"/>
      <c r="P29"/>
      <c r="Q29"/>
    </row>
    <row r="30" spans="1:17" s="1" customFormat="1" x14ac:dyDescent="0.25">
      <c r="A30"/>
      <c r="B30"/>
      <c r="C30"/>
      <c r="D30"/>
      <c r="E30"/>
      <c r="F30"/>
      <c r="G30"/>
      <c r="H30"/>
      <c r="I30"/>
      <c r="J30"/>
      <c r="K30"/>
      <c r="L30"/>
      <c r="M30"/>
      <c r="N30"/>
      <c r="O30"/>
      <c r="P30"/>
      <c r="Q30"/>
    </row>
    <row r="31" spans="1:17" s="1" customFormat="1" x14ac:dyDescent="0.25">
      <c r="A31"/>
      <c r="B31"/>
      <c r="C31"/>
      <c r="D31"/>
      <c r="E31"/>
      <c r="F31"/>
      <c r="G31"/>
      <c r="H31"/>
      <c r="I31"/>
      <c r="J31"/>
      <c r="K31"/>
      <c r="L31"/>
      <c r="M31"/>
      <c r="N31"/>
      <c r="O31"/>
      <c r="P31"/>
      <c r="Q31"/>
    </row>
    <row r="32" spans="1:17" s="1" customFormat="1" x14ac:dyDescent="0.25">
      <c r="A32"/>
      <c r="B32"/>
      <c r="C32"/>
      <c r="D32"/>
      <c r="E32"/>
      <c r="F32"/>
      <c r="G32"/>
      <c r="H32"/>
      <c r="I32"/>
      <c r="J32"/>
      <c r="K32"/>
      <c r="L32"/>
      <c r="M32"/>
      <c r="N32"/>
      <c r="O32"/>
      <c r="P32"/>
      <c r="Q32"/>
    </row>
    <row r="33" spans="1:20" s="1" customFormat="1" x14ac:dyDescent="0.25">
      <c r="A33"/>
      <c r="B33"/>
      <c r="C33"/>
      <c r="D33"/>
      <c r="E33"/>
      <c r="F33"/>
      <c r="G33"/>
      <c r="H33"/>
      <c r="I33"/>
      <c r="J33"/>
      <c r="K33"/>
      <c r="L33"/>
      <c r="M33"/>
      <c r="N33"/>
      <c r="O33"/>
      <c r="P33"/>
      <c r="Q33"/>
    </row>
    <row r="34" spans="1:20" s="1" customFormat="1" x14ac:dyDescent="0.25">
      <c r="A34"/>
      <c r="B34"/>
      <c r="C34"/>
      <c r="D34"/>
      <c r="E34"/>
      <c r="F34"/>
      <c r="G34"/>
      <c r="H34"/>
      <c r="I34"/>
      <c r="J34"/>
      <c r="K34"/>
      <c r="L34"/>
      <c r="M34"/>
      <c r="N34"/>
      <c r="O34"/>
      <c r="P34"/>
      <c r="Q34"/>
    </row>
    <row r="35" spans="1:20" s="1" customFormat="1" x14ac:dyDescent="0.25">
      <c r="A35"/>
      <c r="B35"/>
      <c r="C35"/>
      <c r="D35"/>
      <c r="E35"/>
      <c r="F35"/>
      <c r="G35"/>
      <c r="H35"/>
      <c r="I35"/>
      <c r="J35"/>
      <c r="K35"/>
      <c r="L35"/>
      <c r="M35"/>
      <c r="N35"/>
      <c r="O35"/>
      <c r="P35"/>
      <c r="Q35"/>
    </row>
    <row r="36" spans="1:20" s="1" customFormat="1" x14ac:dyDescent="0.25">
      <c r="A36"/>
      <c r="B36"/>
      <c r="C36"/>
      <c r="D36"/>
      <c r="E36"/>
      <c r="F36"/>
      <c r="G36"/>
      <c r="H36"/>
      <c r="I36"/>
      <c r="J36"/>
      <c r="K36"/>
      <c r="L36"/>
      <c r="M36"/>
      <c r="N36"/>
      <c r="O36"/>
      <c r="P36"/>
      <c r="Q36"/>
    </row>
    <row r="37" spans="1:20" s="1" customFormat="1" x14ac:dyDescent="0.25">
      <c r="A37"/>
      <c r="B37"/>
      <c r="C37"/>
      <c r="D37"/>
      <c r="E37"/>
      <c r="F37"/>
      <c r="G37"/>
      <c r="H37"/>
      <c r="I37"/>
      <c r="J37"/>
      <c r="K37"/>
      <c r="L37"/>
      <c r="M37"/>
      <c r="N37"/>
      <c r="O37"/>
      <c r="P37"/>
      <c r="Q37"/>
      <c r="R37"/>
    </row>
    <row r="38" spans="1:20" s="1" customFormat="1" x14ac:dyDescent="0.25">
      <c r="A38"/>
      <c r="B38"/>
      <c r="C38"/>
      <c r="D38"/>
      <c r="E38"/>
      <c r="F38"/>
      <c r="G38"/>
      <c r="H38"/>
      <c r="I38"/>
      <c r="J38"/>
      <c r="K38"/>
      <c r="L38"/>
      <c r="M38"/>
      <c r="N38"/>
      <c r="O38"/>
      <c r="P38"/>
      <c r="Q38"/>
      <c r="R38"/>
      <c r="S38"/>
      <c r="T38"/>
    </row>
    <row r="39" spans="1:20" s="1" customFormat="1" x14ac:dyDescent="0.25">
      <c r="A39"/>
      <c r="B39"/>
      <c r="C39"/>
      <c r="D39"/>
      <c r="E39"/>
      <c r="F39"/>
      <c r="G39"/>
      <c r="H39"/>
      <c r="I39"/>
      <c r="J39"/>
      <c r="K39"/>
      <c r="L39"/>
      <c r="M39"/>
      <c r="N39"/>
      <c r="O39"/>
      <c r="P39"/>
      <c r="Q39"/>
      <c r="R39"/>
      <c r="S39"/>
      <c r="T39"/>
    </row>
    <row r="40" spans="1:20" s="1" customFormat="1" x14ac:dyDescent="0.25">
      <c r="A40"/>
      <c r="B40"/>
      <c r="C40"/>
      <c r="D40"/>
      <c r="E40"/>
      <c r="F40"/>
      <c r="G40"/>
      <c r="H40"/>
      <c r="I40"/>
      <c r="J40"/>
      <c r="K40"/>
      <c r="L40"/>
      <c r="M40"/>
      <c r="N40"/>
      <c r="O40"/>
      <c r="P40"/>
      <c r="Q40"/>
      <c r="R40"/>
      <c r="S40"/>
      <c r="T40"/>
    </row>
    <row r="41" spans="1:20" s="1" customFormat="1" x14ac:dyDescent="0.25">
      <c r="A41"/>
      <c r="B41"/>
      <c r="C41"/>
      <c r="D41"/>
      <c r="E41"/>
      <c r="F41"/>
      <c r="G41"/>
      <c r="H41"/>
      <c r="I41"/>
      <c r="J41"/>
      <c r="K41"/>
      <c r="L41"/>
      <c r="M41"/>
      <c r="N41"/>
      <c r="O41"/>
      <c r="P41"/>
      <c r="Q41"/>
      <c r="R41"/>
      <c r="S41"/>
      <c r="T41"/>
    </row>
    <row r="42" spans="1:20" s="1" customFormat="1" x14ac:dyDescent="0.25">
      <c r="A42"/>
      <c r="B42"/>
      <c r="C42"/>
      <c r="D42"/>
      <c r="E42"/>
      <c r="F42"/>
      <c r="G42"/>
      <c r="H42"/>
      <c r="I42"/>
      <c r="J42"/>
      <c r="K42"/>
      <c r="L42"/>
      <c r="M42"/>
      <c r="N42"/>
      <c r="O42"/>
      <c r="P42"/>
      <c r="Q42"/>
      <c r="R42"/>
      <c r="S42"/>
      <c r="T42"/>
    </row>
    <row r="43" spans="1:20" s="1" customFormat="1" x14ac:dyDescent="0.25">
      <c r="A43"/>
      <c r="B43"/>
      <c r="C43"/>
      <c r="D43"/>
      <c r="E43"/>
      <c r="F43"/>
      <c r="G43"/>
      <c r="H43"/>
      <c r="I43"/>
      <c r="J43"/>
      <c r="K43"/>
      <c r="L43"/>
      <c r="M43"/>
      <c r="N43"/>
      <c r="O43"/>
      <c r="P43"/>
      <c r="Q43"/>
      <c r="R43"/>
      <c r="S43"/>
      <c r="T43"/>
    </row>
    <row r="44" spans="1:20" s="1" customFormat="1" x14ac:dyDescent="0.25">
      <c r="A44"/>
      <c r="B44"/>
      <c r="C44"/>
      <c r="D44"/>
      <c r="E44"/>
      <c r="F44"/>
      <c r="G44"/>
      <c r="H44"/>
      <c r="I44"/>
      <c r="J44"/>
      <c r="K44"/>
      <c r="L44"/>
      <c r="M44"/>
      <c r="N44"/>
      <c r="O44"/>
      <c r="P44"/>
      <c r="Q44"/>
      <c r="R44"/>
      <c r="S44"/>
      <c r="T44"/>
    </row>
    <row r="45" spans="1:20" s="1" customFormat="1" x14ac:dyDescent="0.25">
      <c r="A45"/>
      <c r="B45"/>
      <c r="C45"/>
      <c r="D45"/>
      <c r="E45"/>
      <c r="F45"/>
      <c r="G45"/>
      <c r="H45"/>
      <c r="I45"/>
      <c r="J45"/>
      <c r="K45"/>
      <c r="L45"/>
      <c r="M45"/>
      <c r="N45"/>
      <c r="O45"/>
      <c r="P45"/>
      <c r="Q45"/>
      <c r="R45"/>
      <c r="S45"/>
      <c r="T45"/>
    </row>
    <row r="46" spans="1:20" s="1" customFormat="1" x14ac:dyDescent="0.25">
      <c r="A46"/>
      <c r="B46"/>
      <c r="C46"/>
      <c r="D46"/>
      <c r="E46"/>
      <c r="F46"/>
      <c r="G46"/>
      <c r="H46"/>
      <c r="I46"/>
      <c r="J46"/>
      <c r="K46"/>
      <c r="L46"/>
      <c r="M46"/>
      <c r="N46"/>
      <c r="O46"/>
      <c r="P46"/>
      <c r="Q46"/>
      <c r="R46"/>
      <c r="S46"/>
      <c r="T46"/>
    </row>
    <row r="47" spans="1:20" s="1" customFormat="1" x14ac:dyDescent="0.25">
      <c r="A47"/>
      <c r="B47"/>
      <c r="C47"/>
      <c r="D47"/>
      <c r="E47"/>
      <c r="F47"/>
      <c r="G47"/>
      <c r="H47"/>
      <c r="I47"/>
      <c r="J47"/>
      <c r="K47"/>
      <c r="L47"/>
      <c r="M47"/>
      <c r="N47"/>
      <c r="O47"/>
      <c r="P47"/>
      <c r="Q47"/>
      <c r="R47"/>
      <c r="S47"/>
      <c r="T47"/>
    </row>
    <row r="48" spans="1:20" s="1" customFormat="1" x14ac:dyDescent="0.25">
      <c r="A48"/>
      <c r="B48"/>
      <c r="C48"/>
      <c r="D48"/>
      <c r="E48"/>
      <c r="F48"/>
      <c r="G48"/>
      <c r="H48"/>
      <c r="I48"/>
      <c r="J48"/>
      <c r="K48"/>
      <c r="L48"/>
      <c r="M48"/>
      <c r="N48"/>
      <c r="O48"/>
      <c r="P48"/>
      <c r="Q48"/>
      <c r="R48"/>
      <c r="S48"/>
      <c r="T48"/>
    </row>
    <row r="49" spans="1:20" s="1" customFormat="1" x14ac:dyDescent="0.25">
      <c r="A49"/>
      <c r="B49"/>
      <c r="C49"/>
      <c r="D49"/>
      <c r="E49"/>
      <c r="F49"/>
      <c r="G49"/>
      <c r="H49"/>
      <c r="I49"/>
      <c r="J49"/>
      <c r="K49"/>
      <c r="L49"/>
      <c r="M49"/>
      <c r="N49"/>
      <c r="O49"/>
      <c r="P49"/>
      <c r="Q49"/>
      <c r="R49"/>
      <c r="S49"/>
      <c r="T49"/>
    </row>
    <row r="50" spans="1:20" s="1" customFormat="1" x14ac:dyDescent="0.25">
      <c r="A50"/>
      <c r="B50"/>
      <c r="C50"/>
      <c r="D50"/>
      <c r="E50"/>
      <c r="F50"/>
      <c r="G50"/>
      <c r="H50"/>
      <c r="I50"/>
      <c r="J50"/>
      <c r="K50"/>
      <c r="L50"/>
      <c r="M50"/>
      <c r="N50"/>
      <c r="O50"/>
      <c r="P50"/>
      <c r="Q50"/>
      <c r="R50"/>
      <c r="S50"/>
      <c r="T50"/>
    </row>
    <row r="51" spans="1:20" s="1" customFormat="1" x14ac:dyDescent="0.25">
      <c r="A51"/>
      <c r="B51"/>
      <c r="C51"/>
      <c r="D51"/>
      <c r="E51"/>
      <c r="F51"/>
      <c r="G51"/>
      <c r="H51"/>
      <c r="I51"/>
      <c r="J51"/>
      <c r="K51"/>
      <c r="L51"/>
      <c r="M51"/>
      <c r="N51"/>
      <c r="O51"/>
      <c r="P51"/>
      <c r="Q51"/>
      <c r="R51"/>
      <c r="S51"/>
      <c r="T51"/>
    </row>
    <row r="52" spans="1:20" s="1" customFormat="1" x14ac:dyDescent="0.25">
      <c r="A52"/>
      <c r="B52"/>
      <c r="C52"/>
      <c r="D52"/>
      <c r="E52"/>
      <c r="F52"/>
      <c r="G52"/>
      <c r="H52"/>
      <c r="I52"/>
      <c r="J52"/>
      <c r="K52"/>
      <c r="L52"/>
      <c r="M52"/>
      <c r="N52"/>
      <c r="O52"/>
      <c r="P52"/>
      <c r="Q52"/>
      <c r="R52"/>
      <c r="S52"/>
      <c r="T52"/>
    </row>
    <row r="53" spans="1:20" s="1" customFormat="1" x14ac:dyDescent="0.25">
      <c r="A53"/>
      <c r="B53"/>
      <c r="C53"/>
      <c r="D53"/>
      <c r="E53"/>
      <c r="F53"/>
      <c r="G53"/>
      <c r="H53"/>
      <c r="I53"/>
      <c r="J53"/>
      <c r="K53"/>
      <c r="L53"/>
      <c r="M53"/>
      <c r="N53"/>
      <c r="O53"/>
      <c r="P53"/>
      <c r="Q53"/>
      <c r="R53"/>
      <c r="S53"/>
      <c r="T53"/>
    </row>
  </sheetData>
  <sheetProtection formatCells="0" formatRows="0" insertHyperlinks="0" deleteRows="0" sort="0" autoFilter="0"/>
  <mergeCells count="2">
    <mergeCell ref="A2:D2"/>
    <mergeCell ref="A1:D1"/>
  </mergeCells>
  <printOptions horizontalCentered="1"/>
  <pageMargins left="0.2" right="0.2" top="0.45" bottom="0.25" header="0.05" footer="0.05"/>
  <pageSetup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5E070-A485-4DA2-B195-E080FD4C1068}">
  <sheetPr codeName="RefTableNX">
    <pageSetUpPr fitToPage="1"/>
  </sheetPr>
  <dimension ref="A1:T53"/>
  <sheetViews>
    <sheetView view="pageBreakPreview" zoomScale="90" zoomScaleNormal="100" zoomScaleSheetLayoutView="90" workbookViewId="0">
      <selection activeCell="K12" sqref="K12"/>
    </sheetView>
  </sheetViews>
  <sheetFormatPr defaultColWidth="2.5703125" defaultRowHeight="15" x14ac:dyDescent="0.25"/>
  <cols>
    <col min="1" max="1" width="24" customWidth="1"/>
    <col min="2" max="2" width="34.42578125" customWidth="1"/>
    <col min="3" max="3" width="39.140625" customWidth="1"/>
    <col min="4" max="4" width="37.5703125" customWidth="1"/>
    <col min="5" max="5" width="25.28515625" customWidth="1"/>
    <col min="6" max="6" width="17.85546875" bestFit="1" customWidth="1"/>
    <col min="7" max="7" width="17.85546875" customWidth="1"/>
    <col min="8" max="8" width="19.7109375" bestFit="1" customWidth="1"/>
    <col min="9" max="9" width="22.85546875" bestFit="1" customWidth="1"/>
    <col min="10" max="26" width="6.7109375" customWidth="1"/>
  </cols>
  <sheetData>
    <row r="1" spans="1:5" s="1" customFormat="1" ht="27" x14ac:dyDescent="0.35">
      <c r="A1" s="762" t="s">
        <v>3494</v>
      </c>
      <c r="B1" s="762"/>
      <c r="C1" s="762"/>
      <c r="D1" s="762"/>
    </row>
    <row r="2" spans="1:5" s="1" customFormat="1" ht="75.75" customHeight="1" x14ac:dyDescent="0.2">
      <c r="A2" s="763" t="s">
        <v>3520</v>
      </c>
      <c r="B2" s="763"/>
      <c r="C2" s="763"/>
      <c r="D2" s="763"/>
    </row>
    <row r="3" spans="1:5" s="1" customFormat="1" ht="27.75" x14ac:dyDescent="0.2">
      <c r="A3" s="147" t="s">
        <v>3521</v>
      </c>
      <c r="B3" s="147" t="s">
        <v>3496</v>
      </c>
      <c r="C3" s="147" t="s">
        <v>3497</v>
      </c>
      <c r="D3" s="147" t="s">
        <v>3522</v>
      </c>
    </row>
    <row r="4" spans="1:5" s="1" customFormat="1" ht="46.5" x14ac:dyDescent="0.2">
      <c r="A4" s="148" t="s">
        <v>3523</v>
      </c>
      <c r="B4" s="148" t="s">
        <v>3524</v>
      </c>
      <c r="C4" s="148" t="s">
        <v>3523</v>
      </c>
      <c r="D4" s="148" t="s">
        <v>3525</v>
      </c>
    </row>
    <row r="5" spans="1:5" s="1" customFormat="1" ht="46.5" x14ac:dyDescent="0.2">
      <c r="A5" s="148" t="s">
        <v>3501</v>
      </c>
      <c r="B5" s="148" t="s">
        <v>3526</v>
      </c>
      <c r="C5" s="148" t="s">
        <v>3501</v>
      </c>
      <c r="D5" s="148" t="s">
        <v>3502</v>
      </c>
    </row>
    <row r="6" spans="1:5" s="1" customFormat="1" ht="46.5" x14ac:dyDescent="0.2">
      <c r="A6" s="148" t="s">
        <v>3507</v>
      </c>
      <c r="B6" s="148" t="s">
        <v>3527</v>
      </c>
      <c r="C6" s="148" t="s">
        <v>3507</v>
      </c>
      <c r="D6" s="148" t="s">
        <v>3508</v>
      </c>
    </row>
    <row r="7" spans="1:5" s="1" customFormat="1" ht="46.5" x14ac:dyDescent="0.2">
      <c r="A7" s="148" t="s">
        <v>3511</v>
      </c>
      <c r="B7" s="148" t="s">
        <v>3528</v>
      </c>
      <c r="C7" s="148" t="s">
        <v>3511</v>
      </c>
      <c r="D7" s="148" t="s">
        <v>3512</v>
      </c>
    </row>
    <row r="8" spans="1:5" s="1" customFormat="1" ht="46.5" x14ac:dyDescent="0.2">
      <c r="A8" s="148" t="s">
        <v>3529</v>
      </c>
      <c r="B8" s="148" t="s">
        <v>3530</v>
      </c>
      <c r="C8" s="148" t="s">
        <v>3529</v>
      </c>
      <c r="D8" s="148" t="s">
        <v>3531</v>
      </c>
    </row>
    <row r="9" spans="1:5" s="1" customFormat="1" ht="46.5" x14ac:dyDescent="0.2">
      <c r="A9" s="148" t="s">
        <v>3515</v>
      </c>
      <c r="B9" s="148" t="s">
        <v>3514</v>
      </c>
      <c r="C9" s="148" t="s">
        <v>3515</v>
      </c>
      <c r="D9" s="148" t="s">
        <v>3516</v>
      </c>
    </row>
    <row r="10" spans="1:5" s="1" customFormat="1" ht="14.25" x14ac:dyDescent="0.2">
      <c r="A10" s="2"/>
      <c r="B10" s="2"/>
      <c r="C10" s="2"/>
      <c r="D10" s="2"/>
      <c r="E10" s="2"/>
    </row>
    <row r="11" spans="1:5" s="1" customFormat="1" ht="14.25" x14ac:dyDescent="0.2">
      <c r="A11" s="2"/>
      <c r="B11" s="2"/>
      <c r="C11" s="2"/>
      <c r="D11" s="2"/>
      <c r="E11" s="2"/>
    </row>
    <row r="12" spans="1:5" s="1" customFormat="1" ht="14.25" x14ac:dyDescent="0.2">
      <c r="A12" s="2"/>
      <c r="B12" s="2"/>
      <c r="C12" s="2"/>
      <c r="D12" s="2"/>
      <c r="E12" s="2"/>
    </row>
    <row r="13" spans="1:5" s="1" customFormat="1" ht="14.25" x14ac:dyDescent="0.2">
      <c r="A13" s="2"/>
      <c r="B13" s="2"/>
      <c r="C13" s="2"/>
      <c r="D13" s="2"/>
      <c r="E13" s="2"/>
    </row>
    <row r="14" spans="1:5" s="1" customFormat="1" ht="14.25" x14ac:dyDescent="0.2">
      <c r="A14" s="2"/>
      <c r="B14" s="2"/>
      <c r="C14" s="2"/>
      <c r="D14" s="2"/>
      <c r="E14" s="2"/>
    </row>
    <row r="15" spans="1:5" s="1" customFormat="1" ht="14.25" x14ac:dyDescent="0.2">
      <c r="A15" s="2"/>
      <c r="B15" s="2"/>
      <c r="C15" s="2"/>
      <c r="D15" s="2"/>
      <c r="E15" s="2"/>
    </row>
    <row r="16" spans="1:5" s="1" customFormat="1" ht="14.25" x14ac:dyDescent="0.2">
      <c r="A16" s="2"/>
      <c r="B16" s="2"/>
      <c r="C16" s="2"/>
      <c r="D16" s="2"/>
      <c r="E16" s="2"/>
    </row>
    <row r="17" spans="1:17" s="1" customFormat="1" ht="14.25" x14ac:dyDescent="0.2">
      <c r="A17" s="2"/>
      <c r="B17" s="2"/>
      <c r="C17" s="2"/>
      <c r="D17" s="2"/>
      <c r="E17" s="2"/>
    </row>
    <row r="18" spans="1:17" s="1" customFormat="1" ht="14.25" x14ac:dyDescent="0.2">
      <c r="A18" s="2"/>
      <c r="B18" s="2"/>
      <c r="C18" s="2"/>
      <c r="D18" s="2"/>
      <c r="E18" s="2"/>
    </row>
    <row r="19" spans="1:17" s="1" customFormat="1" ht="14.25" x14ac:dyDescent="0.2">
      <c r="A19" s="2"/>
      <c r="B19" s="2"/>
      <c r="C19" s="2"/>
      <c r="D19" s="2"/>
      <c r="E19" s="2"/>
    </row>
    <row r="20" spans="1:17" s="1" customFormat="1" ht="14.25" x14ac:dyDescent="0.2">
      <c r="A20" s="2"/>
      <c r="B20" s="2"/>
      <c r="C20" s="2"/>
      <c r="D20" s="2"/>
      <c r="E20" s="2"/>
    </row>
    <row r="21" spans="1:17" s="1" customFormat="1" ht="14.25" x14ac:dyDescent="0.2">
      <c r="A21" s="2"/>
      <c r="B21" s="2"/>
      <c r="C21" s="2"/>
      <c r="D21" s="2"/>
      <c r="E21" s="2"/>
    </row>
    <row r="22" spans="1:17" s="1" customFormat="1" x14ac:dyDescent="0.25">
      <c r="A22" s="2"/>
      <c r="B22" s="2"/>
      <c r="C22" s="2"/>
      <c r="D22"/>
      <c r="E22"/>
    </row>
    <row r="23" spans="1:17" s="1" customFormat="1" x14ac:dyDescent="0.25">
      <c r="A23" s="2"/>
      <c r="B23" s="2"/>
      <c r="C23" s="2"/>
      <c r="D23"/>
      <c r="E23"/>
      <c r="H23"/>
      <c r="I23"/>
      <c r="J23"/>
      <c r="K23"/>
      <c r="L23"/>
      <c r="M23"/>
      <c r="N23"/>
      <c r="O23"/>
      <c r="P23"/>
      <c r="Q23"/>
    </row>
    <row r="24" spans="1:17" s="1" customFormat="1" x14ac:dyDescent="0.25">
      <c r="A24" s="2"/>
      <c r="B24" s="2"/>
      <c r="C24" s="2"/>
      <c r="D24"/>
      <c r="E24"/>
      <c r="H24"/>
      <c r="I24"/>
      <c r="J24"/>
      <c r="K24"/>
      <c r="L24"/>
      <c r="M24"/>
      <c r="N24"/>
      <c r="O24"/>
      <c r="P24"/>
      <c r="Q24"/>
    </row>
    <row r="25" spans="1:17" s="1" customFormat="1" x14ac:dyDescent="0.25">
      <c r="A25" s="2"/>
      <c r="B25" s="2"/>
      <c r="C25" s="2"/>
      <c r="D25"/>
      <c r="E25"/>
      <c r="H25"/>
      <c r="I25"/>
      <c r="J25"/>
      <c r="K25"/>
      <c r="L25"/>
      <c r="M25"/>
      <c r="N25"/>
      <c r="O25"/>
      <c r="P25"/>
      <c r="Q25"/>
    </row>
    <row r="26" spans="1:17" s="1" customFormat="1" x14ac:dyDescent="0.25">
      <c r="A26" s="2"/>
      <c r="B26" s="2"/>
      <c r="C26" s="2"/>
      <c r="D26"/>
      <c r="E26"/>
      <c r="H26"/>
      <c r="I26"/>
      <c r="J26"/>
      <c r="K26"/>
      <c r="L26"/>
      <c r="M26"/>
      <c r="N26"/>
      <c r="O26"/>
      <c r="P26"/>
      <c r="Q26"/>
    </row>
    <row r="27" spans="1:17" s="1" customFormat="1" x14ac:dyDescent="0.25">
      <c r="A27" s="2"/>
      <c r="B27" s="2"/>
      <c r="C27" s="2"/>
      <c r="D27"/>
      <c r="E27"/>
      <c r="H27"/>
      <c r="I27"/>
      <c r="J27"/>
      <c r="K27"/>
      <c r="L27"/>
      <c r="M27"/>
      <c r="N27"/>
      <c r="O27"/>
      <c r="P27"/>
      <c r="Q27"/>
    </row>
    <row r="28" spans="1:17" s="1" customFormat="1" x14ac:dyDescent="0.25">
      <c r="A28" s="2"/>
      <c r="B28" s="2"/>
      <c r="C28" s="2"/>
      <c r="D28"/>
      <c r="E28"/>
      <c r="H28"/>
      <c r="I28"/>
      <c r="J28"/>
      <c r="K28"/>
      <c r="L28"/>
      <c r="M28"/>
      <c r="N28"/>
      <c r="O28"/>
      <c r="P28"/>
      <c r="Q28"/>
    </row>
    <row r="29" spans="1:17" s="1" customFormat="1" x14ac:dyDescent="0.25">
      <c r="A29"/>
      <c r="B29"/>
      <c r="C29"/>
      <c r="D29"/>
      <c r="E29"/>
      <c r="H29"/>
      <c r="I29"/>
      <c r="J29"/>
      <c r="K29"/>
      <c r="L29"/>
      <c r="M29"/>
      <c r="N29"/>
      <c r="O29"/>
      <c r="P29"/>
      <c r="Q29"/>
    </row>
    <row r="30" spans="1:17" s="1" customFormat="1" x14ac:dyDescent="0.25">
      <c r="A30"/>
      <c r="B30"/>
      <c r="C30"/>
      <c r="D30"/>
      <c r="E30"/>
      <c r="F30"/>
      <c r="G30"/>
      <c r="H30"/>
      <c r="I30"/>
      <c r="J30"/>
      <c r="K30"/>
      <c r="L30"/>
      <c r="M30"/>
      <c r="N30"/>
      <c r="O30"/>
      <c r="P30"/>
      <c r="Q30"/>
    </row>
    <row r="31" spans="1:17" s="1" customFormat="1" x14ac:dyDescent="0.25">
      <c r="A31"/>
      <c r="B31"/>
      <c r="C31"/>
      <c r="D31"/>
      <c r="E31"/>
      <c r="F31"/>
      <c r="G31"/>
      <c r="H31"/>
      <c r="I31"/>
      <c r="J31"/>
      <c r="K31"/>
      <c r="L31"/>
      <c r="M31"/>
      <c r="N31"/>
      <c r="O31"/>
      <c r="P31"/>
      <c r="Q31"/>
    </row>
    <row r="32" spans="1:17" s="1" customFormat="1" x14ac:dyDescent="0.25">
      <c r="A32"/>
      <c r="B32"/>
      <c r="C32"/>
      <c r="D32"/>
      <c r="E32"/>
      <c r="F32"/>
      <c r="G32"/>
      <c r="H32"/>
      <c r="I32"/>
      <c r="J32"/>
      <c r="K32"/>
      <c r="L32"/>
      <c r="M32"/>
      <c r="N32"/>
      <c r="O32"/>
      <c r="P32"/>
      <c r="Q32"/>
    </row>
    <row r="33" spans="1:20" s="1" customFormat="1" x14ac:dyDescent="0.25">
      <c r="A33"/>
      <c r="B33"/>
      <c r="C33"/>
      <c r="D33"/>
      <c r="E33"/>
      <c r="F33"/>
      <c r="G33"/>
      <c r="H33"/>
      <c r="I33"/>
      <c r="J33"/>
      <c r="K33"/>
      <c r="L33"/>
      <c r="M33"/>
      <c r="N33"/>
      <c r="O33"/>
      <c r="P33"/>
      <c r="Q33"/>
    </row>
    <row r="34" spans="1:20" s="1" customFormat="1" x14ac:dyDescent="0.25">
      <c r="A34"/>
      <c r="B34"/>
      <c r="C34"/>
      <c r="D34"/>
      <c r="E34"/>
      <c r="F34"/>
      <c r="G34"/>
      <c r="H34"/>
      <c r="I34"/>
      <c r="J34"/>
      <c r="K34"/>
      <c r="L34"/>
      <c r="M34"/>
      <c r="N34"/>
      <c r="O34"/>
      <c r="P34"/>
      <c r="Q34"/>
    </row>
    <row r="35" spans="1:20" s="1" customFormat="1" x14ac:dyDescent="0.25">
      <c r="A35"/>
      <c r="B35"/>
      <c r="C35"/>
      <c r="D35"/>
      <c r="E35"/>
      <c r="F35"/>
      <c r="G35"/>
      <c r="H35"/>
      <c r="I35"/>
      <c r="J35"/>
      <c r="K35"/>
      <c r="L35"/>
      <c r="M35"/>
      <c r="N35"/>
      <c r="O35"/>
      <c r="P35"/>
      <c r="Q35"/>
    </row>
    <row r="36" spans="1:20" s="1" customFormat="1" x14ac:dyDescent="0.25">
      <c r="A36"/>
      <c r="B36"/>
      <c r="C36"/>
      <c r="D36"/>
      <c r="E36"/>
      <c r="F36"/>
      <c r="G36"/>
      <c r="H36"/>
      <c r="I36"/>
      <c r="J36"/>
      <c r="K36"/>
      <c r="L36"/>
      <c r="M36"/>
      <c r="N36"/>
      <c r="O36"/>
      <c r="P36"/>
      <c r="Q36"/>
    </row>
    <row r="37" spans="1:20" s="1" customFormat="1" x14ac:dyDescent="0.25">
      <c r="A37"/>
      <c r="B37"/>
      <c r="C37"/>
      <c r="D37"/>
      <c r="E37"/>
      <c r="F37"/>
      <c r="G37"/>
      <c r="H37"/>
      <c r="I37"/>
      <c r="J37"/>
      <c r="K37"/>
      <c r="L37"/>
      <c r="M37"/>
      <c r="N37"/>
      <c r="O37"/>
      <c r="P37"/>
      <c r="Q37"/>
      <c r="R37"/>
    </row>
    <row r="38" spans="1:20" s="1" customFormat="1" x14ac:dyDescent="0.25">
      <c r="A38"/>
      <c r="B38"/>
      <c r="C38"/>
      <c r="D38"/>
      <c r="E38"/>
      <c r="F38"/>
      <c r="G38"/>
      <c r="H38"/>
      <c r="I38"/>
      <c r="J38"/>
      <c r="K38"/>
      <c r="L38"/>
      <c r="M38"/>
      <c r="N38"/>
      <c r="O38"/>
      <c r="P38"/>
      <c r="Q38"/>
      <c r="R38"/>
      <c r="S38"/>
      <c r="T38"/>
    </row>
    <row r="39" spans="1:20" s="1" customFormat="1" x14ac:dyDescent="0.25">
      <c r="A39"/>
      <c r="B39"/>
      <c r="C39"/>
      <c r="D39"/>
      <c r="E39"/>
      <c r="F39"/>
      <c r="G39"/>
      <c r="H39"/>
      <c r="I39"/>
      <c r="J39"/>
      <c r="K39"/>
      <c r="L39"/>
      <c r="M39"/>
      <c r="N39"/>
      <c r="O39"/>
      <c r="P39"/>
      <c r="Q39"/>
      <c r="R39"/>
      <c r="S39"/>
      <c r="T39"/>
    </row>
    <row r="40" spans="1:20" s="1" customFormat="1" x14ac:dyDescent="0.25">
      <c r="A40"/>
      <c r="B40"/>
      <c r="C40"/>
      <c r="D40"/>
      <c r="E40"/>
      <c r="F40"/>
      <c r="G40"/>
      <c r="H40"/>
      <c r="I40"/>
      <c r="J40"/>
      <c r="K40"/>
      <c r="L40"/>
      <c r="M40"/>
      <c r="N40"/>
      <c r="O40"/>
      <c r="P40"/>
      <c r="Q40"/>
      <c r="R40"/>
      <c r="S40"/>
      <c r="T40"/>
    </row>
    <row r="41" spans="1:20" s="1" customFormat="1" x14ac:dyDescent="0.25">
      <c r="A41"/>
      <c r="B41"/>
      <c r="C41"/>
      <c r="D41"/>
      <c r="E41"/>
      <c r="F41"/>
      <c r="G41"/>
      <c r="H41"/>
      <c r="I41"/>
      <c r="J41"/>
      <c r="K41"/>
      <c r="L41"/>
      <c r="M41"/>
      <c r="N41"/>
      <c r="O41"/>
      <c r="P41"/>
      <c r="Q41"/>
      <c r="R41"/>
      <c r="S41"/>
      <c r="T41"/>
    </row>
    <row r="42" spans="1:20" s="1" customFormat="1" x14ac:dyDescent="0.25">
      <c r="A42"/>
      <c r="B42"/>
      <c r="C42"/>
      <c r="D42"/>
      <c r="E42"/>
      <c r="F42"/>
      <c r="G42"/>
      <c r="H42"/>
      <c r="I42"/>
      <c r="J42"/>
      <c r="K42"/>
      <c r="L42"/>
      <c r="M42"/>
      <c r="N42"/>
      <c r="O42"/>
      <c r="P42"/>
      <c r="Q42"/>
      <c r="R42"/>
      <c r="S42"/>
      <c r="T42"/>
    </row>
    <row r="43" spans="1:20" s="1" customFormat="1" x14ac:dyDescent="0.25">
      <c r="A43"/>
      <c r="B43"/>
      <c r="C43"/>
      <c r="D43"/>
      <c r="E43"/>
      <c r="F43"/>
      <c r="G43"/>
      <c r="H43"/>
      <c r="I43"/>
      <c r="J43"/>
      <c r="K43"/>
      <c r="L43"/>
      <c r="M43"/>
      <c r="N43"/>
      <c r="O43"/>
      <c r="P43"/>
      <c r="Q43"/>
      <c r="R43"/>
      <c r="S43"/>
      <c r="T43"/>
    </row>
    <row r="44" spans="1:20" s="1" customFormat="1" x14ac:dyDescent="0.25">
      <c r="A44"/>
      <c r="B44"/>
      <c r="C44"/>
      <c r="D44"/>
      <c r="E44"/>
      <c r="F44"/>
      <c r="G44"/>
      <c r="H44"/>
      <c r="I44"/>
      <c r="J44"/>
      <c r="K44"/>
      <c r="L44"/>
      <c r="M44"/>
      <c r="N44"/>
      <c r="O44"/>
      <c r="P44"/>
      <c r="Q44"/>
      <c r="R44"/>
      <c r="S44"/>
      <c r="T44"/>
    </row>
    <row r="45" spans="1:20" s="1" customFormat="1" x14ac:dyDescent="0.25">
      <c r="A45"/>
      <c r="B45"/>
      <c r="C45"/>
      <c r="D45"/>
      <c r="E45"/>
      <c r="F45"/>
      <c r="G45"/>
      <c r="H45"/>
      <c r="I45"/>
      <c r="J45"/>
      <c r="K45"/>
      <c r="L45"/>
      <c r="M45"/>
      <c r="N45"/>
      <c r="O45"/>
      <c r="P45"/>
      <c r="Q45"/>
      <c r="R45"/>
      <c r="S45"/>
      <c r="T45"/>
    </row>
    <row r="46" spans="1:20" s="1" customFormat="1" x14ac:dyDescent="0.25">
      <c r="A46"/>
      <c r="B46"/>
      <c r="C46"/>
      <c r="D46"/>
      <c r="E46"/>
      <c r="F46"/>
      <c r="G46"/>
      <c r="H46"/>
      <c r="I46"/>
      <c r="J46"/>
      <c r="K46"/>
      <c r="L46"/>
      <c r="M46"/>
      <c r="N46"/>
      <c r="O46"/>
      <c r="P46"/>
      <c r="Q46"/>
      <c r="R46"/>
      <c r="S46"/>
      <c r="T46"/>
    </row>
    <row r="47" spans="1:20" s="1" customFormat="1" x14ac:dyDescent="0.25">
      <c r="A47"/>
      <c r="B47"/>
      <c r="C47"/>
      <c r="D47"/>
      <c r="E47"/>
      <c r="F47"/>
      <c r="G47"/>
      <c r="H47"/>
      <c r="I47"/>
      <c r="J47"/>
      <c r="K47"/>
      <c r="L47"/>
      <c r="M47"/>
      <c r="N47"/>
      <c r="O47"/>
      <c r="P47"/>
      <c r="Q47"/>
      <c r="R47"/>
      <c r="S47"/>
      <c r="T47"/>
    </row>
    <row r="48" spans="1:20" s="1" customFormat="1" x14ac:dyDescent="0.25">
      <c r="A48"/>
      <c r="B48"/>
      <c r="C48"/>
      <c r="D48"/>
      <c r="E48"/>
      <c r="F48"/>
      <c r="G48"/>
      <c r="H48"/>
      <c r="I48"/>
      <c r="J48"/>
      <c r="K48"/>
      <c r="L48"/>
      <c r="M48"/>
      <c r="N48"/>
      <c r="O48"/>
      <c r="P48"/>
      <c r="Q48"/>
      <c r="R48"/>
      <c r="S48"/>
      <c r="T48"/>
    </row>
    <row r="49" spans="1:20" s="1" customFormat="1" x14ac:dyDescent="0.25">
      <c r="A49"/>
      <c r="B49"/>
      <c r="C49"/>
      <c r="D49"/>
      <c r="E49"/>
      <c r="F49"/>
      <c r="G49"/>
      <c r="H49"/>
      <c r="I49"/>
      <c r="J49"/>
      <c r="K49"/>
      <c r="L49"/>
      <c r="M49"/>
      <c r="N49"/>
      <c r="O49"/>
      <c r="P49"/>
      <c r="Q49"/>
      <c r="R49"/>
      <c r="S49"/>
      <c r="T49"/>
    </row>
    <row r="50" spans="1:20" s="1" customFormat="1" x14ac:dyDescent="0.25">
      <c r="A50"/>
      <c r="B50"/>
      <c r="C50"/>
      <c r="D50"/>
      <c r="E50"/>
      <c r="F50"/>
      <c r="G50"/>
      <c r="H50"/>
      <c r="I50"/>
      <c r="J50"/>
      <c r="K50"/>
      <c r="L50"/>
      <c r="M50"/>
      <c r="N50"/>
      <c r="O50"/>
      <c r="P50"/>
      <c r="Q50"/>
      <c r="R50"/>
      <c r="S50"/>
      <c r="T50"/>
    </row>
    <row r="51" spans="1:20" s="1" customFormat="1" x14ac:dyDescent="0.25">
      <c r="A51"/>
      <c r="B51"/>
      <c r="C51"/>
      <c r="D51"/>
      <c r="E51"/>
      <c r="F51"/>
      <c r="G51"/>
      <c r="H51"/>
      <c r="I51"/>
      <c r="J51"/>
      <c r="K51"/>
      <c r="L51"/>
      <c r="M51"/>
      <c r="N51"/>
      <c r="O51"/>
      <c r="P51"/>
      <c r="Q51"/>
      <c r="R51"/>
      <c r="S51"/>
      <c r="T51"/>
    </row>
    <row r="52" spans="1:20" s="1" customFormat="1" x14ac:dyDescent="0.25">
      <c r="A52"/>
      <c r="B52"/>
      <c r="C52"/>
      <c r="D52"/>
      <c r="E52"/>
      <c r="F52"/>
      <c r="G52"/>
      <c r="H52"/>
      <c r="I52"/>
      <c r="J52"/>
      <c r="K52"/>
      <c r="L52"/>
      <c r="M52"/>
      <c r="N52"/>
      <c r="O52"/>
      <c r="P52"/>
      <c r="Q52"/>
      <c r="R52"/>
      <c r="S52"/>
      <c r="T52"/>
    </row>
    <row r="53" spans="1:20" s="1" customFormat="1" x14ac:dyDescent="0.25">
      <c r="A53"/>
      <c r="B53"/>
      <c r="C53"/>
      <c r="D53"/>
      <c r="E53"/>
      <c r="F53"/>
      <c r="G53"/>
      <c r="H53"/>
      <c r="I53"/>
      <c r="J53"/>
      <c r="K53"/>
      <c r="L53"/>
      <c r="M53"/>
      <c r="N53"/>
      <c r="O53"/>
      <c r="P53"/>
      <c r="Q53"/>
      <c r="R53"/>
      <c r="S53"/>
      <c r="T53"/>
    </row>
  </sheetData>
  <sheetProtection formatCells="0" formatRows="0" insertHyperlinks="0" deleteRows="0" sort="0" autoFilter="0"/>
  <mergeCells count="2">
    <mergeCell ref="A1:D1"/>
    <mergeCell ref="A2:D2"/>
  </mergeCells>
  <printOptions horizontalCentered="1"/>
  <pageMargins left="0.2" right="0.2" top="0.45" bottom="0.25" header="0.05" footer="0.05"/>
  <pageSetup scale="77"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5B951-937B-499C-94E1-5AC5B4D5938A}">
  <sheetPr codeName="RefTableMGE">
    <pageSetUpPr fitToPage="1"/>
  </sheetPr>
  <dimension ref="A1:T55"/>
  <sheetViews>
    <sheetView view="pageBreakPreview" zoomScale="90" zoomScaleNormal="100" zoomScaleSheetLayoutView="90" workbookViewId="0">
      <selection activeCell="K12" sqref="K12"/>
    </sheetView>
  </sheetViews>
  <sheetFormatPr defaultColWidth="2.5703125" defaultRowHeight="15" x14ac:dyDescent="0.25"/>
  <cols>
    <col min="1" max="1" width="20.85546875" customWidth="1"/>
    <col min="2" max="2" width="20.7109375" customWidth="1"/>
    <col min="3" max="3" width="21.5703125" customWidth="1"/>
    <col min="4" max="4" width="43.28515625" customWidth="1"/>
    <col min="5" max="5" width="25.28515625" customWidth="1"/>
    <col min="6" max="6" width="17.85546875" bestFit="1" customWidth="1"/>
    <col min="7" max="7" width="17.85546875" customWidth="1"/>
    <col min="8" max="8" width="19.7109375" bestFit="1" customWidth="1"/>
    <col min="9" max="9" width="22.85546875" bestFit="1" customWidth="1"/>
    <col min="10" max="26" width="6.7109375" customWidth="1"/>
  </cols>
  <sheetData>
    <row r="1" spans="1:5" s="1" customFormat="1" ht="18" x14ac:dyDescent="0.25">
      <c r="A1" s="764" t="s">
        <v>3494</v>
      </c>
      <c r="B1" s="764"/>
      <c r="C1" s="764"/>
      <c r="D1" s="764"/>
    </row>
    <row r="2" spans="1:5" s="1" customFormat="1" ht="27" customHeight="1" x14ac:dyDescent="0.2">
      <c r="A2" s="765" t="s">
        <v>3532</v>
      </c>
      <c r="B2" s="765"/>
      <c r="C2" s="765"/>
      <c r="D2" s="765"/>
    </row>
    <row r="3" spans="1:5" s="1" customFormat="1" ht="14.25" x14ac:dyDescent="0.2">
      <c r="A3" s="64" t="s">
        <v>609</v>
      </c>
      <c r="B3" s="64" t="s">
        <v>3496</v>
      </c>
      <c r="C3" s="64" t="s">
        <v>3497</v>
      </c>
      <c r="D3" s="64" t="s">
        <v>3498</v>
      </c>
    </row>
    <row r="4" spans="1:5" s="1" customFormat="1" ht="14.25" x14ac:dyDescent="0.2">
      <c r="A4" s="64" t="s">
        <v>3533</v>
      </c>
      <c r="B4" s="64" t="s">
        <v>3533</v>
      </c>
      <c r="C4" s="64" t="s">
        <v>3523</v>
      </c>
      <c r="D4" s="64" t="s">
        <v>3525</v>
      </c>
    </row>
    <row r="5" spans="1:5" s="1" customFormat="1" ht="14.25" x14ac:dyDescent="0.2">
      <c r="A5" s="64" t="s">
        <v>3534</v>
      </c>
      <c r="B5" s="64" t="s">
        <v>3535</v>
      </c>
      <c r="C5" s="64" t="s">
        <v>3501</v>
      </c>
      <c r="D5" s="64" t="s">
        <v>3502</v>
      </c>
    </row>
    <row r="6" spans="1:5" s="1" customFormat="1" ht="14.25" x14ac:dyDescent="0.2">
      <c r="A6" s="64" t="s">
        <v>3536</v>
      </c>
      <c r="B6" s="64" t="s">
        <v>3536</v>
      </c>
      <c r="C6" s="64"/>
      <c r="D6" s="64" t="s">
        <v>3537</v>
      </c>
    </row>
    <row r="7" spans="1:5" s="1" customFormat="1" ht="14.25" x14ac:dyDescent="0.2">
      <c r="A7" s="64" t="s">
        <v>3538</v>
      </c>
      <c r="B7" s="64" t="s">
        <v>3539</v>
      </c>
      <c r="C7" s="64" t="s">
        <v>3507</v>
      </c>
      <c r="D7" s="64" t="s">
        <v>3508</v>
      </c>
    </row>
    <row r="8" spans="1:5" s="1" customFormat="1" ht="14.25" x14ac:dyDescent="0.2">
      <c r="A8" s="64" t="s">
        <v>3540</v>
      </c>
      <c r="B8" s="64" t="s">
        <v>3541</v>
      </c>
      <c r="C8" s="64" t="s">
        <v>3511</v>
      </c>
      <c r="D8" s="64" t="s">
        <v>3512</v>
      </c>
    </row>
    <row r="9" spans="1:5" s="1" customFormat="1" ht="14.25" x14ac:dyDescent="0.2">
      <c r="A9" s="64" t="s">
        <v>3542</v>
      </c>
      <c r="B9" s="64" t="s">
        <v>3543</v>
      </c>
      <c r="C9" s="64"/>
      <c r="D9" s="64" t="s">
        <v>3544</v>
      </c>
    </row>
    <row r="10" spans="1:5" s="1" customFormat="1" ht="14.25" x14ac:dyDescent="0.2">
      <c r="A10" s="64"/>
      <c r="B10" s="64" t="s">
        <v>3545</v>
      </c>
      <c r="C10" s="64"/>
      <c r="D10" s="64" t="s">
        <v>3546</v>
      </c>
    </row>
    <row r="11" spans="1:5" s="1" customFormat="1" ht="28.5" x14ac:dyDescent="0.2">
      <c r="A11" s="64" t="s">
        <v>3547</v>
      </c>
      <c r="B11" s="64" t="s">
        <v>3514</v>
      </c>
      <c r="C11" s="64" t="s">
        <v>3515</v>
      </c>
      <c r="D11" s="64" t="s">
        <v>3516</v>
      </c>
    </row>
    <row r="12" spans="1:5" s="1" customFormat="1" ht="14.25" x14ac:dyDescent="0.2">
      <c r="A12" s="2"/>
      <c r="B12" s="2"/>
      <c r="C12" s="2"/>
      <c r="D12" s="2"/>
      <c r="E12" s="2"/>
    </row>
    <row r="13" spans="1:5" s="1" customFormat="1" ht="14.25" x14ac:dyDescent="0.2">
      <c r="A13" s="2"/>
      <c r="B13" s="2"/>
      <c r="C13" s="2"/>
      <c r="D13" s="2"/>
      <c r="E13" s="2"/>
    </row>
    <row r="14" spans="1:5" s="1" customFormat="1" ht="14.25" x14ac:dyDescent="0.2">
      <c r="A14" s="2"/>
      <c r="B14" s="2"/>
      <c r="C14" s="2"/>
      <c r="D14" s="2"/>
      <c r="E14" s="2"/>
    </row>
    <row r="15" spans="1:5" s="1" customFormat="1" ht="14.25" x14ac:dyDescent="0.2">
      <c r="A15" s="2"/>
      <c r="B15" s="2"/>
      <c r="C15" s="2"/>
      <c r="D15" s="2"/>
      <c r="E15" s="2"/>
    </row>
    <row r="16" spans="1:5" s="1" customFormat="1" ht="14.25" x14ac:dyDescent="0.2">
      <c r="A16" s="2"/>
      <c r="B16" s="2"/>
      <c r="C16" s="2"/>
      <c r="D16" s="2"/>
      <c r="E16" s="2"/>
    </row>
    <row r="17" spans="1:17" s="1" customFormat="1" ht="14.25" x14ac:dyDescent="0.2">
      <c r="A17" s="2"/>
      <c r="B17" s="2"/>
      <c r="C17" s="2"/>
      <c r="D17" s="2"/>
      <c r="E17" s="2"/>
    </row>
    <row r="18" spans="1:17" s="1" customFormat="1" ht="14.25" x14ac:dyDescent="0.2">
      <c r="A18" s="2"/>
      <c r="B18" s="2"/>
      <c r="C18" s="2"/>
      <c r="D18" s="2"/>
      <c r="E18" s="2"/>
    </row>
    <row r="19" spans="1:17" s="1" customFormat="1" ht="14.25" x14ac:dyDescent="0.2">
      <c r="A19" s="2"/>
      <c r="B19" s="2"/>
      <c r="C19" s="2"/>
      <c r="D19" s="2"/>
      <c r="E19" s="2"/>
    </row>
    <row r="20" spans="1:17" s="1" customFormat="1" ht="14.25" x14ac:dyDescent="0.2">
      <c r="A20" s="2"/>
      <c r="B20" s="2"/>
      <c r="C20" s="2"/>
      <c r="D20" s="2"/>
      <c r="E20" s="2"/>
    </row>
    <row r="21" spans="1:17" s="1" customFormat="1" ht="14.25" x14ac:dyDescent="0.2">
      <c r="A21" s="2"/>
      <c r="B21" s="2"/>
      <c r="C21" s="2"/>
      <c r="D21" s="2"/>
      <c r="E21" s="2"/>
    </row>
    <row r="22" spans="1:17" s="1" customFormat="1" ht="14.25" x14ac:dyDescent="0.2">
      <c r="A22" s="2"/>
      <c r="B22" s="2"/>
      <c r="C22" s="2"/>
      <c r="D22" s="2"/>
      <c r="E22" s="2"/>
    </row>
    <row r="23" spans="1:17" s="1" customFormat="1" ht="14.25" x14ac:dyDescent="0.2">
      <c r="A23" s="2"/>
      <c r="B23" s="2"/>
      <c r="C23" s="2"/>
      <c r="D23" s="2"/>
      <c r="E23" s="2"/>
    </row>
    <row r="24" spans="1:17" s="1" customFormat="1" x14ac:dyDescent="0.25">
      <c r="A24" s="2"/>
      <c r="B24" s="2"/>
      <c r="C24" s="2"/>
      <c r="D24"/>
      <c r="E24"/>
    </row>
    <row r="25" spans="1:17" s="1" customFormat="1" x14ac:dyDescent="0.25">
      <c r="A25" s="2"/>
      <c r="B25" s="2"/>
      <c r="C25" s="2"/>
      <c r="D25"/>
      <c r="E25"/>
      <c r="H25"/>
      <c r="I25"/>
      <c r="J25"/>
      <c r="K25"/>
      <c r="L25"/>
      <c r="M25"/>
      <c r="N25"/>
      <c r="O25"/>
      <c r="P25"/>
      <c r="Q25"/>
    </row>
    <row r="26" spans="1:17" s="1" customFormat="1" x14ac:dyDescent="0.25">
      <c r="A26" s="2"/>
      <c r="B26" s="2"/>
      <c r="C26" s="2"/>
      <c r="D26"/>
      <c r="E26"/>
      <c r="H26"/>
      <c r="I26"/>
      <c r="J26"/>
      <c r="K26"/>
      <c r="L26"/>
      <c r="M26"/>
      <c r="N26"/>
      <c r="O26"/>
      <c r="P26"/>
      <c r="Q26"/>
    </row>
    <row r="27" spans="1:17" s="1" customFormat="1" x14ac:dyDescent="0.25">
      <c r="A27" s="2"/>
      <c r="B27" s="2"/>
      <c r="C27" s="2"/>
      <c r="D27"/>
      <c r="E27"/>
      <c r="H27"/>
      <c r="I27"/>
      <c r="J27"/>
      <c r="K27"/>
      <c r="L27"/>
      <c r="M27"/>
      <c r="N27"/>
      <c r="O27"/>
      <c r="P27"/>
      <c r="Q27"/>
    </row>
    <row r="28" spans="1:17" s="1" customFormat="1" x14ac:dyDescent="0.25">
      <c r="A28" s="2"/>
      <c r="B28" s="2"/>
      <c r="C28" s="2"/>
      <c r="D28"/>
      <c r="E28"/>
      <c r="H28"/>
      <c r="I28"/>
      <c r="J28"/>
      <c r="K28"/>
      <c r="L28"/>
      <c r="M28"/>
      <c r="N28"/>
      <c r="O28"/>
      <c r="P28"/>
      <c r="Q28"/>
    </row>
    <row r="29" spans="1:17" s="1" customFormat="1" x14ac:dyDescent="0.25">
      <c r="A29" s="2"/>
      <c r="B29" s="2"/>
      <c r="C29" s="2"/>
      <c r="D29"/>
      <c r="E29"/>
      <c r="H29"/>
      <c r="I29"/>
      <c r="J29"/>
      <c r="K29"/>
      <c r="L29"/>
      <c r="M29"/>
      <c r="N29"/>
      <c r="O29"/>
      <c r="P29"/>
      <c r="Q29"/>
    </row>
    <row r="30" spans="1:17" s="1" customFormat="1" x14ac:dyDescent="0.25">
      <c r="A30" s="2"/>
      <c r="B30" s="2"/>
      <c r="C30" s="2"/>
      <c r="D30"/>
      <c r="E30"/>
      <c r="H30"/>
      <c r="I30"/>
      <c r="J30"/>
      <c r="K30"/>
      <c r="L30"/>
      <c r="M30"/>
      <c r="N30"/>
      <c r="O30"/>
      <c r="P30"/>
      <c r="Q30"/>
    </row>
    <row r="31" spans="1:17" s="1" customFormat="1" x14ac:dyDescent="0.25">
      <c r="A31"/>
      <c r="B31"/>
      <c r="C31"/>
      <c r="D31"/>
      <c r="E31"/>
      <c r="H31"/>
      <c r="I31"/>
      <c r="J31"/>
      <c r="K31"/>
      <c r="L31"/>
      <c r="M31"/>
      <c r="N31"/>
      <c r="O31"/>
      <c r="P31"/>
      <c r="Q31"/>
    </row>
    <row r="32" spans="1:17" s="1" customFormat="1" x14ac:dyDescent="0.25">
      <c r="A32"/>
      <c r="B32"/>
      <c r="C32"/>
      <c r="D32"/>
      <c r="E32"/>
      <c r="F32"/>
      <c r="G32"/>
      <c r="H32"/>
      <c r="I32"/>
      <c r="J32"/>
      <c r="K32"/>
      <c r="L32"/>
      <c r="M32"/>
      <c r="N32"/>
      <c r="O32"/>
      <c r="P32"/>
      <c r="Q32"/>
    </row>
    <row r="33" spans="1:20" s="1" customFormat="1" x14ac:dyDescent="0.25">
      <c r="A33"/>
      <c r="B33"/>
      <c r="C33"/>
      <c r="D33"/>
      <c r="E33"/>
      <c r="F33"/>
      <c r="G33"/>
      <c r="H33"/>
      <c r="I33"/>
      <c r="J33"/>
      <c r="K33"/>
      <c r="L33"/>
      <c r="M33"/>
      <c r="N33"/>
      <c r="O33"/>
      <c r="P33"/>
      <c r="Q33"/>
    </row>
    <row r="34" spans="1:20" s="1" customFormat="1" x14ac:dyDescent="0.25">
      <c r="A34"/>
      <c r="B34"/>
      <c r="C34"/>
      <c r="D34"/>
      <c r="E34"/>
      <c r="F34"/>
      <c r="G34"/>
      <c r="H34"/>
      <c r="I34"/>
      <c r="J34"/>
      <c r="K34"/>
      <c r="L34"/>
      <c r="M34"/>
      <c r="N34"/>
      <c r="O34"/>
      <c r="P34"/>
      <c r="Q34"/>
    </row>
    <row r="35" spans="1:20" s="1" customFormat="1" x14ac:dyDescent="0.25">
      <c r="A35"/>
      <c r="B35"/>
      <c r="C35"/>
      <c r="D35"/>
      <c r="E35"/>
      <c r="F35"/>
      <c r="G35"/>
      <c r="H35"/>
      <c r="I35"/>
      <c r="J35"/>
      <c r="K35"/>
      <c r="L35"/>
      <c r="M35"/>
      <c r="N35"/>
      <c r="O35"/>
      <c r="P35"/>
      <c r="Q35"/>
    </row>
    <row r="36" spans="1:20" s="1" customFormat="1" x14ac:dyDescent="0.25">
      <c r="A36"/>
      <c r="B36"/>
      <c r="C36"/>
      <c r="D36"/>
      <c r="E36"/>
      <c r="F36"/>
      <c r="G36"/>
      <c r="H36"/>
      <c r="I36"/>
      <c r="J36"/>
      <c r="K36"/>
      <c r="L36"/>
      <c r="M36"/>
      <c r="N36"/>
      <c r="O36"/>
      <c r="P36"/>
      <c r="Q36"/>
    </row>
    <row r="37" spans="1:20" s="1" customFormat="1" x14ac:dyDescent="0.25">
      <c r="A37"/>
      <c r="B37"/>
      <c r="C37"/>
      <c r="D37"/>
      <c r="E37"/>
      <c r="F37"/>
      <c r="G37"/>
      <c r="H37"/>
      <c r="I37"/>
      <c r="J37"/>
      <c r="K37"/>
      <c r="L37"/>
      <c r="M37"/>
      <c r="N37"/>
      <c r="O37"/>
      <c r="P37"/>
      <c r="Q37"/>
    </row>
    <row r="38" spans="1:20" s="1" customFormat="1" x14ac:dyDescent="0.25">
      <c r="A38"/>
      <c r="B38"/>
      <c r="C38"/>
      <c r="D38"/>
      <c r="E38"/>
      <c r="F38"/>
      <c r="G38"/>
      <c r="H38"/>
      <c r="I38"/>
      <c r="J38"/>
      <c r="K38"/>
      <c r="L38"/>
      <c r="M38"/>
      <c r="N38"/>
      <c r="O38"/>
      <c r="P38"/>
      <c r="Q38"/>
    </row>
    <row r="39" spans="1:20" s="1" customFormat="1" x14ac:dyDescent="0.25">
      <c r="A39"/>
      <c r="B39"/>
      <c r="C39"/>
      <c r="D39"/>
      <c r="E39"/>
      <c r="F39"/>
      <c r="G39"/>
      <c r="H39"/>
      <c r="I39"/>
      <c r="J39"/>
      <c r="K39"/>
      <c r="L39"/>
      <c r="M39"/>
      <c r="N39"/>
      <c r="O39"/>
      <c r="P39"/>
      <c r="Q39"/>
      <c r="R39"/>
    </row>
    <row r="40" spans="1:20" s="1" customFormat="1" x14ac:dyDescent="0.25">
      <c r="A40"/>
      <c r="B40"/>
      <c r="C40"/>
      <c r="D40"/>
      <c r="E40"/>
      <c r="F40"/>
      <c r="G40"/>
      <c r="H40"/>
      <c r="I40"/>
      <c r="J40"/>
      <c r="K40"/>
      <c r="L40"/>
      <c r="M40"/>
      <c r="N40"/>
      <c r="O40"/>
      <c r="P40"/>
      <c r="Q40"/>
      <c r="R40"/>
      <c r="S40"/>
      <c r="T40"/>
    </row>
    <row r="41" spans="1:20" s="1" customFormat="1" x14ac:dyDescent="0.25">
      <c r="A41"/>
      <c r="B41"/>
      <c r="C41"/>
      <c r="D41"/>
      <c r="E41"/>
      <c r="F41"/>
      <c r="G41"/>
      <c r="H41"/>
      <c r="I41"/>
      <c r="J41"/>
      <c r="K41"/>
      <c r="L41"/>
      <c r="M41"/>
      <c r="N41"/>
      <c r="O41"/>
      <c r="P41"/>
      <c r="Q41"/>
      <c r="R41"/>
      <c r="S41"/>
      <c r="T41"/>
    </row>
    <row r="42" spans="1:20" s="1" customFormat="1" x14ac:dyDescent="0.25">
      <c r="A42"/>
      <c r="B42"/>
      <c r="C42"/>
      <c r="D42"/>
      <c r="E42"/>
      <c r="F42"/>
      <c r="G42"/>
      <c r="H42"/>
      <c r="I42"/>
      <c r="J42"/>
      <c r="K42"/>
      <c r="L42"/>
      <c r="M42"/>
      <c r="N42"/>
      <c r="O42"/>
      <c r="P42"/>
      <c r="Q42"/>
      <c r="R42"/>
      <c r="S42"/>
      <c r="T42"/>
    </row>
    <row r="43" spans="1:20" s="1" customFormat="1" x14ac:dyDescent="0.25">
      <c r="A43"/>
      <c r="B43"/>
      <c r="C43"/>
      <c r="D43"/>
      <c r="E43"/>
      <c r="F43"/>
      <c r="G43"/>
      <c r="H43"/>
      <c r="I43"/>
      <c r="J43"/>
      <c r="K43"/>
      <c r="L43"/>
      <c r="M43"/>
      <c r="N43"/>
      <c r="O43"/>
      <c r="P43"/>
      <c r="Q43"/>
      <c r="R43"/>
      <c r="S43"/>
      <c r="T43"/>
    </row>
    <row r="44" spans="1:20" s="1" customFormat="1" x14ac:dyDescent="0.25">
      <c r="A44"/>
      <c r="B44"/>
      <c r="C44"/>
      <c r="D44"/>
      <c r="E44"/>
      <c r="F44"/>
      <c r="G44"/>
      <c r="H44"/>
      <c r="I44"/>
      <c r="J44"/>
      <c r="K44"/>
      <c r="L44"/>
      <c r="M44"/>
      <c r="N44"/>
      <c r="O44"/>
      <c r="P44"/>
      <c r="Q44"/>
      <c r="R44"/>
      <c r="S44"/>
      <c r="T44"/>
    </row>
    <row r="45" spans="1:20" s="1" customFormat="1" x14ac:dyDescent="0.25">
      <c r="A45"/>
      <c r="B45"/>
      <c r="C45"/>
      <c r="D45"/>
      <c r="E45"/>
      <c r="F45"/>
      <c r="G45"/>
      <c r="H45"/>
      <c r="I45"/>
      <c r="J45"/>
      <c r="K45"/>
      <c r="L45"/>
      <c r="M45"/>
      <c r="N45"/>
      <c r="O45"/>
      <c r="P45"/>
      <c r="Q45"/>
      <c r="R45"/>
      <c r="S45"/>
      <c r="T45"/>
    </row>
    <row r="46" spans="1:20" s="1" customFormat="1" x14ac:dyDescent="0.25">
      <c r="A46"/>
      <c r="B46"/>
      <c r="C46"/>
      <c r="D46"/>
      <c r="E46"/>
      <c r="F46"/>
      <c r="G46"/>
      <c r="H46"/>
      <c r="I46"/>
      <c r="J46"/>
      <c r="K46"/>
      <c r="L46"/>
      <c r="M46"/>
      <c r="N46"/>
      <c r="O46"/>
      <c r="P46"/>
      <c r="Q46"/>
      <c r="R46"/>
      <c r="S46"/>
      <c r="T46"/>
    </row>
    <row r="47" spans="1:20" s="1" customFormat="1" x14ac:dyDescent="0.25">
      <c r="A47"/>
      <c r="B47"/>
      <c r="C47"/>
      <c r="D47"/>
      <c r="E47"/>
      <c r="F47"/>
      <c r="G47"/>
      <c r="H47"/>
      <c r="I47"/>
      <c r="J47"/>
      <c r="K47"/>
      <c r="L47"/>
      <c r="M47"/>
      <c r="N47"/>
      <c r="O47"/>
      <c r="P47"/>
      <c r="Q47"/>
      <c r="R47"/>
      <c r="S47"/>
      <c r="T47"/>
    </row>
    <row r="48" spans="1:20" s="1" customFormat="1" x14ac:dyDescent="0.25">
      <c r="A48"/>
      <c r="B48"/>
      <c r="C48"/>
      <c r="D48"/>
      <c r="E48"/>
      <c r="F48"/>
      <c r="G48"/>
      <c r="H48"/>
      <c r="I48"/>
      <c r="J48"/>
      <c r="K48"/>
      <c r="L48"/>
      <c r="M48"/>
      <c r="N48"/>
      <c r="O48"/>
      <c r="P48"/>
      <c r="Q48"/>
      <c r="R48"/>
      <c r="S48"/>
      <c r="T48"/>
    </row>
    <row r="49" spans="1:20" s="1" customFormat="1" x14ac:dyDescent="0.25">
      <c r="A49"/>
      <c r="B49"/>
      <c r="C49"/>
      <c r="D49"/>
      <c r="E49"/>
      <c r="F49"/>
      <c r="G49"/>
      <c r="H49"/>
      <c r="I49"/>
      <c r="J49"/>
      <c r="K49"/>
      <c r="L49"/>
      <c r="M49"/>
      <c r="N49"/>
      <c r="O49"/>
      <c r="P49"/>
      <c r="Q49"/>
      <c r="R49"/>
      <c r="S49"/>
      <c r="T49"/>
    </row>
    <row r="50" spans="1:20" s="1" customFormat="1" x14ac:dyDescent="0.25">
      <c r="A50"/>
      <c r="B50"/>
      <c r="C50"/>
      <c r="D50"/>
      <c r="E50"/>
      <c r="F50"/>
      <c r="G50"/>
      <c r="H50"/>
      <c r="I50"/>
      <c r="J50"/>
      <c r="K50"/>
      <c r="L50"/>
      <c r="M50"/>
      <c r="N50"/>
      <c r="O50"/>
      <c r="P50"/>
      <c r="Q50"/>
      <c r="R50"/>
      <c r="S50"/>
      <c r="T50"/>
    </row>
    <row r="51" spans="1:20" s="1" customFormat="1" x14ac:dyDescent="0.25">
      <c r="A51"/>
      <c r="B51"/>
      <c r="C51"/>
      <c r="D51"/>
      <c r="E51"/>
      <c r="F51"/>
      <c r="G51"/>
      <c r="H51"/>
      <c r="I51"/>
      <c r="J51"/>
      <c r="K51"/>
      <c r="L51"/>
      <c r="M51"/>
      <c r="N51"/>
      <c r="O51"/>
      <c r="P51"/>
      <c r="Q51"/>
      <c r="R51"/>
      <c r="S51"/>
      <c r="T51"/>
    </row>
    <row r="52" spans="1:20" s="1" customFormat="1" x14ac:dyDescent="0.25">
      <c r="A52"/>
      <c r="B52"/>
      <c r="C52"/>
      <c r="D52"/>
      <c r="E52"/>
      <c r="F52"/>
      <c r="G52"/>
      <c r="H52"/>
      <c r="I52"/>
      <c r="J52"/>
      <c r="K52"/>
      <c r="L52"/>
      <c r="M52"/>
      <c r="N52"/>
      <c r="O52"/>
      <c r="P52"/>
      <c r="Q52"/>
      <c r="R52"/>
      <c r="S52"/>
      <c r="T52"/>
    </row>
    <row r="53" spans="1:20" s="1" customFormat="1" x14ac:dyDescent="0.25">
      <c r="A53"/>
      <c r="B53"/>
      <c r="C53"/>
      <c r="D53"/>
      <c r="E53"/>
      <c r="F53"/>
      <c r="G53"/>
      <c r="H53"/>
      <c r="I53"/>
      <c r="J53"/>
      <c r="K53"/>
      <c r="L53"/>
      <c r="M53"/>
      <c r="N53"/>
      <c r="O53"/>
      <c r="P53"/>
      <c r="Q53"/>
      <c r="R53"/>
      <c r="S53"/>
      <c r="T53"/>
    </row>
    <row r="54" spans="1:20" s="1" customFormat="1" x14ac:dyDescent="0.25">
      <c r="A54"/>
      <c r="B54"/>
      <c r="C54"/>
      <c r="D54"/>
      <c r="E54"/>
      <c r="F54"/>
      <c r="G54"/>
      <c r="H54"/>
      <c r="I54"/>
      <c r="J54"/>
      <c r="K54"/>
      <c r="L54"/>
      <c r="M54"/>
      <c r="N54"/>
      <c r="O54"/>
      <c r="P54"/>
      <c r="Q54"/>
      <c r="R54"/>
      <c r="S54"/>
      <c r="T54"/>
    </row>
    <row r="55" spans="1:20" s="1" customFormat="1" x14ac:dyDescent="0.25">
      <c r="A55"/>
      <c r="B55"/>
      <c r="C55"/>
      <c r="D55"/>
      <c r="E55"/>
      <c r="F55"/>
      <c r="G55"/>
      <c r="H55"/>
      <c r="I55"/>
      <c r="J55"/>
      <c r="K55"/>
      <c r="L55"/>
      <c r="M55"/>
      <c r="N55"/>
      <c r="O55"/>
      <c r="P55"/>
      <c r="Q55"/>
      <c r="R55"/>
      <c r="S55"/>
      <c r="T55"/>
    </row>
  </sheetData>
  <sheetProtection formatCells="0" formatRows="0" insertHyperlinks="0" deleteRows="0" sort="0" autoFilter="0"/>
  <mergeCells count="2">
    <mergeCell ref="A1:D1"/>
    <mergeCell ref="A2:D2"/>
  </mergeCells>
  <printOptions horizontalCentered="1"/>
  <pageMargins left="0.2" right="0.2" top="0.45" bottom="0.25" header="0.05" footer="0.05"/>
  <pageSetup scale="98"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E527E-5445-42D3-9040-02CC8636F3BF}">
  <sheetPr codeName="RT_CRAC">
    <pageSetUpPr fitToPage="1"/>
  </sheetPr>
  <dimension ref="A1:AB95"/>
  <sheetViews>
    <sheetView view="pageBreakPreview" zoomScale="90" zoomScaleNormal="100" zoomScaleSheetLayoutView="90" workbookViewId="0">
      <selection activeCell="K12" sqref="K12"/>
    </sheetView>
  </sheetViews>
  <sheetFormatPr defaultColWidth="2.5703125" defaultRowHeight="27.95" customHeight="1" x14ac:dyDescent="0.25"/>
  <cols>
    <col min="1" max="1" width="11" customWidth="1"/>
    <col min="2" max="2" width="6.7109375" customWidth="1"/>
    <col min="3" max="3" width="8.85546875" customWidth="1"/>
    <col min="4" max="7" width="11.7109375" bestFit="1" customWidth="1"/>
    <col min="8" max="11" width="11.28515625" bestFit="1" customWidth="1"/>
    <col min="12" max="12" width="20.28515625" bestFit="1" customWidth="1"/>
    <col min="13" max="13" width="12.7109375" bestFit="1" customWidth="1"/>
    <col min="14" max="14" width="10.85546875" bestFit="1" customWidth="1"/>
    <col min="15" max="33" width="6.7109375" customWidth="1"/>
  </cols>
  <sheetData>
    <row r="1" spans="1:28" ht="18.75" x14ac:dyDescent="0.3">
      <c r="A1" s="766" t="s">
        <v>3548</v>
      </c>
      <c r="B1" s="766"/>
      <c r="C1" s="766"/>
      <c r="D1" s="766"/>
      <c r="E1" s="766"/>
      <c r="F1" s="766"/>
      <c r="G1" s="766"/>
      <c r="H1" s="766"/>
      <c r="I1" s="766"/>
      <c r="J1" s="766"/>
      <c r="K1" s="766"/>
      <c r="L1" s="766"/>
      <c r="M1" s="766"/>
      <c r="N1" s="766"/>
      <c r="O1" s="92"/>
      <c r="P1" s="92"/>
      <c r="Q1" s="92"/>
      <c r="R1" s="92"/>
      <c r="S1" s="92"/>
      <c r="T1" s="92"/>
      <c r="U1" s="92"/>
      <c r="V1" s="92"/>
      <c r="W1" s="92"/>
      <c r="X1" s="92"/>
      <c r="Y1" s="92"/>
      <c r="Z1" s="92"/>
      <c r="AA1" s="92"/>
      <c r="AB1" s="92"/>
    </row>
    <row r="2" spans="1:28" s="1" customFormat="1" ht="30" x14ac:dyDescent="0.3">
      <c r="A2" s="93" t="s">
        <v>3549</v>
      </c>
      <c r="B2" s="93" t="s">
        <v>3550</v>
      </c>
      <c r="C2" s="93" t="s">
        <v>3551</v>
      </c>
      <c r="D2" s="93" t="s">
        <v>3552</v>
      </c>
      <c r="E2" s="93" t="s">
        <v>3553</v>
      </c>
      <c r="F2" s="93" t="s">
        <v>3554</v>
      </c>
      <c r="G2" s="93" t="s">
        <v>3555</v>
      </c>
      <c r="H2" s="93" t="s">
        <v>3556</v>
      </c>
      <c r="I2" s="93" t="s">
        <v>3557</v>
      </c>
      <c r="J2" s="93" t="s">
        <v>3558</v>
      </c>
      <c r="K2" s="93" t="s">
        <v>3559</v>
      </c>
      <c r="L2" s="93" t="s">
        <v>3560</v>
      </c>
      <c r="M2" s="93" t="s">
        <v>3561</v>
      </c>
      <c r="N2" s="94" t="s">
        <v>3562</v>
      </c>
      <c r="O2" s="92"/>
      <c r="P2" s="92"/>
      <c r="Q2" s="92"/>
      <c r="R2" s="92"/>
      <c r="S2" s="92"/>
      <c r="T2" s="92"/>
      <c r="U2" s="92"/>
      <c r="V2" s="92"/>
      <c r="W2" s="92"/>
      <c r="X2" s="92"/>
      <c r="Y2" s="92"/>
      <c r="Z2" s="92"/>
      <c r="AA2" s="92"/>
      <c r="AB2" s="92"/>
    </row>
    <row r="3" spans="1:28" s="1" customFormat="1" ht="27.95" customHeight="1" x14ac:dyDescent="0.3">
      <c r="A3" s="63" t="str">
        <f>Suite&amp;"-1"</f>
        <v>G104-1</v>
      </c>
      <c r="B3" s="91"/>
      <c r="C3" s="91"/>
      <c r="D3" s="91"/>
      <c r="E3" s="91"/>
      <c r="F3" s="91"/>
      <c r="G3" s="91"/>
      <c r="H3" s="91"/>
      <c r="I3" s="91"/>
      <c r="J3" s="91"/>
      <c r="K3" s="91"/>
      <c r="L3" s="91"/>
      <c r="M3" s="91"/>
      <c r="N3" s="95"/>
      <c r="O3" s="92"/>
      <c r="P3" s="92"/>
      <c r="Q3" s="92"/>
      <c r="R3" s="92"/>
      <c r="S3" s="92"/>
      <c r="T3" s="92"/>
      <c r="U3" s="92"/>
      <c r="V3" s="92"/>
      <c r="W3" s="92"/>
      <c r="X3" s="92"/>
      <c r="Y3" s="92"/>
      <c r="Z3" s="92"/>
      <c r="AA3" s="92"/>
      <c r="AB3" s="92"/>
    </row>
    <row r="4" spans="1:28" s="1" customFormat="1" ht="27.95" customHeight="1" x14ac:dyDescent="0.3">
      <c r="A4" s="63" t="str">
        <f>Suite&amp;"-2"</f>
        <v>G104-2</v>
      </c>
      <c r="B4" s="96"/>
      <c r="C4" s="96"/>
      <c r="D4" s="96"/>
      <c r="E4" s="96"/>
      <c r="F4" s="96"/>
      <c r="G4" s="96"/>
      <c r="H4" s="96"/>
      <c r="I4" s="96"/>
      <c r="J4" s="96"/>
      <c r="K4" s="96"/>
      <c r="L4" s="96"/>
      <c r="M4" s="96"/>
      <c r="N4" s="95"/>
      <c r="O4" s="92"/>
      <c r="P4" s="92"/>
      <c r="Q4" s="92"/>
      <c r="R4" s="92"/>
      <c r="S4" s="92"/>
      <c r="T4" s="92"/>
      <c r="U4" s="92"/>
      <c r="V4" s="92"/>
      <c r="W4" s="92"/>
      <c r="X4" s="92"/>
      <c r="Y4" s="92"/>
      <c r="Z4" s="92"/>
      <c r="AA4" s="92"/>
      <c r="AB4" s="92"/>
    </row>
    <row r="5" spans="1:28" s="1" customFormat="1" ht="27.95" hidden="1" customHeight="1" x14ac:dyDescent="0.3">
      <c r="A5" s="63" t="str">
        <f>Suite&amp;"-3"</f>
        <v>G104-3</v>
      </c>
      <c r="B5" s="91"/>
      <c r="C5" s="91"/>
      <c r="D5" s="91"/>
      <c r="E5" s="91"/>
      <c r="F5" s="91"/>
      <c r="G5" s="91"/>
      <c r="H5" s="91"/>
      <c r="I5" s="91"/>
      <c r="J5" s="91"/>
      <c r="K5" s="91"/>
      <c r="L5" s="91"/>
      <c r="M5" s="91"/>
      <c r="N5" s="95"/>
      <c r="O5" s="92"/>
      <c r="P5" s="92"/>
      <c r="Q5" s="92"/>
      <c r="R5" s="92"/>
      <c r="S5" s="92"/>
      <c r="T5" s="92"/>
      <c r="U5" s="92"/>
      <c r="V5" s="92"/>
      <c r="W5" s="92"/>
      <c r="X5" s="92"/>
      <c r="Y5" s="92"/>
      <c r="Z5" s="92"/>
      <c r="AA5" s="92"/>
      <c r="AB5" s="92"/>
    </row>
    <row r="6" spans="1:28" s="1" customFormat="1" ht="27.95" hidden="1" customHeight="1" x14ac:dyDescent="0.3">
      <c r="A6" s="63" t="str">
        <f>Suite&amp;"-4"</f>
        <v>G104-4</v>
      </c>
      <c r="B6" s="95"/>
      <c r="C6" s="95"/>
      <c r="D6" s="95"/>
      <c r="E6" s="95"/>
      <c r="F6" s="95"/>
      <c r="G6" s="95"/>
      <c r="H6" s="95"/>
      <c r="I6" s="95"/>
      <c r="J6" s="95"/>
      <c r="K6" s="95"/>
      <c r="L6" s="95"/>
      <c r="M6" s="95"/>
      <c r="N6" s="95"/>
      <c r="O6" s="92"/>
      <c r="P6" s="92"/>
      <c r="Q6" s="92"/>
      <c r="R6" s="92"/>
      <c r="S6" s="92"/>
      <c r="T6" s="92"/>
      <c r="U6" s="92"/>
      <c r="V6" s="92"/>
      <c r="W6" s="92"/>
      <c r="X6" s="92"/>
      <c r="Y6" s="92"/>
      <c r="Z6" s="92"/>
      <c r="AA6" s="92"/>
      <c r="AB6" s="92"/>
    </row>
    <row r="7" spans="1:28" s="1" customFormat="1" ht="27.95" hidden="1" customHeight="1" x14ac:dyDescent="0.3">
      <c r="A7" s="63" t="str">
        <f>Suite&amp;"-5"</f>
        <v>G104-5</v>
      </c>
      <c r="B7" s="95"/>
      <c r="C7" s="95"/>
      <c r="D7" s="95"/>
      <c r="E7" s="95"/>
      <c r="F7" s="95"/>
      <c r="G7" s="95"/>
      <c r="H7" s="95"/>
      <c r="I7" s="95"/>
      <c r="J7" s="95"/>
      <c r="K7" s="95"/>
      <c r="L7" s="95"/>
      <c r="M7" s="95"/>
      <c r="N7" s="95"/>
      <c r="O7" s="92"/>
      <c r="P7" s="92"/>
      <c r="Q7" s="92"/>
      <c r="R7" s="92"/>
      <c r="S7" s="92"/>
      <c r="T7" s="92"/>
      <c r="U7" s="92"/>
      <c r="V7" s="92"/>
      <c r="W7" s="92"/>
      <c r="X7" s="92"/>
      <c r="Y7" s="92"/>
      <c r="Z7" s="92"/>
      <c r="AA7" s="92"/>
      <c r="AB7" s="92"/>
    </row>
    <row r="8" spans="1:28" s="1" customFormat="1" ht="27.95" hidden="1" customHeight="1" x14ac:dyDescent="0.3">
      <c r="A8" s="63" t="str">
        <f>Suite&amp;"-6"</f>
        <v>G104-6</v>
      </c>
      <c r="B8" s="95"/>
      <c r="C8" s="95"/>
      <c r="D8" s="95"/>
      <c r="E8" s="95"/>
      <c r="F8" s="95"/>
      <c r="G8" s="95"/>
      <c r="H8" s="95"/>
      <c r="I8" s="95"/>
      <c r="J8" s="95"/>
      <c r="K8" s="95"/>
      <c r="L8" s="95"/>
      <c r="M8" s="95"/>
      <c r="N8" s="95"/>
      <c r="O8" s="92"/>
      <c r="P8" s="92"/>
      <c r="Q8" s="92"/>
      <c r="R8" s="92"/>
      <c r="S8" s="92"/>
      <c r="T8" s="92"/>
      <c r="U8" s="92"/>
      <c r="V8" s="92"/>
      <c r="W8" s="92"/>
      <c r="X8" s="92"/>
      <c r="Y8" s="92"/>
      <c r="Z8" s="92"/>
      <c r="AA8" s="92"/>
      <c r="AB8" s="92"/>
    </row>
    <row r="9" spans="1:28" s="1" customFormat="1" ht="27.95" hidden="1" customHeight="1" x14ac:dyDescent="0.3">
      <c r="A9" s="63" t="str">
        <f>Suite&amp;"-7"</f>
        <v>G104-7</v>
      </c>
      <c r="B9" s="95"/>
      <c r="C9" s="95"/>
      <c r="D9" s="95"/>
      <c r="E9" s="95"/>
      <c r="F9" s="95"/>
      <c r="G9" s="95"/>
      <c r="H9" s="95"/>
      <c r="I9" s="95"/>
      <c r="J9" s="95"/>
      <c r="K9" s="95"/>
      <c r="L9" s="95"/>
      <c r="M9" s="95"/>
      <c r="N9" s="95"/>
      <c r="O9" s="92"/>
      <c r="P9" s="92"/>
      <c r="Q9" s="92"/>
      <c r="R9" s="92"/>
      <c r="S9" s="92"/>
      <c r="T9" s="92"/>
      <c r="U9" s="92"/>
      <c r="V9" s="92"/>
      <c r="W9" s="92"/>
      <c r="X9" s="92"/>
      <c r="Y9" s="92"/>
      <c r="Z9" s="92"/>
      <c r="AA9" s="92"/>
      <c r="AB9" s="92"/>
    </row>
    <row r="10" spans="1:28" s="1" customFormat="1" ht="27.95" hidden="1" customHeight="1" x14ac:dyDescent="0.3">
      <c r="A10" s="63" t="str">
        <f>Suite&amp;"-8"</f>
        <v>G104-8</v>
      </c>
      <c r="B10" s="95"/>
      <c r="C10" s="95"/>
      <c r="D10" s="95"/>
      <c r="E10" s="95"/>
      <c r="F10" s="95"/>
      <c r="G10" s="95"/>
      <c r="H10" s="95"/>
      <c r="I10" s="95"/>
      <c r="J10" s="95"/>
      <c r="K10" s="95"/>
      <c r="L10" s="95"/>
      <c r="M10" s="95"/>
      <c r="N10" s="95"/>
      <c r="O10" s="92"/>
      <c r="P10" s="92"/>
      <c r="Q10" s="92"/>
      <c r="R10" s="92"/>
      <c r="S10" s="92"/>
      <c r="T10" s="92"/>
      <c r="U10" s="92"/>
      <c r="V10" s="92"/>
      <c r="W10" s="92"/>
      <c r="X10" s="92"/>
      <c r="Y10" s="92"/>
      <c r="Z10" s="92"/>
      <c r="AA10" s="92"/>
      <c r="AB10" s="92"/>
    </row>
    <row r="11" spans="1:28" s="1" customFormat="1" ht="27.95" hidden="1" customHeight="1" x14ac:dyDescent="0.3">
      <c r="A11" s="63" t="str">
        <f>Suite&amp;"-9"</f>
        <v>G104-9</v>
      </c>
      <c r="B11" s="95"/>
      <c r="C11" s="95"/>
      <c r="D11" s="95"/>
      <c r="E11" s="95"/>
      <c r="F11" s="95"/>
      <c r="G11" s="95"/>
      <c r="H11" s="95"/>
      <c r="I11" s="95"/>
      <c r="J11" s="95"/>
      <c r="K11" s="95"/>
      <c r="L11" s="95"/>
      <c r="M11" s="95"/>
      <c r="N11" s="95"/>
      <c r="O11" s="92"/>
      <c r="P11" s="92"/>
      <c r="Q11" s="92"/>
      <c r="R11" s="92"/>
      <c r="S11" s="92"/>
      <c r="T11" s="92"/>
      <c r="U11" s="92"/>
      <c r="V11" s="92"/>
      <c r="W11" s="92"/>
      <c r="X11" s="92"/>
      <c r="Y11" s="92"/>
      <c r="Z11" s="92"/>
      <c r="AA11" s="92"/>
      <c r="AB11" s="92"/>
    </row>
    <row r="12" spans="1:28" s="1" customFormat="1" ht="27.95" hidden="1" customHeight="1" x14ac:dyDescent="0.3">
      <c r="A12" s="63" t="str">
        <f>Suite&amp;"-10"</f>
        <v>G104-10</v>
      </c>
      <c r="B12" s="95"/>
      <c r="C12" s="95"/>
      <c r="D12" s="95"/>
      <c r="E12" s="95"/>
      <c r="F12" s="95"/>
      <c r="G12" s="95"/>
      <c r="H12" s="95"/>
      <c r="I12" s="95"/>
      <c r="J12" s="95"/>
      <c r="K12" s="95"/>
      <c r="L12" s="95"/>
      <c r="M12" s="95"/>
      <c r="N12" s="95"/>
      <c r="O12" s="92"/>
      <c r="P12" s="92"/>
      <c r="Q12" s="92"/>
      <c r="R12" s="92"/>
      <c r="S12" s="92"/>
      <c r="T12" s="92"/>
      <c r="U12" s="92"/>
      <c r="V12" s="92"/>
      <c r="W12" s="92"/>
      <c r="X12" s="92"/>
      <c r="Y12" s="92"/>
      <c r="Z12" s="92"/>
      <c r="AA12" s="92"/>
      <c r="AB12" s="92"/>
    </row>
    <row r="13" spans="1:28" s="1" customFormat="1" ht="27.95" hidden="1" customHeight="1" x14ac:dyDescent="0.3">
      <c r="A13" s="63" t="str">
        <f>Suite&amp;"-11"</f>
        <v>G104-11</v>
      </c>
      <c r="B13" s="95"/>
      <c r="C13" s="95"/>
      <c r="D13" s="95"/>
      <c r="E13" s="95"/>
      <c r="F13" s="95"/>
      <c r="G13" s="95"/>
      <c r="H13" s="95"/>
      <c r="I13" s="95"/>
      <c r="J13" s="95"/>
      <c r="K13" s="95"/>
      <c r="L13" s="95"/>
      <c r="M13" s="95"/>
      <c r="N13" s="95"/>
      <c r="O13" s="92"/>
      <c r="P13" s="92"/>
      <c r="Q13" s="92"/>
      <c r="R13" s="92"/>
      <c r="S13" s="92"/>
      <c r="T13" s="92"/>
      <c r="U13" s="92"/>
      <c r="V13" s="92"/>
      <c r="W13" s="92"/>
      <c r="X13" s="92"/>
      <c r="Y13" s="92"/>
      <c r="Z13" s="92"/>
      <c r="AA13" s="92"/>
      <c r="AB13" s="92"/>
    </row>
    <row r="14" spans="1:28" s="1" customFormat="1" ht="27.95" hidden="1" customHeight="1" x14ac:dyDescent="0.3">
      <c r="A14" s="63" t="str">
        <f>Suite&amp;"-12"</f>
        <v>G104-12</v>
      </c>
      <c r="B14" s="95"/>
      <c r="C14" s="95"/>
      <c r="D14" s="95"/>
      <c r="E14" s="95"/>
      <c r="F14" s="95"/>
      <c r="G14" s="95"/>
      <c r="H14" s="95"/>
      <c r="I14" s="95"/>
      <c r="J14" s="95"/>
      <c r="K14" s="95"/>
      <c r="L14" s="95"/>
      <c r="M14" s="95"/>
      <c r="N14" s="95"/>
      <c r="O14" s="92"/>
      <c r="P14" s="92"/>
      <c r="Q14" s="92"/>
      <c r="R14" s="92"/>
      <c r="S14" s="92"/>
      <c r="T14" s="92"/>
      <c r="U14" s="92"/>
      <c r="V14" s="92"/>
      <c r="W14" s="92"/>
      <c r="X14" s="92"/>
      <c r="Y14" s="92"/>
      <c r="Z14" s="92"/>
      <c r="AA14" s="92"/>
      <c r="AB14" s="92"/>
    </row>
    <row r="15" spans="1:28" s="1" customFormat="1" ht="27.95" hidden="1" customHeight="1" x14ac:dyDescent="0.3">
      <c r="A15" s="63" t="str">
        <f>Suite&amp;"-13"</f>
        <v>G104-13</v>
      </c>
      <c r="B15" s="95"/>
      <c r="C15" s="95"/>
      <c r="D15" s="95"/>
      <c r="E15" s="95"/>
      <c r="F15" s="95"/>
      <c r="G15" s="95"/>
      <c r="H15" s="95"/>
      <c r="I15" s="95"/>
      <c r="J15" s="95"/>
      <c r="K15" s="95"/>
      <c r="L15" s="95"/>
      <c r="M15" s="95"/>
      <c r="N15" s="95"/>
      <c r="O15" s="92"/>
      <c r="P15" s="92"/>
      <c r="Q15" s="92"/>
      <c r="R15" s="92"/>
      <c r="S15" s="92"/>
      <c r="T15" s="92"/>
      <c r="U15" s="92"/>
      <c r="V15" s="92"/>
      <c r="W15" s="92"/>
      <c r="X15" s="92"/>
      <c r="Y15" s="92"/>
      <c r="Z15" s="92"/>
      <c r="AA15" s="92"/>
      <c r="AB15" s="92"/>
    </row>
    <row r="16" spans="1:28" s="1" customFormat="1" ht="27.95" hidden="1" customHeight="1" x14ac:dyDescent="0.3">
      <c r="A16" s="63" t="str">
        <f>Suite&amp;"-14"</f>
        <v>G104-14</v>
      </c>
      <c r="B16" s="95"/>
      <c r="C16" s="95"/>
      <c r="D16" s="95"/>
      <c r="E16" s="95"/>
      <c r="F16" s="95"/>
      <c r="G16" s="95"/>
      <c r="H16" s="95"/>
      <c r="I16" s="95"/>
      <c r="J16" s="95"/>
      <c r="K16" s="95"/>
      <c r="L16" s="95"/>
      <c r="M16" s="95"/>
      <c r="N16" s="95"/>
      <c r="O16" s="92"/>
      <c r="P16" s="92"/>
      <c r="Q16" s="92"/>
      <c r="R16" s="92"/>
      <c r="S16" s="92"/>
      <c r="T16" s="92"/>
      <c r="U16" s="92"/>
      <c r="V16" s="92"/>
      <c r="W16" s="92"/>
      <c r="X16" s="92"/>
      <c r="Y16" s="92"/>
      <c r="Z16" s="92"/>
      <c r="AA16" s="92"/>
      <c r="AB16" s="92"/>
    </row>
    <row r="17" spans="1:28" s="1" customFormat="1" ht="27.95" hidden="1" customHeight="1" x14ac:dyDescent="0.3">
      <c r="A17" s="63" t="str">
        <f>Suite&amp;"-15"</f>
        <v>G104-15</v>
      </c>
      <c r="B17" s="95"/>
      <c r="C17" s="95"/>
      <c r="D17" s="95"/>
      <c r="E17" s="95"/>
      <c r="F17" s="95"/>
      <c r="G17" s="95"/>
      <c r="H17" s="95"/>
      <c r="I17" s="95"/>
      <c r="J17" s="95"/>
      <c r="K17" s="95"/>
      <c r="L17" s="95"/>
      <c r="M17" s="95"/>
      <c r="N17" s="95"/>
      <c r="O17" s="92"/>
      <c r="P17" s="92"/>
      <c r="Q17" s="92"/>
      <c r="R17" s="92"/>
      <c r="S17" s="92"/>
      <c r="T17" s="92"/>
      <c r="U17" s="92"/>
      <c r="V17" s="92"/>
      <c r="W17" s="92"/>
      <c r="X17" s="92"/>
      <c r="Y17" s="92"/>
      <c r="Z17" s="92"/>
      <c r="AA17" s="92"/>
      <c r="AB17" s="92"/>
    </row>
    <row r="18" spans="1:28" s="1" customFormat="1" ht="27.95" hidden="1" customHeight="1" x14ac:dyDescent="0.3">
      <c r="A18" s="63" t="str">
        <f>Suite&amp;"-16"</f>
        <v>G104-16</v>
      </c>
      <c r="B18" s="95"/>
      <c r="C18" s="95"/>
      <c r="D18" s="95"/>
      <c r="E18" s="95"/>
      <c r="F18" s="95"/>
      <c r="G18" s="95"/>
      <c r="H18" s="95"/>
      <c r="I18" s="95"/>
      <c r="J18" s="95"/>
      <c r="K18" s="95"/>
      <c r="L18" s="95"/>
      <c r="M18" s="95"/>
      <c r="N18" s="95"/>
      <c r="O18" s="92"/>
      <c r="P18" s="92"/>
      <c r="Q18" s="92"/>
      <c r="R18" s="92"/>
      <c r="S18" s="92"/>
      <c r="T18" s="92"/>
      <c r="U18" s="92"/>
      <c r="V18" s="92"/>
      <c r="W18" s="92"/>
      <c r="X18" s="92"/>
      <c r="Y18" s="92"/>
      <c r="Z18" s="92"/>
      <c r="AA18" s="92"/>
      <c r="AB18" s="92"/>
    </row>
    <row r="19" spans="1:28" s="1" customFormat="1" ht="27.95" hidden="1" customHeight="1" x14ac:dyDescent="0.3">
      <c r="A19" s="63" t="str">
        <f>Suite&amp;"-17"</f>
        <v>G104-17</v>
      </c>
      <c r="B19" s="95"/>
      <c r="C19" s="95"/>
      <c r="D19" s="95"/>
      <c r="E19" s="95"/>
      <c r="F19" s="95"/>
      <c r="G19" s="95"/>
      <c r="H19" s="95"/>
      <c r="I19" s="95"/>
      <c r="J19" s="95"/>
      <c r="K19" s="95"/>
      <c r="L19" s="95"/>
      <c r="M19" s="95"/>
      <c r="N19" s="95"/>
      <c r="O19" s="92"/>
      <c r="P19" s="92"/>
      <c r="Q19" s="92"/>
      <c r="R19" s="92"/>
      <c r="S19" s="92"/>
      <c r="T19" s="92"/>
      <c r="U19" s="92"/>
      <c r="V19" s="92"/>
      <c r="W19" s="92"/>
      <c r="X19" s="92"/>
      <c r="Y19" s="92"/>
      <c r="Z19" s="92"/>
      <c r="AA19" s="92"/>
      <c r="AB19" s="92"/>
    </row>
    <row r="20" spans="1:28" s="1" customFormat="1" ht="27.95" hidden="1" customHeight="1" x14ac:dyDescent="0.3">
      <c r="A20" s="63" t="str">
        <f>Suite&amp;"-18"</f>
        <v>G104-18</v>
      </c>
      <c r="B20" s="95"/>
      <c r="C20" s="95"/>
      <c r="D20" s="95"/>
      <c r="E20" s="95"/>
      <c r="F20" s="95"/>
      <c r="G20" s="95"/>
      <c r="H20" s="95"/>
      <c r="I20" s="95"/>
      <c r="J20" s="95"/>
      <c r="K20" s="95"/>
      <c r="L20" s="95"/>
      <c r="M20" s="95"/>
      <c r="N20" s="95"/>
      <c r="O20" s="92"/>
      <c r="P20" s="92"/>
      <c r="Q20" s="92"/>
      <c r="R20" s="92"/>
      <c r="S20" s="92"/>
      <c r="T20" s="92"/>
      <c r="U20" s="92"/>
      <c r="V20" s="92"/>
      <c r="W20" s="92"/>
      <c r="X20" s="92"/>
      <c r="Y20" s="92"/>
      <c r="Z20" s="92"/>
      <c r="AA20" s="92"/>
      <c r="AB20" s="92"/>
    </row>
    <row r="21" spans="1:28" s="1" customFormat="1" ht="27.95" hidden="1" customHeight="1" x14ac:dyDescent="0.3">
      <c r="A21" s="63" t="str">
        <f>Suite&amp;"-19"</f>
        <v>G104-19</v>
      </c>
      <c r="B21" s="95"/>
      <c r="C21" s="95"/>
      <c r="D21" s="95"/>
      <c r="E21" s="95"/>
      <c r="F21" s="95"/>
      <c r="G21" s="95"/>
      <c r="H21" s="95"/>
      <c r="I21" s="95"/>
      <c r="J21" s="95"/>
      <c r="K21" s="95"/>
      <c r="L21" s="95"/>
      <c r="M21" s="95"/>
      <c r="N21" s="95"/>
      <c r="O21" s="92"/>
      <c r="P21" s="92"/>
      <c r="Q21" s="92"/>
      <c r="R21" s="92"/>
      <c r="S21" s="92"/>
      <c r="T21" s="92"/>
      <c r="U21" s="92"/>
      <c r="V21" s="92"/>
      <c r="W21" s="92"/>
      <c r="X21" s="92"/>
      <c r="Y21" s="92"/>
      <c r="Z21" s="92"/>
      <c r="AA21" s="92"/>
      <c r="AB21" s="92"/>
    </row>
    <row r="22" spans="1:28" s="1" customFormat="1" ht="27.95" hidden="1" customHeight="1" x14ac:dyDescent="0.3">
      <c r="A22" s="63" t="str">
        <f>Suite&amp;"-20"</f>
        <v>G104-20</v>
      </c>
      <c r="B22" s="95"/>
      <c r="C22" s="95"/>
      <c r="D22" s="95"/>
      <c r="E22" s="95"/>
      <c r="F22" s="95"/>
      <c r="G22" s="95"/>
      <c r="H22" s="95"/>
      <c r="I22" s="95"/>
      <c r="J22" s="95"/>
      <c r="K22" s="95"/>
      <c r="L22" s="95"/>
      <c r="M22" s="95"/>
      <c r="N22" s="95"/>
      <c r="O22" s="92"/>
      <c r="P22" s="92"/>
      <c r="Q22" s="92"/>
      <c r="R22" s="92"/>
      <c r="S22" s="92"/>
      <c r="T22" s="92"/>
      <c r="U22" s="92"/>
      <c r="V22" s="92"/>
      <c r="W22" s="92"/>
      <c r="X22" s="92"/>
      <c r="Y22" s="92"/>
      <c r="Z22" s="92"/>
      <c r="AA22" s="92"/>
      <c r="AB22" s="92"/>
    </row>
    <row r="23" spans="1:28" s="1" customFormat="1" ht="27.95" hidden="1" customHeight="1" x14ac:dyDescent="0.3">
      <c r="A23" s="63" t="str">
        <f>Suite&amp;"-21"</f>
        <v>G104-21</v>
      </c>
      <c r="B23" s="95"/>
      <c r="C23" s="95"/>
      <c r="D23" s="95"/>
      <c r="E23" s="95"/>
      <c r="F23" s="95"/>
      <c r="G23" s="95"/>
      <c r="H23" s="95"/>
      <c r="I23" s="95"/>
      <c r="J23" s="95"/>
      <c r="K23" s="95"/>
      <c r="L23" s="95"/>
      <c r="M23" s="95"/>
      <c r="N23" s="95"/>
      <c r="O23" s="92"/>
      <c r="P23" s="92"/>
      <c r="Q23" s="92"/>
      <c r="R23" s="92"/>
      <c r="S23" s="92"/>
      <c r="T23" s="92"/>
      <c r="U23" s="92"/>
      <c r="V23" s="92"/>
      <c r="W23" s="92"/>
      <c r="X23" s="92"/>
      <c r="Y23" s="92"/>
      <c r="Z23" s="92"/>
      <c r="AA23" s="92"/>
      <c r="AB23" s="92"/>
    </row>
    <row r="24" spans="1:28" s="1" customFormat="1" ht="27.95" hidden="1" customHeight="1" x14ac:dyDescent="0.3">
      <c r="A24" s="63" t="str">
        <f>Suite&amp;"-22"</f>
        <v>G104-22</v>
      </c>
      <c r="B24" s="95"/>
      <c r="C24" s="95"/>
      <c r="D24" s="95"/>
      <c r="E24" s="95"/>
      <c r="F24" s="95"/>
      <c r="G24" s="95"/>
      <c r="H24" s="95"/>
      <c r="I24" s="95"/>
      <c r="J24" s="95"/>
      <c r="K24" s="95"/>
      <c r="L24" s="95"/>
      <c r="M24" s="95"/>
      <c r="N24" s="95"/>
      <c r="O24" s="92"/>
      <c r="P24" s="92"/>
      <c r="Q24" s="92"/>
      <c r="R24" s="92"/>
      <c r="S24" s="92"/>
      <c r="T24" s="92"/>
      <c r="U24" s="92"/>
      <c r="V24" s="92"/>
      <c r="W24" s="92"/>
      <c r="X24" s="92"/>
      <c r="Y24" s="92"/>
      <c r="Z24" s="92"/>
      <c r="AA24" s="92"/>
      <c r="AB24" s="92"/>
    </row>
    <row r="25" spans="1:28" s="1" customFormat="1" ht="27.95" hidden="1" customHeight="1" x14ac:dyDescent="0.3">
      <c r="A25" s="63" t="str">
        <f>Suite&amp;"-23"</f>
        <v>G104-23</v>
      </c>
      <c r="B25" s="95"/>
      <c r="C25" s="95"/>
      <c r="D25" s="95"/>
      <c r="E25" s="95"/>
      <c r="F25" s="95"/>
      <c r="G25" s="95"/>
      <c r="H25" s="95"/>
      <c r="I25" s="95"/>
      <c r="J25" s="95"/>
      <c r="K25" s="95"/>
      <c r="L25" s="95"/>
      <c r="M25" s="95"/>
      <c r="N25" s="95"/>
      <c r="O25" s="92"/>
      <c r="P25" s="92"/>
      <c r="Q25" s="92"/>
      <c r="R25" s="92"/>
      <c r="S25" s="92"/>
      <c r="T25" s="92"/>
      <c r="U25" s="92"/>
      <c r="V25" s="92"/>
      <c r="W25" s="92"/>
      <c r="X25" s="92"/>
      <c r="Y25" s="92"/>
      <c r="Z25" s="92"/>
      <c r="AA25" s="92"/>
      <c r="AB25" s="92"/>
    </row>
    <row r="26" spans="1:28" s="1" customFormat="1" ht="27.95" hidden="1" customHeight="1" x14ac:dyDescent="0.3">
      <c r="A26" s="63" t="str">
        <f>Suite&amp;"-24"</f>
        <v>G104-24</v>
      </c>
      <c r="B26" s="95"/>
      <c r="C26" s="95"/>
      <c r="D26" s="95"/>
      <c r="E26" s="95"/>
      <c r="F26" s="95"/>
      <c r="G26" s="95"/>
      <c r="H26" s="95"/>
      <c r="I26" s="95"/>
      <c r="J26" s="95"/>
      <c r="K26" s="95"/>
      <c r="L26" s="95"/>
      <c r="M26" s="95"/>
      <c r="N26" s="95"/>
      <c r="O26" s="92"/>
      <c r="P26" s="92"/>
      <c r="Q26" s="92"/>
      <c r="R26" s="92"/>
      <c r="S26" s="92"/>
      <c r="T26" s="92"/>
      <c r="U26" s="92"/>
      <c r="V26" s="92"/>
      <c r="W26" s="92"/>
      <c r="X26" s="92"/>
      <c r="Y26" s="92"/>
      <c r="Z26" s="92"/>
      <c r="AA26" s="92"/>
      <c r="AB26" s="92"/>
    </row>
    <row r="27" spans="1:28" s="1" customFormat="1" ht="27.95" hidden="1" customHeight="1" x14ac:dyDescent="0.3">
      <c r="A27" s="63" t="str">
        <f>Suite&amp;"-25"</f>
        <v>G104-25</v>
      </c>
      <c r="B27" s="95"/>
      <c r="C27" s="95"/>
      <c r="D27" s="95"/>
      <c r="E27" s="95"/>
      <c r="F27" s="95"/>
      <c r="G27" s="95"/>
      <c r="H27" s="95"/>
      <c r="I27" s="95"/>
      <c r="J27" s="95"/>
      <c r="K27" s="95"/>
      <c r="L27" s="95"/>
      <c r="M27" s="95"/>
      <c r="N27" s="95"/>
      <c r="O27" s="92"/>
      <c r="P27" s="92"/>
      <c r="Q27" s="92"/>
      <c r="R27" s="92"/>
      <c r="S27" s="92"/>
      <c r="T27" s="92"/>
      <c r="U27" s="92"/>
      <c r="V27" s="92"/>
      <c r="W27" s="92"/>
      <c r="X27" s="92"/>
      <c r="Y27" s="92"/>
      <c r="Z27" s="92"/>
      <c r="AA27" s="92"/>
      <c r="AB27" s="92"/>
    </row>
    <row r="28" spans="1:28" s="1" customFormat="1" ht="27.95" hidden="1" customHeight="1" x14ac:dyDescent="0.3">
      <c r="A28" s="63" t="str">
        <f>Suite&amp;"-26"</f>
        <v>G104-26</v>
      </c>
      <c r="B28" s="95"/>
      <c r="C28" s="95"/>
      <c r="D28" s="95"/>
      <c r="E28" s="95"/>
      <c r="F28" s="95"/>
      <c r="G28" s="95"/>
      <c r="H28" s="95"/>
      <c r="I28" s="95"/>
      <c r="J28" s="95"/>
      <c r="K28" s="95"/>
      <c r="L28" s="95"/>
      <c r="M28" s="95"/>
      <c r="N28" s="95"/>
      <c r="O28" s="92"/>
      <c r="P28" s="92"/>
      <c r="Q28" s="92"/>
      <c r="R28" s="92"/>
      <c r="S28" s="92"/>
      <c r="T28" s="92"/>
      <c r="U28" s="92"/>
      <c r="V28" s="92"/>
      <c r="W28" s="92"/>
      <c r="X28" s="92"/>
      <c r="Y28" s="92"/>
      <c r="Z28" s="92"/>
      <c r="AA28" s="92"/>
      <c r="AB28" s="92"/>
    </row>
    <row r="29" spans="1:28" s="1" customFormat="1" ht="27.95" hidden="1" customHeight="1" x14ac:dyDescent="0.3">
      <c r="A29" s="63" t="str">
        <f>Suite&amp;"-27"</f>
        <v>G104-27</v>
      </c>
      <c r="B29" s="95"/>
      <c r="C29" s="95"/>
      <c r="D29" s="95"/>
      <c r="E29" s="95"/>
      <c r="F29" s="95"/>
      <c r="G29" s="95"/>
      <c r="H29" s="95"/>
      <c r="I29" s="95"/>
      <c r="J29" s="95"/>
      <c r="K29" s="95"/>
      <c r="L29" s="95"/>
      <c r="M29" s="95"/>
      <c r="N29" s="95"/>
      <c r="O29" s="92"/>
      <c r="P29" s="92"/>
      <c r="Q29" s="92"/>
      <c r="R29" s="92"/>
      <c r="S29" s="92"/>
      <c r="T29" s="92"/>
      <c r="U29" s="92"/>
      <c r="V29" s="92"/>
      <c r="W29" s="92"/>
      <c r="X29" s="92"/>
      <c r="Y29" s="92"/>
      <c r="Z29" s="92"/>
      <c r="AA29" s="92"/>
      <c r="AB29" s="92"/>
    </row>
    <row r="30" spans="1:28" s="1" customFormat="1" ht="27.95" hidden="1" customHeight="1" x14ac:dyDescent="0.3">
      <c r="A30" s="63" t="str">
        <f>Suite&amp;"-28"</f>
        <v>G104-28</v>
      </c>
      <c r="B30" s="95"/>
      <c r="C30" s="95"/>
      <c r="D30" s="95"/>
      <c r="E30" s="95"/>
      <c r="F30" s="95"/>
      <c r="G30" s="95"/>
      <c r="H30" s="95"/>
      <c r="I30" s="95"/>
      <c r="J30" s="95"/>
      <c r="K30" s="95"/>
      <c r="L30" s="95"/>
      <c r="M30" s="95"/>
      <c r="N30" s="95"/>
      <c r="O30" s="92"/>
      <c r="P30" s="92"/>
      <c r="Q30" s="92"/>
      <c r="R30" s="92"/>
      <c r="S30" s="92"/>
      <c r="T30" s="92"/>
      <c r="U30" s="92"/>
      <c r="V30" s="92"/>
      <c r="W30" s="92"/>
      <c r="X30" s="92"/>
      <c r="Y30" s="92"/>
      <c r="Z30" s="92"/>
      <c r="AA30" s="92"/>
      <c r="AB30" s="92"/>
    </row>
    <row r="31" spans="1:28" s="1" customFormat="1" ht="27.95" hidden="1" customHeight="1" x14ac:dyDescent="0.3">
      <c r="A31" s="63" t="str">
        <f>Suite&amp;"-29"</f>
        <v>G104-29</v>
      </c>
      <c r="B31" s="95"/>
      <c r="C31" s="95"/>
      <c r="D31" s="95"/>
      <c r="E31" s="95"/>
      <c r="F31" s="95"/>
      <c r="G31" s="95"/>
      <c r="H31" s="95"/>
      <c r="I31" s="95"/>
      <c r="J31" s="95"/>
      <c r="K31" s="95"/>
      <c r="L31" s="95"/>
      <c r="M31" s="95"/>
      <c r="N31" s="95"/>
      <c r="O31" s="92"/>
      <c r="P31" s="92"/>
      <c r="Q31" s="92"/>
      <c r="R31" s="92"/>
      <c r="S31" s="92"/>
      <c r="T31" s="92"/>
      <c r="U31" s="92"/>
      <c r="V31" s="92"/>
      <c r="W31" s="92"/>
      <c r="X31" s="92"/>
      <c r="Y31" s="92"/>
      <c r="Z31" s="92"/>
      <c r="AA31" s="92"/>
      <c r="AB31" s="92"/>
    </row>
    <row r="32" spans="1:28" s="1" customFormat="1" ht="27.95" hidden="1" customHeight="1" x14ac:dyDescent="0.3">
      <c r="A32" s="63" t="str">
        <f>Suite&amp;"-30"</f>
        <v>G104-30</v>
      </c>
      <c r="B32" s="95"/>
      <c r="C32" s="95"/>
      <c r="D32" s="95"/>
      <c r="E32" s="95"/>
      <c r="F32" s="95"/>
      <c r="G32" s="95"/>
      <c r="H32" s="95"/>
      <c r="I32" s="95"/>
      <c r="J32" s="95"/>
      <c r="K32" s="95"/>
      <c r="L32" s="95"/>
      <c r="M32" s="95"/>
      <c r="N32" s="95"/>
      <c r="O32" s="92"/>
      <c r="P32" s="92"/>
      <c r="Q32" s="92"/>
      <c r="R32" s="92"/>
      <c r="S32" s="92"/>
      <c r="T32" s="92"/>
      <c r="U32" s="92"/>
      <c r="V32" s="92"/>
      <c r="W32" s="92"/>
      <c r="X32" s="92"/>
      <c r="Y32" s="92"/>
      <c r="Z32" s="92"/>
      <c r="AA32" s="92"/>
      <c r="AB32" s="92"/>
    </row>
    <row r="33" spans="1:28" s="1" customFormat="1" ht="27.95" hidden="1" customHeight="1" x14ac:dyDescent="0.3">
      <c r="A33" s="63" t="str">
        <f>Suite&amp;"-31"</f>
        <v>G104-31</v>
      </c>
      <c r="B33" s="95"/>
      <c r="C33" s="95"/>
      <c r="D33" s="95"/>
      <c r="E33" s="95"/>
      <c r="F33" s="95"/>
      <c r="G33" s="95"/>
      <c r="H33" s="95"/>
      <c r="I33" s="95"/>
      <c r="J33" s="95"/>
      <c r="K33" s="95"/>
      <c r="L33" s="95"/>
      <c r="M33" s="95"/>
      <c r="N33" s="95"/>
      <c r="O33" s="92"/>
      <c r="P33" s="92"/>
      <c r="Q33" s="92"/>
      <c r="R33" s="92"/>
      <c r="S33" s="92"/>
      <c r="T33" s="92"/>
      <c r="U33" s="92"/>
      <c r="V33" s="92"/>
      <c r="W33" s="92"/>
      <c r="X33" s="92"/>
      <c r="Y33" s="92"/>
      <c r="Z33" s="92"/>
      <c r="AA33" s="92"/>
      <c r="AB33" s="92"/>
    </row>
    <row r="34" spans="1:28" s="1" customFormat="1" ht="27.95" hidden="1" customHeight="1" x14ac:dyDescent="0.25">
      <c r="A34" s="63" t="str">
        <f>Suite&amp;"-32"</f>
        <v>G104-32</v>
      </c>
      <c r="B34" s="61"/>
      <c r="C34" s="61"/>
      <c r="D34" s="61"/>
      <c r="E34" s="61"/>
      <c r="F34" s="61"/>
      <c r="G34" s="61"/>
      <c r="H34" s="61"/>
      <c r="I34" s="61"/>
      <c r="J34" s="61"/>
      <c r="K34" s="61"/>
      <c r="L34" s="61"/>
      <c r="M34" s="61"/>
      <c r="N34" s="61"/>
    </row>
    <row r="35" spans="1:28" s="1" customFormat="1" ht="27.95" hidden="1" customHeight="1" x14ac:dyDescent="0.25">
      <c r="A35" s="63" t="str">
        <f>Suite&amp;"-33"</f>
        <v>G104-33</v>
      </c>
      <c r="B35" s="61"/>
      <c r="C35" s="61"/>
      <c r="D35" s="61"/>
      <c r="E35" s="61"/>
      <c r="F35" s="61"/>
      <c r="G35" s="61"/>
      <c r="H35" s="61"/>
      <c r="I35" s="61"/>
      <c r="J35" s="61"/>
      <c r="K35" s="61"/>
      <c r="L35" s="61"/>
      <c r="M35" s="61"/>
      <c r="N35" s="61"/>
    </row>
    <row r="36" spans="1:28" s="1" customFormat="1" ht="27.95" hidden="1" customHeight="1" x14ac:dyDescent="0.25">
      <c r="A36" s="63" t="str">
        <f>Suite&amp;"-34"</f>
        <v>G104-34</v>
      </c>
      <c r="B36" s="61"/>
      <c r="C36" s="61"/>
      <c r="D36" s="61"/>
      <c r="E36" s="61"/>
      <c r="F36" s="61"/>
      <c r="G36" s="61"/>
      <c r="H36" s="61"/>
      <c r="I36" s="61"/>
      <c r="J36" s="61"/>
      <c r="K36" s="61"/>
      <c r="L36" s="61"/>
      <c r="M36" s="61"/>
      <c r="N36" s="61"/>
    </row>
    <row r="37" spans="1:28" s="1" customFormat="1" ht="27.95" hidden="1" customHeight="1" x14ac:dyDescent="0.25">
      <c r="A37" s="63" t="str">
        <f>Suite&amp;"-35"</f>
        <v>G104-35</v>
      </c>
      <c r="B37" s="61"/>
      <c r="C37" s="61"/>
      <c r="D37" s="61"/>
      <c r="E37" s="61"/>
      <c r="F37" s="61"/>
      <c r="G37" s="61"/>
      <c r="H37" s="61"/>
      <c r="I37" s="61"/>
      <c r="J37" s="61"/>
      <c r="K37" s="61"/>
      <c r="L37" s="61"/>
      <c r="M37" s="61"/>
      <c r="N37" s="61"/>
    </row>
    <row r="38" spans="1:28" s="1" customFormat="1" ht="27.95" hidden="1" customHeight="1" x14ac:dyDescent="0.25">
      <c r="A38" s="63" t="str">
        <f>Suite&amp;"-36"</f>
        <v>G104-36</v>
      </c>
      <c r="B38" s="61"/>
      <c r="C38" s="61"/>
      <c r="D38" s="61"/>
      <c r="E38" s="61"/>
      <c r="F38" s="61"/>
      <c r="G38" s="61"/>
      <c r="H38" s="61"/>
      <c r="I38" s="61"/>
      <c r="J38" s="61"/>
      <c r="K38" s="61"/>
      <c r="L38" s="61"/>
      <c r="M38" s="61"/>
      <c r="N38" s="61"/>
    </row>
    <row r="39" spans="1:28" s="1" customFormat="1" ht="27.95" hidden="1" customHeight="1" x14ac:dyDescent="0.25">
      <c r="A39" s="63" t="str">
        <f>Suite&amp;"-37"</f>
        <v>G104-37</v>
      </c>
      <c r="B39" s="61"/>
      <c r="C39" s="61"/>
      <c r="D39" s="61"/>
      <c r="E39" s="61"/>
      <c r="F39" s="61"/>
      <c r="G39" s="61"/>
      <c r="H39" s="61"/>
      <c r="I39" s="61"/>
      <c r="J39" s="61"/>
      <c r="K39" s="61"/>
      <c r="L39" s="61"/>
      <c r="M39" s="61"/>
      <c r="N39" s="61"/>
    </row>
    <row r="40" spans="1:28" s="1" customFormat="1" ht="27.95" customHeight="1" x14ac:dyDescent="0.2">
      <c r="A40" s="2"/>
      <c r="B40" s="2"/>
      <c r="C40" s="2"/>
      <c r="D40" s="2"/>
      <c r="E40" s="2"/>
      <c r="F40" s="2"/>
      <c r="G40" s="2"/>
      <c r="H40" s="2"/>
      <c r="I40" s="2"/>
      <c r="J40" s="2"/>
      <c r="K40" s="2"/>
      <c r="L40" s="2"/>
      <c r="M40" s="2"/>
      <c r="N40" s="2"/>
    </row>
    <row r="41" spans="1:28" s="1" customFormat="1" ht="27.95" customHeight="1" x14ac:dyDescent="0.2">
      <c r="A41" s="2"/>
      <c r="B41" s="2"/>
      <c r="C41" s="2"/>
      <c r="D41" s="2"/>
      <c r="E41" s="2"/>
      <c r="F41" s="2"/>
      <c r="G41" s="2"/>
      <c r="H41" s="2"/>
      <c r="I41" s="2"/>
      <c r="J41" s="2"/>
      <c r="K41" s="2"/>
      <c r="L41" s="2"/>
      <c r="M41" s="2"/>
      <c r="N41" s="2"/>
    </row>
    <row r="42" spans="1:28" s="1" customFormat="1" ht="27.95" customHeight="1" x14ac:dyDescent="0.2">
      <c r="A42" s="2"/>
      <c r="B42" s="2"/>
      <c r="C42" s="2"/>
      <c r="D42" s="2"/>
      <c r="E42" s="2"/>
      <c r="F42" s="2"/>
      <c r="G42" s="2"/>
      <c r="H42" s="2"/>
      <c r="I42" s="2"/>
      <c r="J42" s="2"/>
      <c r="K42" s="2"/>
      <c r="L42" s="2"/>
      <c r="M42" s="2"/>
      <c r="N42" s="2"/>
    </row>
    <row r="43" spans="1:28" s="1" customFormat="1" ht="27.95" customHeight="1" x14ac:dyDescent="0.2">
      <c r="A43" s="2"/>
      <c r="B43" s="2"/>
      <c r="C43" s="2"/>
      <c r="D43" s="2"/>
      <c r="E43" s="2"/>
      <c r="F43" s="2"/>
      <c r="G43" s="2"/>
      <c r="H43" s="2"/>
      <c r="I43" s="2"/>
      <c r="J43" s="2"/>
      <c r="K43" s="2"/>
      <c r="L43" s="2"/>
      <c r="M43" s="2"/>
      <c r="N43" s="2"/>
    </row>
    <row r="44" spans="1:28" s="1" customFormat="1" ht="27.95" customHeight="1" x14ac:dyDescent="0.2">
      <c r="A44" s="2"/>
      <c r="B44" s="2"/>
      <c r="C44" s="2"/>
      <c r="D44" s="2"/>
      <c r="E44" s="2"/>
      <c r="F44" s="2"/>
      <c r="G44" s="2"/>
      <c r="H44" s="2"/>
      <c r="I44" s="2"/>
      <c r="J44" s="2"/>
      <c r="K44" s="2"/>
      <c r="L44" s="2"/>
      <c r="M44" s="2"/>
      <c r="N44" s="2"/>
    </row>
    <row r="45" spans="1:28" s="1" customFormat="1" ht="27.95" customHeight="1" x14ac:dyDescent="0.2">
      <c r="A45" s="2"/>
      <c r="B45" s="2"/>
      <c r="C45" s="2"/>
      <c r="D45" s="2"/>
      <c r="E45" s="2"/>
      <c r="F45" s="2"/>
      <c r="G45" s="2"/>
      <c r="H45" s="2"/>
      <c r="I45" s="2"/>
      <c r="J45" s="2"/>
      <c r="K45" s="2"/>
      <c r="L45" s="2"/>
      <c r="M45" s="2"/>
      <c r="N45" s="2"/>
    </row>
    <row r="46" spans="1:28" s="1" customFormat="1" ht="27.95" customHeight="1" x14ac:dyDescent="0.2">
      <c r="A46" s="2"/>
      <c r="B46" s="2"/>
      <c r="C46" s="2"/>
      <c r="D46" s="2"/>
      <c r="E46" s="2"/>
      <c r="F46" s="2"/>
      <c r="G46" s="2"/>
      <c r="H46" s="2"/>
      <c r="I46" s="2"/>
      <c r="J46" s="2"/>
      <c r="K46" s="2"/>
      <c r="L46" s="2"/>
      <c r="M46" s="2"/>
      <c r="N46" s="2"/>
    </row>
    <row r="47" spans="1:28" s="1" customFormat="1" ht="27.95" customHeight="1" x14ac:dyDescent="0.2">
      <c r="A47" s="2"/>
      <c r="B47" s="2"/>
      <c r="C47" s="2"/>
      <c r="D47" s="2"/>
      <c r="E47" s="2"/>
      <c r="F47" s="2"/>
      <c r="G47" s="2"/>
      <c r="H47" s="2"/>
      <c r="I47" s="2"/>
      <c r="J47" s="2"/>
      <c r="K47" s="2"/>
      <c r="L47" s="2"/>
      <c r="M47" s="2"/>
      <c r="N47" s="2"/>
    </row>
    <row r="48" spans="1:28" s="1" customFormat="1" ht="27.95" customHeight="1" x14ac:dyDescent="0.2">
      <c r="A48" s="2"/>
      <c r="B48" s="2"/>
      <c r="C48" s="2"/>
      <c r="D48" s="2"/>
      <c r="E48" s="2"/>
      <c r="F48" s="2"/>
      <c r="G48" s="2"/>
      <c r="H48" s="2"/>
      <c r="I48" s="2"/>
      <c r="J48" s="2"/>
      <c r="K48" s="2"/>
      <c r="L48" s="2"/>
      <c r="M48" s="2"/>
      <c r="N48" s="2"/>
    </row>
    <row r="49" spans="1:14" s="1" customFormat="1" ht="27.95" customHeight="1" x14ac:dyDescent="0.2">
      <c r="A49" s="2"/>
      <c r="B49" s="2"/>
      <c r="C49" s="2"/>
      <c r="D49" s="2"/>
      <c r="E49" s="2"/>
      <c r="F49" s="2"/>
      <c r="G49" s="2"/>
      <c r="H49" s="2"/>
      <c r="I49" s="2"/>
      <c r="J49" s="2"/>
      <c r="K49" s="2"/>
      <c r="L49" s="2"/>
      <c r="M49" s="2"/>
      <c r="N49" s="2"/>
    </row>
    <row r="50" spans="1:14" s="1" customFormat="1" ht="27.95" customHeight="1" x14ac:dyDescent="0.2">
      <c r="A50" s="2"/>
      <c r="B50" s="2"/>
      <c r="C50" s="2"/>
      <c r="D50" s="2"/>
      <c r="E50" s="2"/>
      <c r="F50" s="2"/>
      <c r="G50" s="2"/>
      <c r="H50" s="2"/>
      <c r="I50" s="2"/>
      <c r="J50" s="2"/>
      <c r="K50" s="2"/>
      <c r="L50" s="2"/>
      <c r="M50" s="2"/>
      <c r="N50" s="2"/>
    </row>
    <row r="51" spans="1:14" s="1" customFormat="1" ht="27.95" customHeight="1" x14ac:dyDescent="0.2">
      <c r="A51" s="2"/>
      <c r="B51" s="2"/>
      <c r="C51" s="2"/>
      <c r="D51" s="2"/>
      <c r="E51" s="2"/>
      <c r="F51" s="2"/>
      <c r="G51" s="2"/>
      <c r="H51" s="2"/>
      <c r="I51" s="2"/>
      <c r="J51" s="2"/>
      <c r="K51" s="2"/>
      <c r="L51" s="2"/>
      <c r="M51" s="2"/>
      <c r="N51" s="2"/>
    </row>
    <row r="52" spans="1:14" s="1" customFormat="1" ht="27.95" customHeight="1" x14ac:dyDescent="0.2">
      <c r="A52" s="2"/>
      <c r="B52" s="2"/>
      <c r="C52" s="2"/>
      <c r="D52" s="2"/>
      <c r="E52" s="2"/>
      <c r="F52" s="2"/>
      <c r="G52" s="2"/>
      <c r="H52" s="2"/>
      <c r="I52" s="2"/>
      <c r="J52" s="2"/>
      <c r="K52" s="2"/>
      <c r="L52" s="2"/>
      <c r="M52" s="2"/>
      <c r="N52" s="2"/>
    </row>
    <row r="53" spans="1:14" s="1" customFormat="1" ht="27.95" customHeight="1" x14ac:dyDescent="0.2">
      <c r="A53" s="2"/>
      <c r="B53" s="2"/>
      <c r="C53" s="2"/>
      <c r="D53" s="2"/>
      <c r="E53" s="2"/>
      <c r="F53" s="2"/>
      <c r="G53" s="2"/>
      <c r="H53" s="2"/>
      <c r="I53" s="2"/>
      <c r="J53" s="2"/>
      <c r="K53" s="2"/>
      <c r="L53" s="2"/>
      <c r="M53" s="2"/>
      <c r="N53" s="2"/>
    </row>
    <row r="54" spans="1:14" s="1" customFormat="1" ht="27.95" customHeight="1" x14ac:dyDescent="0.2">
      <c r="A54" s="2"/>
      <c r="B54" s="2"/>
      <c r="C54" s="2"/>
      <c r="D54" s="2"/>
      <c r="E54" s="2"/>
      <c r="F54" s="2"/>
      <c r="G54" s="2"/>
      <c r="H54" s="2"/>
      <c r="I54" s="2"/>
      <c r="J54" s="2"/>
      <c r="K54" s="2"/>
      <c r="L54" s="2"/>
      <c r="M54" s="2"/>
      <c r="N54" s="2"/>
    </row>
    <row r="55" spans="1:14" s="1" customFormat="1" ht="27.95" customHeight="1" x14ac:dyDescent="0.2">
      <c r="A55" s="2"/>
      <c r="B55" s="2"/>
      <c r="C55" s="2"/>
      <c r="D55" s="2"/>
      <c r="E55" s="2"/>
      <c r="F55" s="2"/>
      <c r="G55" s="2"/>
      <c r="H55" s="2"/>
      <c r="I55" s="2"/>
      <c r="J55" s="2"/>
      <c r="K55" s="2"/>
      <c r="L55" s="2"/>
      <c r="M55" s="2"/>
      <c r="N55" s="2"/>
    </row>
    <row r="56" spans="1:14" s="1" customFormat="1" ht="27.95" customHeight="1" x14ac:dyDescent="0.2">
      <c r="A56" s="2"/>
      <c r="B56" s="2"/>
      <c r="C56" s="2"/>
      <c r="D56" s="2"/>
      <c r="E56" s="2"/>
      <c r="F56" s="2"/>
      <c r="G56" s="2"/>
      <c r="H56" s="2"/>
      <c r="I56" s="2"/>
      <c r="J56" s="2"/>
      <c r="K56" s="2"/>
      <c r="L56" s="2"/>
      <c r="M56" s="2"/>
      <c r="N56" s="2"/>
    </row>
    <row r="57" spans="1:14" s="1" customFormat="1" ht="27.95" customHeight="1" x14ac:dyDescent="0.2">
      <c r="A57" s="2"/>
      <c r="B57" s="2"/>
      <c r="C57" s="2"/>
      <c r="D57" s="2"/>
      <c r="E57" s="2"/>
      <c r="F57" s="2"/>
      <c r="G57" s="2"/>
      <c r="H57" s="2"/>
      <c r="I57" s="2"/>
      <c r="J57" s="2"/>
      <c r="K57" s="2"/>
      <c r="L57" s="2"/>
      <c r="M57" s="2"/>
      <c r="N57" s="2"/>
    </row>
    <row r="58" spans="1:14" s="1" customFormat="1" ht="27.95" customHeight="1" x14ac:dyDescent="0.2">
      <c r="A58" s="2"/>
      <c r="B58" s="2"/>
      <c r="C58" s="2"/>
      <c r="D58" s="2"/>
      <c r="E58" s="2"/>
      <c r="F58" s="2"/>
      <c r="G58" s="2"/>
      <c r="H58" s="2"/>
      <c r="I58" s="2"/>
      <c r="J58" s="2"/>
      <c r="K58" s="2"/>
      <c r="L58" s="2"/>
      <c r="M58" s="2"/>
      <c r="N58" s="2"/>
    </row>
    <row r="59" spans="1:14" s="1" customFormat="1" ht="27.95" customHeight="1" x14ac:dyDescent="0.2">
      <c r="A59" s="2"/>
      <c r="B59" s="2"/>
      <c r="C59" s="2"/>
      <c r="D59" s="2"/>
      <c r="E59" s="2"/>
      <c r="F59" s="2"/>
      <c r="G59" s="2"/>
      <c r="H59" s="2"/>
      <c r="I59" s="2"/>
      <c r="J59" s="2"/>
      <c r="K59" s="2"/>
      <c r="L59" s="2"/>
      <c r="M59" s="2"/>
      <c r="N59" s="2"/>
    </row>
    <row r="60" spans="1:14" s="1" customFormat="1" ht="27.95" customHeight="1" x14ac:dyDescent="0.2">
      <c r="A60" s="2"/>
      <c r="B60" s="2"/>
      <c r="C60" s="2"/>
      <c r="D60" s="2"/>
      <c r="E60" s="2"/>
      <c r="F60" s="2"/>
      <c r="G60" s="2"/>
      <c r="H60" s="2"/>
      <c r="I60" s="2"/>
      <c r="J60" s="2"/>
      <c r="K60" s="2"/>
      <c r="L60" s="2"/>
      <c r="M60" s="2"/>
      <c r="N60" s="2"/>
    </row>
    <row r="61" spans="1:14" s="1" customFormat="1" ht="27.95" customHeight="1" x14ac:dyDescent="0.2">
      <c r="A61" s="2"/>
      <c r="B61" s="2"/>
      <c r="C61" s="2"/>
      <c r="D61" s="2"/>
      <c r="E61" s="2"/>
      <c r="F61" s="2"/>
      <c r="G61" s="2"/>
      <c r="H61" s="2"/>
      <c r="I61" s="2"/>
      <c r="J61" s="2"/>
      <c r="K61" s="2"/>
      <c r="L61" s="2"/>
      <c r="M61" s="2"/>
      <c r="N61" s="2"/>
    </row>
    <row r="62" spans="1:14" s="1" customFormat="1" ht="27.95" customHeight="1" x14ac:dyDescent="0.2">
      <c r="A62" s="2"/>
      <c r="B62" s="2"/>
      <c r="C62" s="2"/>
      <c r="D62" s="2"/>
      <c r="E62" s="2"/>
      <c r="F62" s="2"/>
      <c r="G62" s="2"/>
      <c r="H62" s="2"/>
      <c r="I62" s="2"/>
      <c r="J62" s="2"/>
      <c r="K62" s="2"/>
      <c r="L62" s="2"/>
      <c r="M62" s="2"/>
      <c r="N62" s="2"/>
    </row>
    <row r="63" spans="1:14" s="1" customFormat="1" ht="27.95" customHeight="1" x14ac:dyDescent="0.2">
      <c r="A63" s="2"/>
      <c r="B63" s="2"/>
      <c r="C63" s="2"/>
      <c r="D63" s="2"/>
      <c r="E63" s="2"/>
      <c r="F63" s="2"/>
      <c r="G63" s="2"/>
      <c r="H63" s="2"/>
      <c r="I63" s="2"/>
      <c r="J63" s="2"/>
      <c r="K63" s="2"/>
      <c r="L63" s="2"/>
      <c r="M63" s="2"/>
      <c r="N63" s="2"/>
    </row>
    <row r="64" spans="1:14" s="1" customFormat="1" ht="27.95" customHeight="1" x14ac:dyDescent="0.25">
      <c r="A64" s="2"/>
      <c r="B64" s="2"/>
      <c r="C64" s="2"/>
      <c r="D64" s="2"/>
      <c r="E64" s="2"/>
      <c r="F64" s="2"/>
      <c r="G64" s="2"/>
      <c r="H64" s="2"/>
      <c r="I64" s="2"/>
      <c r="J64" s="2"/>
      <c r="K64"/>
      <c r="L64"/>
      <c r="M64"/>
      <c r="N64"/>
    </row>
    <row r="65" spans="1:27" s="1" customFormat="1" ht="27.95" customHeight="1" x14ac:dyDescent="0.25">
      <c r="A65" s="2"/>
      <c r="B65" s="2"/>
      <c r="C65" s="2"/>
      <c r="D65" s="2"/>
      <c r="E65" s="2"/>
      <c r="F65" s="2"/>
      <c r="G65" s="2"/>
      <c r="H65" s="2"/>
      <c r="I65" s="2"/>
      <c r="J65" s="2"/>
      <c r="K65"/>
      <c r="L65"/>
      <c r="M65"/>
      <c r="N65"/>
      <c r="P65"/>
      <c r="Q65"/>
      <c r="R65"/>
      <c r="S65"/>
      <c r="T65"/>
      <c r="U65"/>
      <c r="V65"/>
      <c r="W65"/>
      <c r="X65"/>
    </row>
    <row r="66" spans="1:27" s="1" customFormat="1" ht="27.95" customHeight="1" x14ac:dyDescent="0.25">
      <c r="A66" s="2"/>
      <c r="B66" s="2"/>
      <c r="C66" s="2"/>
      <c r="D66" s="2"/>
      <c r="E66" s="2"/>
      <c r="F66" s="2"/>
      <c r="G66" s="2"/>
      <c r="H66" s="2"/>
      <c r="I66" s="2"/>
      <c r="J66" s="2"/>
      <c r="K66"/>
      <c r="L66"/>
      <c r="M66"/>
      <c r="N66"/>
      <c r="P66"/>
      <c r="Q66"/>
      <c r="R66"/>
      <c r="S66"/>
      <c r="T66"/>
      <c r="U66"/>
      <c r="V66"/>
      <c r="W66"/>
      <c r="X66"/>
    </row>
    <row r="67" spans="1:27" s="1" customFormat="1" ht="27.95" customHeight="1" x14ac:dyDescent="0.25">
      <c r="A67" s="2"/>
      <c r="B67" s="2"/>
      <c r="C67" s="2"/>
      <c r="D67" s="2"/>
      <c r="E67" s="2"/>
      <c r="F67" s="2"/>
      <c r="G67" s="2"/>
      <c r="H67" s="2"/>
      <c r="I67" s="2"/>
      <c r="J67" s="2"/>
      <c r="K67"/>
      <c r="L67"/>
      <c r="M67"/>
      <c r="N67"/>
      <c r="P67"/>
      <c r="Q67"/>
      <c r="R67"/>
      <c r="S67"/>
      <c r="T67"/>
      <c r="U67"/>
      <c r="V67"/>
      <c r="W67"/>
      <c r="X67"/>
    </row>
    <row r="68" spans="1:27" s="1" customFormat="1" ht="27.95" customHeight="1" x14ac:dyDescent="0.25">
      <c r="A68" s="2"/>
      <c r="B68" s="2"/>
      <c r="C68" s="2"/>
      <c r="D68" s="2"/>
      <c r="E68" s="2"/>
      <c r="F68" s="2"/>
      <c r="G68" s="2"/>
      <c r="H68" s="2"/>
      <c r="I68" s="2"/>
      <c r="J68" s="2"/>
      <c r="K68"/>
      <c r="L68"/>
      <c r="M68"/>
      <c r="N68"/>
      <c r="P68"/>
      <c r="Q68"/>
      <c r="R68"/>
      <c r="S68"/>
      <c r="T68"/>
      <c r="U68"/>
      <c r="V68"/>
      <c r="W68"/>
      <c r="X68"/>
    </row>
    <row r="69" spans="1:27" s="1" customFormat="1" ht="27.95" customHeight="1" x14ac:dyDescent="0.25">
      <c r="A69" s="2"/>
      <c r="B69" s="2"/>
      <c r="C69" s="2"/>
      <c r="D69" s="2"/>
      <c r="E69" s="2"/>
      <c r="F69" s="2"/>
      <c r="G69" s="2"/>
      <c r="H69" s="2"/>
      <c r="I69" s="2"/>
      <c r="J69" s="2"/>
      <c r="K69"/>
      <c r="L69"/>
      <c r="M69"/>
      <c r="N69"/>
      <c r="P69"/>
      <c r="Q69"/>
      <c r="R69"/>
      <c r="S69"/>
      <c r="T69"/>
      <c r="U69"/>
      <c r="V69"/>
      <c r="W69"/>
      <c r="X69"/>
    </row>
    <row r="70" spans="1:27" s="1" customFormat="1" ht="27.95" customHeight="1" x14ac:dyDescent="0.25">
      <c r="A70" s="2"/>
      <c r="B70" s="2"/>
      <c r="C70" s="2"/>
      <c r="D70" s="2"/>
      <c r="E70" s="2"/>
      <c r="F70" s="2"/>
      <c r="G70" s="2"/>
      <c r="H70" s="2"/>
      <c r="I70" s="2"/>
      <c r="J70" s="2"/>
      <c r="K70"/>
      <c r="L70"/>
      <c r="M70"/>
      <c r="N70"/>
      <c r="P70"/>
      <c r="Q70"/>
      <c r="R70"/>
      <c r="S70"/>
      <c r="T70"/>
      <c r="U70"/>
      <c r="V70"/>
      <c r="W70"/>
      <c r="X70"/>
    </row>
    <row r="71" spans="1:27" s="1" customFormat="1" ht="27.95" customHeight="1" x14ac:dyDescent="0.25">
      <c r="A71"/>
      <c r="B71"/>
      <c r="C71"/>
      <c r="D71"/>
      <c r="E71"/>
      <c r="F71"/>
      <c r="G71"/>
      <c r="H71"/>
      <c r="I71"/>
      <c r="J71"/>
      <c r="K71"/>
      <c r="L71"/>
      <c r="M71"/>
      <c r="N71"/>
      <c r="P71"/>
      <c r="Q71"/>
      <c r="R71"/>
      <c r="S71"/>
      <c r="T71"/>
      <c r="U71"/>
      <c r="V71"/>
      <c r="W71"/>
      <c r="X71"/>
    </row>
    <row r="72" spans="1:27" s="1" customFormat="1" ht="27.95" customHeight="1" x14ac:dyDescent="0.25">
      <c r="A72"/>
      <c r="B72"/>
      <c r="C72"/>
      <c r="D72"/>
      <c r="E72"/>
      <c r="F72"/>
      <c r="G72"/>
      <c r="H72"/>
      <c r="I72"/>
      <c r="J72"/>
      <c r="K72"/>
      <c r="L72"/>
      <c r="M72"/>
      <c r="N72"/>
      <c r="O72"/>
      <c r="P72"/>
      <c r="Q72"/>
      <c r="R72"/>
      <c r="S72"/>
      <c r="T72"/>
      <c r="U72"/>
      <c r="V72"/>
      <c r="W72"/>
      <c r="X72"/>
    </row>
    <row r="73" spans="1:27" s="1" customFormat="1" ht="27.95" customHeight="1" x14ac:dyDescent="0.25">
      <c r="A73"/>
      <c r="B73"/>
      <c r="C73"/>
      <c r="D73"/>
      <c r="E73"/>
      <c r="F73"/>
      <c r="G73"/>
      <c r="H73"/>
      <c r="I73"/>
      <c r="J73"/>
      <c r="K73"/>
      <c r="L73"/>
      <c r="M73"/>
      <c r="N73"/>
      <c r="O73"/>
      <c r="P73"/>
      <c r="Q73"/>
      <c r="R73"/>
      <c r="S73"/>
      <c r="T73"/>
      <c r="U73"/>
      <c r="V73"/>
      <c r="W73"/>
      <c r="X73"/>
    </row>
    <row r="74" spans="1:27" s="1" customFormat="1" ht="27.95" customHeight="1" x14ac:dyDescent="0.25">
      <c r="A74"/>
      <c r="B74"/>
      <c r="C74"/>
      <c r="D74"/>
      <c r="E74"/>
      <c r="F74"/>
      <c r="G74"/>
      <c r="H74"/>
      <c r="I74"/>
      <c r="J74"/>
      <c r="K74"/>
      <c r="L74"/>
      <c r="M74"/>
      <c r="N74"/>
      <c r="O74"/>
      <c r="P74"/>
      <c r="Q74"/>
      <c r="R74"/>
      <c r="S74"/>
      <c r="T74"/>
      <c r="U74"/>
      <c r="V74"/>
      <c r="W74"/>
      <c r="X74"/>
    </row>
    <row r="75" spans="1:27" s="1" customFormat="1" ht="27.95" customHeight="1" x14ac:dyDescent="0.25">
      <c r="A75"/>
      <c r="B75"/>
      <c r="C75"/>
      <c r="D75"/>
      <c r="E75"/>
      <c r="F75"/>
      <c r="G75"/>
      <c r="H75"/>
      <c r="I75"/>
      <c r="J75"/>
      <c r="K75"/>
      <c r="L75"/>
      <c r="M75"/>
      <c r="N75"/>
      <c r="O75"/>
      <c r="P75"/>
      <c r="Q75"/>
      <c r="R75"/>
      <c r="S75"/>
      <c r="T75"/>
      <c r="U75"/>
      <c r="V75"/>
      <c r="W75"/>
      <c r="X75"/>
    </row>
    <row r="76" spans="1:27" s="1" customFormat="1" ht="27.95" customHeight="1" x14ac:dyDescent="0.25">
      <c r="A76"/>
      <c r="B76"/>
      <c r="C76"/>
      <c r="D76"/>
      <c r="E76"/>
      <c r="F76"/>
      <c r="G76"/>
      <c r="H76"/>
      <c r="I76"/>
      <c r="J76"/>
      <c r="K76"/>
      <c r="L76"/>
      <c r="M76"/>
      <c r="N76"/>
      <c r="O76"/>
      <c r="P76"/>
      <c r="Q76"/>
      <c r="R76"/>
      <c r="S76"/>
      <c r="T76"/>
      <c r="U76"/>
      <c r="V76"/>
      <c r="W76"/>
      <c r="X76"/>
    </row>
    <row r="77" spans="1:27" s="1" customFormat="1" ht="27.95" customHeight="1" x14ac:dyDescent="0.25">
      <c r="A77"/>
      <c r="B77"/>
      <c r="C77"/>
      <c r="D77"/>
      <c r="E77"/>
      <c r="F77"/>
      <c r="G77"/>
      <c r="H77"/>
      <c r="I77"/>
      <c r="J77"/>
      <c r="K77"/>
      <c r="L77"/>
      <c r="M77"/>
      <c r="N77"/>
      <c r="O77"/>
      <c r="P77"/>
      <c r="Q77"/>
      <c r="R77"/>
      <c r="S77"/>
      <c r="T77"/>
      <c r="U77"/>
      <c r="V77"/>
      <c r="W77"/>
      <c r="X77"/>
    </row>
    <row r="78" spans="1:27" s="1" customFormat="1" ht="27.95" customHeight="1" x14ac:dyDescent="0.25">
      <c r="A78"/>
      <c r="B78"/>
      <c r="C78"/>
      <c r="D78"/>
      <c r="E78"/>
      <c r="F78"/>
      <c r="G78"/>
      <c r="H78"/>
      <c r="I78"/>
      <c r="J78"/>
      <c r="K78"/>
      <c r="L78"/>
      <c r="M78"/>
      <c r="N78"/>
      <c r="O78"/>
      <c r="P78"/>
      <c r="Q78"/>
      <c r="R78"/>
      <c r="S78"/>
      <c r="T78"/>
      <c r="U78"/>
      <c r="V78"/>
      <c r="W78"/>
      <c r="X78"/>
    </row>
    <row r="79" spans="1:27" s="1" customFormat="1" ht="27.95" customHeight="1" x14ac:dyDescent="0.25">
      <c r="A79"/>
      <c r="B79"/>
      <c r="C79"/>
      <c r="D79"/>
      <c r="E79"/>
      <c r="F79"/>
      <c r="G79"/>
      <c r="H79"/>
      <c r="I79"/>
      <c r="J79"/>
      <c r="K79"/>
      <c r="L79"/>
      <c r="M79"/>
      <c r="N79"/>
      <c r="O79"/>
      <c r="P79"/>
      <c r="Q79"/>
      <c r="R79"/>
      <c r="S79"/>
      <c r="T79"/>
      <c r="U79"/>
      <c r="V79"/>
      <c r="W79"/>
      <c r="X79"/>
      <c r="Y79"/>
    </row>
    <row r="80" spans="1:27" s="1" customFormat="1" ht="27.95" customHeight="1" x14ac:dyDescent="0.25">
      <c r="A80"/>
      <c r="B80"/>
      <c r="C80"/>
      <c r="D80"/>
      <c r="E80"/>
      <c r="F80"/>
      <c r="G80"/>
      <c r="H80"/>
      <c r="I80"/>
      <c r="J80"/>
      <c r="K80"/>
      <c r="L80"/>
      <c r="M80"/>
      <c r="N80"/>
      <c r="O80"/>
      <c r="P80"/>
      <c r="Q80"/>
      <c r="R80"/>
      <c r="S80"/>
      <c r="T80"/>
      <c r="U80"/>
      <c r="V80"/>
      <c r="W80"/>
      <c r="X80"/>
      <c r="Y80"/>
      <c r="Z80"/>
      <c r="AA80"/>
    </row>
    <row r="81" spans="1:27" s="1" customFormat="1" ht="27.95" customHeight="1" x14ac:dyDescent="0.25">
      <c r="A81"/>
      <c r="B81"/>
      <c r="C81"/>
      <c r="D81"/>
      <c r="E81"/>
      <c r="F81"/>
      <c r="G81"/>
      <c r="H81"/>
      <c r="I81"/>
      <c r="J81"/>
      <c r="K81"/>
      <c r="L81"/>
      <c r="M81"/>
      <c r="N81"/>
      <c r="O81"/>
      <c r="P81"/>
      <c r="Q81"/>
      <c r="R81"/>
      <c r="S81"/>
      <c r="T81"/>
      <c r="U81"/>
      <c r="V81"/>
      <c r="W81"/>
      <c r="X81"/>
      <c r="Y81"/>
      <c r="Z81"/>
      <c r="AA81"/>
    </row>
    <row r="82" spans="1:27" s="1" customFormat="1" ht="27.95" customHeight="1" x14ac:dyDescent="0.25">
      <c r="A82"/>
      <c r="B82"/>
      <c r="C82"/>
      <c r="D82"/>
      <c r="E82"/>
      <c r="F82"/>
      <c r="G82"/>
      <c r="H82"/>
      <c r="I82"/>
      <c r="J82"/>
      <c r="K82"/>
      <c r="L82"/>
      <c r="M82"/>
      <c r="N82"/>
      <c r="O82"/>
      <c r="P82"/>
      <c r="Q82"/>
      <c r="R82"/>
      <c r="S82"/>
      <c r="T82"/>
      <c r="U82"/>
      <c r="V82"/>
      <c r="W82"/>
      <c r="X82"/>
      <c r="Y82"/>
      <c r="Z82"/>
      <c r="AA82"/>
    </row>
    <row r="83" spans="1:27" s="1" customFormat="1" ht="27.95" customHeight="1" x14ac:dyDescent="0.25">
      <c r="A83"/>
      <c r="B83"/>
      <c r="C83"/>
      <c r="D83"/>
      <c r="E83"/>
      <c r="F83"/>
      <c r="G83"/>
      <c r="H83"/>
      <c r="I83"/>
      <c r="J83"/>
      <c r="K83"/>
      <c r="L83"/>
      <c r="M83"/>
      <c r="N83"/>
      <c r="O83"/>
      <c r="P83"/>
      <c r="Q83"/>
      <c r="R83"/>
      <c r="S83"/>
      <c r="T83"/>
      <c r="U83"/>
      <c r="V83"/>
      <c r="W83"/>
      <c r="X83"/>
      <c r="Y83"/>
      <c r="Z83"/>
      <c r="AA83"/>
    </row>
    <row r="84" spans="1:27" s="1" customFormat="1" ht="27.95" customHeight="1" x14ac:dyDescent="0.25">
      <c r="A84"/>
      <c r="B84"/>
      <c r="C84"/>
      <c r="D84"/>
      <c r="E84"/>
      <c r="F84"/>
      <c r="G84"/>
      <c r="H84"/>
      <c r="I84"/>
      <c r="J84"/>
      <c r="K84"/>
      <c r="L84"/>
      <c r="M84"/>
      <c r="N84"/>
      <c r="O84"/>
      <c r="P84"/>
      <c r="Q84"/>
      <c r="R84"/>
      <c r="S84"/>
      <c r="T84"/>
      <c r="U84"/>
      <c r="V84"/>
      <c r="W84"/>
      <c r="X84"/>
      <c r="Y84"/>
      <c r="Z84"/>
      <c r="AA84"/>
    </row>
    <row r="85" spans="1:27" s="1" customFormat="1" ht="27.95" customHeight="1" x14ac:dyDescent="0.25">
      <c r="A85"/>
      <c r="B85"/>
      <c r="C85"/>
      <c r="D85"/>
      <c r="E85"/>
      <c r="F85"/>
      <c r="G85"/>
      <c r="H85"/>
      <c r="I85"/>
      <c r="J85"/>
      <c r="K85"/>
      <c r="L85"/>
      <c r="M85"/>
      <c r="N85"/>
      <c r="O85"/>
      <c r="P85"/>
      <c r="Q85"/>
      <c r="R85"/>
      <c r="S85"/>
      <c r="T85"/>
      <c r="U85"/>
      <c r="V85"/>
      <c r="W85"/>
      <c r="X85"/>
      <c r="Y85"/>
      <c r="Z85"/>
      <c r="AA85"/>
    </row>
    <row r="86" spans="1:27" s="1" customFormat="1" ht="27.95" customHeight="1" x14ac:dyDescent="0.25">
      <c r="A86"/>
      <c r="B86"/>
      <c r="C86"/>
      <c r="D86"/>
      <c r="E86"/>
      <c r="F86"/>
      <c r="G86"/>
      <c r="H86"/>
      <c r="I86"/>
      <c r="J86"/>
      <c r="K86"/>
      <c r="L86"/>
      <c r="M86"/>
      <c r="N86"/>
      <c r="O86"/>
      <c r="P86"/>
      <c r="Q86"/>
      <c r="R86"/>
      <c r="S86"/>
      <c r="T86"/>
      <c r="U86"/>
      <c r="V86"/>
      <c r="W86"/>
      <c r="X86"/>
      <c r="Y86"/>
      <c r="Z86"/>
      <c r="AA86"/>
    </row>
    <row r="87" spans="1:27" s="1" customFormat="1" ht="27.95" customHeight="1" x14ac:dyDescent="0.25">
      <c r="A87"/>
      <c r="B87"/>
      <c r="C87"/>
      <c r="D87"/>
      <c r="E87"/>
      <c r="F87"/>
      <c r="G87"/>
      <c r="H87"/>
      <c r="I87"/>
      <c r="J87"/>
      <c r="K87"/>
      <c r="L87"/>
      <c r="M87"/>
      <c r="N87"/>
      <c r="O87"/>
      <c r="P87"/>
      <c r="Q87"/>
      <c r="R87"/>
      <c r="S87"/>
      <c r="T87"/>
      <c r="U87"/>
      <c r="V87"/>
      <c r="W87"/>
      <c r="X87"/>
      <c r="Y87"/>
      <c r="Z87"/>
      <c r="AA87"/>
    </row>
    <row r="88" spans="1:27" s="1" customFormat="1" ht="27.95" customHeight="1" x14ac:dyDescent="0.25">
      <c r="A88"/>
      <c r="B88"/>
      <c r="C88"/>
      <c r="D88"/>
      <c r="E88"/>
      <c r="F88"/>
      <c r="G88"/>
      <c r="H88"/>
      <c r="I88"/>
      <c r="J88"/>
      <c r="K88"/>
      <c r="L88"/>
      <c r="M88"/>
      <c r="N88"/>
      <c r="O88"/>
      <c r="P88"/>
      <c r="Q88"/>
      <c r="R88"/>
      <c r="S88"/>
      <c r="T88"/>
      <c r="U88"/>
      <c r="V88"/>
      <c r="W88"/>
      <c r="X88"/>
      <c r="Y88"/>
      <c r="Z88"/>
      <c r="AA88"/>
    </row>
    <row r="89" spans="1:27" s="1" customFormat="1" ht="27.95" customHeight="1" x14ac:dyDescent="0.25">
      <c r="A89"/>
      <c r="B89"/>
      <c r="C89"/>
      <c r="D89"/>
      <c r="E89"/>
      <c r="F89"/>
      <c r="G89"/>
      <c r="H89"/>
      <c r="I89"/>
      <c r="J89"/>
      <c r="K89"/>
      <c r="L89"/>
      <c r="M89"/>
      <c r="N89"/>
      <c r="O89"/>
      <c r="P89"/>
      <c r="Q89"/>
      <c r="R89"/>
      <c r="S89"/>
      <c r="T89"/>
      <c r="U89"/>
      <c r="V89"/>
      <c r="W89"/>
      <c r="X89"/>
      <c r="Y89"/>
      <c r="Z89"/>
      <c r="AA89"/>
    </row>
    <row r="90" spans="1:27" s="1" customFormat="1" ht="27.95" customHeight="1" x14ac:dyDescent="0.25">
      <c r="A90"/>
      <c r="B90"/>
      <c r="C90"/>
      <c r="D90"/>
      <c r="E90"/>
      <c r="F90"/>
      <c r="G90"/>
      <c r="H90"/>
      <c r="I90"/>
      <c r="J90"/>
      <c r="K90"/>
      <c r="L90"/>
      <c r="M90"/>
      <c r="N90"/>
      <c r="O90"/>
      <c r="P90"/>
      <c r="Q90"/>
      <c r="R90"/>
      <c r="S90"/>
      <c r="T90"/>
      <c r="U90"/>
      <c r="V90"/>
      <c r="W90"/>
      <c r="X90"/>
      <c r="Y90"/>
      <c r="Z90"/>
      <c r="AA90"/>
    </row>
    <row r="91" spans="1:27" s="1" customFormat="1" ht="27.95" customHeight="1" x14ac:dyDescent="0.25">
      <c r="A91"/>
      <c r="B91"/>
      <c r="C91"/>
      <c r="D91"/>
      <c r="E91"/>
      <c r="F91"/>
      <c r="G91"/>
      <c r="H91"/>
      <c r="I91"/>
      <c r="J91"/>
      <c r="K91"/>
      <c r="L91"/>
      <c r="M91"/>
      <c r="N91"/>
      <c r="O91"/>
      <c r="P91"/>
      <c r="Q91"/>
      <c r="R91"/>
      <c r="S91"/>
      <c r="T91"/>
      <c r="U91"/>
      <c r="V91"/>
      <c r="W91"/>
      <c r="X91"/>
      <c r="Y91"/>
      <c r="Z91"/>
      <c r="AA91"/>
    </row>
    <row r="92" spans="1:27" s="1" customFormat="1" ht="27.95" customHeight="1" x14ac:dyDescent="0.25">
      <c r="A92"/>
      <c r="B92"/>
      <c r="C92"/>
      <c r="D92"/>
      <c r="E92"/>
      <c r="F92"/>
      <c r="G92"/>
      <c r="H92"/>
      <c r="I92"/>
      <c r="J92"/>
      <c r="K92"/>
      <c r="L92"/>
      <c r="M92"/>
      <c r="N92"/>
      <c r="O92"/>
      <c r="P92"/>
      <c r="Q92"/>
      <c r="R92"/>
      <c r="S92"/>
      <c r="T92"/>
      <c r="U92"/>
      <c r="V92"/>
      <c r="W92"/>
      <c r="X92"/>
      <c r="Y92"/>
      <c r="Z92"/>
      <c r="AA92"/>
    </row>
    <row r="93" spans="1:27" s="1" customFormat="1" ht="27.95" customHeight="1" x14ac:dyDescent="0.25">
      <c r="A93"/>
      <c r="B93"/>
      <c r="C93"/>
      <c r="D93"/>
      <c r="E93"/>
      <c r="F93"/>
      <c r="G93"/>
      <c r="H93"/>
      <c r="I93"/>
      <c r="J93"/>
      <c r="K93"/>
      <c r="L93"/>
      <c r="M93"/>
      <c r="N93"/>
      <c r="O93"/>
      <c r="P93"/>
      <c r="Q93"/>
      <c r="R93"/>
      <c r="S93"/>
      <c r="T93"/>
      <c r="U93"/>
      <c r="V93"/>
      <c r="W93"/>
      <c r="X93"/>
      <c r="Y93"/>
      <c r="Z93"/>
      <c r="AA93"/>
    </row>
    <row r="94" spans="1:27" s="1" customFormat="1" ht="27.95" customHeight="1" x14ac:dyDescent="0.25">
      <c r="A94"/>
      <c r="B94"/>
      <c r="C94"/>
      <c r="D94"/>
      <c r="E94"/>
      <c r="F94"/>
      <c r="G94"/>
      <c r="H94"/>
      <c r="I94"/>
      <c r="J94"/>
      <c r="K94"/>
      <c r="L94"/>
      <c r="M94"/>
      <c r="N94"/>
      <c r="O94"/>
      <c r="P94"/>
      <c r="Q94"/>
      <c r="R94"/>
      <c r="S94"/>
      <c r="T94"/>
      <c r="U94"/>
      <c r="V94"/>
      <c r="W94"/>
      <c r="X94"/>
      <c r="Y94"/>
      <c r="Z94"/>
      <c r="AA94"/>
    </row>
    <row r="95" spans="1:27" s="1" customFormat="1" ht="27.95" customHeight="1" x14ac:dyDescent="0.25">
      <c r="A95"/>
      <c r="B95"/>
      <c r="C95"/>
      <c r="D95"/>
      <c r="E95"/>
      <c r="F95"/>
      <c r="G95"/>
      <c r="H95"/>
      <c r="I95"/>
      <c r="J95"/>
      <c r="K95"/>
      <c r="L95"/>
      <c r="M95"/>
      <c r="N95"/>
      <c r="O95"/>
      <c r="P95"/>
      <c r="Q95"/>
      <c r="R95"/>
      <c r="S95"/>
      <c r="T95"/>
      <c r="U95"/>
      <c r="V95"/>
      <c r="W95"/>
      <c r="X95"/>
      <c r="Y95"/>
      <c r="Z95"/>
      <c r="AA95"/>
    </row>
  </sheetData>
  <sheetProtection formatCells="0" formatRows="0" insertHyperlinks="0" deleteRows="0" sort="0" autoFilter="0"/>
  <mergeCells count="1">
    <mergeCell ref="A1:N1"/>
  </mergeCells>
  <printOptions horizontalCentered="1"/>
  <pageMargins left="0.2" right="0.2" top="0.45" bottom="0.25" header="0.05" footer="0.05"/>
  <pageSetup scale="64"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F5187-13CC-4F38-B97E-FA2CD8F0BE02}">
  <sheetPr codeName="RT_Humidifier">
    <pageSetUpPr fitToPage="1"/>
  </sheetPr>
  <dimension ref="A1:S62"/>
  <sheetViews>
    <sheetView view="pageBreakPreview" zoomScale="90" zoomScaleNormal="100" zoomScaleSheetLayoutView="90" workbookViewId="0">
      <selection activeCell="K12" sqref="K12"/>
    </sheetView>
  </sheetViews>
  <sheetFormatPr defaultColWidth="2.5703125" defaultRowHeight="15" x14ac:dyDescent="0.25"/>
  <cols>
    <col min="1" max="1" width="12.140625" customWidth="1"/>
    <col min="2" max="2" width="9.140625" customWidth="1"/>
    <col min="3" max="3" width="11" customWidth="1"/>
    <col min="4" max="4" width="19" customWidth="1"/>
    <col min="5" max="5" width="17" customWidth="1"/>
    <col min="6" max="6" width="19" customWidth="1"/>
    <col min="7" max="7" width="22.85546875" customWidth="1"/>
    <col min="8" max="24" width="6.7109375" customWidth="1"/>
  </cols>
  <sheetData>
    <row r="1" spans="1:19" ht="18.399999999999999" customHeight="1" x14ac:dyDescent="0.3">
      <c r="A1" s="766" t="s">
        <v>3548</v>
      </c>
      <c r="B1" s="766"/>
      <c r="C1" s="766"/>
      <c r="D1" s="766"/>
      <c r="E1" s="766"/>
      <c r="F1" s="766"/>
      <c r="G1" s="766"/>
      <c r="H1" s="92"/>
      <c r="I1" s="92"/>
      <c r="J1" s="92"/>
      <c r="K1" s="92"/>
      <c r="L1" s="92"/>
      <c r="M1" s="92"/>
      <c r="N1" s="92"/>
      <c r="O1" s="92"/>
      <c r="P1" s="92"/>
      <c r="Q1" s="92"/>
      <c r="R1" s="92"/>
      <c r="S1" s="92"/>
    </row>
    <row r="2" spans="1:19" s="1" customFormat="1" ht="30" x14ac:dyDescent="0.3">
      <c r="A2" s="93" t="s">
        <v>3563</v>
      </c>
      <c r="B2" s="93" t="s">
        <v>3550</v>
      </c>
      <c r="C2" s="93" t="s">
        <v>3564</v>
      </c>
      <c r="D2" s="93" t="s">
        <v>3565</v>
      </c>
      <c r="E2" s="93" t="s">
        <v>3566</v>
      </c>
      <c r="F2" s="93" t="s">
        <v>1346</v>
      </c>
      <c r="G2" s="93" t="s">
        <v>3567</v>
      </c>
      <c r="H2" s="92"/>
      <c r="I2" s="92"/>
      <c r="J2" s="92"/>
      <c r="K2" s="92"/>
      <c r="L2" s="92"/>
      <c r="M2" s="92"/>
      <c r="N2" s="92"/>
      <c r="O2" s="92"/>
      <c r="P2" s="92"/>
      <c r="Q2" s="92"/>
      <c r="R2" s="92"/>
      <c r="S2" s="92"/>
    </row>
    <row r="3" spans="1:19" s="1" customFormat="1" ht="18.75" x14ac:dyDescent="0.3">
      <c r="A3" s="63" t="str">
        <f>Suite&amp;"-1"</f>
        <v>G104-1</v>
      </c>
      <c r="B3" s="91"/>
      <c r="C3" s="91"/>
      <c r="D3" s="91"/>
      <c r="E3" s="95"/>
      <c r="F3" s="95"/>
      <c r="G3" s="95"/>
      <c r="H3" s="92"/>
      <c r="I3" s="92"/>
      <c r="J3" s="92"/>
      <c r="K3" s="92"/>
      <c r="L3" s="92"/>
      <c r="M3" s="92"/>
      <c r="N3" s="92"/>
      <c r="O3" s="92"/>
      <c r="P3" s="92"/>
      <c r="Q3" s="92"/>
      <c r="R3" s="92"/>
      <c r="S3" s="92"/>
    </row>
    <row r="4" spans="1:19" s="1" customFormat="1" ht="18.75" x14ac:dyDescent="0.3">
      <c r="A4" s="63" t="str">
        <f>Suite&amp;"-2"</f>
        <v>G104-2</v>
      </c>
      <c r="B4" s="96"/>
      <c r="C4" s="96"/>
      <c r="D4" s="96"/>
      <c r="E4" s="95"/>
      <c r="F4" s="95"/>
      <c r="G4" s="95"/>
      <c r="H4" s="92"/>
      <c r="I4" s="92"/>
      <c r="J4" s="92"/>
      <c r="K4" s="92"/>
      <c r="L4" s="92"/>
      <c r="M4" s="92"/>
      <c r="N4" s="92"/>
      <c r="O4" s="92"/>
      <c r="P4" s="92"/>
      <c r="Q4" s="92"/>
      <c r="R4" s="92"/>
      <c r="S4" s="92"/>
    </row>
    <row r="5" spans="1:19" s="1" customFormat="1" ht="18.75" x14ac:dyDescent="0.3">
      <c r="A5" s="63" t="str">
        <f>Suite&amp;"-3"</f>
        <v>G104-3</v>
      </c>
      <c r="B5" s="91"/>
      <c r="C5" s="91"/>
      <c r="D5" s="91"/>
      <c r="E5" s="95"/>
      <c r="F5" s="95"/>
      <c r="G5" s="95"/>
      <c r="H5" s="92"/>
      <c r="I5" s="92"/>
      <c r="J5" s="92"/>
      <c r="K5" s="92"/>
      <c r="L5" s="92"/>
      <c r="M5" s="92"/>
      <c r="N5" s="92"/>
      <c r="O5" s="92"/>
      <c r="P5" s="92"/>
      <c r="Q5" s="92"/>
      <c r="R5" s="92"/>
      <c r="S5" s="92"/>
    </row>
    <row r="6" spans="1:19" s="1" customFormat="1" ht="18.75" x14ac:dyDescent="0.3">
      <c r="A6" s="63" t="str">
        <f>Suite&amp;"-4"</f>
        <v>G104-4</v>
      </c>
      <c r="B6" s="95"/>
      <c r="C6" s="95"/>
      <c r="D6" s="95"/>
      <c r="E6" s="95"/>
      <c r="F6" s="95"/>
      <c r="G6" s="95"/>
      <c r="H6" s="92"/>
      <c r="I6" s="92"/>
      <c r="J6" s="92"/>
      <c r="K6" s="92"/>
      <c r="L6" s="92"/>
      <c r="M6" s="92"/>
      <c r="N6" s="92"/>
      <c r="O6" s="92"/>
      <c r="P6" s="92"/>
      <c r="Q6" s="92"/>
      <c r="R6" s="92"/>
      <c r="S6" s="92"/>
    </row>
    <row r="7" spans="1:19" s="1" customFormat="1" ht="14.25" x14ac:dyDescent="0.2">
      <c r="A7" s="2"/>
      <c r="B7" s="2"/>
      <c r="C7" s="2"/>
      <c r="D7" s="2"/>
      <c r="E7" s="2"/>
    </row>
    <row r="8" spans="1:19" s="1" customFormat="1" ht="14.25" x14ac:dyDescent="0.2">
      <c r="A8" s="2"/>
      <c r="B8" s="2"/>
      <c r="C8" s="2"/>
      <c r="D8" s="2"/>
      <c r="E8" s="2"/>
    </row>
    <row r="9" spans="1:19" s="1" customFormat="1" ht="14.25" x14ac:dyDescent="0.2">
      <c r="A9" s="2"/>
      <c r="B9" s="2"/>
      <c r="C9" s="2"/>
      <c r="D9" s="2"/>
      <c r="E9" s="2"/>
    </row>
    <row r="10" spans="1:19" s="1" customFormat="1" ht="14.25" x14ac:dyDescent="0.2">
      <c r="A10" s="2"/>
      <c r="B10" s="2"/>
      <c r="C10" s="2"/>
      <c r="D10" s="2"/>
      <c r="E10" s="2"/>
    </row>
    <row r="11" spans="1:19" s="1" customFormat="1" ht="14.25" x14ac:dyDescent="0.2">
      <c r="A11" s="2"/>
      <c r="B11" s="2"/>
      <c r="C11" s="2"/>
      <c r="D11" s="2"/>
      <c r="E11" s="2"/>
    </row>
    <row r="12" spans="1:19" s="1" customFormat="1" ht="14.25" x14ac:dyDescent="0.2">
      <c r="A12" s="2"/>
      <c r="B12" s="2"/>
      <c r="C12" s="2"/>
      <c r="D12" s="2"/>
      <c r="E12" s="2"/>
    </row>
    <row r="13" spans="1:19" s="1" customFormat="1" ht="14.25" x14ac:dyDescent="0.2">
      <c r="A13" s="2"/>
      <c r="B13" s="2"/>
      <c r="C13" s="2"/>
      <c r="D13" s="2"/>
      <c r="E13" s="2"/>
    </row>
    <row r="14" spans="1:19" s="1" customFormat="1" ht="14.25" x14ac:dyDescent="0.2">
      <c r="A14" s="2"/>
      <c r="B14" s="2"/>
      <c r="C14" s="2"/>
      <c r="D14" s="2"/>
      <c r="E14" s="2"/>
    </row>
    <row r="15" spans="1:19" s="1" customFormat="1" ht="14.25" x14ac:dyDescent="0.2">
      <c r="A15" s="2"/>
      <c r="B15" s="2"/>
      <c r="C15" s="2"/>
      <c r="D15" s="2"/>
      <c r="E15" s="2"/>
    </row>
    <row r="16" spans="1:19" s="1" customFormat="1" ht="14.25" x14ac:dyDescent="0.2">
      <c r="A16" s="2"/>
      <c r="B16" s="2"/>
      <c r="C16" s="2"/>
      <c r="D16" s="2"/>
      <c r="E16" s="2"/>
    </row>
    <row r="17" spans="1:15" s="1" customFormat="1" ht="14.25" x14ac:dyDescent="0.2">
      <c r="A17" s="2"/>
      <c r="B17" s="2"/>
      <c r="C17" s="2"/>
      <c r="D17" s="2"/>
      <c r="E17" s="2"/>
    </row>
    <row r="18" spans="1:15" s="1" customFormat="1" ht="14.25" x14ac:dyDescent="0.2">
      <c r="A18" s="2"/>
      <c r="B18" s="2"/>
      <c r="C18" s="2"/>
      <c r="D18" s="2"/>
      <c r="E18" s="2"/>
    </row>
    <row r="19" spans="1:15" s="1" customFormat="1" ht="14.25" x14ac:dyDescent="0.2">
      <c r="A19" s="2"/>
      <c r="B19" s="2"/>
      <c r="C19" s="2"/>
      <c r="D19" s="2"/>
      <c r="E19" s="2"/>
    </row>
    <row r="20" spans="1:15" s="1" customFormat="1" ht="14.25" x14ac:dyDescent="0.2">
      <c r="A20" s="2"/>
      <c r="B20" s="2"/>
      <c r="C20" s="2"/>
      <c r="D20" s="2"/>
      <c r="E20" s="2"/>
    </row>
    <row r="21" spans="1:15" s="1" customFormat="1" ht="14.25" x14ac:dyDescent="0.2">
      <c r="A21" s="2"/>
      <c r="B21" s="2"/>
      <c r="C21" s="2"/>
      <c r="D21" s="2"/>
      <c r="E21" s="2"/>
    </row>
    <row r="22" spans="1:15" s="1" customFormat="1" ht="14.25" x14ac:dyDescent="0.2">
      <c r="A22" s="2"/>
      <c r="B22" s="2"/>
      <c r="C22" s="2"/>
      <c r="D22" s="2"/>
      <c r="E22" s="2"/>
    </row>
    <row r="23" spans="1:15" s="1" customFormat="1" ht="14.25" x14ac:dyDescent="0.2">
      <c r="A23" s="2"/>
      <c r="B23" s="2"/>
      <c r="C23" s="2"/>
      <c r="D23" s="2"/>
      <c r="E23" s="2"/>
    </row>
    <row r="24" spans="1:15" s="1" customFormat="1" ht="14.25" x14ac:dyDescent="0.2">
      <c r="A24" s="2"/>
      <c r="B24" s="2"/>
      <c r="C24" s="2"/>
      <c r="D24" s="2"/>
      <c r="E24" s="2"/>
    </row>
    <row r="25" spans="1:15" s="1" customFormat="1" ht="14.25" x14ac:dyDescent="0.2">
      <c r="A25" s="2"/>
      <c r="B25" s="2"/>
      <c r="C25" s="2"/>
      <c r="D25" s="2"/>
      <c r="E25" s="2"/>
    </row>
    <row r="26" spans="1:15" s="1" customFormat="1" ht="14.25" x14ac:dyDescent="0.2">
      <c r="A26" s="2"/>
      <c r="B26" s="2"/>
      <c r="C26" s="2"/>
      <c r="D26" s="2"/>
      <c r="E26" s="2"/>
    </row>
    <row r="27" spans="1:15" s="1" customFormat="1" ht="14.25" x14ac:dyDescent="0.2">
      <c r="A27" s="2"/>
      <c r="B27" s="2"/>
      <c r="C27" s="2"/>
      <c r="D27" s="2"/>
      <c r="E27" s="2"/>
    </row>
    <row r="28" spans="1:15" s="1" customFormat="1" ht="14.25" x14ac:dyDescent="0.2">
      <c r="A28" s="2"/>
      <c r="B28" s="2"/>
      <c r="C28" s="2"/>
      <c r="D28" s="2"/>
      <c r="E28" s="2"/>
    </row>
    <row r="29" spans="1:15" s="1" customFormat="1" ht="14.25" x14ac:dyDescent="0.2">
      <c r="A29" s="2"/>
      <c r="B29" s="2"/>
      <c r="C29" s="2"/>
      <c r="D29" s="2"/>
      <c r="E29" s="2"/>
    </row>
    <row r="30" spans="1:15" s="1" customFormat="1" ht="14.25" x14ac:dyDescent="0.2">
      <c r="A30" s="2"/>
      <c r="B30" s="2"/>
      <c r="C30" s="2"/>
      <c r="D30" s="2"/>
      <c r="E30" s="2"/>
    </row>
    <row r="31" spans="1:15" s="1" customFormat="1" x14ac:dyDescent="0.25">
      <c r="A31" s="2"/>
      <c r="B31" s="2"/>
      <c r="C31" s="2"/>
      <c r="D31"/>
      <c r="E31"/>
    </row>
    <row r="32" spans="1:15" s="1" customFormat="1" x14ac:dyDescent="0.25">
      <c r="A32" s="2"/>
      <c r="B32" s="2"/>
      <c r="C32" s="2"/>
      <c r="D32"/>
      <c r="E32"/>
      <c r="G32"/>
      <c r="H32"/>
      <c r="I32"/>
      <c r="J32"/>
      <c r="K32"/>
      <c r="L32"/>
      <c r="M32"/>
      <c r="N32"/>
      <c r="O32"/>
    </row>
    <row r="33" spans="1:18" s="1" customFormat="1" x14ac:dyDescent="0.25">
      <c r="A33" s="2"/>
      <c r="B33" s="2"/>
      <c r="C33" s="2"/>
      <c r="D33"/>
      <c r="E33"/>
      <c r="G33"/>
      <c r="H33"/>
      <c r="I33"/>
      <c r="J33"/>
      <c r="K33"/>
      <c r="L33"/>
      <c r="M33"/>
      <c r="N33"/>
      <c r="O33"/>
    </row>
    <row r="34" spans="1:18" s="1" customFormat="1" x14ac:dyDescent="0.25">
      <c r="A34" s="2"/>
      <c r="B34" s="2"/>
      <c r="C34" s="2"/>
      <c r="D34"/>
      <c r="E34"/>
      <c r="G34"/>
      <c r="H34"/>
      <c r="I34"/>
      <c r="J34"/>
      <c r="K34"/>
      <c r="L34"/>
      <c r="M34"/>
      <c r="N34"/>
      <c r="O34"/>
    </row>
    <row r="35" spans="1:18" s="1" customFormat="1" x14ac:dyDescent="0.25">
      <c r="A35" s="2"/>
      <c r="B35" s="2"/>
      <c r="C35" s="2"/>
      <c r="D35"/>
      <c r="E35"/>
      <c r="G35"/>
      <c r="H35"/>
      <c r="I35"/>
      <c r="J35"/>
      <c r="K35"/>
      <c r="L35"/>
      <c r="M35"/>
      <c r="N35"/>
      <c r="O35"/>
    </row>
    <row r="36" spans="1:18" s="1" customFormat="1" x14ac:dyDescent="0.25">
      <c r="A36" s="2"/>
      <c r="B36" s="2"/>
      <c r="C36" s="2"/>
      <c r="D36"/>
      <c r="E36"/>
      <c r="G36"/>
      <c r="H36"/>
      <c r="I36"/>
      <c r="J36"/>
      <c r="K36"/>
      <c r="L36"/>
      <c r="M36"/>
      <c r="N36"/>
      <c r="O36"/>
    </row>
    <row r="37" spans="1:18" s="1" customFormat="1" x14ac:dyDescent="0.25">
      <c r="A37" s="2"/>
      <c r="B37" s="2"/>
      <c r="C37" s="2"/>
      <c r="D37"/>
      <c r="E37"/>
      <c r="G37"/>
      <c r="H37"/>
      <c r="I37"/>
      <c r="J37"/>
      <c r="K37"/>
      <c r="L37"/>
      <c r="M37"/>
      <c r="N37"/>
      <c r="O37"/>
    </row>
    <row r="38" spans="1:18" s="1" customFormat="1" x14ac:dyDescent="0.25">
      <c r="A38"/>
      <c r="B38"/>
      <c r="C38"/>
      <c r="D38"/>
      <c r="E38"/>
      <c r="G38"/>
      <c r="H38"/>
      <c r="I38"/>
      <c r="J38"/>
      <c r="K38"/>
      <c r="L38"/>
      <c r="M38"/>
      <c r="N38"/>
      <c r="O38"/>
    </row>
    <row r="39" spans="1:18" s="1" customFormat="1" x14ac:dyDescent="0.25">
      <c r="A39"/>
      <c r="B39"/>
      <c r="C39"/>
      <c r="D39"/>
      <c r="E39"/>
      <c r="F39"/>
      <c r="G39"/>
      <c r="H39"/>
      <c r="I39"/>
      <c r="J39"/>
      <c r="K39"/>
      <c r="L39"/>
      <c r="M39"/>
      <c r="N39"/>
      <c r="O39"/>
    </row>
    <row r="40" spans="1:18" s="1" customFormat="1" x14ac:dyDescent="0.25">
      <c r="A40"/>
      <c r="B40"/>
      <c r="C40"/>
      <c r="D40"/>
      <c r="E40"/>
      <c r="F40"/>
      <c r="G40"/>
      <c r="H40"/>
      <c r="I40"/>
      <c r="J40"/>
      <c r="K40"/>
      <c r="L40"/>
      <c r="M40"/>
      <c r="N40"/>
      <c r="O40"/>
    </row>
    <row r="41" spans="1:18" s="1" customFormat="1" x14ac:dyDescent="0.25">
      <c r="A41"/>
      <c r="B41"/>
      <c r="C41"/>
      <c r="D41"/>
      <c r="E41"/>
      <c r="F41"/>
      <c r="G41"/>
      <c r="H41"/>
      <c r="I41"/>
      <c r="J41"/>
      <c r="K41"/>
      <c r="L41"/>
      <c r="M41"/>
      <c r="N41"/>
      <c r="O41"/>
    </row>
    <row r="42" spans="1:18" s="1" customFormat="1" x14ac:dyDescent="0.25">
      <c r="A42"/>
      <c r="B42"/>
      <c r="C42"/>
      <c r="D42"/>
      <c r="E42"/>
      <c r="F42"/>
      <c r="G42"/>
      <c r="H42"/>
      <c r="I42"/>
      <c r="J42"/>
      <c r="K42"/>
      <c r="L42"/>
      <c r="M42"/>
      <c r="N42"/>
      <c r="O42"/>
    </row>
    <row r="43" spans="1:18" s="1" customFormat="1" x14ac:dyDescent="0.25">
      <c r="A43"/>
      <c r="B43"/>
      <c r="C43"/>
      <c r="D43"/>
      <c r="E43"/>
      <c r="F43"/>
      <c r="G43"/>
      <c r="H43"/>
      <c r="I43"/>
      <c r="J43"/>
      <c r="K43"/>
      <c r="L43"/>
      <c r="M43"/>
      <c r="N43"/>
      <c r="O43"/>
    </row>
    <row r="44" spans="1:18" s="1" customFormat="1" x14ac:dyDescent="0.25">
      <c r="A44"/>
      <c r="B44"/>
      <c r="C44"/>
      <c r="D44"/>
      <c r="E44"/>
      <c r="F44"/>
      <c r="G44"/>
      <c r="H44"/>
      <c r="I44"/>
      <c r="J44"/>
      <c r="K44"/>
      <c r="L44"/>
      <c r="M44"/>
      <c r="N44"/>
      <c r="O44"/>
    </row>
    <row r="45" spans="1:18" s="1" customFormat="1" x14ac:dyDescent="0.25">
      <c r="A45"/>
      <c r="B45"/>
      <c r="C45"/>
      <c r="D45"/>
      <c r="E45"/>
      <c r="F45"/>
      <c r="G45"/>
      <c r="H45"/>
      <c r="I45"/>
      <c r="J45"/>
      <c r="K45"/>
      <c r="L45"/>
      <c r="M45"/>
      <c r="N45"/>
      <c r="O45"/>
    </row>
    <row r="46" spans="1:18" s="1" customFormat="1" x14ac:dyDescent="0.25">
      <c r="A46"/>
      <c r="B46"/>
      <c r="C46"/>
      <c r="D46"/>
      <c r="E46"/>
      <c r="F46"/>
      <c r="G46"/>
      <c r="H46"/>
      <c r="I46"/>
      <c r="J46"/>
      <c r="K46"/>
      <c r="L46"/>
      <c r="M46"/>
      <c r="N46"/>
      <c r="O46"/>
      <c r="P46"/>
    </row>
    <row r="47" spans="1:18" s="1" customFormat="1" x14ac:dyDescent="0.25">
      <c r="A47"/>
      <c r="B47"/>
      <c r="C47"/>
      <c r="D47"/>
      <c r="E47"/>
      <c r="F47"/>
      <c r="G47"/>
      <c r="H47"/>
      <c r="I47"/>
      <c r="J47"/>
      <c r="K47"/>
      <c r="L47"/>
      <c r="M47"/>
      <c r="N47"/>
      <c r="O47"/>
      <c r="P47"/>
      <c r="Q47"/>
      <c r="R47"/>
    </row>
    <row r="48" spans="1:18" s="1" customFormat="1" x14ac:dyDescent="0.25">
      <c r="A48"/>
      <c r="B48"/>
      <c r="C48"/>
      <c r="D48"/>
      <c r="E48"/>
      <c r="F48"/>
      <c r="G48"/>
      <c r="H48"/>
      <c r="I48"/>
      <c r="J48"/>
      <c r="K48"/>
      <c r="L48"/>
      <c r="M48"/>
      <c r="N48"/>
      <c r="O48"/>
      <c r="P48"/>
      <c r="Q48"/>
      <c r="R48"/>
    </row>
    <row r="49" spans="1:18" s="1" customFormat="1" x14ac:dyDescent="0.25">
      <c r="A49"/>
      <c r="B49"/>
      <c r="C49"/>
      <c r="D49"/>
      <c r="E49"/>
      <c r="F49"/>
      <c r="G49"/>
      <c r="H49"/>
      <c r="I49"/>
      <c r="J49"/>
      <c r="K49"/>
      <c r="L49"/>
      <c r="M49"/>
      <c r="N49"/>
      <c r="O49"/>
      <c r="P49"/>
      <c r="Q49"/>
      <c r="R49"/>
    </row>
    <row r="50" spans="1:18" s="1" customFormat="1" x14ac:dyDescent="0.25">
      <c r="A50"/>
      <c r="B50"/>
      <c r="C50"/>
      <c r="D50"/>
      <c r="E50"/>
      <c r="F50"/>
      <c r="G50"/>
      <c r="H50"/>
      <c r="I50"/>
      <c r="J50"/>
      <c r="K50"/>
      <c r="L50"/>
      <c r="M50"/>
      <c r="N50"/>
      <c r="O50"/>
      <c r="P50"/>
      <c r="Q50"/>
      <c r="R50"/>
    </row>
    <row r="51" spans="1:18" s="1" customFormat="1" x14ac:dyDescent="0.25">
      <c r="A51"/>
      <c r="B51"/>
      <c r="C51"/>
      <c r="D51"/>
      <c r="E51"/>
      <c r="F51"/>
      <c r="G51"/>
      <c r="H51"/>
      <c r="I51"/>
      <c r="J51"/>
      <c r="K51"/>
      <c r="L51"/>
      <c r="M51"/>
      <c r="N51"/>
      <c r="O51"/>
      <c r="P51"/>
      <c r="Q51"/>
      <c r="R51"/>
    </row>
    <row r="52" spans="1:18" s="1" customFormat="1" x14ac:dyDescent="0.25">
      <c r="A52"/>
      <c r="B52"/>
      <c r="C52"/>
      <c r="D52"/>
      <c r="E52"/>
      <c r="F52"/>
      <c r="G52"/>
      <c r="H52"/>
      <c r="I52"/>
      <c r="J52"/>
      <c r="K52"/>
      <c r="L52"/>
      <c r="M52"/>
      <c r="N52"/>
      <c r="O52"/>
      <c r="P52"/>
      <c r="Q52"/>
      <c r="R52"/>
    </row>
    <row r="53" spans="1:18" s="1" customFormat="1" x14ac:dyDescent="0.25">
      <c r="A53"/>
      <c r="B53"/>
      <c r="C53"/>
      <c r="D53"/>
      <c r="E53"/>
      <c r="F53"/>
      <c r="G53"/>
      <c r="H53"/>
      <c r="I53"/>
      <c r="J53"/>
      <c r="K53"/>
      <c r="L53"/>
      <c r="M53"/>
      <c r="N53"/>
      <c r="O53"/>
      <c r="P53"/>
      <c r="Q53"/>
      <c r="R53"/>
    </row>
    <row r="54" spans="1:18" s="1" customFormat="1" x14ac:dyDescent="0.25">
      <c r="A54"/>
      <c r="B54"/>
      <c r="C54"/>
      <c r="D54"/>
      <c r="E54"/>
      <c r="F54"/>
      <c r="G54"/>
      <c r="H54"/>
      <c r="I54"/>
      <c r="J54"/>
      <c r="K54"/>
      <c r="L54"/>
      <c r="M54"/>
      <c r="N54"/>
      <c r="O54"/>
      <c r="P54"/>
      <c r="Q54"/>
      <c r="R54"/>
    </row>
    <row r="55" spans="1:18" s="1" customFormat="1" x14ac:dyDescent="0.25">
      <c r="A55"/>
      <c r="B55"/>
      <c r="C55"/>
      <c r="D55"/>
      <c r="E55"/>
      <c r="F55"/>
      <c r="G55"/>
      <c r="H55"/>
      <c r="I55"/>
      <c r="J55"/>
      <c r="K55"/>
      <c r="L55"/>
      <c r="M55"/>
      <c r="N55"/>
      <c r="O55"/>
      <c r="P55"/>
      <c r="Q55"/>
      <c r="R55"/>
    </row>
    <row r="56" spans="1:18" s="1" customFormat="1" x14ac:dyDescent="0.25">
      <c r="A56"/>
      <c r="B56"/>
      <c r="C56"/>
      <c r="D56"/>
      <c r="E56"/>
      <c r="F56"/>
      <c r="G56"/>
      <c r="H56"/>
      <c r="I56"/>
      <c r="J56"/>
      <c r="K56"/>
      <c r="L56"/>
      <c r="M56"/>
      <c r="N56"/>
      <c r="O56"/>
      <c r="P56"/>
      <c r="Q56"/>
      <c r="R56"/>
    </row>
    <row r="57" spans="1:18" s="1" customFormat="1" x14ac:dyDescent="0.25">
      <c r="A57"/>
      <c r="B57"/>
      <c r="C57"/>
      <c r="D57"/>
      <c r="E57"/>
      <c r="F57"/>
      <c r="G57"/>
      <c r="H57"/>
      <c r="I57"/>
      <c r="J57"/>
      <c r="K57"/>
      <c r="L57"/>
      <c r="M57"/>
      <c r="N57"/>
      <c r="O57"/>
      <c r="P57"/>
      <c r="Q57"/>
      <c r="R57"/>
    </row>
    <row r="58" spans="1:18" s="1" customFormat="1" x14ac:dyDescent="0.25">
      <c r="A58"/>
      <c r="B58"/>
      <c r="C58"/>
      <c r="D58"/>
      <c r="E58"/>
      <c r="F58"/>
      <c r="G58"/>
      <c r="H58"/>
      <c r="I58"/>
      <c r="J58"/>
      <c r="K58"/>
      <c r="L58"/>
      <c r="M58"/>
      <c r="N58"/>
      <c r="O58"/>
      <c r="P58"/>
      <c r="Q58"/>
      <c r="R58"/>
    </row>
    <row r="59" spans="1:18" s="1" customFormat="1" x14ac:dyDescent="0.25">
      <c r="A59"/>
      <c r="B59"/>
      <c r="C59"/>
      <c r="D59"/>
      <c r="E59"/>
      <c r="F59"/>
      <c r="G59"/>
      <c r="H59"/>
      <c r="I59"/>
      <c r="J59"/>
      <c r="K59"/>
      <c r="L59"/>
      <c r="M59"/>
      <c r="N59"/>
      <c r="O59"/>
      <c r="P59"/>
      <c r="Q59"/>
      <c r="R59"/>
    </row>
    <row r="60" spans="1:18" s="1" customFormat="1" x14ac:dyDescent="0.25">
      <c r="A60"/>
      <c r="B60"/>
      <c r="C60"/>
      <c r="D60"/>
      <c r="E60"/>
      <c r="F60"/>
      <c r="G60"/>
      <c r="H60"/>
      <c r="I60"/>
      <c r="J60"/>
      <c r="K60"/>
      <c r="L60"/>
      <c r="M60"/>
      <c r="N60"/>
      <c r="O60"/>
      <c r="P60"/>
      <c r="Q60"/>
      <c r="R60"/>
    </row>
    <row r="61" spans="1:18" s="1" customFormat="1" x14ac:dyDescent="0.25">
      <c r="A61"/>
      <c r="B61"/>
      <c r="C61"/>
      <c r="D61"/>
      <c r="E61"/>
      <c r="F61"/>
      <c r="G61"/>
      <c r="H61"/>
      <c r="I61"/>
      <c r="J61"/>
      <c r="K61"/>
      <c r="L61"/>
      <c r="M61"/>
      <c r="N61"/>
      <c r="O61"/>
      <c r="P61"/>
      <c r="Q61"/>
      <c r="R61"/>
    </row>
    <row r="62" spans="1:18" s="1" customFormat="1" x14ac:dyDescent="0.25">
      <c r="A62"/>
      <c r="B62"/>
      <c r="C62"/>
      <c r="D62"/>
      <c r="E62"/>
      <c r="F62"/>
      <c r="G62"/>
      <c r="H62"/>
      <c r="I62"/>
      <c r="J62"/>
      <c r="K62"/>
      <c r="L62"/>
      <c r="M62"/>
      <c r="N62"/>
      <c r="O62"/>
      <c r="P62"/>
      <c r="Q62"/>
      <c r="R62"/>
    </row>
  </sheetData>
  <sheetProtection formatCells="0" formatRows="0" insertHyperlinks="0" deleteRows="0" sort="0" autoFilter="0"/>
  <mergeCells count="1">
    <mergeCell ref="A1:G1"/>
  </mergeCells>
  <printOptions horizontalCentered="1"/>
  <pageMargins left="0.2" right="0.2" top="0.45" bottom="0.25" header="0.05" footer="0.05"/>
  <pageSetup scale="94"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C52E5-3984-48E3-B9FD-4AA86FE74A67}">
  <sheetPr codeName="RT_Split_System">
    <pageSetUpPr fitToPage="1"/>
  </sheetPr>
  <dimension ref="A1:U62"/>
  <sheetViews>
    <sheetView view="pageBreakPreview" zoomScale="90" zoomScaleNormal="100" zoomScaleSheetLayoutView="90" workbookViewId="0">
      <selection activeCell="K12" sqref="K12"/>
    </sheetView>
  </sheetViews>
  <sheetFormatPr defaultColWidth="2.5703125" defaultRowHeight="15" x14ac:dyDescent="0.25"/>
  <cols>
    <col min="1" max="1" width="12.140625" customWidth="1"/>
    <col min="2" max="2" width="9.140625" customWidth="1"/>
    <col min="3" max="3" width="21.5703125" customWidth="1"/>
    <col min="4" max="4" width="19" customWidth="1"/>
    <col min="5" max="5" width="25.28515625" customWidth="1"/>
    <col min="6" max="6" width="17.85546875" bestFit="1" customWidth="1"/>
    <col min="7" max="7" width="17.85546875" customWidth="1"/>
    <col min="8" max="8" width="19.7109375" bestFit="1" customWidth="1"/>
    <col min="9" max="9" width="22.85546875" bestFit="1" customWidth="1"/>
    <col min="10" max="26" width="6.7109375" customWidth="1"/>
  </cols>
  <sheetData>
    <row r="1" spans="1:21" ht="18.399999999999999" customHeight="1" x14ac:dyDescent="0.3">
      <c r="A1" s="767" t="s">
        <v>3548</v>
      </c>
      <c r="B1" s="768"/>
      <c r="C1" s="768"/>
      <c r="D1" s="768"/>
      <c r="E1" s="768"/>
      <c r="F1" s="768"/>
      <c r="G1" s="768"/>
      <c r="H1" s="768"/>
      <c r="I1" s="769"/>
      <c r="J1" s="92"/>
      <c r="K1" s="92"/>
      <c r="L1" s="92"/>
      <c r="M1" s="92"/>
      <c r="N1" s="92"/>
      <c r="O1" s="92"/>
      <c r="P1" s="92"/>
      <c r="Q1" s="92"/>
      <c r="R1" s="92"/>
      <c r="S1" s="92"/>
      <c r="T1" s="92"/>
      <c r="U1" s="92"/>
    </row>
    <row r="2" spans="1:21" s="1" customFormat="1" ht="30" x14ac:dyDescent="0.3">
      <c r="A2" s="93" t="s">
        <v>3568</v>
      </c>
      <c r="B2" s="93" t="s">
        <v>3550</v>
      </c>
      <c r="C2" s="93" t="s">
        <v>3562</v>
      </c>
      <c r="D2" s="93" t="s">
        <v>3569</v>
      </c>
      <c r="E2" s="93" t="s">
        <v>3570</v>
      </c>
      <c r="F2" s="115" t="s">
        <v>3571</v>
      </c>
      <c r="G2" s="115" t="s">
        <v>3572</v>
      </c>
      <c r="H2" s="115" t="s">
        <v>3573</v>
      </c>
      <c r="I2" s="115" t="s">
        <v>3574</v>
      </c>
      <c r="J2" s="92"/>
      <c r="K2" s="92"/>
      <c r="L2" s="92"/>
      <c r="M2" s="92"/>
      <c r="N2" s="92"/>
      <c r="O2" s="92"/>
      <c r="P2" s="92"/>
      <c r="Q2" s="92"/>
      <c r="R2" s="92"/>
      <c r="S2" s="92"/>
      <c r="T2" s="92"/>
      <c r="U2" s="92"/>
    </row>
    <row r="3" spans="1:21" s="1" customFormat="1" ht="18.75" x14ac:dyDescent="0.3">
      <c r="A3" s="63" t="str">
        <f>Suite&amp;"-1"</f>
        <v>G104-1</v>
      </c>
      <c r="B3" s="91"/>
      <c r="C3" s="91"/>
      <c r="D3" s="91"/>
      <c r="E3" s="95"/>
      <c r="F3" s="95"/>
      <c r="G3" s="95"/>
      <c r="H3" s="95"/>
      <c r="I3" s="95"/>
      <c r="J3" s="92"/>
      <c r="K3" s="92"/>
      <c r="L3" s="92"/>
      <c r="M3" s="92"/>
      <c r="N3" s="92"/>
      <c r="O3" s="92"/>
      <c r="P3" s="92"/>
      <c r="Q3" s="92"/>
      <c r="R3" s="92"/>
      <c r="S3" s="92"/>
      <c r="T3" s="92"/>
      <c r="U3" s="92"/>
    </row>
    <row r="4" spans="1:21" s="1" customFormat="1" ht="18.75" x14ac:dyDescent="0.3">
      <c r="A4" s="63" t="str">
        <f>Suite&amp;"-2"</f>
        <v>G104-2</v>
      </c>
      <c r="B4" s="96"/>
      <c r="C4" s="96"/>
      <c r="D4" s="96"/>
      <c r="E4" s="95"/>
      <c r="F4" s="95"/>
      <c r="G4" s="95"/>
      <c r="H4" s="95"/>
      <c r="I4" s="95"/>
      <c r="J4" s="92"/>
      <c r="K4" s="92"/>
      <c r="L4" s="92"/>
      <c r="M4" s="92"/>
      <c r="N4" s="92"/>
      <c r="O4" s="92"/>
      <c r="P4" s="92"/>
      <c r="Q4" s="92"/>
      <c r="R4" s="92"/>
      <c r="S4" s="92"/>
      <c r="T4" s="92"/>
      <c r="U4" s="92"/>
    </row>
    <row r="5" spans="1:21" s="1" customFormat="1" ht="18.75" x14ac:dyDescent="0.3">
      <c r="A5" s="63" t="str">
        <f>Suite&amp;"-3"</f>
        <v>G104-3</v>
      </c>
      <c r="B5" s="91"/>
      <c r="C5" s="91"/>
      <c r="D5" s="91"/>
      <c r="E5" s="95"/>
      <c r="F5" s="95"/>
      <c r="G5" s="95"/>
      <c r="H5" s="95"/>
      <c r="I5" s="95"/>
      <c r="J5" s="92"/>
      <c r="K5" s="92"/>
      <c r="L5" s="92"/>
      <c r="M5" s="92"/>
      <c r="N5" s="92"/>
      <c r="O5" s="92"/>
      <c r="P5" s="92"/>
      <c r="Q5" s="92"/>
      <c r="R5" s="92"/>
      <c r="S5" s="92"/>
      <c r="T5" s="92"/>
      <c r="U5" s="92"/>
    </row>
    <row r="6" spans="1:21" s="1" customFormat="1" ht="18.75" x14ac:dyDescent="0.3">
      <c r="A6" s="63" t="str">
        <f>Suite&amp;"-4"</f>
        <v>G104-4</v>
      </c>
      <c r="B6" s="95"/>
      <c r="C6" s="95"/>
      <c r="D6" s="95"/>
      <c r="E6" s="95"/>
      <c r="F6" s="95"/>
      <c r="G6" s="95"/>
      <c r="H6" s="95"/>
      <c r="I6" s="95"/>
      <c r="J6" s="92"/>
      <c r="K6" s="92"/>
      <c r="L6" s="92"/>
      <c r="M6" s="92"/>
      <c r="N6" s="92"/>
      <c r="O6" s="92"/>
      <c r="P6" s="92"/>
      <c r="Q6" s="92"/>
      <c r="R6" s="92"/>
      <c r="S6" s="92"/>
      <c r="T6" s="92"/>
      <c r="U6" s="92"/>
    </row>
    <row r="7" spans="1:21" s="1" customFormat="1" ht="18.75" x14ac:dyDescent="0.3">
      <c r="A7" s="63" t="str">
        <f>Suite&amp;"-5"</f>
        <v>G104-5</v>
      </c>
      <c r="B7" s="91"/>
      <c r="C7" s="91"/>
      <c r="D7" s="91"/>
      <c r="E7" s="95"/>
      <c r="F7" s="95"/>
      <c r="G7" s="95"/>
      <c r="H7" s="95"/>
      <c r="I7" s="95"/>
      <c r="J7" s="92"/>
      <c r="K7" s="92"/>
      <c r="L7" s="92"/>
      <c r="M7" s="92"/>
      <c r="N7" s="92"/>
      <c r="O7" s="92"/>
      <c r="P7" s="92"/>
      <c r="Q7" s="92"/>
      <c r="R7" s="92"/>
      <c r="S7" s="92"/>
      <c r="T7" s="92"/>
      <c r="U7" s="92"/>
    </row>
    <row r="8" spans="1:21" s="1" customFormat="1" ht="18.75" x14ac:dyDescent="0.3">
      <c r="A8" s="63" t="str">
        <f>Suite&amp;"-6"</f>
        <v>G104-6</v>
      </c>
      <c r="B8" s="96"/>
      <c r="C8" s="96"/>
      <c r="D8" s="96"/>
      <c r="E8" s="95"/>
      <c r="F8" s="95"/>
      <c r="G8" s="95"/>
      <c r="H8" s="95"/>
      <c r="I8" s="95"/>
      <c r="J8" s="92"/>
      <c r="K8" s="92"/>
      <c r="L8" s="92"/>
      <c r="M8" s="92"/>
      <c r="N8" s="92"/>
      <c r="O8" s="92"/>
      <c r="P8" s="92"/>
      <c r="Q8" s="92"/>
      <c r="R8" s="92"/>
      <c r="S8" s="92"/>
      <c r="T8" s="92"/>
      <c r="U8" s="92"/>
    </row>
    <row r="9" spans="1:21" s="1" customFormat="1" ht="18.75" customHeight="1" x14ac:dyDescent="0.3">
      <c r="A9" s="63" t="str">
        <f>Suite&amp;"-7"</f>
        <v>G104-7</v>
      </c>
      <c r="B9" s="91"/>
      <c r="C9" s="91"/>
      <c r="D9" s="91"/>
      <c r="E9" s="95"/>
      <c r="F9" s="95"/>
      <c r="G9" s="95"/>
      <c r="H9" s="95"/>
      <c r="I9" s="95"/>
      <c r="J9" s="92"/>
      <c r="K9" s="92"/>
      <c r="L9" s="92"/>
      <c r="M9" s="92"/>
      <c r="N9" s="92"/>
      <c r="O9" s="92"/>
      <c r="P9" s="92"/>
      <c r="Q9" s="92"/>
      <c r="R9" s="92"/>
      <c r="S9" s="92"/>
      <c r="T9" s="92"/>
      <c r="U9" s="92"/>
    </row>
    <row r="10" spans="1:21" s="1" customFormat="1" ht="18.75" customHeight="1" x14ac:dyDescent="0.3">
      <c r="A10" s="63" t="str">
        <f>Suite&amp;"-8"</f>
        <v>G104-8</v>
      </c>
      <c r="B10" s="95"/>
      <c r="C10" s="95"/>
      <c r="D10" s="95"/>
      <c r="E10" s="95"/>
      <c r="F10" s="95"/>
      <c r="G10" s="95"/>
      <c r="H10" s="95"/>
      <c r="I10" s="95"/>
      <c r="J10" s="92"/>
      <c r="K10" s="92"/>
      <c r="L10" s="92"/>
      <c r="M10" s="92"/>
      <c r="N10" s="92"/>
      <c r="O10" s="92"/>
      <c r="P10" s="92"/>
      <c r="Q10" s="92"/>
      <c r="R10" s="92"/>
      <c r="S10" s="92"/>
      <c r="T10" s="92"/>
      <c r="U10" s="92"/>
    </row>
    <row r="11" spans="1:21" s="1" customFormat="1" ht="18.75" customHeight="1" x14ac:dyDescent="0.25">
      <c r="A11" s="63" t="str">
        <f>Suite&amp;"-9"</f>
        <v>G104-9</v>
      </c>
      <c r="B11" s="95"/>
      <c r="C11" s="95"/>
      <c r="D11" s="95"/>
      <c r="E11" s="95"/>
      <c r="F11" s="95"/>
      <c r="G11" s="95"/>
      <c r="H11" s="95"/>
      <c r="I11" s="95"/>
    </row>
    <row r="12" spans="1:21" s="1" customFormat="1" ht="18.75" customHeight="1" x14ac:dyDescent="0.25">
      <c r="A12" s="63" t="str">
        <f>Suite&amp;"-10"</f>
        <v>G104-10</v>
      </c>
      <c r="B12" s="95"/>
      <c r="C12" s="95"/>
      <c r="D12" s="95"/>
      <c r="E12" s="95"/>
      <c r="F12" s="95"/>
      <c r="G12" s="95"/>
      <c r="H12" s="95"/>
      <c r="I12" s="95"/>
    </row>
    <row r="13" spans="1:21" s="1" customFormat="1" ht="18.75" customHeight="1" x14ac:dyDescent="0.25">
      <c r="A13" s="63" t="str">
        <f>Suite&amp;"-11"</f>
        <v>G104-11</v>
      </c>
      <c r="B13" s="95"/>
      <c r="C13" s="95"/>
      <c r="D13" s="95"/>
      <c r="E13" s="95"/>
      <c r="F13" s="95"/>
      <c r="G13" s="95"/>
      <c r="H13" s="95"/>
      <c r="I13" s="95"/>
    </row>
    <row r="14" spans="1:21" s="1" customFormat="1" ht="18.75" customHeight="1" x14ac:dyDescent="0.25">
      <c r="A14" s="63" t="str">
        <f>Suite&amp;"-12"</f>
        <v>G104-12</v>
      </c>
      <c r="B14" s="95"/>
      <c r="C14" s="95"/>
      <c r="D14" s="95"/>
      <c r="E14" s="95"/>
      <c r="F14" s="95"/>
      <c r="G14" s="95"/>
      <c r="H14" s="95"/>
      <c r="I14" s="95"/>
    </row>
    <row r="15" spans="1:21" s="1" customFormat="1" ht="14.25" x14ac:dyDescent="0.2">
      <c r="A15" s="2"/>
      <c r="B15" s="2"/>
      <c r="C15" s="2"/>
      <c r="D15" s="2"/>
      <c r="E15" s="2"/>
    </row>
    <row r="16" spans="1:21" s="1" customFormat="1" ht="14.25" x14ac:dyDescent="0.2">
      <c r="A16" s="2"/>
      <c r="B16" s="2"/>
      <c r="C16" s="2"/>
      <c r="D16" s="2"/>
      <c r="E16" s="2"/>
    </row>
    <row r="17" spans="1:17" s="1" customFormat="1" ht="14.25" x14ac:dyDescent="0.2">
      <c r="A17" s="2"/>
      <c r="B17" s="2"/>
      <c r="C17" s="2"/>
      <c r="D17" s="2"/>
      <c r="E17" s="2"/>
    </row>
    <row r="18" spans="1:17" s="1" customFormat="1" ht="14.25" x14ac:dyDescent="0.2">
      <c r="A18" s="2"/>
      <c r="B18" s="2"/>
      <c r="C18" s="2"/>
      <c r="D18" s="2"/>
      <c r="E18" s="2"/>
    </row>
    <row r="19" spans="1:17" s="1" customFormat="1" ht="14.25" x14ac:dyDescent="0.2">
      <c r="A19" s="2"/>
      <c r="B19" s="2"/>
      <c r="C19" s="2"/>
      <c r="D19" s="2"/>
      <c r="E19" s="2"/>
    </row>
    <row r="20" spans="1:17" s="1" customFormat="1" ht="14.25" x14ac:dyDescent="0.2">
      <c r="A20" s="2"/>
      <c r="B20" s="2"/>
      <c r="C20" s="2"/>
      <c r="D20" s="2"/>
      <c r="E20" s="2"/>
    </row>
    <row r="21" spans="1:17" s="1" customFormat="1" ht="14.25" x14ac:dyDescent="0.2">
      <c r="A21" s="2"/>
      <c r="B21" s="2"/>
      <c r="C21" s="2"/>
      <c r="D21" s="2"/>
      <c r="E21" s="2"/>
    </row>
    <row r="22" spans="1:17" s="1" customFormat="1" ht="14.25" x14ac:dyDescent="0.2">
      <c r="A22" s="2"/>
      <c r="B22" s="2"/>
      <c r="C22" s="2"/>
      <c r="D22" s="2"/>
      <c r="E22" s="2"/>
    </row>
    <row r="23" spans="1:17" s="1" customFormat="1" ht="14.25" x14ac:dyDescent="0.2">
      <c r="A23" s="2"/>
      <c r="B23" s="2"/>
      <c r="C23" s="2"/>
      <c r="D23" s="2"/>
      <c r="E23" s="2"/>
    </row>
    <row r="24" spans="1:17" s="1" customFormat="1" ht="14.25" x14ac:dyDescent="0.2">
      <c r="A24" s="2"/>
      <c r="B24" s="2"/>
      <c r="C24" s="2"/>
      <c r="D24" s="2"/>
      <c r="E24" s="2"/>
    </row>
    <row r="25" spans="1:17" s="1" customFormat="1" ht="14.25" x14ac:dyDescent="0.2">
      <c r="A25" s="2"/>
      <c r="B25" s="2"/>
      <c r="C25" s="2"/>
      <c r="D25" s="2"/>
      <c r="E25" s="2"/>
    </row>
    <row r="26" spans="1:17" s="1" customFormat="1" ht="14.25" x14ac:dyDescent="0.2">
      <c r="A26" s="2"/>
      <c r="B26" s="2"/>
      <c r="C26" s="2"/>
      <c r="D26" s="2"/>
      <c r="E26" s="2"/>
    </row>
    <row r="27" spans="1:17" s="1" customFormat="1" ht="14.25" x14ac:dyDescent="0.2">
      <c r="A27" s="2"/>
      <c r="B27" s="2"/>
      <c r="C27" s="2"/>
      <c r="D27" s="2"/>
      <c r="E27" s="2"/>
    </row>
    <row r="28" spans="1:17" s="1" customFormat="1" ht="14.25" x14ac:dyDescent="0.2">
      <c r="A28" s="2"/>
      <c r="B28" s="2"/>
      <c r="C28" s="2"/>
      <c r="D28" s="2"/>
      <c r="E28" s="2"/>
    </row>
    <row r="29" spans="1:17" s="1" customFormat="1" ht="14.25" x14ac:dyDescent="0.2">
      <c r="A29" s="2"/>
      <c r="B29" s="2"/>
      <c r="C29" s="2"/>
      <c r="D29" s="2"/>
      <c r="E29" s="2"/>
    </row>
    <row r="30" spans="1:17" s="1" customFormat="1" ht="14.25" x14ac:dyDescent="0.2">
      <c r="A30" s="2"/>
      <c r="B30" s="2"/>
      <c r="C30" s="2"/>
      <c r="D30" s="2"/>
      <c r="E30" s="2"/>
    </row>
    <row r="31" spans="1:17" s="1" customFormat="1" x14ac:dyDescent="0.25">
      <c r="A31" s="2"/>
      <c r="B31" s="2"/>
      <c r="C31" s="2"/>
      <c r="D31"/>
      <c r="E31"/>
    </row>
    <row r="32" spans="1:17" s="1" customFormat="1" x14ac:dyDescent="0.25">
      <c r="A32" s="2"/>
      <c r="B32" s="2"/>
      <c r="C32" s="2"/>
      <c r="D32"/>
      <c r="E32"/>
      <c r="H32"/>
      <c r="I32"/>
      <c r="J32"/>
      <c r="K32"/>
      <c r="L32"/>
      <c r="M32"/>
      <c r="N32"/>
      <c r="O32"/>
      <c r="P32"/>
      <c r="Q32"/>
    </row>
    <row r="33" spans="1:20" s="1" customFormat="1" x14ac:dyDescent="0.25">
      <c r="A33" s="2"/>
      <c r="B33" s="2"/>
      <c r="C33" s="2"/>
      <c r="D33"/>
      <c r="E33"/>
      <c r="H33"/>
      <c r="I33"/>
      <c r="J33"/>
      <c r="K33"/>
      <c r="L33"/>
      <c r="M33"/>
      <c r="N33"/>
      <c r="O33"/>
      <c r="P33"/>
      <c r="Q33"/>
    </row>
    <row r="34" spans="1:20" s="1" customFormat="1" x14ac:dyDescent="0.25">
      <c r="A34" s="2"/>
      <c r="B34" s="2"/>
      <c r="C34" s="2"/>
      <c r="D34"/>
      <c r="E34"/>
      <c r="H34"/>
      <c r="I34"/>
      <c r="J34"/>
      <c r="K34"/>
      <c r="L34"/>
      <c r="M34"/>
      <c r="N34"/>
      <c r="O34"/>
      <c r="P34"/>
      <c r="Q34"/>
    </row>
    <row r="35" spans="1:20" s="1" customFormat="1" x14ac:dyDescent="0.25">
      <c r="A35" s="2"/>
      <c r="B35" s="2"/>
      <c r="C35" s="2"/>
      <c r="D35"/>
      <c r="E35"/>
      <c r="H35"/>
      <c r="I35"/>
      <c r="J35"/>
      <c r="K35"/>
      <c r="L35"/>
      <c r="M35"/>
      <c r="N35"/>
      <c r="O35"/>
      <c r="P35"/>
      <c r="Q35"/>
    </row>
    <row r="36" spans="1:20" s="1" customFormat="1" x14ac:dyDescent="0.25">
      <c r="A36" s="2"/>
      <c r="B36" s="2"/>
      <c r="C36" s="2"/>
      <c r="D36"/>
      <c r="E36"/>
      <c r="H36"/>
      <c r="I36"/>
      <c r="J36"/>
      <c r="K36"/>
      <c r="L36"/>
      <c r="M36"/>
      <c r="N36"/>
      <c r="O36"/>
      <c r="P36"/>
      <c r="Q36"/>
    </row>
    <row r="37" spans="1:20" s="1" customFormat="1" x14ac:dyDescent="0.25">
      <c r="A37" s="2"/>
      <c r="B37" s="2"/>
      <c r="C37" s="2"/>
      <c r="D37"/>
      <c r="E37"/>
      <c r="H37"/>
      <c r="I37"/>
      <c r="J37"/>
      <c r="K37"/>
      <c r="L37"/>
      <c r="M37"/>
      <c r="N37"/>
      <c r="O37"/>
      <c r="P37"/>
      <c r="Q37"/>
    </row>
    <row r="38" spans="1:20" s="1" customFormat="1" x14ac:dyDescent="0.25">
      <c r="A38"/>
      <c r="B38"/>
      <c r="C38"/>
      <c r="D38"/>
      <c r="E38"/>
      <c r="H38"/>
      <c r="I38"/>
      <c r="J38"/>
      <c r="K38"/>
      <c r="L38"/>
      <c r="M38"/>
      <c r="N38"/>
      <c r="O38"/>
      <c r="P38"/>
      <c r="Q38"/>
    </row>
    <row r="39" spans="1:20" s="1" customFormat="1" x14ac:dyDescent="0.25">
      <c r="A39"/>
      <c r="B39"/>
      <c r="C39"/>
      <c r="D39"/>
      <c r="E39"/>
      <c r="F39"/>
      <c r="G39"/>
      <c r="H39"/>
      <c r="I39"/>
      <c r="J39"/>
      <c r="K39"/>
      <c r="L39"/>
      <c r="M39"/>
      <c r="N39"/>
      <c r="O39"/>
      <c r="P39"/>
      <c r="Q39"/>
    </row>
    <row r="40" spans="1:20" s="1" customFormat="1" x14ac:dyDescent="0.25">
      <c r="A40"/>
      <c r="B40"/>
      <c r="C40"/>
      <c r="D40"/>
      <c r="E40"/>
      <c r="F40"/>
      <c r="G40"/>
      <c r="H40"/>
      <c r="I40"/>
      <c r="J40"/>
      <c r="K40"/>
      <c r="L40"/>
      <c r="M40"/>
      <c r="N40"/>
      <c r="O40"/>
      <c r="P40"/>
      <c r="Q40"/>
    </row>
    <row r="41" spans="1:20" s="1" customFormat="1" x14ac:dyDescent="0.25">
      <c r="A41"/>
      <c r="B41"/>
      <c r="C41"/>
      <c r="D41"/>
      <c r="E41"/>
      <c r="F41"/>
      <c r="G41"/>
      <c r="H41"/>
      <c r="I41"/>
      <c r="J41"/>
      <c r="K41"/>
      <c r="L41"/>
      <c r="M41"/>
      <c r="N41"/>
      <c r="O41"/>
      <c r="P41"/>
      <c r="Q41"/>
    </row>
    <row r="42" spans="1:20" s="1" customFormat="1" x14ac:dyDescent="0.25">
      <c r="A42"/>
      <c r="B42"/>
      <c r="C42"/>
      <c r="D42"/>
      <c r="E42"/>
      <c r="F42"/>
      <c r="G42"/>
      <c r="H42"/>
      <c r="I42"/>
      <c r="J42"/>
      <c r="K42"/>
      <c r="L42"/>
      <c r="M42"/>
      <c r="N42"/>
      <c r="O42"/>
      <c r="P42"/>
      <c r="Q42"/>
    </row>
    <row r="43" spans="1:20" s="1" customFormat="1" x14ac:dyDescent="0.25">
      <c r="A43"/>
      <c r="B43"/>
      <c r="C43"/>
      <c r="D43"/>
      <c r="E43"/>
      <c r="F43"/>
      <c r="G43"/>
      <c r="H43"/>
      <c r="I43"/>
      <c r="J43"/>
      <c r="K43"/>
      <c r="L43"/>
      <c r="M43"/>
      <c r="N43"/>
      <c r="O43"/>
      <c r="P43"/>
      <c r="Q43"/>
    </row>
    <row r="44" spans="1:20" s="1" customFormat="1" x14ac:dyDescent="0.25">
      <c r="A44"/>
      <c r="B44"/>
      <c r="C44"/>
      <c r="D44"/>
      <c r="E44"/>
      <c r="F44"/>
      <c r="G44"/>
      <c r="H44"/>
      <c r="I44"/>
      <c r="J44"/>
      <c r="K44"/>
      <c r="L44"/>
      <c r="M44"/>
      <c r="N44"/>
      <c r="O44"/>
      <c r="P44"/>
      <c r="Q44"/>
    </row>
    <row r="45" spans="1:20" s="1" customFormat="1" x14ac:dyDescent="0.25">
      <c r="A45"/>
      <c r="B45"/>
      <c r="C45"/>
      <c r="D45"/>
      <c r="E45"/>
      <c r="F45"/>
      <c r="G45"/>
      <c r="H45"/>
      <c r="I45"/>
      <c r="J45"/>
      <c r="K45"/>
      <c r="L45"/>
      <c r="M45"/>
      <c r="N45"/>
      <c r="O45"/>
      <c r="P45"/>
      <c r="Q45"/>
    </row>
    <row r="46" spans="1:20" s="1" customFormat="1" x14ac:dyDescent="0.25">
      <c r="A46"/>
      <c r="B46"/>
      <c r="C46"/>
      <c r="D46"/>
      <c r="E46"/>
      <c r="F46"/>
      <c r="G46"/>
      <c r="H46"/>
      <c r="I46"/>
      <c r="J46"/>
      <c r="K46"/>
      <c r="L46"/>
      <c r="M46"/>
      <c r="N46"/>
      <c r="O46"/>
      <c r="P46"/>
      <c r="Q46"/>
      <c r="R46"/>
    </row>
    <row r="47" spans="1:20" s="1" customFormat="1" x14ac:dyDescent="0.25">
      <c r="A47"/>
      <c r="B47"/>
      <c r="C47"/>
      <c r="D47"/>
      <c r="E47"/>
      <c r="F47"/>
      <c r="G47"/>
      <c r="H47"/>
      <c r="I47"/>
      <c r="J47"/>
      <c r="K47"/>
      <c r="L47"/>
      <c r="M47"/>
      <c r="N47"/>
      <c r="O47"/>
      <c r="P47"/>
      <c r="Q47"/>
      <c r="R47"/>
      <c r="S47"/>
      <c r="T47"/>
    </row>
    <row r="48" spans="1:20" s="1" customFormat="1" x14ac:dyDescent="0.25">
      <c r="A48"/>
      <c r="B48"/>
      <c r="C48"/>
      <c r="D48"/>
      <c r="E48"/>
      <c r="F48"/>
      <c r="G48"/>
      <c r="H48"/>
      <c r="I48"/>
      <c r="J48"/>
      <c r="K48"/>
      <c r="L48"/>
      <c r="M48"/>
      <c r="N48"/>
      <c r="O48"/>
      <c r="P48"/>
      <c r="Q48"/>
      <c r="R48"/>
      <c r="S48"/>
      <c r="T48"/>
    </row>
    <row r="49" spans="1:20" s="1" customFormat="1" x14ac:dyDescent="0.25">
      <c r="A49"/>
      <c r="B49"/>
      <c r="C49"/>
      <c r="D49"/>
      <c r="E49"/>
      <c r="F49"/>
      <c r="G49"/>
      <c r="H49"/>
      <c r="I49"/>
      <c r="J49"/>
      <c r="K49"/>
      <c r="L49"/>
      <c r="M49"/>
      <c r="N49"/>
      <c r="O49"/>
      <c r="P49"/>
      <c r="Q49"/>
      <c r="R49"/>
      <c r="S49"/>
      <c r="T49"/>
    </row>
    <row r="50" spans="1:20" s="1" customFormat="1" x14ac:dyDescent="0.25">
      <c r="A50"/>
      <c r="B50"/>
      <c r="C50"/>
      <c r="D50"/>
      <c r="E50"/>
      <c r="F50"/>
      <c r="G50"/>
      <c r="H50"/>
      <c r="I50"/>
      <c r="J50"/>
      <c r="K50"/>
      <c r="L50"/>
      <c r="M50"/>
      <c r="N50"/>
      <c r="O50"/>
      <c r="P50"/>
      <c r="Q50"/>
      <c r="R50"/>
      <c r="S50"/>
      <c r="T50"/>
    </row>
    <row r="51" spans="1:20" s="1" customFormat="1" x14ac:dyDescent="0.25">
      <c r="A51"/>
      <c r="B51"/>
      <c r="C51"/>
      <c r="D51"/>
      <c r="E51"/>
      <c r="F51"/>
      <c r="G51"/>
      <c r="H51"/>
      <c r="I51"/>
      <c r="J51"/>
      <c r="K51"/>
      <c r="L51"/>
      <c r="M51"/>
      <c r="N51"/>
      <c r="O51"/>
      <c r="P51"/>
      <c r="Q51"/>
      <c r="R51"/>
      <c r="S51"/>
      <c r="T51"/>
    </row>
    <row r="52" spans="1:20" s="1" customFormat="1" x14ac:dyDescent="0.25">
      <c r="A52"/>
      <c r="B52"/>
      <c r="C52"/>
      <c r="D52"/>
      <c r="E52"/>
      <c r="F52"/>
      <c r="G52"/>
      <c r="H52"/>
      <c r="I52"/>
      <c r="J52"/>
      <c r="K52"/>
      <c r="L52"/>
      <c r="M52"/>
      <c r="N52"/>
      <c r="O52"/>
      <c r="P52"/>
      <c r="Q52"/>
      <c r="R52"/>
      <c r="S52"/>
      <c r="T52"/>
    </row>
    <row r="53" spans="1:20" s="1" customFormat="1" x14ac:dyDescent="0.25">
      <c r="A53"/>
      <c r="B53"/>
      <c r="C53"/>
      <c r="D53"/>
      <c r="E53"/>
      <c r="F53"/>
      <c r="G53"/>
      <c r="H53"/>
      <c r="I53"/>
      <c r="J53"/>
      <c r="K53"/>
      <c r="L53"/>
      <c r="M53"/>
      <c r="N53"/>
      <c r="O53"/>
      <c r="P53"/>
      <c r="Q53"/>
      <c r="R53"/>
      <c r="S53"/>
      <c r="T53"/>
    </row>
    <row r="54" spans="1:20" s="1" customFormat="1" x14ac:dyDescent="0.25">
      <c r="A54"/>
      <c r="B54"/>
      <c r="C54"/>
      <c r="D54"/>
      <c r="E54"/>
      <c r="F54"/>
      <c r="G54"/>
      <c r="H54"/>
      <c r="I54"/>
      <c r="J54"/>
      <c r="K54"/>
      <c r="L54"/>
      <c r="M54"/>
      <c r="N54"/>
      <c r="O54"/>
      <c r="P54"/>
      <c r="Q54"/>
      <c r="R54"/>
      <c r="S54"/>
      <c r="T54"/>
    </row>
    <row r="55" spans="1:20" s="1" customFormat="1" x14ac:dyDescent="0.25">
      <c r="A55"/>
      <c r="B55"/>
      <c r="C55"/>
      <c r="D55"/>
      <c r="E55"/>
      <c r="F55"/>
      <c r="G55"/>
      <c r="H55"/>
      <c r="I55"/>
      <c r="J55"/>
      <c r="K55"/>
      <c r="L55"/>
      <c r="M55"/>
      <c r="N55"/>
      <c r="O55"/>
      <c r="P55"/>
      <c r="Q55"/>
      <c r="R55"/>
      <c r="S55"/>
      <c r="T55"/>
    </row>
    <row r="56" spans="1:20" s="1" customFormat="1" x14ac:dyDescent="0.25">
      <c r="A56"/>
      <c r="B56"/>
      <c r="C56"/>
      <c r="D56"/>
      <c r="E56"/>
      <c r="F56"/>
      <c r="G56"/>
      <c r="H56"/>
      <c r="I56"/>
      <c r="J56"/>
      <c r="K56"/>
      <c r="L56"/>
      <c r="M56"/>
      <c r="N56"/>
      <c r="O56"/>
      <c r="P56"/>
      <c r="Q56"/>
      <c r="R56"/>
      <c r="S56"/>
      <c r="T56"/>
    </row>
    <row r="57" spans="1:20" s="1" customFormat="1" x14ac:dyDescent="0.25">
      <c r="A57"/>
      <c r="B57"/>
      <c r="C57"/>
      <c r="D57"/>
      <c r="E57"/>
      <c r="F57"/>
      <c r="G57"/>
      <c r="H57"/>
      <c r="I57"/>
      <c r="J57"/>
      <c r="K57"/>
      <c r="L57"/>
      <c r="M57"/>
      <c r="N57"/>
      <c r="O57"/>
      <c r="P57"/>
      <c r="Q57"/>
      <c r="R57"/>
      <c r="S57"/>
      <c r="T57"/>
    </row>
    <row r="58" spans="1:20" s="1" customFormat="1" x14ac:dyDescent="0.25">
      <c r="A58"/>
      <c r="B58"/>
      <c r="C58"/>
      <c r="D58"/>
      <c r="E58"/>
      <c r="F58"/>
      <c r="G58"/>
      <c r="H58"/>
      <c r="I58"/>
      <c r="J58"/>
      <c r="K58"/>
      <c r="L58"/>
      <c r="M58"/>
      <c r="N58"/>
      <c r="O58"/>
      <c r="P58"/>
      <c r="Q58"/>
      <c r="R58"/>
      <c r="S58"/>
      <c r="T58"/>
    </row>
    <row r="59" spans="1:20" s="1" customFormat="1" x14ac:dyDescent="0.25">
      <c r="A59"/>
      <c r="B59"/>
      <c r="C59"/>
      <c r="D59"/>
      <c r="E59"/>
      <c r="F59"/>
      <c r="G59"/>
      <c r="H59"/>
      <c r="I59"/>
      <c r="J59"/>
      <c r="K59"/>
      <c r="L59"/>
      <c r="M59"/>
      <c r="N59"/>
      <c r="O59"/>
      <c r="P59"/>
      <c r="Q59"/>
      <c r="R59"/>
      <c r="S59"/>
      <c r="T59"/>
    </row>
    <row r="60" spans="1:20" s="1" customFormat="1" x14ac:dyDescent="0.25">
      <c r="A60"/>
      <c r="B60"/>
      <c r="C60"/>
      <c r="D60"/>
      <c r="E60"/>
      <c r="F60"/>
      <c r="G60"/>
      <c r="H60"/>
      <c r="I60"/>
      <c r="J60"/>
      <c r="K60"/>
      <c r="L60"/>
      <c r="M60"/>
      <c r="N60"/>
      <c r="O60"/>
      <c r="P60"/>
      <c r="Q60"/>
      <c r="R60"/>
      <c r="S60"/>
      <c r="T60"/>
    </row>
    <row r="61" spans="1:20" s="1" customFormat="1" x14ac:dyDescent="0.25">
      <c r="A61"/>
      <c r="B61"/>
      <c r="C61"/>
      <c r="D61"/>
      <c r="E61"/>
      <c r="F61"/>
      <c r="G61"/>
      <c r="H61"/>
      <c r="I61"/>
      <c r="J61"/>
      <c r="K61"/>
      <c r="L61"/>
      <c r="M61"/>
      <c r="N61"/>
      <c r="O61"/>
      <c r="P61"/>
      <c r="Q61"/>
      <c r="R61"/>
      <c r="S61"/>
      <c r="T61"/>
    </row>
    <row r="62" spans="1:20" s="1" customFormat="1" x14ac:dyDescent="0.25">
      <c r="A62"/>
      <c r="B62"/>
      <c r="C62"/>
      <c r="D62"/>
      <c r="E62"/>
      <c r="F62"/>
      <c r="G62"/>
      <c r="H62"/>
      <c r="I62"/>
      <c r="J62"/>
      <c r="K62"/>
      <c r="L62"/>
      <c r="M62"/>
      <c r="N62"/>
      <c r="O62"/>
      <c r="P62"/>
      <c r="Q62"/>
      <c r="R62"/>
      <c r="S62"/>
      <c r="T62"/>
    </row>
  </sheetData>
  <sheetProtection formatCells="0" formatRows="0" insertHyperlinks="0" deleteRows="0" sort="0" autoFilter="0"/>
  <mergeCells count="1">
    <mergeCell ref="A1:I1"/>
  </mergeCells>
  <printOptions horizontalCentered="1"/>
  <pageMargins left="0.2" right="0.2" top="0.45" bottom="0.25" header="0.05" footer="0.05"/>
  <pageSetup scale="63"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4AC76-DA0C-4811-97DB-895C6247F2D0}">
  <sheetPr codeName="SOW_Battery_APM">
    <pageSetUpPr fitToPage="1"/>
  </sheetPr>
  <dimension ref="A1:A36"/>
  <sheetViews>
    <sheetView view="pageBreakPreview" zoomScale="90" zoomScaleNormal="100" zoomScaleSheetLayoutView="90" workbookViewId="0">
      <selection activeCell="K12" sqref="K12"/>
    </sheetView>
  </sheetViews>
  <sheetFormatPr defaultColWidth="8.7109375" defaultRowHeight="15" x14ac:dyDescent="0.25"/>
  <cols>
    <col min="1" max="1" width="205.7109375" bestFit="1" customWidth="1"/>
    <col min="2" max="2" width="7" customWidth="1"/>
    <col min="3" max="3" width="8" customWidth="1"/>
    <col min="4" max="4" width="2.7109375" customWidth="1"/>
    <col min="5" max="5" width="72.28515625" customWidth="1"/>
  </cols>
  <sheetData>
    <row r="1" spans="1:1" ht="23.45" customHeight="1" x14ac:dyDescent="0.25">
      <c r="A1" s="171" t="s">
        <v>3575</v>
      </c>
    </row>
    <row r="2" spans="1:1" ht="23.25" x14ac:dyDescent="0.25">
      <c r="A2" s="87" t="s">
        <v>3576</v>
      </c>
    </row>
    <row r="3" spans="1:1" ht="23.25" x14ac:dyDescent="0.35">
      <c r="A3" s="86" t="s">
        <v>1985</v>
      </c>
    </row>
    <row r="4" spans="1:1" ht="23.25" x14ac:dyDescent="0.35">
      <c r="A4" s="86" t="s">
        <v>1986</v>
      </c>
    </row>
    <row r="5" spans="1:1" ht="23.25" x14ac:dyDescent="0.35">
      <c r="A5" s="86" t="s">
        <v>3577</v>
      </c>
    </row>
    <row r="6" spans="1:1" ht="23.25" x14ac:dyDescent="0.35">
      <c r="A6" s="86" t="s">
        <v>1988</v>
      </c>
    </row>
    <row r="7" spans="1:1" ht="23.25" x14ac:dyDescent="0.35">
      <c r="A7" s="86" t="s">
        <v>1989</v>
      </c>
    </row>
    <row r="8" spans="1:1" ht="23.25" x14ac:dyDescent="0.35">
      <c r="A8" s="86" t="s">
        <v>1990</v>
      </c>
    </row>
    <row r="9" spans="1:1" ht="23.25" x14ac:dyDescent="0.35">
      <c r="A9" s="86" t="s">
        <v>3578</v>
      </c>
    </row>
    <row r="10" spans="1:1" ht="23.25" x14ac:dyDescent="0.35">
      <c r="A10" s="86" t="s">
        <v>3579</v>
      </c>
    </row>
    <row r="11" spans="1:1" ht="23.25" x14ac:dyDescent="0.35">
      <c r="A11" s="86" t="s">
        <v>1992</v>
      </c>
    </row>
    <row r="12" spans="1:1" ht="23.25" x14ac:dyDescent="0.35">
      <c r="A12" s="86" t="s">
        <v>1993</v>
      </c>
    </row>
    <row r="13" spans="1:1" ht="23.25" x14ac:dyDescent="0.35">
      <c r="A13" s="86" t="s">
        <v>1994</v>
      </c>
    </row>
    <row r="14" spans="1:1" ht="23.25" x14ac:dyDescent="0.35">
      <c r="A14" s="86" t="s">
        <v>1995</v>
      </c>
    </row>
    <row r="15" spans="1:1" ht="23.25" x14ac:dyDescent="0.35">
      <c r="A15" s="86" t="s">
        <v>1996</v>
      </c>
    </row>
    <row r="16" spans="1:1" ht="23.25" x14ac:dyDescent="0.35">
      <c r="A16" s="86" t="s">
        <v>3580</v>
      </c>
    </row>
    <row r="17" spans="1:1" ht="23.25" x14ac:dyDescent="0.35">
      <c r="A17" s="86" t="s">
        <v>1998</v>
      </c>
    </row>
    <row r="18" spans="1:1" ht="23.25" x14ac:dyDescent="0.35">
      <c r="A18" s="86" t="s">
        <v>3581</v>
      </c>
    </row>
    <row r="19" spans="1:1" ht="23.25" x14ac:dyDescent="0.35">
      <c r="A19" s="86" t="s">
        <v>2000</v>
      </c>
    </row>
    <row r="20" spans="1:1" ht="23.25" x14ac:dyDescent="0.35">
      <c r="A20" s="86" t="s">
        <v>2001</v>
      </c>
    </row>
    <row r="21" spans="1:1" ht="23.25" x14ac:dyDescent="0.35">
      <c r="A21" s="86" t="s">
        <v>2002</v>
      </c>
    </row>
    <row r="22" spans="1:1" ht="23.25" x14ac:dyDescent="0.35">
      <c r="A22" s="86" t="s">
        <v>3582</v>
      </c>
    </row>
    <row r="23" spans="1:1" ht="23.25" x14ac:dyDescent="0.35">
      <c r="A23" s="86" t="s">
        <v>3583</v>
      </c>
    </row>
    <row r="24" spans="1:1" ht="23.25" x14ac:dyDescent="0.35">
      <c r="A24" s="86" t="s">
        <v>3584</v>
      </c>
    </row>
    <row r="25" spans="1:1" ht="23.25" x14ac:dyDescent="0.35">
      <c r="A25" s="86" t="s">
        <v>3585</v>
      </c>
    </row>
    <row r="26" spans="1:1" ht="23.25" x14ac:dyDescent="0.35">
      <c r="A26" s="60"/>
    </row>
    <row r="27" spans="1:1" ht="23.25" x14ac:dyDescent="0.35">
      <c r="A27" s="60"/>
    </row>
    <row r="28" spans="1:1" ht="23.25" x14ac:dyDescent="0.35">
      <c r="A28" s="60"/>
    </row>
    <row r="29" spans="1:1" ht="23.25" x14ac:dyDescent="0.35">
      <c r="A29" s="60"/>
    </row>
    <row r="30" spans="1:1" ht="23.25" x14ac:dyDescent="0.35">
      <c r="A30" s="60"/>
    </row>
    <row r="31" spans="1:1" ht="23.25" x14ac:dyDescent="0.35">
      <c r="A31" s="60"/>
    </row>
    <row r="32" spans="1:1" ht="23.25" x14ac:dyDescent="0.35">
      <c r="A32" s="60"/>
    </row>
    <row r="33" spans="1:1" ht="23.25" x14ac:dyDescent="0.35">
      <c r="A33" s="60"/>
    </row>
    <row r="34" spans="1:1" ht="23.25" x14ac:dyDescent="0.35">
      <c r="A34" s="60"/>
    </row>
    <row r="35" spans="1:1" ht="23.25" x14ac:dyDescent="0.35">
      <c r="A35" s="60"/>
    </row>
    <row r="36" spans="1:1" ht="23.25" x14ac:dyDescent="0.35">
      <c r="A36" s="60"/>
    </row>
  </sheetData>
  <sheetProtection formatCells="0" formatColumns="0" formatRows="0" insertRows="0" deleteRows="0" sort="0" autoFilter="0"/>
  <printOptions horizontalCentered="1"/>
  <pageMargins left="0.2" right="0.2" top="0.45" bottom="0.25" header="0.05" footer="0.05"/>
  <pageSetup scale="50"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86BB-CC0E-44A3-9174-20A414110715}">
  <sheetPr codeName="Gen_Conditions">
    <pageSetUpPr autoPageBreaks="0" fitToPage="1"/>
  </sheetPr>
  <dimension ref="A1:E46"/>
  <sheetViews>
    <sheetView view="pageBreakPreview" zoomScale="90" zoomScaleNormal="100" zoomScaleSheetLayoutView="90" workbookViewId="0">
      <selection activeCell="K12" sqref="K12"/>
    </sheetView>
  </sheetViews>
  <sheetFormatPr defaultRowHeight="15" x14ac:dyDescent="0.25"/>
  <cols>
    <col min="1" max="1" width="39.28515625" customWidth="1"/>
    <col min="2" max="2" width="27.28515625" customWidth="1"/>
    <col min="3" max="3" width="24.28515625" customWidth="1"/>
    <col min="4" max="4" width="17.42578125" customWidth="1"/>
    <col min="5" max="5" width="46.7109375" customWidth="1"/>
  </cols>
  <sheetData>
    <row r="1" spans="1:5" s="60" customFormat="1" ht="23.25" x14ac:dyDescent="0.35">
      <c r="A1" s="771" t="s">
        <v>3586</v>
      </c>
      <c r="B1" s="771"/>
      <c r="C1" s="771"/>
      <c r="D1" s="771"/>
      <c r="E1" s="771"/>
    </row>
    <row r="2" spans="1:5" s="60" customFormat="1" ht="23.25" x14ac:dyDescent="0.35">
      <c r="A2" s="770" t="str">
        <f>zSelectedEquipment</f>
        <v>G104-Gen-B</v>
      </c>
      <c r="B2" s="770"/>
      <c r="C2" s="770"/>
      <c r="D2" s="770"/>
      <c r="E2" s="770"/>
    </row>
    <row r="3" spans="1:5" s="60" customFormat="1" ht="23.25" x14ac:dyDescent="0.35">
      <c r="A3" s="464" t="s">
        <v>3587</v>
      </c>
      <c r="B3" s="772" t="s">
        <v>3588</v>
      </c>
      <c r="C3" s="772"/>
      <c r="D3" s="772" t="s">
        <v>3589</v>
      </c>
      <c r="E3" s="772"/>
    </row>
    <row r="4" spans="1:5" s="60" customFormat="1" ht="23.25" x14ac:dyDescent="0.35">
      <c r="A4" s="464" t="s">
        <v>3590</v>
      </c>
      <c r="B4" s="772" t="s">
        <v>3591</v>
      </c>
      <c r="C4" s="772"/>
      <c r="D4" s="772" t="s">
        <v>3592</v>
      </c>
      <c r="E4" s="772"/>
    </row>
    <row r="5" spans="1:5" s="60" customFormat="1" ht="23.25" x14ac:dyDescent="0.35">
      <c r="A5" s="464" t="s">
        <v>3593</v>
      </c>
      <c r="B5" s="772" t="s">
        <v>3594</v>
      </c>
      <c r="C5" s="772"/>
      <c r="D5" s="772" t="s">
        <v>3595</v>
      </c>
      <c r="E5" s="772"/>
    </row>
    <row r="6" spans="1:5" s="60" customFormat="1" ht="23.25" x14ac:dyDescent="0.35">
      <c r="A6" s="464" t="s">
        <v>3596</v>
      </c>
      <c r="B6" s="772" t="s">
        <v>3597</v>
      </c>
      <c r="C6" s="772"/>
      <c r="D6" s="772" t="s">
        <v>3598</v>
      </c>
      <c r="E6" s="772"/>
    </row>
    <row r="7" spans="1:5" s="60" customFormat="1" ht="23.25" x14ac:dyDescent="0.35"/>
    <row r="8" spans="1:5" s="60" customFormat="1" ht="23.25" x14ac:dyDescent="0.35">
      <c r="A8" s="771" t="s">
        <v>3599</v>
      </c>
      <c r="B8" s="771"/>
      <c r="C8" s="771"/>
      <c r="D8" s="771"/>
      <c r="E8" s="771"/>
    </row>
    <row r="9" spans="1:5" s="60" customFormat="1" ht="23.25" x14ac:dyDescent="0.35">
      <c r="A9" s="770" t="str">
        <f>zSelectedEquipment</f>
        <v>G104-Gen-B</v>
      </c>
      <c r="B9" s="770"/>
      <c r="C9" s="770"/>
      <c r="D9" s="770"/>
      <c r="E9" s="770"/>
    </row>
    <row r="10" spans="1:5" s="60" customFormat="1" ht="23.25" x14ac:dyDescent="0.35">
      <c r="A10" s="464" t="s">
        <v>3587</v>
      </c>
      <c r="B10" s="772" t="s">
        <v>3588</v>
      </c>
      <c r="C10" s="772"/>
      <c r="D10" s="772" t="s">
        <v>3589</v>
      </c>
      <c r="E10" s="772"/>
    </row>
    <row r="11" spans="1:5" s="60" customFormat="1" ht="23.25" x14ac:dyDescent="0.35">
      <c r="A11" s="464" t="s">
        <v>3590</v>
      </c>
      <c r="B11" s="772" t="s">
        <v>3591</v>
      </c>
      <c r="C11" s="772"/>
      <c r="D11" s="772" t="s">
        <v>3592</v>
      </c>
      <c r="E11" s="772"/>
    </row>
    <row r="12" spans="1:5" s="60" customFormat="1" ht="23.25" x14ac:dyDescent="0.35">
      <c r="A12" s="464" t="s">
        <v>3593</v>
      </c>
      <c r="B12" s="772" t="s">
        <v>3594</v>
      </c>
      <c r="C12" s="772"/>
      <c r="D12" s="772" t="s">
        <v>3595</v>
      </c>
      <c r="E12" s="772"/>
    </row>
    <row r="13" spans="1:5" s="60" customFormat="1" ht="23.25" x14ac:dyDescent="0.35">
      <c r="A13" s="464" t="s">
        <v>3596</v>
      </c>
      <c r="B13" s="772" t="s">
        <v>3597</v>
      </c>
      <c r="C13" s="772"/>
      <c r="D13" s="772" t="s">
        <v>3598</v>
      </c>
      <c r="E13" s="772"/>
    </row>
    <row r="14" spans="1:5" s="60" customFormat="1" ht="23.25" x14ac:dyDescent="0.35"/>
    <row r="15" spans="1:5" s="60" customFormat="1" ht="23.25" x14ac:dyDescent="0.35"/>
    <row r="16" spans="1:5" s="60" customFormat="1" ht="23.25" x14ac:dyDescent="0.35">
      <c r="A16" s="774" t="s">
        <v>3600</v>
      </c>
      <c r="B16" s="774"/>
      <c r="C16" s="774"/>
      <c r="D16" s="774"/>
      <c r="E16" s="774"/>
    </row>
    <row r="17" spans="1:5" s="60" customFormat="1" ht="23.25" x14ac:dyDescent="0.35">
      <c r="A17" s="774" t="s">
        <v>3601</v>
      </c>
      <c r="B17" s="774"/>
      <c r="C17" s="774"/>
      <c r="D17" s="774"/>
      <c r="E17" s="774"/>
    </row>
    <row r="18" spans="1:5" s="60" customFormat="1" ht="23.25" x14ac:dyDescent="0.35">
      <c r="A18" s="169" t="str">
        <f>"Tank No. "&amp;zSelectedEquipment</f>
        <v>Tank No. G104-Gen-B</v>
      </c>
      <c r="B18" s="775" t="s">
        <v>3602</v>
      </c>
      <c r="C18" s="775"/>
      <c r="D18" s="775"/>
      <c r="E18" s="775"/>
    </row>
    <row r="19" spans="1:5" s="60" customFormat="1" ht="23.25" x14ac:dyDescent="0.35">
      <c r="A19" s="169" t="str">
        <f>"Location: "&amp;IADNumber</f>
        <v>Location: IAD35</v>
      </c>
      <c r="B19" s="776" t="s">
        <v>3603</v>
      </c>
      <c r="C19" s="776"/>
      <c r="D19" s="776"/>
      <c r="E19" s="101" t="s">
        <v>3604</v>
      </c>
    </row>
    <row r="20" spans="1:5" s="60" customFormat="1" ht="23.25" x14ac:dyDescent="0.35">
      <c r="A20" s="170" t="s">
        <v>3605</v>
      </c>
      <c r="B20" s="170" t="s">
        <v>3606</v>
      </c>
      <c r="C20" s="170" t="s">
        <v>3607</v>
      </c>
      <c r="D20" s="170" t="s">
        <v>84</v>
      </c>
      <c r="E20" s="170" t="s">
        <v>1452</v>
      </c>
    </row>
    <row r="21" spans="1:5" s="60" customFormat="1" ht="23.25" x14ac:dyDescent="0.35">
      <c r="A21" s="102" t="s">
        <v>3608</v>
      </c>
      <c r="B21" s="103"/>
      <c r="C21" s="103"/>
      <c r="D21" s="103"/>
      <c r="E21" s="103"/>
    </row>
    <row r="22" spans="1:5" s="60" customFormat="1" ht="23.25" x14ac:dyDescent="0.35">
      <c r="A22" s="102" t="s">
        <v>3609</v>
      </c>
      <c r="B22" s="103"/>
      <c r="C22" s="103"/>
      <c r="D22" s="103"/>
      <c r="E22" s="103"/>
    </row>
    <row r="23" spans="1:5" s="60" customFormat="1" ht="23.25" x14ac:dyDescent="0.35">
      <c r="A23" s="102" t="s">
        <v>3610</v>
      </c>
      <c r="B23" s="103"/>
      <c r="C23" s="103"/>
      <c r="D23" s="103"/>
      <c r="E23" s="103"/>
    </row>
    <row r="24" spans="1:5" s="60" customFormat="1" ht="23.25" x14ac:dyDescent="0.35">
      <c r="A24" s="102" t="s">
        <v>3611</v>
      </c>
      <c r="B24" s="103"/>
      <c r="C24" s="103"/>
      <c r="D24" s="103"/>
      <c r="E24" s="103"/>
    </row>
    <row r="25" spans="1:5" s="60" customFormat="1" ht="23.25" x14ac:dyDescent="0.35">
      <c r="A25" s="102" t="s">
        <v>3612</v>
      </c>
      <c r="B25" s="103"/>
      <c r="C25" s="103"/>
      <c r="D25" s="103"/>
      <c r="E25" s="103"/>
    </row>
    <row r="26" spans="1:5" s="60" customFormat="1" ht="23.25" x14ac:dyDescent="0.35">
      <c r="A26" s="102" t="s">
        <v>3613</v>
      </c>
      <c r="B26" s="103"/>
      <c r="C26" s="103"/>
      <c r="D26" s="103"/>
      <c r="E26" s="103"/>
    </row>
    <row r="27" spans="1:5" s="60" customFormat="1" ht="23.25" x14ac:dyDescent="0.35">
      <c r="A27" s="102" t="s">
        <v>3614</v>
      </c>
      <c r="B27" s="103"/>
      <c r="C27" s="103"/>
      <c r="D27" s="103"/>
      <c r="E27" s="103"/>
    </row>
    <row r="28" spans="1:5" s="60" customFormat="1" ht="23.25" x14ac:dyDescent="0.35">
      <c r="A28" s="102" t="s">
        <v>3615</v>
      </c>
      <c r="B28" s="103"/>
      <c r="C28" s="103"/>
      <c r="D28" s="103"/>
      <c r="E28" s="103"/>
    </row>
    <row r="29" spans="1:5" s="60" customFormat="1" ht="23.25" x14ac:dyDescent="0.35">
      <c r="A29" s="102" t="s">
        <v>3616</v>
      </c>
      <c r="B29" s="103"/>
      <c r="C29" s="103"/>
      <c r="D29" s="103"/>
      <c r="E29" s="103"/>
    </row>
    <row r="30" spans="1:5" s="60" customFormat="1" ht="23.25" x14ac:dyDescent="0.35">
      <c r="A30" s="170" t="s">
        <v>3617</v>
      </c>
      <c r="B30" s="170" t="s">
        <v>3606</v>
      </c>
      <c r="C30" s="170" t="s">
        <v>3607</v>
      </c>
      <c r="D30" s="170" t="s">
        <v>84</v>
      </c>
      <c r="E30" s="170" t="s">
        <v>1452</v>
      </c>
    </row>
    <row r="31" spans="1:5" s="60" customFormat="1" ht="23.25" x14ac:dyDescent="0.35">
      <c r="A31" s="102" t="s">
        <v>3618</v>
      </c>
      <c r="B31" s="103"/>
      <c r="C31" s="103"/>
      <c r="D31" s="103"/>
      <c r="E31" s="103"/>
    </row>
    <row r="32" spans="1:5" s="60" customFormat="1" ht="23.25" x14ac:dyDescent="0.35">
      <c r="A32" s="102" t="s">
        <v>3619</v>
      </c>
      <c r="B32" s="103"/>
      <c r="C32" s="103"/>
      <c r="D32" s="103"/>
      <c r="E32" s="103"/>
    </row>
    <row r="33" spans="1:5" s="60" customFormat="1" ht="23.25" x14ac:dyDescent="0.35">
      <c r="A33" s="102" t="s">
        <v>3620</v>
      </c>
      <c r="B33" s="103"/>
      <c r="C33" s="103"/>
      <c r="D33" s="103"/>
      <c r="E33" s="103"/>
    </row>
    <row r="34" spans="1:5" s="60" customFormat="1" ht="23.25" x14ac:dyDescent="0.35">
      <c r="A34" s="102" t="s">
        <v>3621</v>
      </c>
      <c r="B34" s="103"/>
      <c r="C34" s="103"/>
      <c r="D34" s="103"/>
      <c r="E34" s="103"/>
    </row>
    <row r="35" spans="1:5" s="60" customFormat="1" ht="23.25" x14ac:dyDescent="0.35">
      <c r="A35" s="773" t="s">
        <v>3622</v>
      </c>
      <c r="B35" s="773"/>
      <c r="C35" s="773"/>
      <c r="D35" s="773"/>
      <c r="E35" s="773"/>
    </row>
    <row r="36" spans="1:5" s="60" customFormat="1" ht="23.25" x14ac:dyDescent="0.35"/>
    <row r="37" spans="1:5" s="60" customFormat="1" ht="23.25" x14ac:dyDescent="0.35"/>
    <row r="38" spans="1:5" s="60" customFormat="1" ht="23.25" x14ac:dyDescent="0.35"/>
    <row r="39" spans="1:5" s="60" customFormat="1" ht="23.25" x14ac:dyDescent="0.35"/>
    <row r="40" spans="1:5" s="60" customFormat="1" ht="23.25" x14ac:dyDescent="0.35"/>
    <row r="41" spans="1:5" s="60" customFormat="1" ht="23.25" x14ac:dyDescent="0.35"/>
    <row r="42" spans="1:5" s="60" customFormat="1" ht="23.25" x14ac:dyDescent="0.35"/>
    <row r="43" spans="1:5" s="60" customFormat="1" ht="23.25" x14ac:dyDescent="0.35"/>
    <row r="44" spans="1:5" s="60" customFormat="1" ht="23.25" x14ac:dyDescent="0.35"/>
    <row r="45" spans="1:5" s="60" customFormat="1" ht="23.25" x14ac:dyDescent="0.35"/>
    <row r="46" spans="1:5" s="60" customFormat="1" ht="23.25" x14ac:dyDescent="0.35"/>
  </sheetData>
  <sheetProtection formatCells="0" formatRows="0" insertRows="0" insertHyperlinks="0" deleteRows="0" sort="0" autoFilter="0"/>
  <mergeCells count="25">
    <mergeCell ref="A35:E35"/>
    <mergeCell ref="B13:C13"/>
    <mergeCell ref="D13:E13"/>
    <mergeCell ref="A16:E16"/>
    <mergeCell ref="A17:E17"/>
    <mergeCell ref="B18:E18"/>
    <mergeCell ref="B19:D19"/>
    <mergeCell ref="B10:C10"/>
    <mergeCell ref="D10:E10"/>
    <mergeCell ref="B11:C11"/>
    <mergeCell ref="D11:E11"/>
    <mergeCell ref="B12:C12"/>
    <mergeCell ref="D12:E12"/>
    <mergeCell ref="A9:E9"/>
    <mergeCell ref="A1:E1"/>
    <mergeCell ref="A2:E2"/>
    <mergeCell ref="B3:C3"/>
    <mergeCell ref="D3:E3"/>
    <mergeCell ref="B4:C4"/>
    <mergeCell ref="D4:E4"/>
    <mergeCell ref="B5:C5"/>
    <mergeCell ref="D5:E5"/>
    <mergeCell ref="B6:C6"/>
    <mergeCell ref="D6:E6"/>
    <mergeCell ref="A8:E8"/>
  </mergeCells>
  <printOptions horizontalCentered="1"/>
  <pageMargins left="0.2" right="0.2" top="0.45" bottom="0.25" header="0.05" footer="0.05"/>
  <pageSetup scale="67"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54857-B94D-4C8E-B758-7242B37E9005}">
  <sheetPr codeName="Gen_Run_Logs">
    <pageSetUpPr autoPageBreaks="0" fitToPage="1"/>
  </sheetPr>
  <dimension ref="A1:F47"/>
  <sheetViews>
    <sheetView view="pageBreakPreview" zoomScale="90" zoomScaleNormal="100" zoomScaleSheetLayoutView="90" workbookViewId="0">
      <selection activeCell="K12" sqref="K12"/>
    </sheetView>
  </sheetViews>
  <sheetFormatPr defaultColWidth="7.7109375" defaultRowHeight="15" x14ac:dyDescent="0.25"/>
  <cols>
    <col min="1" max="1" width="31.7109375" bestFit="1" customWidth="1"/>
    <col min="2" max="6" width="20.7109375" customWidth="1"/>
  </cols>
  <sheetData>
    <row r="1" spans="1:6" s="60" customFormat="1" ht="23.25" x14ac:dyDescent="0.35">
      <c r="A1" s="771" t="s">
        <v>3623</v>
      </c>
      <c r="B1" s="771"/>
      <c r="C1" s="771"/>
      <c r="D1" s="771"/>
      <c r="E1" s="771"/>
      <c r="F1" s="771"/>
    </row>
    <row r="2" spans="1:6" s="60" customFormat="1" ht="23.25" x14ac:dyDescent="0.35">
      <c r="A2" s="465" t="s">
        <v>3624</v>
      </c>
      <c r="B2" s="777" t="str" cm="1">
        <f t="array" ref="B2">FacilityName</f>
        <v>IAD35: 43940 Digital Loudoun Plaza (Bldg G), Ashburn, VA</v>
      </c>
      <c r="C2" s="777"/>
      <c r="D2" s="777"/>
      <c r="E2" s="777"/>
      <c r="F2" s="777"/>
    </row>
    <row r="3" spans="1:6" s="60" customFormat="1" ht="23.25" x14ac:dyDescent="0.35">
      <c r="A3" s="465" t="s">
        <v>3625</v>
      </c>
      <c r="B3" s="777" t="str">
        <f>VLOOKUP(zSelectedEquipment, 'Config-Gen'!$A$4:$F$143, 2, FALSE)</f>
        <v>CAT</v>
      </c>
      <c r="C3" s="777"/>
      <c r="D3" s="777"/>
      <c r="E3" s="777"/>
      <c r="F3" s="777"/>
    </row>
    <row r="4" spans="1:6" s="60" customFormat="1" ht="23.25" x14ac:dyDescent="0.35">
      <c r="A4" s="465" t="s">
        <v>3603</v>
      </c>
      <c r="B4" s="777"/>
      <c r="C4" s="777"/>
      <c r="D4" s="777"/>
      <c r="E4" s="777"/>
      <c r="F4" s="777"/>
    </row>
    <row r="5" spans="1:6" s="60" customFormat="1" ht="23.25" x14ac:dyDescent="0.35">
      <c r="A5" s="465" t="s">
        <v>3626</v>
      </c>
      <c r="B5" s="777" t="str">
        <f>zTaskName</f>
        <v>Routine Generator run with no load transfer</v>
      </c>
      <c r="C5" s="777"/>
      <c r="D5" s="777"/>
      <c r="E5" s="777"/>
      <c r="F5" s="777"/>
    </row>
    <row r="6" spans="1:6" s="60" customFormat="1" ht="28.9" customHeight="1" x14ac:dyDescent="0.35">
      <c r="A6" s="167" t="s">
        <v>3627</v>
      </c>
      <c r="B6" s="168" t="s">
        <v>3628</v>
      </c>
      <c r="C6" s="168" t="s">
        <v>3629</v>
      </c>
      <c r="D6" s="168" t="s">
        <v>3630</v>
      </c>
      <c r="E6" s="168" t="s">
        <v>3631</v>
      </c>
      <c r="F6" s="168" t="s">
        <v>3632</v>
      </c>
    </row>
    <row r="7" spans="1:6" s="60" customFormat="1" ht="28.9" customHeight="1" x14ac:dyDescent="0.35">
      <c r="A7" s="104" t="s">
        <v>3633</v>
      </c>
      <c r="B7" s="105"/>
      <c r="C7" s="105"/>
      <c r="D7" s="105"/>
      <c r="E7" s="105"/>
      <c r="F7" s="105"/>
    </row>
    <row r="8" spans="1:6" s="60" customFormat="1" ht="28.9" customHeight="1" x14ac:dyDescent="0.35">
      <c r="A8" s="104" t="s">
        <v>3634</v>
      </c>
      <c r="B8" s="105"/>
      <c r="C8" s="105"/>
      <c r="D8" s="105"/>
      <c r="E8" s="105"/>
      <c r="F8" s="105"/>
    </row>
    <row r="9" spans="1:6" s="60" customFormat="1" ht="28.9" customHeight="1" x14ac:dyDescent="0.35">
      <c r="A9" s="104" t="s">
        <v>3635</v>
      </c>
      <c r="B9" s="105"/>
      <c r="C9" s="105"/>
      <c r="D9" s="105"/>
      <c r="E9" s="105"/>
      <c r="F9" s="105"/>
    </row>
    <row r="10" spans="1:6" s="60" customFormat="1" ht="28.9" customHeight="1" x14ac:dyDescent="0.35">
      <c r="A10" s="104" t="s">
        <v>3636</v>
      </c>
      <c r="B10" s="105"/>
      <c r="C10" s="105"/>
      <c r="D10" s="105"/>
      <c r="E10" s="105"/>
      <c r="F10" s="105"/>
    </row>
    <row r="11" spans="1:6" s="60" customFormat="1" ht="28.9" customHeight="1" x14ac:dyDescent="0.35">
      <c r="A11" s="104" t="s">
        <v>3637</v>
      </c>
      <c r="B11" s="105"/>
      <c r="C11" s="105"/>
      <c r="D11" s="105"/>
      <c r="E11" s="105"/>
      <c r="F11" s="105"/>
    </row>
    <row r="12" spans="1:6" s="60" customFormat="1" ht="28.9" customHeight="1" x14ac:dyDescent="0.35">
      <c r="A12" s="104" t="s">
        <v>3638</v>
      </c>
      <c r="B12" s="105"/>
      <c r="C12" s="105"/>
      <c r="D12" s="105"/>
      <c r="E12" s="105"/>
      <c r="F12" s="105"/>
    </row>
    <row r="13" spans="1:6" s="60" customFormat="1" ht="28.9" customHeight="1" x14ac:dyDescent="0.35">
      <c r="A13" s="104" t="s">
        <v>3639</v>
      </c>
      <c r="B13" s="105"/>
      <c r="C13" s="105"/>
      <c r="D13" s="105"/>
      <c r="E13" s="105"/>
      <c r="F13" s="105"/>
    </row>
    <row r="14" spans="1:6" s="60" customFormat="1" ht="28.9" customHeight="1" x14ac:dyDescent="0.35">
      <c r="A14" s="104" t="s">
        <v>3640</v>
      </c>
      <c r="B14" s="105"/>
      <c r="C14" s="105"/>
      <c r="D14" s="105"/>
      <c r="E14" s="105"/>
      <c r="F14" s="105"/>
    </row>
    <row r="15" spans="1:6" s="60" customFormat="1" ht="28.9" customHeight="1" x14ac:dyDescent="0.35">
      <c r="A15" s="104" t="s">
        <v>3641</v>
      </c>
      <c r="B15" s="105"/>
      <c r="C15" s="105"/>
      <c r="D15" s="105"/>
      <c r="E15" s="105"/>
      <c r="F15" s="105"/>
    </row>
    <row r="16" spans="1:6" s="60" customFormat="1" ht="28.9" customHeight="1" x14ac:dyDescent="0.35">
      <c r="A16" s="167" t="s">
        <v>407</v>
      </c>
      <c r="B16" s="168" t="s">
        <v>3628</v>
      </c>
      <c r="C16" s="168" t="s">
        <v>3629</v>
      </c>
      <c r="D16" s="168" t="s">
        <v>3630</v>
      </c>
      <c r="E16" s="168" t="s">
        <v>3631</v>
      </c>
      <c r="F16" s="168" t="s">
        <v>3632</v>
      </c>
    </row>
    <row r="17" spans="1:6" s="60" customFormat="1" ht="28.9" customHeight="1" x14ac:dyDescent="0.35">
      <c r="A17" s="104" t="s">
        <v>3642</v>
      </c>
      <c r="B17" s="105"/>
      <c r="C17" s="105"/>
      <c r="D17" s="105"/>
      <c r="E17" s="105"/>
      <c r="F17" s="105"/>
    </row>
    <row r="18" spans="1:6" s="60" customFormat="1" ht="28.9" customHeight="1" x14ac:dyDescent="0.35">
      <c r="A18" s="104" t="s">
        <v>3643</v>
      </c>
      <c r="B18" s="105"/>
      <c r="C18" s="105"/>
      <c r="D18" s="105"/>
      <c r="E18" s="105"/>
      <c r="F18" s="105"/>
    </row>
    <row r="19" spans="1:6" s="60" customFormat="1" ht="28.9" customHeight="1" x14ac:dyDescent="0.35">
      <c r="A19" s="104" t="s">
        <v>3644</v>
      </c>
      <c r="B19" s="105"/>
      <c r="C19" s="105"/>
      <c r="D19" s="105"/>
      <c r="E19" s="105"/>
      <c r="F19" s="105"/>
    </row>
    <row r="20" spans="1:6" s="60" customFormat="1" ht="28.9" customHeight="1" x14ac:dyDescent="0.35">
      <c r="A20" s="104" t="s">
        <v>3645</v>
      </c>
      <c r="B20" s="105"/>
      <c r="C20" s="105"/>
      <c r="D20" s="105"/>
      <c r="E20" s="105"/>
      <c r="F20" s="105"/>
    </row>
    <row r="21" spans="1:6" s="60" customFormat="1" ht="28.9" customHeight="1" x14ac:dyDescent="0.35">
      <c r="A21" s="104" t="s">
        <v>3646</v>
      </c>
      <c r="B21" s="105"/>
      <c r="C21" s="105"/>
      <c r="D21" s="105"/>
      <c r="E21" s="105"/>
      <c r="F21" s="105"/>
    </row>
    <row r="22" spans="1:6" s="60" customFormat="1" ht="28.9" customHeight="1" x14ac:dyDescent="0.35">
      <c r="A22" s="104" t="s">
        <v>3647</v>
      </c>
      <c r="B22" s="105"/>
      <c r="C22" s="105"/>
      <c r="D22" s="105"/>
      <c r="E22" s="105"/>
      <c r="F22" s="105"/>
    </row>
    <row r="23" spans="1:6" s="60" customFormat="1" ht="28.9" customHeight="1" x14ac:dyDescent="0.35">
      <c r="A23" s="104" t="s">
        <v>3648</v>
      </c>
      <c r="B23" s="105"/>
      <c r="C23" s="105"/>
      <c r="D23" s="105"/>
      <c r="E23" s="105"/>
      <c r="F23" s="105"/>
    </row>
    <row r="24" spans="1:6" s="60" customFormat="1" ht="28.9" customHeight="1" x14ac:dyDescent="0.35">
      <c r="A24" s="104" t="s">
        <v>3649</v>
      </c>
      <c r="B24" s="105"/>
      <c r="C24" s="105"/>
      <c r="D24" s="105"/>
      <c r="E24" s="105"/>
      <c r="F24" s="105"/>
    </row>
    <row r="25" spans="1:6" s="60" customFormat="1" ht="28.9" customHeight="1" x14ac:dyDescent="0.35">
      <c r="A25" s="104" t="s">
        <v>3650</v>
      </c>
      <c r="B25" s="105"/>
      <c r="C25" s="105"/>
      <c r="D25" s="105"/>
      <c r="E25" s="105"/>
      <c r="F25" s="105"/>
    </row>
    <row r="26" spans="1:6" s="60" customFormat="1" ht="28.9" customHeight="1" x14ac:dyDescent="0.35">
      <c r="A26" s="104" t="s">
        <v>3651</v>
      </c>
      <c r="B26" s="105"/>
      <c r="C26" s="105"/>
      <c r="D26" s="105"/>
      <c r="E26" s="105"/>
      <c r="F26" s="105"/>
    </row>
    <row r="27" spans="1:6" s="60" customFormat="1" ht="28.9" customHeight="1" x14ac:dyDescent="0.35">
      <c r="A27" s="104" t="s">
        <v>3652</v>
      </c>
      <c r="B27" s="105"/>
      <c r="C27" s="105"/>
      <c r="D27" s="105"/>
      <c r="E27" s="105"/>
      <c r="F27" s="105"/>
    </row>
    <row r="28" spans="1:6" s="60" customFormat="1" ht="23.25" x14ac:dyDescent="0.35"/>
    <row r="29" spans="1:6" s="60" customFormat="1" ht="23.25" x14ac:dyDescent="0.35"/>
    <row r="30" spans="1:6" s="60" customFormat="1" ht="23.25" x14ac:dyDescent="0.35"/>
    <row r="31" spans="1:6" s="60" customFormat="1" ht="23.25" x14ac:dyDescent="0.35"/>
    <row r="32" spans="1:6" s="60" customFormat="1" ht="23.25" x14ac:dyDescent="0.35"/>
    <row r="33" s="60" customFormat="1" ht="23.25" x14ac:dyDescent="0.35"/>
    <row r="34" s="60" customFormat="1" ht="23.25" x14ac:dyDescent="0.35"/>
    <row r="35" s="60" customFormat="1" ht="23.25" x14ac:dyDescent="0.35"/>
    <row r="36" s="60" customFormat="1" ht="23.25" x14ac:dyDescent="0.35"/>
    <row r="37" s="60" customFormat="1" ht="23.25" x14ac:dyDescent="0.35"/>
    <row r="38" s="60" customFormat="1" ht="23.25" x14ac:dyDescent="0.35"/>
    <row r="39" s="60" customFormat="1" ht="23.25" x14ac:dyDescent="0.35"/>
    <row r="40" s="60" customFormat="1" ht="23.25" x14ac:dyDescent="0.35"/>
    <row r="41" s="60" customFormat="1" ht="23.25" x14ac:dyDescent="0.35"/>
    <row r="42" s="60" customFormat="1" ht="23.25" x14ac:dyDescent="0.35"/>
    <row r="43" s="60" customFormat="1" ht="23.25" x14ac:dyDescent="0.35"/>
    <row r="44" s="60" customFormat="1" ht="23.25" x14ac:dyDescent="0.35"/>
    <row r="45" s="60" customFormat="1" ht="23.25" x14ac:dyDescent="0.35"/>
    <row r="46" s="60" customFormat="1" ht="23.25" x14ac:dyDescent="0.35"/>
    <row r="47" s="60" customFormat="1" ht="23.25" x14ac:dyDescent="0.35"/>
  </sheetData>
  <sheetProtection formatCells="0" formatRows="0" insertRows="0" insertHyperlinks="0" deleteRows="0" sort="0" autoFilter="0"/>
  <mergeCells count="5">
    <mergeCell ref="A1:F1"/>
    <mergeCell ref="B2:F2"/>
    <mergeCell ref="B3:F3"/>
    <mergeCell ref="B4:F4"/>
    <mergeCell ref="B5:F5"/>
  </mergeCells>
  <printOptions horizontalCentered="1"/>
  <pageMargins left="0.2" right="0.2" top="0.45" bottom="0.25" header="0.05" footer="0.05"/>
  <pageSetup scale="77"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8E53B-8DE0-429C-855F-A7889060F9E9}">
  <sheetPr codeName="Floor_Cleaning">
    <pageSetUpPr fitToPage="1"/>
  </sheetPr>
  <dimension ref="A1:I65"/>
  <sheetViews>
    <sheetView topLeftCell="A23" zoomScaleNormal="100" workbookViewId="0">
      <selection activeCell="B58" sqref="B58"/>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style="185" customWidth="1"/>
    <col min="9" max="9" width="10.7109375" style="185" customWidth="1"/>
    <col min="10" max="10" width="9.140625" style="185" customWidth="1"/>
    <col min="11" max="11" width="9.85546875" style="185" customWidth="1"/>
    <col min="12" max="16384" width="8.7109375" style="185"/>
  </cols>
  <sheetData>
    <row r="1" spans="1:9" customFormat="1" x14ac:dyDescent="0.25">
      <c r="A1" s="209" t="s">
        <v>1454</v>
      </c>
      <c r="B1" s="209"/>
      <c r="C1" s="210"/>
      <c r="D1" s="210"/>
      <c r="E1" s="210"/>
      <c r="F1" s="210"/>
      <c r="G1" s="210"/>
    </row>
    <row r="2" spans="1:9" customFormat="1" ht="18.75" customHeight="1" x14ac:dyDescent="0.25">
      <c r="A2" s="705" t="s">
        <v>42</v>
      </c>
      <c r="B2" s="705"/>
      <c r="C2" s="731" t="str">
        <f>zTaskName</f>
        <v>Routine Generator run with no load transfer</v>
      </c>
      <c r="D2" s="730"/>
      <c r="E2" s="730"/>
      <c r="F2" s="730"/>
      <c r="G2" s="732"/>
    </row>
    <row r="3" spans="1:9" customFormat="1" ht="9.9499999999999993" customHeight="1" x14ac:dyDescent="0.25">
      <c r="A3" s="728"/>
      <c r="B3" s="729"/>
      <c r="C3" s="730"/>
      <c r="D3" s="730"/>
      <c r="E3" s="380"/>
      <c r="F3" s="380"/>
      <c r="G3" s="381"/>
    </row>
    <row r="4" spans="1:9" customFormat="1" ht="9.9499999999999993" customHeight="1" x14ac:dyDescent="0.25">
      <c r="A4" s="706"/>
      <c r="B4" s="707"/>
      <c r="C4" s="707"/>
      <c r="D4" s="382"/>
      <c r="E4" s="382"/>
      <c r="F4" s="382"/>
      <c r="G4" s="383"/>
      <c r="H4" s="3"/>
      <c r="I4" s="3"/>
    </row>
    <row r="5" spans="1:9" customFormat="1" ht="37.5" x14ac:dyDescent="0.25">
      <c r="A5" s="378" t="s">
        <v>1455</v>
      </c>
      <c r="B5" s="379" t="s">
        <v>8</v>
      </c>
      <c r="C5" s="379" t="s">
        <v>1456</v>
      </c>
      <c r="D5" s="378" t="s">
        <v>1457</v>
      </c>
      <c r="E5" s="379" t="s">
        <v>1458</v>
      </c>
      <c r="F5" s="379" t="s">
        <v>1459</v>
      </c>
      <c r="G5" s="378" t="s">
        <v>1460</v>
      </c>
    </row>
    <row r="6" spans="1:9" customFormat="1" x14ac:dyDescent="0.25">
      <c r="A6" s="222">
        <v>1</v>
      </c>
      <c r="B6" s="712" t="str">
        <f>"PERFORM PRE-TESTING NOTIFICATION and CALLOUT – " &amp; Suite</f>
        <v>PERFORM PRE-TESTING NOTIFICATION and CALLOUT – G104</v>
      </c>
      <c r="C6" s="712"/>
      <c r="D6" s="712"/>
      <c r="E6" s="712"/>
      <c r="F6" s="712"/>
      <c r="G6" s="712"/>
    </row>
    <row r="7" spans="1:9" customFormat="1" ht="37.5" x14ac:dyDescent="0.25">
      <c r="A7" s="222">
        <f t="shared" ref="A7:A13" si="0">A6+1</f>
        <v>2</v>
      </c>
      <c r="B7" s="212" t="s">
        <v>1462</v>
      </c>
      <c r="C7" s="212" t="s">
        <v>84</v>
      </c>
      <c r="D7" s="213" t="s">
        <v>2441</v>
      </c>
      <c r="E7" s="212" t="s">
        <v>1464</v>
      </c>
      <c r="F7" s="214" t="s">
        <v>1519</v>
      </c>
      <c r="G7" s="214"/>
    </row>
    <row r="8" spans="1:9" customFormat="1" ht="37.5" x14ac:dyDescent="0.25">
      <c r="A8" s="222">
        <f t="shared" si="0"/>
        <v>3</v>
      </c>
      <c r="B8" s="212" t="s">
        <v>1462</v>
      </c>
      <c r="C8" s="212" t="s">
        <v>84</v>
      </c>
      <c r="D8" s="213" t="s">
        <v>4606</v>
      </c>
      <c r="E8" s="212" t="s">
        <v>1464</v>
      </c>
      <c r="F8" s="214" t="s">
        <v>1519</v>
      </c>
      <c r="G8" s="214"/>
    </row>
    <row r="9" spans="1:9" customFormat="1" ht="37.5" x14ac:dyDescent="0.25">
      <c r="A9" s="222">
        <f t="shared" si="0"/>
        <v>4</v>
      </c>
      <c r="B9" s="212" t="s">
        <v>1462</v>
      </c>
      <c r="C9" s="212" t="s">
        <v>84</v>
      </c>
      <c r="D9" s="213" t="s">
        <v>2025</v>
      </c>
      <c r="E9" s="212" t="s">
        <v>1464</v>
      </c>
      <c r="F9" s="214" t="s">
        <v>1519</v>
      </c>
      <c r="G9" s="214"/>
    </row>
    <row r="10" spans="1:9" customFormat="1" ht="37.5" x14ac:dyDescent="0.25">
      <c r="A10" s="222">
        <f t="shared" si="0"/>
        <v>5</v>
      </c>
      <c r="B10" s="212" t="s">
        <v>1462</v>
      </c>
      <c r="C10" s="212" t="s">
        <v>84</v>
      </c>
      <c r="D10" s="213" t="str">
        <f>"Building "&amp;Building&amp;" address: "&amp;Address</f>
        <v>Building G address: 43940 Digital Loudoun Plaza</v>
      </c>
      <c r="E10" s="212" t="s">
        <v>1464</v>
      </c>
      <c r="F10" s="214" t="s">
        <v>1519</v>
      </c>
      <c r="G10" s="214"/>
    </row>
    <row r="11" spans="1:9" customFormat="1" ht="37.5" x14ac:dyDescent="0.25">
      <c r="A11" s="222">
        <f t="shared" si="0"/>
        <v>6</v>
      </c>
      <c r="B11" s="212" t="str">
        <f>IADNumber&amp;" Lobby"</f>
        <v>IAD35 Lobby</v>
      </c>
      <c r="C11" s="212" t="s">
        <v>2447</v>
      </c>
      <c r="D11" s="213" t="s">
        <v>2448</v>
      </c>
      <c r="E11" s="212" t="s">
        <v>1464</v>
      </c>
      <c r="F11" s="214" t="s">
        <v>1519</v>
      </c>
      <c r="G11" s="214"/>
    </row>
    <row r="12" spans="1:9" customFormat="1" ht="93.75" x14ac:dyDescent="0.25">
      <c r="A12" s="222">
        <f t="shared" si="0"/>
        <v>7</v>
      </c>
      <c r="B12" s="212" t="str">
        <f>IADNumber&amp;" Lobby"</f>
        <v>IAD35 Lobby</v>
      </c>
      <c r="C12" s="212" t="s">
        <v>2447</v>
      </c>
      <c r="D12" s="223" t="s">
        <v>2449</v>
      </c>
      <c r="E12" s="212" t="s">
        <v>1464</v>
      </c>
      <c r="F12" s="214"/>
      <c r="G12" s="214"/>
    </row>
    <row r="13" spans="1:9" x14ac:dyDescent="0.3">
      <c r="A13" s="222">
        <f t="shared" si="0"/>
        <v>8</v>
      </c>
      <c r="B13" s="781"/>
      <c r="C13" s="782"/>
      <c r="D13" s="509" t="s">
        <v>4560</v>
      </c>
      <c r="E13" s="783"/>
      <c r="F13" s="784"/>
      <c r="G13" s="785"/>
    </row>
    <row r="14" spans="1:9" ht="37.5" x14ac:dyDescent="0.3">
      <c r="A14" s="504">
        <v>9</v>
      </c>
      <c r="B14" s="505" t="str" cm="1">
        <f t="array" ref="B14">Suite</f>
        <v>G104</v>
      </c>
      <c r="C14" s="506" t="s">
        <v>2447</v>
      </c>
      <c r="D14" s="507" t="s">
        <v>4561</v>
      </c>
      <c r="E14" s="508" t="s">
        <v>3654</v>
      </c>
      <c r="F14" s="505"/>
      <c r="G14" s="505" t="s">
        <v>1519</v>
      </c>
    </row>
    <row r="15" spans="1:9" ht="18.75" customHeight="1" x14ac:dyDescent="0.3">
      <c r="A15" s="504">
        <v>10</v>
      </c>
      <c r="B15" s="505" t="str" cm="1">
        <f t="array" ref="B15">Suite</f>
        <v>G104</v>
      </c>
      <c r="C15" s="506" t="s">
        <v>2447</v>
      </c>
      <c r="D15" s="507" t="s">
        <v>4562</v>
      </c>
      <c r="E15" s="508" t="s">
        <v>3654</v>
      </c>
      <c r="F15" s="505"/>
      <c r="G15" s="505" t="s">
        <v>1519</v>
      </c>
    </row>
    <row r="16" spans="1:9" ht="37.5" x14ac:dyDescent="0.3">
      <c r="A16" s="504">
        <v>11</v>
      </c>
      <c r="B16" s="505" t="str" cm="1">
        <f t="array" ref="B16">Suite</f>
        <v>G104</v>
      </c>
      <c r="C16" s="506" t="s">
        <v>2447</v>
      </c>
      <c r="D16" s="507" t="s">
        <v>4563</v>
      </c>
      <c r="E16" s="508" t="s">
        <v>3654</v>
      </c>
      <c r="F16" s="505"/>
      <c r="G16" s="505" t="s">
        <v>1519</v>
      </c>
    </row>
    <row r="17" spans="1:7" ht="37.5" x14ac:dyDescent="0.3">
      <c r="A17" s="504">
        <v>12</v>
      </c>
      <c r="B17" s="505" t="str" cm="1">
        <f t="array" ref="B17">Suite</f>
        <v>G104</v>
      </c>
      <c r="C17" s="506" t="s">
        <v>2447</v>
      </c>
      <c r="D17" s="507" t="s">
        <v>4564</v>
      </c>
      <c r="E17" s="508" t="s">
        <v>3654</v>
      </c>
      <c r="F17" s="505"/>
      <c r="G17" s="505" t="s">
        <v>1519</v>
      </c>
    </row>
    <row r="18" spans="1:7" ht="37.5" x14ac:dyDescent="0.3">
      <c r="A18" s="504">
        <v>13</v>
      </c>
      <c r="B18" s="505" t="str" cm="1">
        <f t="array" ref="B18">Suite</f>
        <v>G104</v>
      </c>
      <c r="C18" s="506" t="s">
        <v>2447</v>
      </c>
      <c r="D18" s="507" t="s">
        <v>4565</v>
      </c>
      <c r="E18" s="508" t="s">
        <v>3654</v>
      </c>
      <c r="F18" s="505"/>
      <c r="G18" s="505" t="s">
        <v>1519</v>
      </c>
    </row>
    <row r="19" spans="1:7" ht="37.5" x14ac:dyDescent="0.3">
      <c r="A19" s="504">
        <v>14</v>
      </c>
      <c r="B19" s="505" t="str" cm="1">
        <f t="array" ref="B19">Suite</f>
        <v>G104</v>
      </c>
      <c r="C19" s="506" t="s">
        <v>4566</v>
      </c>
      <c r="D19" s="256" t="s">
        <v>4567</v>
      </c>
      <c r="E19" s="508" t="s">
        <v>3654</v>
      </c>
      <c r="F19" s="505"/>
      <c r="G19" s="505" t="s">
        <v>1519</v>
      </c>
    </row>
    <row r="20" spans="1:7" ht="18.75" customHeight="1" x14ac:dyDescent="0.3">
      <c r="A20" s="504">
        <v>15</v>
      </c>
      <c r="B20" s="505" t="str" cm="1">
        <f t="array" ref="B20">Suite</f>
        <v>G104</v>
      </c>
      <c r="C20" s="506" t="s">
        <v>4568</v>
      </c>
      <c r="D20" s="256" t="s">
        <v>4567</v>
      </c>
      <c r="E20" s="508" t="s">
        <v>3654</v>
      </c>
      <c r="F20" s="505"/>
      <c r="G20" s="505" t="s">
        <v>1519</v>
      </c>
    </row>
    <row r="21" spans="1:7" ht="18.75" customHeight="1" x14ac:dyDescent="0.3">
      <c r="A21" s="504">
        <v>16</v>
      </c>
      <c r="B21" s="786" t="s">
        <v>4569</v>
      </c>
      <c r="C21" s="787"/>
      <c r="D21" s="787"/>
      <c r="E21" s="787"/>
      <c r="F21" s="787"/>
      <c r="G21" s="788"/>
    </row>
    <row r="22" spans="1:7" ht="37.5" x14ac:dyDescent="0.3">
      <c r="A22" s="504">
        <v>17</v>
      </c>
      <c r="B22" s="505" t="str" cm="1">
        <f t="array" ref="B22">Suite</f>
        <v>G104</v>
      </c>
      <c r="C22" s="506" t="s">
        <v>4570</v>
      </c>
      <c r="D22" s="256" t="s">
        <v>4607</v>
      </c>
      <c r="E22" s="508" t="s">
        <v>1529</v>
      </c>
      <c r="F22" s="505"/>
      <c r="G22" s="505"/>
    </row>
    <row r="23" spans="1:7" ht="18.75" customHeight="1" x14ac:dyDescent="0.3">
      <c r="A23" s="504">
        <v>18</v>
      </c>
      <c r="B23" s="505" t="str" cm="1">
        <f t="array" ref="B23">Suite</f>
        <v>G104</v>
      </c>
      <c r="C23" s="506" t="s">
        <v>4570</v>
      </c>
      <c r="D23" s="256" t="s">
        <v>4571</v>
      </c>
      <c r="E23" s="508" t="s">
        <v>1529</v>
      </c>
      <c r="F23" s="505"/>
      <c r="G23" s="505"/>
    </row>
    <row r="24" spans="1:7" ht="37.5" x14ac:dyDescent="0.3">
      <c r="A24" s="504">
        <v>19</v>
      </c>
      <c r="B24" s="505" t="str" cm="1">
        <f t="array" ref="B24">Suite</f>
        <v>G104</v>
      </c>
      <c r="C24" s="506" t="s">
        <v>4570</v>
      </c>
      <c r="D24" s="256" t="s">
        <v>4572</v>
      </c>
      <c r="E24" s="508" t="s">
        <v>1529</v>
      </c>
      <c r="F24" s="505"/>
      <c r="G24" s="505"/>
    </row>
    <row r="25" spans="1:7" x14ac:dyDescent="0.3">
      <c r="A25" s="504">
        <v>20</v>
      </c>
      <c r="B25" s="781"/>
      <c r="C25" s="782"/>
      <c r="D25" s="509" t="s">
        <v>4573</v>
      </c>
      <c r="E25" s="783"/>
      <c r="F25" s="784"/>
      <c r="G25" s="785"/>
    </row>
    <row r="26" spans="1:7" ht="56.25" x14ac:dyDescent="0.3">
      <c r="A26" s="504">
        <v>21</v>
      </c>
      <c r="B26" s="505" t="str" cm="1">
        <f t="array" ref="B26">Suite</f>
        <v>G104</v>
      </c>
      <c r="C26" s="506" t="s">
        <v>4574</v>
      </c>
      <c r="D26" s="256" t="s">
        <v>4575</v>
      </c>
      <c r="E26" s="508" t="s">
        <v>3654</v>
      </c>
      <c r="F26" s="505"/>
      <c r="G26" s="505"/>
    </row>
    <row r="27" spans="1:7" ht="37.5" x14ac:dyDescent="0.3">
      <c r="A27" s="504">
        <v>22</v>
      </c>
      <c r="B27" s="505" t="str" cm="1">
        <f t="array" ref="B27">Suite</f>
        <v>G104</v>
      </c>
      <c r="C27" s="506" t="s">
        <v>4574</v>
      </c>
      <c r="D27" s="256" t="s">
        <v>4576</v>
      </c>
      <c r="E27" s="508" t="s">
        <v>3654</v>
      </c>
      <c r="F27" s="505"/>
      <c r="G27" s="505"/>
    </row>
    <row r="28" spans="1:7" ht="56.25" x14ac:dyDescent="0.3">
      <c r="A28" s="504">
        <v>23</v>
      </c>
      <c r="B28" s="505" t="str" cm="1">
        <f t="array" ref="B28">Suite</f>
        <v>G104</v>
      </c>
      <c r="C28" s="506" t="s">
        <v>4574</v>
      </c>
      <c r="D28" s="256" t="s">
        <v>4577</v>
      </c>
      <c r="E28" s="508" t="s">
        <v>1529</v>
      </c>
      <c r="F28" s="505"/>
      <c r="G28" s="505"/>
    </row>
    <row r="29" spans="1:7" ht="56.25" x14ac:dyDescent="0.3">
      <c r="A29" s="504">
        <v>24</v>
      </c>
      <c r="B29" s="505" t="str" cm="1">
        <f t="array" ref="B29">Suite</f>
        <v>G104</v>
      </c>
      <c r="C29" s="506" t="s">
        <v>4574</v>
      </c>
      <c r="D29" s="256" t="s">
        <v>4578</v>
      </c>
      <c r="E29" s="508" t="s">
        <v>1529</v>
      </c>
      <c r="F29" s="505"/>
      <c r="G29" s="505"/>
    </row>
    <row r="30" spans="1:7" ht="18.75" customHeight="1" x14ac:dyDescent="0.3">
      <c r="A30" s="504">
        <v>25</v>
      </c>
      <c r="B30" s="505" t="str" cm="1">
        <f t="array" ref="B30">Suite</f>
        <v>G104</v>
      </c>
      <c r="C30" s="506" t="s">
        <v>4574</v>
      </c>
      <c r="D30" s="256" t="s">
        <v>4579</v>
      </c>
      <c r="E30" s="508" t="s">
        <v>1529</v>
      </c>
      <c r="F30" s="505"/>
      <c r="G30" s="505" t="s">
        <v>1519</v>
      </c>
    </row>
    <row r="31" spans="1:7" ht="37.5" x14ac:dyDescent="0.3">
      <c r="A31" s="504">
        <v>26</v>
      </c>
      <c r="B31" s="505" t="str" cm="1">
        <f t="array" ref="B31">Suite</f>
        <v>G104</v>
      </c>
      <c r="C31" s="506" t="s">
        <v>4574</v>
      </c>
      <c r="D31" s="256" t="s">
        <v>4580</v>
      </c>
      <c r="E31" s="508" t="s">
        <v>1529</v>
      </c>
      <c r="F31" s="505"/>
      <c r="G31" s="505"/>
    </row>
    <row r="32" spans="1:7" ht="75" x14ac:dyDescent="0.3">
      <c r="A32" s="504">
        <v>27</v>
      </c>
      <c r="B32" s="505" t="str" cm="1">
        <f t="array" ref="B32">Suite</f>
        <v>G104</v>
      </c>
      <c r="C32" s="506" t="s">
        <v>4574</v>
      </c>
      <c r="D32" s="510" t="s">
        <v>4581</v>
      </c>
      <c r="E32" s="508" t="s">
        <v>1529</v>
      </c>
      <c r="F32" s="505"/>
      <c r="G32" s="505"/>
    </row>
    <row r="33" spans="1:7" ht="56.25" x14ac:dyDescent="0.3">
      <c r="A33" s="504">
        <v>28</v>
      </c>
      <c r="B33" s="505" t="str" cm="1">
        <f t="array" ref="B33">Suite</f>
        <v>G104</v>
      </c>
      <c r="C33" s="506" t="s">
        <v>4574</v>
      </c>
      <c r="D33" s="256" t="s">
        <v>4582</v>
      </c>
      <c r="E33" s="508" t="s">
        <v>1529</v>
      </c>
      <c r="F33" s="505"/>
      <c r="G33" s="505"/>
    </row>
    <row r="34" spans="1:7" ht="37.5" x14ac:dyDescent="0.3">
      <c r="A34" s="504">
        <v>29</v>
      </c>
      <c r="B34" s="505" t="str" cm="1">
        <f t="array" ref="B34">Suite</f>
        <v>G104</v>
      </c>
      <c r="C34" s="506" t="s">
        <v>4574</v>
      </c>
      <c r="D34" s="511" t="s">
        <v>4583</v>
      </c>
      <c r="E34" s="508" t="s">
        <v>1529</v>
      </c>
      <c r="F34" s="512"/>
      <c r="G34" s="512"/>
    </row>
    <row r="35" spans="1:7" ht="37.5" x14ac:dyDescent="0.3">
      <c r="A35" s="504">
        <v>30</v>
      </c>
      <c r="B35" s="505" t="str" cm="1">
        <f t="array" ref="B35">Suite</f>
        <v>G104</v>
      </c>
      <c r="C35" s="506" t="s">
        <v>4574</v>
      </c>
      <c r="D35" s="256" t="s">
        <v>4584</v>
      </c>
      <c r="E35" s="508" t="s">
        <v>1529</v>
      </c>
      <c r="F35" s="505"/>
      <c r="G35" s="505"/>
    </row>
    <row r="36" spans="1:7" ht="56.25" x14ac:dyDescent="0.3">
      <c r="A36" s="504">
        <v>31</v>
      </c>
      <c r="B36" s="505" t="str" cm="1">
        <f t="array" ref="B36">Suite</f>
        <v>G104</v>
      </c>
      <c r="C36" s="506" t="s">
        <v>4574</v>
      </c>
      <c r="D36" s="256" t="s">
        <v>4585</v>
      </c>
      <c r="E36" s="508" t="s">
        <v>1529</v>
      </c>
      <c r="F36" s="505"/>
      <c r="G36" s="505"/>
    </row>
    <row r="37" spans="1:7" x14ac:dyDescent="0.3">
      <c r="A37" s="504">
        <v>32</v>
      </c>
      <c r="B37" s="781"/>
      <c r="C37" s="782"/>
      <c r="D37" s="509" t="s">
        <v>4586</v>
      </c>
      <c r="E37" s="783"/>
      <c r="F37" s="784"/>
      <c r="G37" s="785"/>
    </row>
    <row r="38" spans="1:7" ht="37.5" x14ac:dyDescent="0.3">
      <c r="A38" s="504">
        <v>33</v>
      </c>
      <c r="B38" s="505" t="str" cm="1">
        <f t="array" ref="B38">Suite</f>
        <v>G104</v>
      </c>
      <c r="C38" s="506" t="s">
        <v>4574</v>
      </c>
      <c r="D38" s="256" t="s">
        <v>4587</v>
      </c>
      <c r="E38" s="508" t="s">
        <v>1529</v>
      </c>
      <c r="F38" s="505"/>
      <c r="G38" s="505"/>
    </row>
    <row r="39" spans="1:7" ht="37.5" x14ac:dyDescent="0.3">
      <c r="A39" s="504">
        <v>34</v>
      </c>
      <c r="B39" s="505" t="str" cm="1">
        <f t="array" ref="B39">Suite</f>
        <v>G104</v>
      </c>
      <c r="C39" s="506" t="s">
        <v>4574</v>
      </c>
      <c r="D39" s="256" t="s">
        <v>4588</v>
      </c>
      <c r="E39" s="508" t="s">
        <v>1529</v>
      </c>
      <c r="F39" s="505"/>
      <c r="G39" s="505"/>
    </row>
    <row r="40" spans="1:7" ht="37.5" x14ac:dyDescent="0.3">
      <c r="A40" s="504">
        <v>35</v>
      </c>
      <c r="B40" s="505" t="str" cm="1">
        <f t="array" ref="B40">Suite</f>
        <v>G104</v>
      </c>
      <c r="C40" s="506" t="s">
        <v>4574</v>
      </c>
      <c r="D40" s="513" t="s">
        <v>4589</v>
      </c>
      <c r="E40" s="508" t="s">
        <v>1529</v>
      </c>
      <c r="F40" s="505"/>
      <c r="G40" s="505"/>
    </row>
    <row r="41" spans="1:7" ht="37.5" x14ac:dyDescent="0.3">
      <c r="A41" s="504">
        <v>36</v>
      </c>
      <c r="B41" s="505" t="str" cm="1">
        <f t="array" ref="B41">Suite</f>
        <v>G104</v>
      </c>
      <c r="C41" s="506" t="s">
        <v>4574</v>
      </c>
      <c r="D41" s="256" t="s">
        <v>4590</v>
      </c>
      <c r="E41" s="508" t="s">
        <v>1529</v>
      </c>
      <c r="F41" s="505"/>
      <c r="G41" s="505"/>
    </row>
    <row r="42" spans="1:7" ht="37.5" x14ac:dyDescent="0.3">
      <c r="A42" s="504">
        <v>37</v>
      </c>
      <c r="B42" s="505" t="str" cm="1">
        <f t="array" ref="B42">Suite</f>
        <v>G104</v>
      </c>
      <c r="C42" s="506" t="s">
        <v>4574</v>
      </c>
      <c r="D42" s="510" t="s">
        <v>4591</v>
      </c>
      <c r="E42" s="508" t="s">
        <v>1529</v>
      </c>
      <c r="F42" s="505"/>
      <c r="G42" s="505"/>
    </row>
    <row r="43" spans="1:7" ht="18.75" customHeight="1" x14ac:dyDescent="0.3">
      <c r="A43" s="504">
        <v>38</v>
      </c>
      <c r="B43" s="781"/>
      <c r="C43" s="782"/>
      <c r="D43" s="509" t="s">
        <v>4592</v>
      </c>
      <c r="E43" s="783"/>
      <c r="F43" s="784"/>
      <c r="G43" s="785"/>
    </row>
    <row r="44" spans="1:7" ht="37.5" x14ac:dyDescent="0.3">
      <c r="A44" s="504">
        <v>39</v>
      </c>
      <c r="B44" s="505" t="str" cm="1">
        <f t="array" ref="B44">Suite</f>
        <v>G104</v>
      </c>
      <c r="C44" s="506" t="s">
        <v>4574</v>
      </c>
      <c r="D44" s="510" t="s">
        <v>4593</v>
      </c>
      <c r="E44" s="508" t="s">
        <v>1529</v>
      </c>
      <c r="F44" s="505"/>
      <c r="G44" s="505"/>
    </row>
    <row r="45" spans="1:7" ht="37.5" x14ac:dyDescent="0.3">
      <c r="A45" s="504">
        <v>40</v>
      </c>
      <c r="B45" s="505" t="str" cm="1">
        <f t="array" ref="B45">Suite</f>
        <v>G104</v>
      </c>
      <c r="C45" s="506" t="s">
        <v>4574</v>
      </c>
      <c r="D45" s="256" t="s">
        <v>4594</v>
      </c>
      <c r="E45" s="508" t="s">
        <v>1529</v>
      </c>
      <c r="F45" s="505"/>
      <c r="G45" s="505"/>
    </row>
    <row r="46" spans="1:7" ht="75" x14ac:dyDescent="0.3">
      <c r="A46" s="504">
        <v>41</v>
      </c>
      <c r="B46" s="505" t="str" cm="1">
        <f t="array" ref="B46">Suite</f>
        <v>G104</v>
      </c>
      <c r="C46" s="506" t="s">
        <v>4574</v>
      </c>
      <c r="D46" s="256" t="s">
        <v>4595</v>
      </c>
      <c r="E46" s="508" t="s">
        <v>3654</v>
      </c>
      <c r="F46" s="505"/>
      <c r="G46" s="505"/>
    </row>
    <row r="47" spans="1:7" ht="37.5" x14ac:dyDescent="0.3">
      <c r="A47" s="504">
        <v>42</v>
      </c>
      <c r="B47" s="505" t="str" cm="1">
        <f t="array" ref="B47">Suite</f>
        <v>G104</v>
      </c>
      <c r="C47" s="506" t="s">
        <v>4574</v>
      </c>
      <c r="D47" s="256" t="s">
        <v>4596</v>
      </c>
      <c r="E47" s="508" t="s">
        <v>3654</v>
      </c>
      <c r="F47" s="505"/>
      <c r="G47" s="505"/>
    </row>
    <row r="48" spans="1:7" ht="37.5" x14ac:dyDescent="0.3">
      <c r="A48" s="504">
        <v>43</v>
      </c>
      <c r="B48" s="505" t="str" cm="1">
        <f t="array" ref="B48">Suite</f>
        <v>G104</v>
      </c>
      <c r="C48" s="515" t="s">
        <v>4574</v>
      </c>
      <c r="D48" s="510" t="s">
        <v>4597</v>
      </c>
      <c r="E48" s="508" t="s">
        <v>3654</v>
      </c>
      <c r="F48" s="514"/>
      <c r="G48" s="514"/>
    </row>
    <row r="49" spans="1:7" x14ac:dyDescent="0.3">
      <c r="A49" s="504">
        <v>44</v>
      </c>
      <c r="B49" s="781"/>
      <c r="C49" s="782"/>
      <c r="D49" s="509" t="s">
        <v>4598</v>
      </c>
      <c r="E49" s="783"/>
      <c r="F49" s="784"/>
      <c r="G49" s="785"/>
    </row>
    <row r="50" spans="1:7" ht="18.75" customHeight="1" x14ac:dyDescent="0.3">
      <c r="A50" s="504">
        <v>45</v>
      </c>
      <c r="B50" s="505" t="str" cm="1">
        <f t="array" ref="B50">Suite</f>
        <v>G104</v>
      </c>
      <c r="C50" s="506" t="s">
        <v>2447</v>
      </c>
      <c r="D50" s="507" t="s">
        <v>4561</v>
      </c>
      <c r="E50" s="508" t="s">
        <v>3654</v>
      </c>
      <c r="F50" s="505"/>
      <c r="G50" s="505" t="s">
        <v>1519</v>
      </c>
    </row>
    <row r="51" spans="1:7" ht="37.5" x14ac:dyDescent="0.3">
      <c r="A51" s="504">
        <v>46</v>
      </c>
      <c r="B51" s="505" t="str" cm="1">
        <f t="array" ref="B51">Suite</f>
        <v>G104</v>
      </c>
      <c r="C51" s="506" t="s">
        <v>2447</v>
      </c>
      <c r="D51" s="507" t="s">
        <v>4599</v>
      </c>
      <c r="E51" s="508" t="s">
        <v>3654</v>
      </c>
      <c r="F51" s="505"/>
      <c r="G51" s="505" t="s">
        <v>1519</v>
      </c>
    </row>
    <row r="52" spans="1:7" ht="37.5" x14ac:dyDescent="0.3">
      <c r="A52" s="504">
        <v>47</v>
      </c>
      <c r="B52" s="505" t="str" cm="1">
        <f t="array" ref="B52">Suite</f>
        <v>G104</v>
      </c>
      <c r="C52" s="506" t="s">
        <v>2447</v>
      </c>
      <c r="D52" s="507" t="s">
        <v>4600</v>
      </c>
      <c r="E52" s="508" t="s">
        <v>3654</v>
      </c>
      <c r="F52" s="505"/>
      <c r="G52" s="505" t="s">
        <v>1519</v>
      </c>
    </row>
    <row r="53" spans="1:7" ht="37.5" x14ac:dyDescent="0.3">
      <c r="A53" s="504">
        <v>48</v>
      </c>
      <c r="B53" s="505" t="str" cm="1">
        <f t="array" ref="B53">Suite</f>
        <v>G104</v>
      </c>
      <c r="C53" s="506" t="s">
        <v>2447</v>
      </c>
      <c r="D53" s="507" t="s">
        <v>4601</v>
      </c>
      <c r="E53" s="508" t="s">
        <v>3654</v>
      </c>
      <c r="F53" s="505"/>
      <c r="G53" s="505" t="s">
        <v>1519</v>
      </c>
    </row>
    <row r="54" spans="1:7" ht="37.5" x14ac:dyDescent="0.3">
      <c r="A54" s="504">
        <v>49</v>
      </c>
      <c r="B54" s="505" t="str" cm="1">
        <f t="array" ref="B54">Suite</f>
        <v>G104</v>
      </c>
      <c r="C54" s="506" t="s">
        <v>2447</v>
      </c>
      <c r="D54" s="507" t="s">
        <v>4565</v>
      </c>
      <c r="E54" s="508" t="s">
        <v>3654</v>
      </c>
      <c r="F54" s="505"/>
      <c r="G54" s="505" t="s">
        <v>1519</v>
      </c>
    </row>
    <row r="55" spans="1:7" ht="37.5" x14ac:dyDescent="0.3">
      <c r="A55" s="504">
        <v>50</v>
      </c>
      <c r="B55" s="505" t="str" cm="1">
        <f t="array" ref="B55">Suite</f>
        <v>G104</v>
      </c>
      <c r="C55" s="506" t="s">
        <v>2447</v>
      </c>
      <c r="D55" s="507" t="s">
        <v>4602</v>
      </c>
      <c r="E55" s="508" t="s">
        <v>3654</v>
      </c>
      <c r="F55" s="505"/>
      <c r="G55" s="505" t="s">
        <v>1519</v>
      </c>
    </row>
    <row r="56" spans="1:7" ht="37.5" x14ac:dyDescent="0.3">
      <c r="A56" s="504">
        <v>51</v>
      </c>
      <c r="B56" s="505" t="str" cm="1">
        <f t="array" ref="B56">Suite</f>
        <v>G104</v>
      </c>
      <c r="C56" s="506" t="s">
        <v>1342</v>
      </c>
      <c r="D56" s="507" t="s">
        <v>4603</v>
      </c>
      <c r="E56" s="508" t="s">
        <v>3654</v>
      </c>
      <c r="F56" s="505"/>
      <c r="G56" s="505" t="s">
        <v>1519</v>
      </c>
    </row>
    <row r="57" spans="1:7" ht="18.75" customHeight="1" x14ac:dyDescent="0.3">
      <c r="A57" s="504">
        <v>52</v>
      </c>
      <c r="B57" s="505" t="str" cm="1">
        <f t="array" ref="B57">Suite</f>
        <v>G104</v>
      </c>
      <c r="C57" s="506" t="s">
        <v>4566</v>
      </c>
      <c r="D57" s="507" t="s">
        <v>4604</v>
      </c>
      <c r="E57" s="508" t="s">
        <v>3654</v>
      </c>
      <c r="F57" s="505"/>
      <c r="G57" s="505" t="s">
        <v>1519</v>
      </c>
    </row>
    <row r="58" spans="1:7" ht="37.5" x14ac:dyDescent="0.3">
      <c r="A58" s="504">
        <v>53</v>
      </c>
      <c r="B58" s="505" t="str" cm="1">
        <f t="array" ref="B58">Suite</f>
        <v>G104</v>
      </c>
      <c r="C58" s="506" t="s">
        <v>4566</v>
      </c>
      <c r="D58" s="256" t="s">
        <v>4605</v>
      </c>
      <c r="E58" s="508" t="s">
        <v>3654</v>
      </c>
      <c r="F58" s="505"/>
      <c r="G58" s="505" t="s">
        <v>1519</v>
      </c>
    </row>
    <row r="59" spans="1:7" ht="37.5" x14ac:dyDescent="0.3">
      <c r="A59" s="504">
        <v>54</v>
      </c>
      <c r="B59" s="505" t="str" cm="1">
        <f t="array" ref="B59">Suite</f>
        <v>G104</v>
      </c>
      <c r="C59" s="506" t="s">
        <v>4568</v>
      </c>
      <c r="D59" s="507" t="s">
        <v>4604</v>
      </c>
      <c r="E59" s="508" t="s">
        <v>3654</v>
      </c>
      <c r="F59" s="505"/>
      <c r="G59" s="505" t="s">
        <v>1519</v>
      </c>
    </row>
    <row r="60" spans="1:7" ht="37.5" x14ac:dyDescent="0.3">
      <c r="A60" s="504">
        <v>55</v>
      </c>
      <c r="B60" s="505" t="str" cm="1">
        <f t="array" ref="B60">Suite</f>
        <v>G104</v>
      </c>
      <c r="C60" s="506" t="s">
        <v>4568</v>
      </c>
      <c r="D60" s="256" t="s">
        <v>4605</v>
      </c>
      <c r="E60" s="508" t="s">
        <v>3654</v>
      </c>
      <c r="F60" s="505"/>
      <c r="G60" s="505" t="s">
        <v>1519</v>
      </c>
    </row>
    <row r="61" spans="1:7" ht="18.75" customHeight="1" x14ac:dyDescent="0.3">
      <c r="A61" s="504">
        <v>56</v>
      </c>
      <c r="B61" s="778" t="s">
        <v>2363</v>
      </c>
      <c r="C61" s="779"/>
      <c r="D61" s="779"/>
      <c r="E61" s="779"/>
      <c r="F61" s="779"/>
      <c r="G61" s="780"/>
    </row>
    <row r="62" spans="1:7" ht="37.5" x14ac:dyDescent="0.3">
      <c r="A62" s="504">
        <v>57</v>
      </c>
      <c r="B62" s="231" t="s">
        <v>1462</v>
      </c>
      <c r="C62" s="231" t="s">
        <v>84</v>
      </c>
      <c r="D62" s="186" t="s">
        <v>2037</v>
      </c>
      <c r="E62" s="231" t="s">
        <v>1464</v>
      </c>
      <c r="F62" s="196"/>
      <c r="G62" s="197"/>
    </row>
    <row r="63" spans="1:7" ht="37.5" x14ac:dyDescent="0.3">
      <c r="A63" s="504">
        <v>58</v>
      </c>
      <c r="B63" s="231" t="s">
        <v>1462</v>
      </c>
      <c r="C63" s="231" t="s">
        <v>84</v>
      </c>
      <c r="D63" s="187" t="s">
        <v>2025</v>
      </c>
      <c r="E63" s="231" t="s">
        <v>1464</v>
      </c>
      <c r="F63" s="196"/>
      <c r="G63" s="196" t="s">
        <v>1519</v>
      </c>
    </row>
    <row r="64" spans="1:7" ht="37.5" x14ac:dyDescent="0.3">
      <c r="A64" s="504">
        <v>59</v>
      </c>
      <c r="B64" s="231" t="s">
        <v>1462</v>
      </c>
      <c r="C64" s="231" t="s">
        <v>84</v>
      </c>
      <c r="D64" s="187" t="s">
        <v>4559</v>
      </c>
      <c r="E64" s="231" t="s">
        <v>1464</v>
      </c>
      <c r="F64" s="196"/>
      <c r="G64" s="196" t="s">
        <v>1519</v>
      </c>
    </row>
    <row r="65" spans="1:7" ht="37.5" x14ac:dyDescent="0.3">
      <c r="A65" s="504">
        <v>60</v>
      </c>
      <c r="B65" s="231" t="str" cm="1">
        <f t="array" ref="B65">IADNumber &amp; " Lobby"</f>
        <v>IAD35 Lobby</v>
      </c>
      <c r="C65" s="231" t="s">
        <v>2447</v>
      </c>
      <c r="D65" s="196" t="s">
        <v>2515</v>
      </c>
      <c r="E65" s="231" t="s">
        <v>1464</v>
      </c>
      <c r="F65" s="196"/>
      <c r="G65" s="196"/>
    </row>
  </sheetData>
  <mergeCells count="18">
    <mergeCell ref="B6:G6"/>
    <mergeCell ref="B43:C43"/>
    <mergeCell ref="E43:G43"/>
    <mergeCell ref="B49:C49"/>
    <mergeCell ref="E49:G49"/>
    <mergeCell ref="B61:G61"/>
    <mergeCell ref="B13:C13"/>
    <mergeCell ref="E13:G13"/>
    <mergeCell ref="B21:G21"/>
    <mergeCell ref="B25:C25"/>
    <mergeCell ref="E25:G25"/>
    <mergeCell ref="B37:C37"/>
    <mergeCell ref="E37:G37"/>
    <mergeCell ref="A2:B2"/>
    <mergeCell ref="C2:G2"/>
    <mergeCell ref="A3:B3"/>
    <mergeCell ref="C3:D3"/>
    <mergeCell ref="A4:C4"/>
  </mergeCells>
  <pageMargins left="0.7" right="0.7" top="0.75" bottom="0.75" header="0.3" footer="0.3"/>
  <pageSetup scale="30" fitToWidth="0"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7676A-28E4-4752-9EE7-95B1F518EF26}">
  <sheetPr codeName="RTU_QPM"/>
  <dimension ref="A1:H657"/>
  <sheetViews>
    <sheetView zoomScaleNormal="100" workbookViewId="0">
      <selection activeCell="H10" sqref="H10"/>
    </sheetView>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style="185" customWidth="1"/>
    <col min="9" max="9" width="10.7109375" style="185" customWidth="1"/>
    <col min="10" max="10" width="9.140625" style="185" customWidth="1"/>
    <col min="11" max="11" width="9.85546875" style="185" customWidth="1"/>
    <col min="12" max="16384" width="8.7109375" style="185"/>
  </cols>
  <sheetData>
    <row r="1" spans="1:7" x14ac:dyDescent="0.3">
      <c r="A1" s="172" t="s">
        <v>1454</v>
      </c>
      <c r="B1" s="172"/>
      <c r="C1" s="173"/>
      <c r="D1" s="173"/>
      <c r="E1" s="173"/>
      <c r="F1" s="173"/>
      <c r="G1" s="173"/>
    </row>
    <row r="2" spans="1:7" ht="18.75" customHeight="1" x14ac:dyDescent="0.3">
      <c r="A2" s="705" t="s">
        <v>42</v>
      </c>
      <c r="B2" s="705"/>
      <c r="C2" s="708" t="str">
        <f>zTaskName</f>
        <v>Routine Generator run with no load transfer</v>
      </c>
      <c r="D2" s="709"/>
      <c r="E2" s="709"/>
      <c r="F2" s="709"/>
      <c r="G2" s="710"/>
    </row>
    <row r="3" spans="1:7" ht="9.9499999999999993" customHeight="1" x14ac:dyDescent="0.3">
      <c r="A3" s="792"/>
      <c r="B3" s="793"/>
      <c r="C3" s="709"/>
      <c r="D3" s="709"/>
      <c r="E3" s="490"/>
      <c r="F3" s="490"/>
      <c r="G3" s="491"/>
    </row>
    <row r="4" spans="1:7" ht="9.9499999999999993" customHeight="1" x14ac:dyDescent="0.3">
      <c r="A4" s="794"/>
      <c r="B4" s="795"/>
      <c r="C4" s="795"/>
      <c r="D4" s="419"/>
      <c r="E4" s="419"/>
      <c r="F4" s="419"/>
      <c r="G4" s="420"/>
    </row>
    <row r="5" spans="1:7" s="496" customFormat="1" ht="37.5" x14ac:dyDescent="0.3">
      <c r="A5" s="378" t="s">
        <v>1455</v>
      </c>
      <c r="B5" s="379" t="s">
        <v>8</v>
      </c>
      <c r="C5" s="379" t="s">
        <v>1456</v>
      </c>
      <c r="D5" s="378" t="s">
        <v>1457</v>
      </c>
      <c r="E5" s="379" t="s">
        <v>1458</v>
      </c>
      <c r="F5" s="379" t="s">
        <v>1459</v>
      </c>
      <c r="G5" s="378" t="s">
        <v>1460</v>
      </c>
    </row>
    <row r="6" spans="1:7" s="496" customFormat="1" x14ac:dyDescent="0.3">
      <c r="A6" s="492">
        <v>1</v>
      </c>
      <c r="B6" s="712" t="str">
        <f>"PERFORM PRE-TESTING NOTIFICATION and CALLOUT – " &amp; Suite</f>
        <v>PERFORM PRE-TESTING NOTIFICATION and CALLOUT – G104</v>
      </c>
      <c r="C6" s="712"/>
      <c r="D6" s="712"/>
      <c r="E6" s="712"/>
      <c r="F6" s="712"/>
      <c r="G6" s="712"/>
    </row>
    <row r="7" spans="1:7" ht="37.5" x14ac:dyDescent="0.3">
      <c r="A7" s="228">
        <f>A6+1</f>
        <v>2</v>
      </c>
      <c r="B7" s="388" t="s">
        <v>1462</v>
      </c>
      <c r="C7" s="388" t="s">
        <v>84</v>
      </c>
      <c r="D7" s="194" t="s">
        <v>3653</v>
      </c>
      <c r="E7" s="388" t="s">
        <v>3654</v>
      </c>
      <c r="F7" s="189" t="s">
        <v>1519</v>
      </c>
      <c r="G7" s="189"/>
    </row>
    <row r="8" spans="1:7" x14ac:dyDescent="0.3">
      <c r="A8" s="228">
        <f t="shared" ref="A8:A71" si="0">A7+1</f>
        <v>3</v>
      </c>
      <c r="B8" s="753" t="str">
        <f>"Perform Quarterly PM on " &amp; C10</f>
        <v>Perform Quarterly PM on G104-Gen-B RTU 1</v>
      </c>
      <c r="C8" s="754"/>
      <c r="D8" s="754"/>
      <c r="E8" s="754"/>
      <c r="F8" s="754"/>
      <c r="G8" s="755"/>
    </row>
    <row r="9" spans="1:7" ht="37.5" x14ac:dyDescent="0.3">
      <c r="A9" s="228">
        <f t="shared" si="0"/>
        <v>4</v>
      </c>
      <c r="B9" s="388" t="s">
        <v>1462</v>
      </c>
      <c r="C9" s="388" t="s">
        <v>84</v>
      </c>
      <c r="D9" s="493" t="s">
        <v>3655</v>
      </c>
      <c r="E9" s="388" t="s">
        <v>3654</v>
      </c>
      <c r="F9" s="189"/>
      <c r="G9" s="189"/>
    </row>
    <row r="10" spans="1:7" ht="37.5" x14ac:dyDescent="0.3">
      <c r="A10" s="228">
        <f t="shared" si="0"/>
        <v>5</v>
      </c>
      <c r="B10" s="475" t="str" cm="1">
        <f t="array" ref="B10">IADNumber&amp; " Roof"</f>
        <v>IAD35 Roof</v>
      </c>
      <c r="C10" s="475" t="str">
        <f>zSelectedEquipment &amp; " RTU 1"</f>
        <v>G104-Gen-B RTU 1</v>
      </c>
      <c r="D10" s="191" t="s">
        <v>3656</v>
      </c>
      <c r="E10" s="388" t="s">
        <v>1529</v>
      </c>
      <c r="F10" s="189"/>
      <c r="G10" s="189" t="s">
        <v>1519</v>
      </c>
    </row>
    <row r="11" spans="1:7" ht="37.5" x14ac:dyDescent="0.3">
      <c r="A11" s="228">
        <f t="shared" si="0"/>
        <v>6</v>
      </c>
      <c r="B11" s="475" t="str" cm="1">
        <f t="array" ref="B11">IADNumber&amp; " Roof"</f>
        <v>IAD35 Roof</v>
      </c>
      <c r="C11" s="475" t="str">
        <f>zSelectedEquipment &amp; " RTU 1"</f>
        <v>G104-Gen-B RTU 1</v>
      </c>
      <c r="D11" s="190" t="s">
        <v>3657</v>
      </c>
      <c r="E11" s="388" t="s">
        <v>1529</v>
      </c>
      <c r="F11" s="189"/>
      <c r="G11" s="189" t="s">
        <v>1519</v>
      </c>
    </row>
    <row r="12" spans="1:7" ht="37.5" x14ac:dyDescent="0.3">
      <c r="A12" s="228">
        <f t="shared" si="0"/>
        <v>7</v>
      </c>
      <c r="B12" s="475" t="str" cm="1">
        <f t="array" ref="B12">IADNumber&amp; " Roof"</f>
        <v>IAD35 Roof</v>
      </c>
      <c r="C12" s="475" t="str">
        <f>zSelectedEquipment &amp; " RTU 1"</f>
        <v>G104-Gen-B RTU 1</v>
      </c>
      <c r="D12" s="190" t="s">
        <v>3658</v>
      </c>
      <c r="E12" s="388" t="s">
        <v>1529</v>
      </c>
      <c r="F12" s="189"/>
      <c r="G12" s="189" t="s">
        <v>1519</v>
      </c>
    </row>
    <row r="13" spans="1:7" ht="37.5" x14ac:dyDescent="0.3">
      <c r="A13" s="228">
        <f t="shared" si="0"/>
        <v>8</v>
      </c>
      <c r="B13" s="475" t="str" cm="1">
        <f t="array" ref="B13">IADNumber&amp; " Roof"</f>
        <v>IAD35 Roof</v>
      </c>
      <c r="C13" s="475" t="str">
        <f>zSelectedEquipment &amp; " RTU 1"</f>
        <v>G104-Gen-B RTU 1</v>
      </c>
      <c r="D13" s="190" t="s">
        <v>3659</v>
      </c>
      <c r="E13" s="388" t="s">
        <v>3654</v>
      </c>
      <c r="F13" s="189"/>
      <c r="G13" s="189" t="s">
        <v>1519</v>
      </c>
    </row>
    <row r="14" spans="1:7" ht="37.5" x14ac:dyDescent="0.3">
      <c r="A14" s="228">
        <f t="shared" si="0"/>
        <v>9</v>
      </c>
      <c r="B14" s="475" t="str" cm="1">
        <f t="array" ref="B14">IADNumber&amp; " Roof"</f>
        <v>IAD35 Roof</v>
      </c>
      <c r="C14" s="475" t="str">
        <f>zSelectedEquipment &amp; " RTU 1"</f>
        <v>G104-Gen-B RTU 1</v>
      </c>
      <c r="D14" s="195" t="s">
        <v>3660</v>
      </c>
      <c r="E14" s="388" t="s">
        <v>3654</v>
      </c>
      <c r="F14" s="189"/>
      <c r="G14" s="189" t="s">
        <v>1519</v>
      </c>
    </row>
    <row r="15" spans="1:7" ht="37.5" x14ac:dyDescent="0.3">
      <c r="A15" s="228">
        <f t="shared" si="0"/>
        <v>10</v>
      </c>
      <c r="B15" s="475" t="str" cm="1">
        <f t="array" ref="B15">IADNumber&amp; " Roof"</f>
        <v>IAD35 Roof</v>
      </c>
      <c r="C15" s="475" t="str">
        <f>zSelectedEquipment &amp; " RTU 1"</f>
        <v>G104-Gen-B RTU 1</v>
      </c>
      <c r="D15" s="195" t="s">
        <v>3661</v>
      </c>
      <c r="E15" s="388" t="s">
        <v>3654</v>
      </c>
      <c r="F15" s="189"/>
      <c r="G15" s="189" t="s">
        <v>1519</v>
      </c>
    </row>
    <row r="16" spans="1:7" ht="56.25" x14ac:dyDescent="0.3">
      <c r="A16" s="228">
        <f t="shared" si="0"/>
        <v>11</v>
      </c>
      <c r="B16" s="475" t="str" cm="1">
        <f t="array" ref="B16">IADNumber&amp; " Roof"</f>
        <v>IAD35 Roof</v>
      </c>
      <c r="C16" s="475" t="str">
        <f>zSelectedEquipment &amp; " RTU 1"</f>
        <v>G104-Gen-B RTU 1</v>
      </c>
      <c r="D16" s="195" t="s">
        <v>3662</v>
      </c>
      <c r="E16" s="388" t="s">
        <v>3663</v>
      </c>
      <c r="F16" s="189"/>
      <c r="G16" s="189" t="s">
        <v>1519</v>
      </c>
    </row>
    <row r="17" spans="1:7" ht="93.75" x14ac:dyDescent="0.3">
      <c r="A17" s="228">
        <f t="shared" si="0"/>
        <v>12</v>
      </c>
      <c r="B17" s="475" t="str" cm="1">
        <f t="array" ref="B17">IADNumber&amp; " Roof"</f>
        <v>IAD35 Roof</v>
      </c>
      <c r="C17" s="475" t="str">
        <f>zSelectedEquipment &amp; " RTU 1"</f>
        <v>G104-Gen-B RTU 1</v>
      </c>
      <c r="D17" s="195" t="s">
        <v>3664</v>
      </c>
      <c r="E17" s="388" t="s">
        <v>1529</v>
      </c>
      <c r="F17" s="189"/>
      <c r="G17" s="189" t="s">
        <v>1519</v>
      </c>
    </row>
    <row r="18" spans="1:7" x14ac:dyDescent="0.3">
      <c r="A18" s="228">
        <f t="shared" si="0"/>
        <v>13</v>
      </c>
      <c r="B18" s="717" t="s">
        <v>3665</v>
      </c>
      <c r="C18" s="718"/>
      <c r="D18" s="718"/>
      <c r="E18" s="718"/>
      <c r="F18" s="718"/>
      <c r="G18" s="719"/>
    </row>
    <row r="19" spans="1:7" ht="37.5" x14ac:dyDescent="0.3">
      <c r="A19" s="228">
        <f t="shared" si="0"/>
        <v>14</v>
      </c>
      <c r="B19" s="475" t="str" cm="1">
        <f t="array" ref="B19">IADNumber&amp; " Roof"</f>
        <v>IAD35 Roof</v>
      </c>
      <c r="C19" s="475" t="str">
        <f>zSelectedEquipment &amp; " RTU 1"</f>
        <v>G104-Gen-B RTU 1</v>
      </c>
      <c r="D19" s="195" t="s">
        <v>3666</v>
      </c>
      <c r="E19" s="388" t="s">
        <v>1529</v>
      </c>
      <c r="F19" s="193"/>
      <c r="G19" s="193" t="s">
        <v>1519</v>
      </c>
    </row>
    <row r="20" spans="1:7" ht="37.5" x14ac:dyDescent="0.3">
      <c r="A20" s="228">
        <f t="shared" si="0"/>
        <v>15</v>
      </c>
      <c r="B20" s="475" t="str" cm="1">
        <f t="array" ref="B20">IADNumber&amp; " Roof"</f>
        <v>IAD35 Roof</v>
      </c>
      <c r="C20" s="475" t="str">
        <f>zSelectedEquipment &amp; " RTU 1"</f>
        <v>G104-Gen-B RTU 1</v>
      </c>
      <c r="D20" s="195" t="s">
        <v>3667</v>
      </c>
      <c r="E20" s="388" t="s">
        <v>1529</v>
      </c>
      <c r="F20" s="193"/>
      <c r="G20" s="193" t="s">
        <v>1519</v>
      </c>
    </row>
    <row r="21" spans="1:7" ht="37.5" x14ac:dyDescent="0.3">
      <c r="A21" s="228">
        <f t="shared" si="0"/>
        <v>16</v>
      </c>
      <c r="B21" s="475" t="str" cm="1">
        <f t="array" ref="B21">IADNumber&amp; " Roof"</f>
        <v>IAD35 Roof</v>
      </c>
      <c r="C21" s="475" t="str">
        <f>zSelectedEquipment &amp; " RTU 1"</f>
        <v>G104-Gen-B RTU 1</v>
      </c>
      <c r="D21" s="195" t="s">
        <v>2251</v>
      </c>
      <c r="E21" s="388" t="s">
        <v>1529</v>
      </c>
      <c r="F21" s="193"/>
      <c r="G21" s="193" t="s">
        <v>1519</v>
      </c>
    </row>
    <row r="22" spans="1:7" ht="56.25" x14ac:dyDescent="0.3">
      <c r="A22" s="228">
        <f t="shared" si="0"/>
        <v>17</v>
      </c>
      <c r="B22" s="475" t="str" cm="1">
        <f t="array" ref="B22">IADNumber&amp; " Roof"</f>
        <v>IAD35 Roof</v>
      </c>
      <c r="C22" s="475" t="str">
        <f>zSelectedEquipment &amp; " RTU 1"</f>
        <v>G104-Gen-B RTU 1</v>
      </c>
      <c r="D22" s="195" t="s">
        <v>3668</v>
      </c>
      <c r="E22" s="388" t="s">
        <v>1529</v>
      </c>
      <c r="F22" s="193"/>
      <c r="G22" s="193" t="s">
        <v>1519</v>
      </c>
    </row>
    <row r="23" spans="1:7" x14ac:dyDescent="0.3">
      <c r="A23" s="228">
        <f t="shared" si="0"/>
        <v>18</v>
      </c>
      <c r="B23" s="717" t="s">
        <v>2253</v>
      </c>
      <c r="C23" s="718"/>
      <c r="D23" s="718"/>
      <c r="E23" s="718"/>
      <c r="F23" s="718"/>
      <c r="G23" s="719"/>
    </row>
    <row r="24" spans="1:7" ht="75" x14ac:dyDescent="0.3">
      <c r="A24" s="228">
        <f t="shared" si="0"/>
        <v>19</v>
      </c>
      <c r="B24" s="475" t="str" cm="1">
        <f t="array" ref="B24">IADNumber&amp; " Roof"</f>
        <v>IAD35 Roof</v>
      </c>
      <c r="C24" s="475" t="str">
        <f>zSelectedEquipment &amp; " RTU 1"</f>
        <v>G104-Gen-B RTU 1</v>
      </c>
      <c r="D24" s="195" t="s">
        <v>3669</v>
      </c>
      <c r="E24" s="388" t="s">
        <v>1529</v>
      </c>
      <c r="F24" s="193"/>
      <c r="G24" s="193"/>
    </row>
    <row r="25" spans="1:7" ht="37.5" x14ac:dyDescent="0.3">
      <c r="A25" s="228">
        <f t="shared" si="0"/>
        <v>20</v>
      </c>
      <c r="B25" s="475" t="str" cm="1">
        <f t="array" ref="B25">IADNumber&amp; " Roof"</f>
        <v>IAD35 Roof</v>
      </c>
      <c r="C25" s="475" t="str">
        <f>zSelectedEquipment &amp; " RTU 1"</f>
        <v>G104-Gen-B RTU 1</v>
      </c>
      <c r="D25" s="195" t="s">
        <v>2255</v>
      </c>
      <c r="E25" s="388" t="s">
        <v>1529</v>
      </c>
      <c r="F25" s="193"/>
      <c r="G25" s="193" t="s">
        <v>1519</v>
      </c>
    </row>
    <row r="26" spans="1:7" x14ac:dyDescent="0.3">
      <c r="A26" s="228">
        <f t="shared" si="0"/>
        <v>21</v>
      </c>
      <c r="B26" s="717" t="s">
        <v>2366</v>
      </c>
      <c r="C26" s="718"/>
      <c r="D26" s="718"/>
      <c r="E26" s="718"/>
      <c r="F26" s="718"/>
      <c r="G26" s="719"/>
    </row>
    <row r="27" spans="1:7" ht="37.5" x14ac:dyDescent="0.3">
      <c r="A27" s="228">
        <f t="shared" si="0"/>
        <v>22</v>
      </c>
      <c r="B27" s="475" t="str" cm="1">
        <f t="array" ref="B27">IADNumber&amp; " Roof"</f>
        <v>IAD35 Roof</v>
      </c>
      <c r="C27" s="475" t="str">
        <f>zSelectedEquipment &amp; " RTU 1"</f>
        <v>G104-Gen-B RTU 1</v>
      </c>
      <c r="D27" s="195" t="s">
        <v>2306</v>
      </c>
      <c r="E27" s="388" t="s">
        <v>1529</v>
      </c>
      <c r="F27" s="193"/>
      <c r="G27" s="193" t="s">
        <v>1519</v>
      </c>
    </row>
    <row r="28" spans="1:7" ht="37.5" x14ac:dyDescent="0.3">
      <c r="A28" s="228">
        <f t="shared" si="0"/>
        <v>23</v>
      </c>
      <c r="B28" s="475" t="str" cm="1">
        <f t="array" ref="B28">IADNumber&amp; " Roof"</f>
        <v>IAD35 Roof</v>
      </c>
      <c r="C28" s="475" t="str">
        <f>zSelectedEquipment &amp; " RTU 1"</f>
        <v>G104-Gen-B RTU 1</v>
      </c>
      <c r="D28" s="195" t="s">
        <v>3670</v>
      </c>
      <c r="E28" s="388" t="s">
        <v>1529</v>
      </c>
      <c r="F28" s="193"/>
      <c r="G28" s="193" t="s">
        <v>1519</v>
      </c>
    </row>
    <row r="29" spans="1:7" ht="37.5" x14ac:dyDescent="0.3">
      <c r="A29" s="228">
        <f t="shared" si="0"/>
        <v>24</v>
      </c>
      <c r="B29" s="475" t="str" cm="1">
        <f t="array" ref="B29">IADNumber&amp; " Roof"</f>
        <v>IAD35 Roof</v>
      </c>
      <c r="C29" s="475" t="str">
        <f>zSelectedEquipment &amp; " RTU 1"</f>
        <v>G104-Gen-B RTU 1</v>
      </c>
      <c r="D29" s="195" t="s">
        <v>2368</v>
      </c>
      <c r="E29" s="388" t="s">
        <v>1529</v>
      </c>
      <c r="F29" s="193"/>
      <c r="G29" s="193" t="s">
        <v>1519</v>
      </c>
    </row>
    <row r="30" spans="1:7" ht="37.5" x14ac:dyDescent="0.3">
      <c r="A30" s="228">
        <f t="shared" si="0"/>
        <v>25</v>
      </c>
      <c r="B30" s="475" t="str" cm="1">
        <f t="array" ref="B30">IADNumber&amp; " Roof"</f>
        <v>IAD35 Roof</v>
      </c>
      <c r="C30" s="475" t="str">
        <f>zSelectedEquipment &amp; " RTU 1"</f>
        <v>G104-Gen-B RTU 1</v>
      </c>
      <c r="D30" s="195" t="s">
        <v>2309</v>
      </c>
      <c r="E30" s="388" t="s">
        <v>1529</v>
      </c>
      <c r="F30" s="193"/>
      <c r="G30" s="193" t="s">
        <v>1519</v>
      </c>
    </row>
    <row r="31" spans="1:7" ht="37.5" x14ac:dyDescent="0.3">
      <c r="A31" s="228">
        <f t="shared" si="0"/>
        <v>26</v>
      </c>
      <c r="B31" s="475" t="str" cm="1">
        <f t="array" ref="B31">IADNumber&amp; " Roof"</f>
        <v>IAD35 Roof</v>
      </c>
      <c r="C31" s="475" t="str">
        <f>zSelectedEquipment &amp; " RTU 1"</f>
        <v>G104-Gen-B RTU 1</v>
      </c>
      <c r="D31" s="195" t="s">
        <v>2310</v>
      </c>
      <c r="E31" s="388" t="s">
        <v>1529</v>
      </c>
      <c r="F31" s="193"/>
      <c r="G31" s="193" t="s">
        <v>1519</v>
      </c>
    </row>
    <row r="32" spans="1:7" ht="37.5" x14ac:dyDescent="0.3">
      <c r="A32" s="228">
        <f t="shared" si="0"/>
        <v>27</v>
      </c>
      <c r="B32" s="475" t="str" cm="1">
        <f t="array" ref="B32">IADNumber&amp; " Roof"</f>
        <v>IAD35 Roof</v>
      </c>
      <c r="C32" s="475" t="str">
        <f>zSelectedEquipment &amp; " RTU 1"</f>
        <v>G104-Gen-B RTU 1</v>
      </c>
      <c r="D32" s="195" t="s">
        <v>2311</v>
      </c>
      <c r="E32" s="388" t="s">
        <v>1529</v>
      </c>
      <c r="F32" s="193"/>
      <c r="G32" s="193" t="s">
        <v>1519</v>
      </c>
    </row>
    <row r="33" spans="1:7" x14ac:dyDescent="0.3">
      <c r="A33" s="228">
        <f t="shared" si="0"/>
        <v>28</v>
      </c>
      <c r="B33" s="717" t="s">
        <v>2312</v>
      </c>
      <c r="C33" s="718"/>
      <c r="D33" s="718"/>
      <c r="E33" s="718"/>
      <c r="F33" s="718"/>
      <c r="G33" s="719"/>
    </row>
    <row r="34" spans="1:7" ht="37.5" x14ac:dyDescent="0.3">
      <c r="A34" s="228">
        <f t="shared" si="0"/>
        <v>29</v>
      </c>
      <c r="B34" s="475" t="str" cm="1">
        <f t="array" ref="B34">IADNumber&amp; " Roof"</f>
        <v>IAD35 Roof</v>
      </c>
      <c r="C34" s="475" t="str">
        <f>zSelectedEquipment &amp; " RTU 1"</f>
        <v>G104-Gen-B RTU 1</v>
      </c>
      <c r="D34" s="195" t="s">
        <v>2369</v>
      </c>
      <c r="E34" s="388" t="s">
        <v>1529</v>
      </c>
      <c r="F34" s="189"/>
      <c r="G34" s="193" t="s">
        <v>1519</v>
      </c>
    </row>
    <row r="35" spans="1:7" ht="37.5" x14ac:dyDescent="0.3">
      <c r="A35" s="228">
        <f t="shared" si="0"/>
        <v>30</v>
      </c>
      <c r="B35" s="475" t="str" cm="1">
        <f t="array" ref="B35">IADNumber&amp; " Roof"</f>
        <v>IAD35 Roof</v>
      </c>
      <c r="C35" s="475" t="str">
        <f>zSelectedEquipment &amp; " RTU 1"</f>
        <v>G104-Gen-B RTU 1</v>
      </c>
      <c r="D35" s="195" t="s">
        <v>3671</v>
      </c>
      <c r="E35" s="388" t="s">
        <v>1529</v>
      </c>
      <c r="F35" s="189"/>
      <c r="G35" s="193" t="s">
        <v>1519</v>
      </c>
    </row>
    <row r="36" spans="1:7" ht="37.5" x14ac:dyDescent="0.3">
      <c r="A36" s="228">
        <f t="shared" si="0"/>
        <v>31</v>
      </c>
      <c r="B36" s="475" t="str" cm="1">
        <f t="array" ref="B36">IADNumber&amp; " Roof"</f>
        <v>IAD35 Roof</v>
      </c>
      <c r="C36" s="475" t="str">
        <f>zSelectedEquipment &amp; " RTU 1"</f>
        <v>G104-Gen-B RTU 1</v>
      </c>
      <c r="D36" s="195" t="s">
        <v>3672</v>
      </c>
      <c r="E36" s="388" t="s">
        <v>1529</v>
      </c>
      <c r="F36" s="189"/>
      <c r="G36" s="193" t="s">
        <v>1519</v>
      </c>
    </row>
    <row r="37" spans="1:7" ht="37.5" x14ac:dyDescent="0.3">
      <c r="A37" s="228">
        <f t="shared" si="0"/>
        <v>32</v>
      </c>
      <c r="B37" s="475" t="str" cm="1">
        <f t="array" ref="B37">IADNumber&amp; " Roof"</f>
        <v>IAD35 Roof</v>
      </c>
      <c r="C37" s="475" t="str">
        <f>zSelectedEquipment &amp; " RTU 1"</f>
        <v>G104-Gen-B RTU 1</v>
      </c>
      <c r="D37" s="195" t="s">
        <v>2315</v>
      </c>
      <c r="E37" s="388" t="s">
        <v>1529</v>
      </c>
      <c r="F37" s="189"/>
      <c r="G37" s="193" t="s">
        <v>1519</v>
      </c>
    </row>
    <row r="38" spans="1:7" ht="37.5" x14ac:dyDescent="0.3">
      <c r="A38" s="228">
        <f t="shared" si="0"/>
        <v>33</v>
      </c>
      <c r="B38" s="475" t="str" cm="1">
        <f t="array" ref="B38">IADNumber&amp; " Roof"</f>
        <v>IAD35 Roof</v>
      </c>
      <c r="C38" s="475" t="str">
        <f>zSelectedEquipment &amp; " RTU 1"</f>
        <v>G104-Gen-B RTU 1</v>
      </c>
      <c r="D38" s="195" t="s">
        <v>2373</v>
      </c>
      <c r="E38" s="388" t="s">
        <v>1529</v>
      </c>
      <c r="F38" s="189"/>
      <c r="G38" s="193" t="s">
        <v>1519</v>
      </c>
    </row>
    <row r="39" spans="1:7" ht="37.5" x14ac:dyDescent="0.3">
      <c r="A39" s="228">
        <f t="shared" si="0"/>
        <v>34</v>
      </c>
      <c r="B39" s="475" t="str" cm="1">
        <f t="array" ref="B39">IADNumber&amp; " Roof"</f>
        <v>IAD35 Roof</v>
      </c>
      <c r="C39" s="475" t="str">
        <f>zSelectedEquipment &amp; " RTU 1"</f>
        <v>G104-Gen-B RTU 1</v>
      </c>
      <c r="D39" s="195" t="s">
        <v>3673</v>
      </c>
      <c r="E39" s="388" t="s">
        <v>1529</v>
      </c>
      <c r="F39" s="189"/>
      <c r="G39" s="193" t="s">
        <v>1519</v>
      </c>
    </row>
    <row r="40" spans="1:7" ht="37.5" x14ac:dyDescent="0.3">
      <c r="A40" s="228">
        <f t="shared" si="0"/>
        <v>35</v>
      </c>
      <c r="B40" s="475" t="str" cm="1">
        <f t="array" ref="B40">IADNumber&amp; " Roof"</f>
        <v>IAD35 Roof</v>
      </c>
      <c r="C40" s="475" t="str">
        <f>zSelectedEquipment &amp; " RTU 1"</f>
        <v>G104-Gen-B RTU 1</v>
      </c>
      <c r="D40" s="195" t="s">
        <v>3674</v>
      </c>
      <c r="E40" s="388" t="s">
        <v>1529</v>
      </c>
      <c r="F40" s="189"/>
      <c r="G40" s="193" t="s">
        <v>1519</v>
      </c>
    </row>
    <row r="41" spans="1:7" ht="37.5" x14ac:dyDescent="0.3">
      <c r="A41" s="228">
        <f t="shared" si="0"/>
        <v>36</v>
      </c>
      <c r="B41" s="475" t="str" cm="1">
        <f t="array" ref="B41">IADNumber&amp; " Roof"</f>
        <v>IAD35 Roof</v>
      </c>
      <c r="C41" s="475" t="str">
        <f>zSelectedEquipment &amp; " RTU 1"</f>
        <v>G104-Gen-B RTU 1</v>
      </c>
      <c r="D41" s="195" t="s">
        <v>3675</v>
      </c>
      <c r="E41" s="388" t="s">
        <v>1529</v>
      </c>
      <c r="F41" s="189"/>
      <c r="G41" s="193" t="s">
        <v>1519</v>
      </c>
    </row>
    <row r="42" spans="1:7" ht="37.5" x14ac:dyDescent="0.3">
      <c r="A42" s="228">
        <f t="shared" si="0"/>
        <v>37</v>
      </c>
      <c r="B42" s="475" t="str" cm="1">
        <f t="array" ref="B42">IADNumber&amp; " Roof"</f>
        <v>IAD35 Roof</v>
      </c>
      <c r="C42" s="475" t="str">
        <f>zSelectedEquipment &amp; " RTU 1"</f>
        <v>G104-Gen-B RTU 1</v>
      </c>
      <c r="D42" s="195" t="s">
        <v>3676</v>
      </c>
      <c r="E42" s="388" t="s">
        <v>1529</v>
      </c>
      <c r="F42" s="189"/>
      <c r="G42" s="193" t="s">
        <v>1519</v>
      </c>
    </row>
    <row r="43" spans="1:7" ht="37.5" x14ac:dyDescent="0.3">
      <c r="A43" s="228">
        <f t="shared" si="0"/>
        <v>38</v>
      </c>
      <c r="B43" s="475" t="str" cm="1">
        <f t="array" ref="B43">IADNumber&amp; " Roof"</f>
        <v>IAD35 Roof</v>
      </c>
      <c r="C43" s="475" t="str">
        <f>zSelectedEquipment &amp; " RTU 1"</f>
        <v>G104-Gen-B RTU 1</v>
      </c>
      <c r="D43" s="195" t="s">
        <v>3672</v>
      </c>
      <c r="E43" s="388" t="s">
        <v>1529</v>
      </c>
      <c r="F43" s="189"/>
      <c r="G43" s="193" t="s">
        <v>1519</v>
      </c>
    </row>
    <row r="44" spans="1:7" ht="37.5" x14ac:dyDescent="0.3">
      <c r="A44" s="228">
        <f t="shared" si="0"/>
        <v>39</v>
      </c>
      <c r="B44" s="475" t="str" cm="1">
        <f t="array" ref="B44">IADNumber&amp; " Roof"</f>
        <v>IAD35 Roof</v>
      </c>
      <c r="C44" s="475" t="str">
        <f>zSelectedEquipment &amp; " RTU 1"</f>
        <v>G104-Gen-B RTU 1</v>
      </c>
      <c r="D44" s="494" t="s">
        <v>3677</v>
      </c>
      <c r="E44" s="388" t="s">
        <v>1529</v>
      </c>
      <c r="F44" s="189"/>
      <c r="G44" s="193" t="s">
        <v>1519</v>
      </c>
    </row>
    <row r="45" spans="1:7" ht="75" x14ac:dyDescent="0.3">
      <c r="A45" s="228">
        <f t="shared" si="0"/>
        <v>40</v>
      </c>
      <c r="B45" s="475" t="str" cm="1">
        <f t="array" ref="B45">IADNumber&amp; " Roof"</f>
        <v>IAD35 Roof</v>
      </c>
      <c r="C45" s="475" t="str">
        <f>zSelectedEquipment &amp; " RTU 1"</f>
        <v>G104-Gen-B RTU 1</v>
      </c>
      <c r="D45" s="494" t="s">
        <v>3678</v>
      </c>
      <c r="E45" s="388" t="s">
        <v>1529</v>
      </c>
      <c r="F45" s="189"/>
      <c r="G45" s="193" t="s">
        <v>1519</v>
      </c>
    </row>
    <row r="46" spans="1:7" x14ac:dyDescent="0.3">
      <c r="A46" s="228">
        <f t="shared" si="0"/>
        <v>41</v>
      </c>
      <c r="B46" s="717" t="s">
        <v>2379</v>
      </c>
      <c r="C46" s="718"/>
      <c r="D46" s="718"/>
      <c r="E46" s="718"/>
      <c r="F46" s="718"/>
      <c r="G46" s="719"/>
    </row>
    <row r="47" spans="1:7" ht="37.5" x14ac:dyDescent="0.3">
      <c r="A47" s="228">
        <f t="shared" si="0"/>
        <v>42</v>
      </c>
      <c r="B47" s="475" t="str" cm="1">
        <f t="array" ref="B47">IADNumber&amp; " Roof"</f>
        <v>IAD35 Roof</v>
      </c>
      <c r="C47" s="475" t="str">
        <f>zSelectedEquipment &amp; " RTU 1"</f>
        <v>G104-Gen-B RTU 1</v>
      </c>
      <c r="D47" s="245" t="s">
        <v>2323</v>
      </c>
      <c r="E47" s="388" t="s">
        <v>1529</v>
      </c>
      <c r="F47" s="189"/>
      <c r="G47" s="189" t="s">
        <v>1519</v>
      </c>
    </row>
    <row r="48" spans="1:7" ht="37.5" x14ac:dyDescent="0.3">
      <c r="A48" s="228">
        <f t="shared" si="0"/>
        <v>43</v>
      </c>
      <c r="B48" s="475" t="str" cm="1">
        <f t="array" ref="B48">IADNumber&amp; " Roof"</f>
        <v>IAD35 Roof</v>
      </c>
      <c r="C48" s="475" t="str">
        <f>zSelectedEquipment &amp; " RTU 1"</f>
        <v>G104-Gen-B RTU 1</v>
      </c>
      <c r="D48" s="245" t="s">
        <v>2324</v>
      </c>
      <c r="E48" s="388" t="s">
        <v>1529</v>
      </c>
      <c r="F48" s="189"/>
      <c r="G48" s="189" t="s">
        <v>1519</v>
      </c>
    </row>
    <row r="49" spans="1:7" ht="37.5" x14ac:dyDescent="0.3">
      <c r="A49" s="228">
        <f t="shared" si="0"/>
        <v>44</v>
      </c>
      <c r="B49" s="475" t="str" cm="1">
        <f t="array" ref="B49">IADNumber&amp; " Roof"</f>
        <v>IAD35 Roof</v>
      </c>
      <c r="C49" s="475" t="str">
        <f>zSelectedEquipment &amp; " RTU 1"</f>
        <v>G104-Gen-B RTU 1</v>
      </c>
      <c r="D49" s="245" t="s">
        <v>2325</v>
      </c>
      <c r="E49" s="388" t="s">
        <v>1529</v>
      </c>
      <c r="F49" s="189"/>
      <c r="G49" s="189" t="s">
        <v>1519</v>
      </c>
    </row>
    <row r="50" spans="1:7" ht="37.5" x14ac:dyDescent="0.3">
      <c r="A50" s="228">
        <f t="shared" si="0"/>
        <v>45</v>
      </c>
      <c r="B50" s="475" t="str" cm="1">
        <f t="array" ref="B50">IADNumber&amp; " Roof"</f>
        <v>IAD35 Roof</v>
      </c>
      <c r="C50" s="475" t="str">
        <f>zSelectedEquipment &amp; " RTU 1"</f>
        <v>G104-Gen-B RTU 1</v>
      </c>
      <c r="D50" s="245" t="s">
        <v>2326</v>
      </c>
      <c r="E50" s="388" t="s">
        <v>1529</v>
      </c>
      <c r="F50" s="189"/>
      <c r="G50" s="189" t="s">
        <v>1519</v>
      </c>
    </row>
    <row r="51" spans="1:7" ht="37.5" x14ac:dyDescent="0.3">
      <c r="A51" s="228">
        <f t="shared" si="0"/>
        <v>46</v>
      </c>
      <c r="B51" s="475" t="str" cm="1">
        <f t="array" ref="B51">IADNumber&amp; " Roof"</f>
        <v>IAD35 Roof</v>
      </c>
      <c r="C51" s="475" t="str">
        <f>zSelectedEquipment &amp; " RTU 1"</f>
        <v>G104-Gen-B RTU 1</v>
      </c>
      <c r="D51" s="245" t="s">
        <v>2327</v>
      </c>
      <c r="E51" s="388" t="s">
        <v>1529</v>
      </c>
      <c r="F51" s="189"/>
      <c r="G51" s="189" t="s">
        <v>1519</v>
      </c>
    </row>
    <row r="52" spans="1:7" ht="37.5" x14ac:dyDescent="0.3">
      <c r="A52" s="228">
        <f t="shared" si="0"/>
        <v>47</v>
      </c>
      <c r="B52" s="475" t="str" cm="1">
        <f t="array" ref="B52">IADNumber&amp; " Roof"</f>
        <v>IAD35 Roof</v>
      </c>
      <c r="C52" s="475" t="str">
        <f>zSelectedEquipment &amp; " RTU 1"</f>
        <v>G104-Gen-B RTU 1</v>
      </c>
      <c r="D52" s="245" t="s">
        <v>2328</v>
      </c>
      <c r="E52" s="388" t="s">
        <v>1529</v>
      </c>
      <c r="F52" s="189"/>
      <c r="G52" s="189" t="s">
        <v>1519</v>
      </c>
    </row>
    <row r="53" spans="1:7" x14ac:dyDescent="0.3">
      <c r="A53" s="228">
        <f t="shared" si="0"/>
        <v>48</v>
      </c>
      <c r="B53" s="717" t="s">
        <v>2329</v>
      </c>
      <c r="C53" s="718"/>
      <c r="D53" s="718"/>
      <c r="E53" s="718"/>
      <c r="F53" s="718"/>
      <c r="G53" s="719"/>
    </row>
    <row r="54" spans="1:7" ht="37.5" x14ac:dyDescent="0.3">
      <c r="A54" s="228">
        <f t="shared" si="0"/>
        <v>49</v>
      </c>
      <c r="B54" s="475" t="str" cm="1">
        <f t="array" ref="B54">IADNumber&amp; " Roof"</f>
        <v>IAD35 Roof</v>
      </c>
      <c r="C54" s="475" t="str">
        <f>zSelectedEquipment &amp; " RTU 1"</f>
        <v>G104-Gen-B RTU 1</v>
      </c>
      <c r="D54" s="245" t="s">
        <v>2331</v>
      </c>
      <c r="E54" s="388" t="s">
        <v>1529</v>
      </c>
      <c r="F54" s="189"/>
      <c r="G54" s="189" t="s">
        <v>1519</v>
      </c>
    </row>
    <row r="55" spans="1:7" ht="37.5" x14ac:dyDescent="0.3">
      <c r="A55" s="228">
        <f t="shared" si="0"/>
        <v>50</v>
      </c>
      <c r="B55" s="475" t="str" cm="1">
        <f t="array" ref="B55">IADNumber&amp; " Roof"</f>
        <v>IAD35 Roof</v>
      </c>
      <c r="C55" s="475" t="str">
        <f>zSelectedEquipment &amp; " RTU 1"</f>
        <v>G104-Gen-B RTU 1</v>
      </c>
      <c r="D55" s="245" t="s">
        <v>2332</v>
      </c>
      <c r="E55" s="388" t="s">
        <v>1529</v>
      </c>
      <c r="F55" s="189"/>
      <c r="G55" s="189" t="s">
        <v>1519</v>
      </c>
    </row>
    <row r="56" spans="1:7" ht="37.5" x14ac:dyDescent="0.3">
      <c r="A56" s="228">
        <f t="shared" si="0"/>
        <v>51</v>
      </c>
      <c r="B56" s="475" t="str" cm="1">
        <f t="array" ref="B56">IADNumber&amp; " Roof"</f>
        <v>IAD35 Roof</v>
      </c>
      <c r="C56" s="475" t="str">
        <f>zSelectedEquipment &amp; " RTU 1"</f>
        <v>G104-Gen-B RTU 1</v>
      </c>
      <c r="D56" s="245" t="s">
        <v>2333</v>
      </c>
      <c r="E56" s="388" t="s">
        <v>1529</v>
      </c>
      <c r="F56" s="189"/>
      <c r="G56" s="189" t="s">
        <v>1519</v>
      </c>
    </row>
    <row r="57" spans="1:7" ht="37.5" x14ac:dyDescent="0.3">
      <c r="A57" s="228">
        <f t="shared" si="0"/>
        <v>52</v>
      </c>
      <c r="B57" s="475" t="str" cm="1">
        <f t="array" ref="B57">IADNumber&amp; " Roof"</f>
        <v>IAD35 Roof</v>
      </c>
      <c r="C57" s="475" t="str">
        <f>zSelectedEquipment &amp; " RTU 1"</f>
        <v>G104-Gen-B RTU 1</v>
      </c>
      <c r="D57" s="245" t="s">
        <v>2334</v>
      </c>
      <c r="E57" s="388" t="s">
        <v>1529</v>
      </c>
      <c r="F57" s="189"/>
      <c r="G57" s="189" t="s">
        <v>1519</v>
      </c>
    </row>
    <row r="58" spans="1:7" ht="37.5" x14ac:dyDescent="0.3">
      <c r="A58" s="228">
        <f t="shared" si="0"/>
        <v>53</v>
      </c>
      <c r="B58" s="475" t="str" cm="1">
        <f t="array" ref="B58">IADNumber&amp; " Roof"</f>
        <v>IAD35 Roof</v>
      </c>
      <c r="C58" s="475" t="str">
        <f>zSelectedEquipment &amp; " RTU 1"</f>
        <v>G104-Gen-B RTU 1</v>
      </c>
      <c r="D58" s="245" t="s">
        <v>2335</v>
      </c>
      <c r="E58" s="388" t="s">
        <v>1529</v>
      </c>
      <c r="F58" s="189"/>
      <c r="G58" s="189" t="s">
        <v>1519</v>
      </c>
    </row>
    <row r="59" spans="1:7" ht="37.5" x14ac:dyDescent="0.3">
      <c r="A59" s="228">
        <f t="shared" si="0"/>
        <v>54</v>
      </c>
      <c r="B59" s="475" t="str" cm="1">
        <f t="array" ref="B59">IADNumber&amp; " Roof"</f>
        <v>IAD35 Roof</v>
      </c>
      <c r="C59" s="475" t="str">
        <f>zSelectedEquipment &amp; " RTU 1"</f>
        <v>G104-Gen-B RTU 1</v>
      </c>
      <c r="D59" s="245" t="s">
        <v>2337</v>
      </c>
      <c r="E59" s="388" t="s">
        <v>1529</v>
      </c>
      <c r="F59" s="189"/>
      <c r="G59" s="189" t="s">
        <v>1519</v>
      </c>
    </row>
    <row r="60" spans="1:7" x14ac:dyDescent="0.3">
      <c r="A60" s="228">
        <f t="shared" si="0"/>
        <v>55</v>
      </c>
      <c r="B60" s="717" t="s">
        <v>2383</v>
      </c>
      <c r="C60" s="718"/>
      <c r="D60" s="718"/>
      <c r="E60" s="718"/>
      <c r="F60" s="718"/>
      <c r="G60" s="719"/>
    </row>
    <row r="61" spans="1:7" ht="37.5" x14ac:dyDescent="0.3">
      <c r="A61" s="228">
        <f t="shared" si="0"/>
        <v>56</v>
      </c>
      <c r="B61" s="475" t="str" cm="1">
        <f t="array" ref="B61">IADNumber&amp; " Roof"</f>
        <v>IAD35 Roof</v>
      </c>
      <c r="C61" s="475" t="str">
        <f>zSelectedEquipment &amp; " RTU 1"</f>
        <v>G104-Gen-B RTU 1</v>
      </c>
      <c r="D61" s="245" t="s">
        <v>2384</v>
      </c>
      <c r="E61" s="388" t="s">
        <v>1529</v>
      </c>
      <c r="F61" s="189"/>
      <c r="G61" s="189" t="s">
        <v>1519</v>
      </c>
    </row>
    <row r="62" spans="1:7" ht="37.5" x14ac:dyDescent="0.3">
      <c r="A62" s="228">
        <f t="shared" si="0"/>
        <v>57</v>
      </c>
      <c r="B62" s="475" t="str" cm="1">
        <f t="array" ref="B62">IADNumber&amp; " Roof"</f>
        <v>IAD35 Roof</v>
      </c>
      <c r="C62" s="475" t="str">
        <f>zSelectedEquipment &amp; " RTU 1"</f>
        <v>G104-Gen-B RTU 1</v>
      </c>
      <c r="D62" s="245" t="s">
        <v>2318</v>
      </c>
      <c r="E62" s="388" t="s">
        <v>1529</v>
      </c>
      <c r="F62" s="189"/>
      <c r="G62" s="189" t="s">
        <v>1519</v>
      </c>
    </row>
    <row r="63" spans="1:7" ht="37.5" x14ac:dyDescent="0.3">
      <c r="A63" s="228">
        <f t="shared" si="0"/>
        <v>58</v>
      </c>
      <c r="B63" s="475" t="str" cm="1">
        <f t="array" ref="B63">IADNumber&amp; " Roof"</f>
        <v>IAD35 Roof</v>
      </c>
      <c r="C63" s="475" t="str">
        <f>zSelectedEquipment &amp; " RTU 1"</f>
        <v>G104-Gen-B RTU 1</v>
      </c>
      <c r="D63" s="245" t="s">
        <v>2385</v>
      </c>
      <c r="E63" s="388" t="s">
        <v>1529</v>
      </c>
      <c r="F63" s="189"/>
      <c r="G63" s="189" t="s">
        <v>1519</v>
      </c>
    </row>
    <row r="64" spans="1:7" ht="37.5" x14ac:dyDescent="0.3">
      <c r="A64" s="228">
        <f t="shared" si="0"/>
        <v>59</v>
      </c>
      <c r="B64" s="475" t="str" cm="1">
        <f t="array" ref="B64">IADNumber&amp; " Roof"</f>
        <v>IAD35 Roof</v>
      </c>
      <c r="C64" s="475" t="str">
        <f>zSelectedEquipment &amp; " RTU 1"</f>
        <v>G104-Gen-B RTU 1</v>
      </c>
      <c r="D64" s="245" t="s">
        <v>2320</v>
      </c>
      <c r="E64" s="388" t="s">
        <v>1529</v>
      </c>
      <c r="F64" s="189"/>
      <c r="G64" s="189" t="s">
        <v>1519</v>
      </c>
    </row>
    <row r="65" spans="1:8" ht="37.5" x14ac:dyDescent="0.3">
      <c r="A65" s="228">
        <f t="shared" si="0"/>
        <v>60</v>
      </c>
      <c r="B65" s="475" t="str" cm="1">
        <f t="array" ref="B65">IADNumber&amp; " Roof"</f>
        <v>IAD35 Roof</v>
      </c>
      <c r="C65" s="475" t="str">
        <f>zSelectedEquipment &amp; " RTU 1"</f>
        <v>G104-Gen-B RTU 1</v>
      </c>
      <c r="D65" s="245" t="s">
        <v>2386</v>
      </c>
      <c r="E65" s="388" t="s">
        <v>1529</v>
      </c>
      <c r="F65" s="189"/>
      <c r="G65" s="189" t="s">
        <v>1519</v>
      </c>
    </row>
    <row r="66" spans="1:8" ht="37.5" x14ac:dyDescent="0.3">
      <c r="A66" s="228">
        <f t="shared" si="0"/>
        <v>61</v>
      </c>
      <c r="B66" s="475" t="str" cm="1">
        <f t="array" ref="B66">IADNumber&amp; " Roof"</f>
        <v>IAD35 Roof</v>
      </c>
      <c r="C66" s="475" t="str">
        <f>zSelectedEquipment &amp; " RTU 1"</f>
        <v>G104-Gen-B RTU 1</v>
      </c>
      <c r="D66" s="245" t="s">
        <v>2387</v>
      </c>
      <c r="E66" s="388" t="s">
        <v>1529</v>
      </c>
      <c r="F66" s="189"/>
      <c r="G66" s="189" t="s">
        <v>1519</v>
      </c>
    </row>
    <row r="67" spans="1:8" ht="37.5" x14ac:dyDescent="0.3">
      <c r="A67" s="228">
        <f t="shared" si="0"/>
        <v>62</v>
      </c>
      <c r="B67" s="475" t="str" cm="1">
        <f t="array" ref="B67">IADNumber&amp; " Roof"</f>
        <v>IAD35 Roof</v>
      </c>
      <c r="C67" s="475" t="str">
        <f>zSelectedEquipment &amp; " RTU 1"</f>
        <v>G104-Gen-B RTU 1</v>
      </c>
      <c r="D67" s="245" t="s">
        <v>3679</v>
      </c>
      <c r="E67" s="388" t="s">
        <v>1529</v>
      </c>
      <c r="F67" s="189"/>
      <c r="G67" s="189" t="s">
        <v>1519</v>
      </c>
    </row>
    <row r="68" spans="1:8" ht="37.5" x14ac:dyDescent="0.3">
      <c r="A68" s="228">
        <f t="shared" si="0"/>
        <v>63</v>
      </c>
      <c r="B68" s="475" t="str" cm="1">
        <f t="array" ref="B68">IADNumber&amp; " Roof"</f>
        <v>IAD35 Roof</v>
      </c>
      <c r="C68" s="475" t="str">
        <f>zSelectedEquipment &amp; " RTU 1"</f>
        <v>G104-Gen-B RTU 1</v>
      </c>
      <c r="D68" s="245" t="s">
        <v>3680</v>
      </c>
      <c r="E68" s="388" t="s">
        <v>1529</v>
      </c>
      <c r="F68" s="189"/>
      <c r="G68" s="189" t="s">
        <v>1519</v>
      </c>
    </row>
    <row r="69" spans="1:8" x14ac:dyDescent="0.3">
      <c r="A69" s="228">
        <f t="shared" si="0"/>
        <v>64</v>
      </c>
      <c r="B69" s="716" t="s">
        <v>3681</v>
      </c>
      <c r="C69" s="716"/>
      <c r="D69" s="716"/>
      <c r="E69" s="716"/>
      <c r="F69" s="716"/>
      <c r="G69" s="716"/>
    </row>
    <row r="70" spans="1:8" ht="37.5" x14ac:dyDescent="0.3">
      <c r="A70" s="228">
        <f t="shared" si="0"/>
        <v>65</v>
      </c>
      <c r="B70" s="475" t="str" cm="1">
        <f t="array" ref="B70">IADNumber&amp; " Roof"</f>
        <v>IAD35 Roof</v>
      </c>
      <c r="C70" s="475" t="str">
        <f>zSelectedEquipment &amp; " RTU 1"</f>
        <v>G104-Gen-B RTU 1</v>
      </c>
      <c r="D70" s="195" t="s">
        <v>2274</v>
      </c>
      <c r="E70" s="388" t="s">
        <v>1529</v>
      </c>
      <c r="F70" s="198"/>
      <c r="G70" s="193" t="s">
        <v>1519</v>
      </c>
    </row>
    <row r="71" spans="1:8" ht="37.5" x14ac:dyDescent="0.3">
      <c r="A71" s="228">
        <f t="shared" si="0"/>
        <v>66</v>
      </c>
      <c r="B71" s="475" t="str" cm="1">
        <f t="array" ref="B71">IADNumber&amp; " Roof"</f>
        <v>IAD35 Roof</v>
      </c>
      <c r="C71" s="475" t="str">
        <f>zSelectedEquipment &amp; " RTU 1"</f>
        <v>G104-Gen-B RTU 1</v>
      </c>
      <c r="D71" s="195" t="s">
        <v>2275</v>
      </c>
      <c r="E71" s="388" t="s">
        <v>1529</v>
      </c>
      <c r="F71" s="198"/>
      <c r="G71" s="193" t="s">
        <v>1519</v>
      </c>
      <c r="H71" s="497"/>
    </row>
    <row r="72" spans="1:8" ht="37.5" x14ac:dyDescent="0.3">
      <c r="A72" s="228">
        <f t="shared" ref="A72:A135" si="1">A71+1</f>
        <v>67</v>
      </c>
      <c r="B72" s="475" t="str" cm="1">
        <f t="array" ref="B72">IADNumber&amp; " Roof"</f>
        <v>IAD35 Roof</v>
      </c>
      <c r="C72" s="475" t="str">
        <f>zSelectedEquipment &amp; " RTU 1"</f>
        <v>G104-Gen-B RTU 1</v>
      </c>
      <c r="D72" s="195" t="s">
        <v>3682</v>
      </c>
      <c r="E72" s="388" t="s">
        <v>1529</v>
      </c>
      <c r="F72" s="198"/>
      <c r="G72" s="193" t="s">
        <v>1519</v>
      </c>
      <c r="H72" s="497"/>
    </row>
    <row r="73" spans="1:8" ht="56.25" x14ac:dyDescent="0.3">
      <c r="A73" s="228">
        <f t="shared" si="1"/>
        <v>68</v>
      </c>
      <c r="B73" s="475" t="str" cm="1">
        <f t="array" ref="B73">IADNumber&amp; " Roof"</f>
        <v>IAD35 Roof</v>
      </c>
      <c r="C73" s="475" t="str">
        <f>zSelectedEquipment &amp; " RTU 1"</f>
        <v>G104-Gen-B RTU 1</v>
      </c>
      <c r="D73" s="195" t="s">
        <v>3683</v>
      </c>
      <c r="E73" s="388" t="s">
        <v>1529</v>
      </c>
      <c r="F73" s="198"/>
      <c r="G73" s="193" t="s">
        <v>1519</v>
      </c>
      <c r="H73" s="497"/>
    </row>
    <row r="74" spans="1:8" ht="37.5" x14ac:dyDescent="0.3">
      <c r="A74" s="228">
        <f t="shared" si="1"/>
        <v>69</v>
      </c>
      <c r="B74" s="475" t="str" cm="1">
        <f t="array" ref="B74">IADNumber&amp; " Roof"</f>
        <v>IAD35 Roof</v>
      </c>
      <c r="C74" s="475" t="str">
        <f>zSelectedEquipment &amp; " RTU 1"</f>
        <v>G104-Gen-B RTU 1</v>
      </c>
      <c r="D74" s="195" t="s">
        <v>3661</v>
      </c>
      <c r="E74" s="388" t="s">
        <v>1529</v>
      </c>
      <c r="F74" s="198"/>
      <c r="G74" s="193" t="s">
        <v>1519</v>
      </c>
      <c r="H74" s="497"/>
    </row>
    <row r="75" spans="1:8" ht="37.5" x14ac:dyDescent="0.3">
      <c r="A75" s="228">
        <f t="shared" si="1"/>
        <v>70</v>
      </c>
      <c r="B75" s="475" t="str" cm="1">
        <f t="array" ref="B75">IADNumber&amp; " Roof"</f>
        <v>IAD35 Roof</v>
      </c>
      <c r="C75" s="475" t="str">
        <f>zSelectedEquipment &amp; " RTU 1"</f>
        <v>G104-Gen-B RTU 1</v>
      </c>
      <c r="D75" s="195" t="s">
        <v>3684</v>
      </c>
      <c r="E75" s="388" t="s">
        <v>1529</v>
      </c>
      <c r="F75" s="198"/>
      <c r="G75" s="193" t="s">
        <v>1519</v>
      </c>
      <c r="H75" s="497"/>
    </row>
    <row r="76" spans="1:8" ht="37.5" x14ac:dyDescent="0.3">
      <c r="A76" s="228">
        <f t="shared" si="1"/>
        <v>71</v>
      </c>
      <c r="B76" s="475" t="str" cm="1">
        <f t="array" ref="B76">IADNumber&amp; " Roof"</f>
        <v>IAD35 Roof</v>
      </c>
      <c r="C76" s="475" t="str">
        <f>zSelectedEquipment &amp; " RTU 1"</f>
        <v>G104-Gen-B RTU 1</v>
      </c>
      <c r="D76" s="195" t="s">
        <v>2277</v>
      </c>
      <c r="E76" s="388" t="s">
        <v>1529</v>
      </c>
      <c r="F76" s="198"/>
      <c r="G76" s="193" t="s">
        <v>1519</v>
      </c>
      <c r="H76" s="497"/>
    </row>
    <row r="77" spans="1:8" ht="37.5" x14ac:dyDescent="0.3">
      <c r="A77" s="228">
        <f t="shared" si="1"/>
        <v>72</v>
      </c>
      <c r="B77" s="475" t="str" cm="1">
        <f t="array" ref="B77">IADNumber&amp; " Roof"</f>
        <v>IAD35 Roof</v>
      </c>
      <c r="C77" s="475" t="str">
        <f>zSelectedEquipment &amp; " RTU 1"</f>
        <v>G104-Gen-B RTU 1</v>
      </c>
      <c r="D77" s="195" t="s">
        <v>2340</v>
      </c>
      <c r="E77" s="388" t="s">
        <v>1529</v>
      </c>
      <c r="F77" s="198"/>
      <c r="G77" s="193" t="s">
        <v>1519</v>
      </c>
      <c r="H77" s="497"/>
    </row>
    <row r="78" spans="1:8" ht="37.5" x14ac:dyDescent="0.3">
      <c r="A78" s="228">
        <f t="shared" si="1"/>
        <v>73</v>
      </c>
      <c r="B78" s="475" t="str" cm="1">
        <f t="array" ref="B78">IADNumber&amp; " Roof"</f>
        <v>IAD35 Roof</v>
      </c>
      <c r="C78" s="475" t="str">
        <f>zSelectedEquipment &amp; " RTU 1"</f>
        <v>G104-Gen-B RTU 1</v>
      </c>
      <c r="D78" s="195" t="s">
        <v>3685</v>
      </c>
      <c r="E78" s="388" t="s">
        <v>1529</v>
      </c>
      <c r="F78" s="198"/>
      <c r="G78" s="193" t="s">
        <v>1519</v>
      </c>
      <c r="H78" s="497"/>
    </row>
    <row r="79" spans="1:8" ht="37.5" x14ac:dyDescent="0.3">
      <c r="A79" s="228">
        <f t="shared" si="1"/>
        <v>74</v>
      </c>
      <c r="B79" s="475" t="str" cm="1">
        <f t="array" ref="B79">IADNumber&amp; " Roof"</f>
        <v>IAD35 Roof</v>
      </c>
      <c r="C79" s="475" t="str">
        <f>zSelectedEquipment &amp; " RTU 1"</f>
        <v>G104-Gen-B RTU 1</v>
      </c>
      <c r="D79" s="195" t="s">
        <v>3686</v>
      </c>
      <c r="E79" s="388" t="s">
        <v>1529</v>
      </c>
      <c r="F79" s="198"/>
      <c r="G79" s="193" t="s">
        <v>1519</v>
      </c>
      <c r="H79" s="497"/>
    </row>
    <row r="80" spans="1:8" ht="37.5" x14ac:dyDescent="0.3">
      <c r="A80" s="228">
        <f t="shared" si="1"/>
        <v>75</v>
      </c>
      <c r="B80" s="475" t="str" cm="1">
        <f t="array" ref="B80">IADNumber&amp; " Roof"</f>
        <v>IAD35 Roof</v>
      </c>
      <c r="C80" s="475" t="str">
        <f>zSelectedEquipment &amp; " RTU 1"</f>
        <v>G104-Gen-B RTU 1</v>
      </c>
      <c r="D80" s="195" t="s">
        <v>3687</v>
      </c>
      <c r="E80" s="388" t="s">
        <v>1529</v>
      </c>
      <c r="F80" s="198"/>
      <c r="G80" s="193" t="s">
        <v>1519</v>
      </c>
      <c r="H80" s="497"/>
    </row>
    <row r="81" spans="1:8" ht="37.5" x14ac:dyDescent="0.3">
      <c r="A81" s="228">
        <f t="shared" si="1"/>
        <v>76</v>
      </c>
      <c r="B81" s="475" t="str" cm="1">
        <f t="array" ref="B81">IADNumber&amp; " Roof"</f>
        <v>IAD35 Roof</v>
      </c>
      <c r="C81" s="475" t="str">
        <f>zSelectedEquipment &amp; " RTU 1"</f>
        <v>G104-Gen-B RTU 1</v>
      </c>
      <c r="D81" s="195" t="s">
        <v>3688</v>
      </c>
      <c r="E81" s="388" t="s">
        <v>1529</v>
      </c>
      <c r="F81" s="198"/>
      <c r="G81" s="193" t="s">
        <v>1519</v>
      </c>
      <c r="H81" s="497"/>
    </row>
    <row r="82" spans="1:8" ht="37.5" x14ac:dyDescent="0.3">
      <c r="A82" s="228">
        <f t="shared" si="1"/>
        <v>77</v>
      </c>
      <c r="B82" s="475" t="str" cm="1">
        <f t="array" ref="B82">IADNumber&amp; " Roof"</f>
        <v>IAD35 Roof</v>
      </c>
      <c r="C82" s="475" t="str">
        <f>zSelectedEquipment &amp; " RTU 1"</f>
        <v>G104-Gen-B RTU 1</v>
      </c>
      <c r="D82" s="195" t="s">
        <v>2392</v>
      </c>
      <c r="E82" s="388" t="s">
        <v>1529</v>
      </c>
      <c r="F82" s="198"/>
      <c r="G82" s="193" t="s">
        <v>1519</v>
      </c>
      <c r="H82" s="497"/>
    </row>
    <row r="83" spans="1:8" ht="56.25" x14ac:dyDescent="0.3">
      <c r="A83" s="228">
        <f t="shared" si="1"/>
        <v>78</v>
      </c>
      <c r="B83" s="475" t="str" cm="1">
        <f t="array" ref="B83">IADNumber&amp; " Roof"</f>
        <v>IAD35 Roof</v>
      </c>
      <c r="C83" s="475" t="str">
        <f>zSelectedEquipment &amp; " RTU 1"</f>
        <v>G104-Gen-B RTU 1</v>
      </c>
      <c r="D83" s="494" t="s">
        <v>3689</v>
      </c>
      <c r="E83" s="388" t="s">
        <v>1529</v>
      </c>
      <c r="F83" s="198"/>
      <c r="G83" s="193" t="s">
        <v>1519</v>
      </c>
      <c r="H83" s="497"/>
    </row>
    <row r="84" spans="1:8" ht="37.5" x14ac:dyDescent="0.3">
      <c r="A84" s="228">
        <f t="shared" si="1"/>
        <v>79</v>
      </c>
      <c r="B84" s="475" t="str" cm="1">
        <f t="array" ref="B84">IADNumber&amp; " Roof"</f>
        <v>IAD35 Roof</v>
      </c>
      <c r="C84" s="475" t="str">
        <f>zSelectedEquipment &amp; " RTU 1"</f>
        <v>G104-Gen-B RTU 1</v>
      </c>
      <c r="D84" s="195" t="s">
        <v>2282</v>
      </c>
      <c r="E84" s="388" t="s">
        <v>1529</v>
      </c>
      <c r="F84" s="198"/>
      <c r="G84" s="193" t="s">
        <v>1519</v>
      </c>
      <c r="H84" s="497"/>
    </row>
    <row r="85" spans="1:8" ht="37.5" x14ac:dyDescent="0.3">
      <c r="A85" s="228">
        <f t="shared" si="1"/>
        <v>80</v>
      </c>
      <c r="B85" s="475" t="str" cm="1">
        <f t="array" ref="B85">IADNumber&amp; " Roof"</f>
        <v>IAD35 Roof</v>
      </c>
      <c r="C85" s="475" t="str">
        <f>zSelectedEquipment &amp; " RTU 1"</f>
        <v>G104-Gen-B RTU 1</v>
      </c>
      <c r="D85" s="195" t="s">
        <v>3690</v>
      </c>
      <c r="E85" s="388" t="s">
        <v>1529</v>
      </c>
      <c r="F85" s="198"/>
      <c r="G85" s="193" t="s">
        <v>1519</v>
      </c>
      <c r="H85" s="497"/>
    </row>
    <row r="86" spans="1:8" ht="37.5" x14ac:dyDescent="0.3">
      <c r="A86" s="228">
        <f t="shared" si="1"/>
        <v>81</v>
      </c>
      <c r="B86" s="475" t="s">
        <v>1462</v>
      </c>
      <c r="C86" s="388" t="s">
        <v>84</v>
      </c>
      <c r="D86" s="195" t="s">
        <v>2283</v>
      </c>
      <c r="E86" s="388" t="s">
        <v>1529</v>
      </c>
      <c r="F86" s="495"/>
      <c r="G86" s="193" t="s">
        <v>1519</v>
      </c>
      <c r="H86" s="497"/>
    </row>
    <row r="87" spans="1:8" ht="37.5" x14ac:dyDescent="0.3">
      <c r="A87" s="228">
        <f t="shared" si="1"/>
        <v>82</v>
      </c>
      <c r="B87" s="475" t="str" cm="1">
        <f t="array" ref="B87">IADNumber&amp; " Roof"</f>
        <v>IAD35 Roof</v>
      </c>
      <c r="C87" s="475" t="str">
        <f>zSelectedEquipment &amp; " RTU 1"</f>
        <v>G104-Gen-B RTU 1</v>
      </c>
      <c r="D87" s="195" t="s">
        <v>2284</v>
      </c>
      <c r="E87" s="388" t="s">
        <v>1529</v>
      </c>
      <c r="F87" s="495"/>
      <c r="G87" s="193" t="s">
        <v>1519</v>
      </c>
      <c r="H87" s="497"/>
    </row>
    <row r="88" spans="1:8" ht="18" customHeight="1" x14ac:dyDescent="0.3">
      <c r="A88" s="228">
        <f t="shared" si="1"/>
        <v>83</v>
      </c>
      <c r="B88" s="753" t="str">
        <f>"Perform Quarterly PM on " &amp; C90</f>
        <v>Perform Quarterly PM on G104-Gen-B RTU 2</v>
      </c>
      <c r="C88" s="754"/>
      <c r="D88" s="754"/>
      <c r="E88" s="754"/>
      <c r="F88" s="754"/>
      <c r="G88" s="755"/>
      <c r="H88" s="498"/>
    </row>
    <row r="89" spans="1:8" ht="37.5" x14ac:dyDescent="0.3">
      <c r="A89" s="228">
        <f t="shared" si="1"/>
        <v>84</v>
      </c>
      <c r="B89" s="388" t="s">
        <v>1462</v>
      </c>
      <c r="C89" s="388" t="s">
        <v>84</v>
      </c>
      <c r="D89" s="493" t="s">
        <v>3655</v>
      </c>
      <c r="E89" s="388" t="s">
        <v>3654</v>
      </c>
      <c r="F89" s="189"/>
      <c r="G89" s="189"/>
      <c r="H89" s="498"/>
    </row>
    <row r="90" spans="1:8" ht="37.5" x14ac:dyDescent="0.3">
      <c r="A90" s="228">
        <f t="shared" si="1"/>
        <v>85</v>
      </c>
      <c r="B90" s="475" t="str" cm="1">
        <f t="array" ref="B90">IADNumber&amp; " Roof"</f>
        <v>IAD35 Roof</v>
      </c>
      <c r="C90" s="475" t="str">
        <f>zSelectedEquipment &amp; " RTU 2"</f>
        <v>G104-Gen-B RTU 2</v>
      </c>
      <c r="D90" s="191" t="s">
        <v>3656</v>
      </c>
      <c r="E90" s="388" t="s">
        <v>1529</v>
      </c>
      <c r="F90" s="189"/>
      <c r="G90" s="189" t="s">
        <v>1519</v>
      </c>
      <c r="H90" s="498"/>
    </row>
    <row r="91" spans="1:8" ht="37.5" x14ac:dyDescent="0.3">
      <c r="A91" s="228">
        <f t="shared" si="1"/>
        <v>86</v>
      </c>
      <c r="B91" s="475" t="str" cm="1">
        <f t="array" ref="B91">IADNumber&amp; " Roof"</f>
        <v>IAD35 Roof</v>
      </c>
      <c r="C91" s="475" t="str">
        <f>zSelectedEquipment &amp; " RTU 2"</f>
        <v>G104-Gen-B RTU 2</v>
      </c>
      <c r="D91" s="190" t="s">
        <v>3657</v>
      </c>
      <c r="E91" s="388" t="s">
        <v>1529</v>
      </c>
      <c r="F91" s="189"/>
      <c r="G91" s="189" t="s">
        <v>1519</v>
      </c>
      <c r="H91" s="498"/>
    </row>
    <row r="92" spans="1:8" ht="37.5" x14ac:dyDescent="0.3">
      <c r="A92" s="228">
        <f t="shared" si="1"/>
        <v>87</v>
      </c>
      <c r="B92" s="475" t="str" cm="1">
        <f t="array" ref="B92">IADNumber&amp; " Roof"</f>
        <v>IAD35 Roof</v>
      </c>
      <c r="C92" s="475" t="str">
        <f>zSelectedEquipment &amp; " RTU 2"</f>
        <v>G104-Gen-B RTU 2</v>
      </c>
      <c r="D92" s="190" t="s">
        <v>3658</v>
      </c>
      <c r="E92" s="388" t="s">
        <v>1529</v>
      </c>
      <c r="F92" s="189"/>
      <c r="G92" s="189" t="s">
        <v>1519</v>
      </c>
      <c r="H92" s="498"/>
    </row>
    <row r="93" spans="1:8" ht="37.5" x14ac:dyDescent="0.3">
      <c r="A93" s="228">
        <f t="shared" si="1"/>
        <v>88</v>
      </c>
      <c r="B93" s="475" t="str" cm="1">
        <f t="array" ref="B93">IADNumber&amp; " Roof"</f>
        <v>IAD35 Roof</v>
      </c>
      <c r="C93" s="475" t="str">
        <f>zSelectedEquipment &amp; " RTU 2"</f>
        <v>G104-Gen-B RTU 2</v>
      </c>
      <c r="D93" s="190" t="s">
        <v>3659</v>
      </c>
      <c r="E93" s="388" t="s">
        <v>3654</v>
      </c>
      <c r="F93" s="189"/>
      <c r="G93" s="189" t="s">
        <v>1519</v>
      </c>
      <c r="H93" s="498"/>
    </row>
    <row r="94" spans="1:8" ht="37.5" x14ac:dyDescent="0.3">
      <c r="A94" s="228">
        <f t="shared" si="1"/>
        <v>89</v>
      </c>
      <c r="B94" s="475" t="str" cm="1">
        <f t="array" ref="B94">IADNumber&amp; " Roof"</f>
        <v>IAD35 Roof</v>
      </c>
      <c r="C94" s="475" t="str">
        <f>zSelectedEquipment &amp; " RTU 2"</f>
        <v>G104-Gen-B RTU 2</v>
      </c>
      <c r="D94" s="195" t="s">
        <v>3660</v>
      </c>
      <c r="E94" s="388" t="s">
        <v>3654</v>
      </c>
      <c r="F94" s="189"/>
      <c r="G94" s="189" t="s">
        <v>1519</v>
      </c>
      <c r="H94" s="498"/>
    </row>
    <row r="95" spans="1:8" ht="37.5" x14ac:dyDescent="0.3">
      <c r="A95" s="228">
        <f t="shared" si="1"/>
        <v>90</v>
      </c>
      <c r="B95" s="475" t="str" cm="1">
        <f t="array" ref="B95">IADNumber&amp; " Roof"</f>
        <v>IAD35 Roof</v>
      </c>
      <c r="C95" s="475" t="str">
        <f>zSelectedEquipment &amp; " RTU 2"</f>
        <v>G104-Gen-B RTU 2</v>
      </c>
      <c r="D95" s="195" t="s">
        <v>3661</v>
      </c>
      <c r="E95" s="388" t="s">
        <v>3654</v>
      </c>
      <c r="F95" s="189"/>
      <c r="G95" s="189" t="s">
        <v>1519</v>
      </c>
      <c r="H95" s="498"/>
    </row>
    <row r="96" spans="1:8" ht="56.25" x14ac:dyDescent="0.3">
      <c r="A96" s="228">
        <f t="shared" si="1"/>
        <v>91</v>
      </c>
      <c r="B96" s="475" t="str" cm="1">
        <f t="array" ref="B96">IADNumber&amp; " Roof"</f>
        <v>IAD35 Roof</v>
      </c>
      <c r="C96" s="475" t="str">
        <f>zSelectedEquipment &amp; " RTU 2"</f>
        <v>G104-Gen-B RTU 2</v>
      </c>
      <c r="D96" s="195" t="s">
        <v>3662</v>
      </c>
      <c r="E96" s="388" t="s">
        <v>3663</v>
      </c>
      <c r="F96" s="189"/>
      <c r="G96" s="189" t="s">
        <v>1519</v>
      </c>
      <c r="H96" s="498"/>
    </row>
    <row r="97" spans="1:8" ht="93.75" x14ac:dyDescent="0.3">
      <c r="A97" s="228">
        <f t="shared" si="1"/>
        <v>92</v>
      </c>
      <c r="B97" s="475" t="str" cm="1">
        <f t="array" ref="B97">IADNumber&amp; " Roof"</f>
        <v>IAD35 Roof</v>
      </c>
      <c r="C97" s="475" t="str">
        <f>zSelectedEquipment &amp; " RTU 2"</f>
        <v>G104-Gen-B RTU 2</v>
      </c>
      <c r="D97" s="195" t="s">
        <v>3664</v>
      </c>
      <c r="E97" s="388" t="s">
        <v>1529</v>
      </c>
      <c r="F97" s="189"/>
      <c r="G97" s="189" t="s">
        <v>1519</v>
      </c>
      <c r="H97" s="498"/>
    </row>
    <row r="98" spans="1:8" x14ac:dyDescent="0.3">
      <c r="A98" s="228">
        <f t="shared" si="1"/>
        <v>93</v>
      </c>
      <c r="B98" s="717" t="s">
        <v>3665</v>
      </c>
      <c r="C98" s="718"/>
      <c r="D98" s="718"/>
      <c r="E98" s="718"/>
      <c r="F98" s="718"/>
      <c r="G98" s="719"/>
      <c r="H98" s="498"/>
    </row>
    <row r="99" spans="1:8" ht="37.5" x14ac:dyDescent="0.3">
      <c r="A99" s="228">
        <f t="shared" si="1"/>
        <v>94</v>
      </c>
      <c r="B99" s="475" t="str" cm="1">
        <f t="array" ref="B99">IADNumber&amp; " Roof"</f>
        <v>IAD35 Roof</v>
      </c>
      <c r="C99" s="475" t="str">
        <f>zSelectedEquipment &amp; " RTU 2"</f>
        <v>G104-Gen-B RTU 2</v>
      </c>
      <c r="D99" s="195" t="s">
        <v>3666</v>
      </c>
      <c r="E99" s="388" t="s">
        <v>1529</v>
      </c>
      <c r="F99" s="193"/>
      <c r="G99" s="193" t="s">
        <v>1519</v>
      </c>
      <c r="H99" s="498"/>
    </row>
    <row r="100" spans="1:8" ht="37.5" x14ac:dyDescent="0.3">
      <c r="A100" s="228">
        <f t="shared" si="1"/>
        <v>95</v>
      </c>
      <c r="B100" s="475" t="str" cm="1">
        <f t="array" ref="B100">IADNumber&amp; " Roof"</f>
        <v>IAD35 Roof</v>
      </c>
      <c r="C100" s="475" t="str">
        <f>zSelectedEquipment &amp; " RTU 2"</f>
        <v>G104-Gen-B RTU 2</v>
      </c>
      <c r="D100" s="195" t="s">
        <v>3667</v>
      </c>
      <c r="E100" s="388" t="s">
        <v>1529</v>
      </c>
      <c r="F100" s="193"/>
      <c r="G100" s="193" t="s">
        <v>1519</v>
      </c>
      <c r="H100" s="498"/>
    </row>
    <row r="101" spans="1:8" ht="37.5" x14ac:dyDescent="0.3">
      <c r="A101" s="228">
        <f t="shared" si="1"/>
        <v>96</v>
      </c>
      <c r="B101" s="475" t="str" cm="1">
        <f t="array" ref="B101">IADNumber&amp; " Roof"</f>
        <v>IAD35 Roof</v>
      </c>
      <c r="C101" s="475" t="str">
        <f>zSelectedEquipment &amp; " RTU 2"</f>
        <v>G104-Gen-B RTU 2</v>
      </c>
      <c r="D101" s="195" t="s">
        <v>2251</v>
      </c>
      <c r="E101" s="388" t="s">
        <v>1529</v>
      </c>
      <c r="F101" s="193"/>
      <c r="G101" s="193" t="s">
        <v>1519</v>
      </c>
      <c r="H101" s="498"/>
    </row>
    <row r="102" spans="1:8" ht="56.25" x14ac:dyDescent="0.3">
      <c r="A102" s="228">
        <f t="shared" si="1"/>
        <v>97</v>
      </c>
      <c r="B102" s="475" t="str" cm="1">
        <f t="array" ref="B102">IADNumber&amp; " Roof"</f>
        <v>IAD35 Roof</v>
      </c>
      <c r="C102" s="475" t="str">
        <f>zSelectedEquipment &amp; " RTU 2"</f>
        <v>G104-Gen-B RTU 2</v>
      </c>
      <c r="D102" s="195" t="s">
        <v>3668</v>
      </c>
      <c r="E102" s="388" t="s">
        <v>1529</v>
      </c>
      <c r="F102" s="193"/>
      <c r="G102" s="193" t="s">
        <v>1519</v>
      </c>
      <c r="H102" s="498"/>
    </row>
    <row r="103" spans="1:8" x14ac:dyDescent="0.3">
      <c r="A103" s="228">
        <f t="shared" si="1"/>
        <v>98</v>
      </c>
      <c r="B103" s="717" t="s">
        <v>2253</v>
      </c>
      <c r="C103" s="718"/>
      <c r="D103" s="718"/>
      <c r="E103" s="718"/>
      <c r="F103" s="718"/>
      <c r="G103" s="719"/>
      <c r="H103" s="498"/>
    </row>
    <row r="104" spans="1:8" ht="75" x14ac:dyDescent="0.3">
      <c r="A104" s="228">
        <f t="shared" si="1"/>
        <v>99</v>
      </c>
      <c r="B104" s="475" t="str" cm="1">
        <f t="array" ref="B104">IADNumber&amp; " Roof"</f>
        <v>IAD35 Roof</v>
      </c>
      <c r="C104" s="475" t="str">
        <f>zSelectedEquipment &amp; " RTU 2"</f>
        <v>G104-Gen-B RTU 2</v>
      </c>
      <c r="D104" s="195" t="s">
        <v>3669</v>
      </c>
      <c r="E104" s="388" t="s">
        <v>1529</v>
      </c>
      <c r="F104" s="193"/>
      <c r="G104" s="193"/>
      <c r="H104" s="498"/>
    </row>
    <row r="105" spans="1:8" ht="37.5" x14ac:dyDescent="0.3">
      <c r="A105" s="228">
        <f t="shared" si="1"/>
        <v>100</v>
      </c>
      <c r="B105" s="475" t="str" cm="1">
        <f t="array" ref="B105">IADNumber&amp; " Roof"</f>
        <v>IAD35 Roof</v>
      </c>
      <c r="C105" s="475" t="str">
        <f>zSelectedEquipment &amp; " RTU 2"</f>
        <v>G104-Gen-B RTU 2</v>
      </c>
      <c r="D105" s="195" t="s">
        <v>2255</v>
      </c>
      <c r="E105" s="388" t="s">
        <v>1529</v>
      </c>
      <c r="F105" s="193"/>
      <c r="G105" s="193" t="s">
        <v>1519</v>
      </c>
      <c r="H105" s="498"/>
    </row>
    <row r="106" spans="1:8" x14ac:dyDescent="0.3">
      <c r="A106" s="228">
        <f t="shared" si="1"/>
        <v>101</v>
      </c>
      <c r="B106" s="717" t="s">
        <v>2366</v>
      </c>
      <c r="C106" s="718"/>
      <c r="D106" s="718"/>
      <c r="E106" s="718"/>
      <c r="F106" s="718"/>
      <c r="G106" s="719"/>
      <c r="H106" s="498"/>
    </row>
    <row r="107" spans="1:8" ht="37.5" x14ac:dyDescent="0.3">
      <c r="A107" s="228">
        <f t="shared" si="1"/>
        <v>102</v>
      </c>
      <c r="B107" s="475" t="str" cm="1">
        <f t="array" ref="B107">IADNumber&amp; " Roof"</f>
        <v>IAD35 Roof</v>
      </c>
      <c r="C107" s="475" t="str">
        <f>zSelectedEquipment &amp; " RTU 2"</f>
        <v>G104-Gen-B RTU 2</v>
      </c>
      <c r="D107" s="195" t="s">
        <v>2306</v>
      </c>
      <c r="E107" s="388" t="s">
        <v>1529</v>
      </c>
      <c r="F107" s="193"/>
      <c r="G107" s="193" t="s">
        <v>1519</v>
      </c>
      <c r="H107" s="498"/>
    </row>
    <row r="108" spans="1:8" ht="37.5" x14ac:dyDescent="0.3">
      <c r="A108" s="228">
        <f t="shared" si="1"/>
        <v>103</v>
      </c>
      <c r="B108" s="475" t="str" cm="1">
        <f t="array" ref="B108">IADNumber&amp; " Roof"</f>
        <v>IAD35 Roof</v>
      </c>
      <c r="C108" s="475" t="str">
        <f>zSelectedEquipment &amp; " RTU 2"</f>
        <v>G104-Gen-B RTU 2</v>
      </c>
      <c r="D108" s="195" t="s">
        <v>3670</v>
      </c>
      <c r="E108" s="388" t="s">
        <v>1529</v>
      </c>
      <c r="F108" s="193"/>
      <c r="G108" s="193" t="s">
        <v>1519</v>
      </c>
      <c r="H108" s="498"/>
    </row>
    <row r="109" spans="1:8" ht="37.5" x14ac:dyDescent="0.3">
      <c r="A109" s="228">
        <f t="shared" si="1"/>
        <v>104</v>
      </c>
      <c r="B109" s="475" t="str" cm="1">
        <f t="array" ref="B109">IADNumber&amp; " Roof"</f>
        <v>IAD35 Roof</v>
      </c>
      <c r="C109" s="475" t="str">
        <f>zSelectedEquipment &amp; " RTU 2"</f>
        <v>G104-Gen-B RTU 2</v>
      </c>
      <c r="D109" s="195" t="s">
        <v>2368</v>
      </c>
      <c r="E109" s="388" t="s">
        <v>1529</v>
      </c>
      <c r="F109" s="193"/>
      <c r="G109" s="193" t="s">
        <v>1519</v>
      </c>
      <c r="H109" s="498"/>
    </row>
    <row r="110" spans="1:8" ht="37.5" x14ac:dyDescent="0.3">
      <c r="A110" s="228">
        <f t="shared" si="1"/>
        <v>105</v>
      </c>
      <c r="B110" s="475" t="str" cm="1">
        <f t="array" ref="B110">IADNumber&amp; " Roof"</f>
        <v>IAD35 Roof</v>
      </c>
      <c r="C110" s="475" t="str">
        <f>zSelectedEquipment &amp; " RTU 2"</f>
        <v>G104-Gen-B RTU 2</v>
      </c>
      <c r="D110" s="195" t="s">
        <v>2309</v>
      </c>
      <c r="E110" s="388" t="s">
        <v>1529</v>
      </c>
      <c r="F110" s="193"/>
      <c r="G110" s="193" t="s">
        <v>1519</v>
      </c>
      <c r="H110" s="498"/>
    </row>
    <row r="111" spans="1:8" ht="37.5" x14ac:dyDescent="0.3">
      <c r="A111" s="228">
        <f t="shared" si="1"/>
        <v>106</v>
      </c>
      <c r="B111" s="475" t="str" cm="1">
        <f t="array" ref="B111">IADNumber&amp; " Roof"</f>
        <v>IAD35 Roof</v>
      </c>
      <c r="C111" s="475" t="str">
        <f>zSelectedEquipment &amp; " RTU 2"</f>
        <v>G104-Gen-B RTU 2</v>
      </c>
      <c r="D111" s="195" t="s">
        <v>2310</v>
      </c>
      <c r="E111" s="388" t="s">
        <v>1529</v>
      </c>
      <c r="F111" s="193"/>
      <c r="G111" s="193" t="s">
        <v>1519</v>
      </c>
      <c r="H111" s="498"/>
    </row>
    <row r="112" spans="1:8" ht="37.5" x14ac:dyDescent="0.3">
      <c r="A112" s="228">
        <f t="shared" si="1"/>
        <v>107</v>
      </c>
      <c r="B112" s="475" t="str" cm="1">
        <f t="array" ref="B112">IADNumber&amp; " Roof"</f>
        <v>IAD35 Roof</v>
      </c>
      <c r="C112" s="475" t="str">
        <f>zSelectedEquipment &amp; " RTU 2"</f>
        <v>G104-Gen-B RTU 2</v>
      </c>
      <c r="D112" s="195" t="s">
        <v>2311</v>
      </c>
      <c r="E112" s="388" t="s">
        <v>1529</v>
      </c>
      <c r="F112" s="193"/>
      <c r="G112" s="193" t="s">
        <v>1519</v>
      </c>
      <c r="H112" s="498"/>
    </row>
    <row r="113" spans="1:8" x14ac:dyDescent="0.3">
      <c r="A113" s="228">
        <f t="shared" si="1"/>
        <v>108</v>
      </c>
      <c r="B113" s="717" t="s">
        <v>2312</v>
      </c>
      <c r="C113" s="718"/>
      <c r="D113" s="718"/>
      <c r="E113" s="718"/>
      <c r="F113" s="718"/>
      <c r="G113" s="719"/>
      <c r="H113" s="498"/>
    </row>
    <row r="114" spans="1:8" ht="37.5" x14ac:dyDescent="0.3">
      <c r="A114" s="228">
        <f t="shared" si="1"/>
        <v>109</v>
      </c>
      <c r="B114" s="475" t="str" cm="1">
        <f t="array" ref="B114">IADNumber&amp; " Roof"</f>
        <v>IAD35 Roof</v>
      </c>
      <c r="C114" s="475" t="str">
        <f>zSelectedEquipment &amp; " RTU 2"</f>
        <v>G104-Gen-B RTU 2</v>
      </c>
      <c r="D114" s="195" t="s">
        <v>2369</v>
      </c>
      <c r="E114" s="388" t="s">
        <v>1529</v>
      </c>
      <c r="F114" s="189"/>
      <c r="G114" s="193" t="s">
        <v>1519</v>
      </c>
      <c r="H114" s="498"/>
    </row>
    <row r="115" spans="1:8" ht="37.5" x14ac:dyDescent="0.3">
      <c r="A115" s="228">
        <f t="shared" si="1"/>
        <v>110</v>
      </c>
      <c r="B115" s="475" t="str" cm="1">
        <f t="array" ref="B115">IADNumber&amp; " Roof"</f>
        <v>IAD35 Roof</v>
      </c>
      <c r="C115" s="475" t="str">
        <f>zSelectedEquipment &amp; " RTU 2"</f>
        <v>G104-Gen-B RTU 2</v>
      </c>
      <c r="D115" s="195" t="s">
        <v>3671</v>
      </c>
      <c r="E115" s="388" t="s">
        <v>1529</v>
      </c>
      <c r="F115" s="189"/>
      <c r="G115" s="193" t="s">
        <v>1519</v>
      </c>
      <c r="H115" s="498"/>
    </row>
    <row r="116" spans="1:8" ht="37.5" x14ac:dyDescent="0.3">
      <c r="A116" s="228">
        <f t="shared" si="1"/>
        <v>111</v>
      </c>
      <c r="B116" s="475" t="str" cm="1">
        <f t="array" ref="B116">IADNumber&amp; " Roof"</f>
        <v>IAD35 Roof</v>
      </c>
      <c r="C116" s="475" t="str">
        <f>zSelectedEquipment &amp; " RTU 2"</f>
        <v>G104-Gen-B RTU 2</v>
      </c>
      <c r="D116" s="195" t="s">
        <v>3672</v>
      </c>
      <c r="E116" s="388" t="s">
        <v>1529</v>
      </c>
      <c r="F116" s="189"/>
      <c r="G116" s="193" t="s">
        <v>1519</v>
      </c>
      <c r="H116" s="498"/>
    </row>
    <row r="117" spans="1:8" ht="37.5" x14ac:dyDescent="0.3">
      <c r="A117" s="228">
        <f t="shared" si="1"/>
        <v>112</v>
      </c>
      <c r="B117" s="475" t="str" cm="1">
        <f t="array" ref="B117">IADNumber&amp; " Roof"</f>
        <v>IAD35 Roof</v>
      </c>
      <c r="C117" s="475" t="str">
        <f>zSelectedEquipment &amp; " RTU 2"</f>
        <v>G104-Gen-B RTU 2</v>
      </c>
      <c r="D117" s="195" t="s">
        <v>2315</v>
      </c>
      <c r="E117" s="388" t="s">
        <v>1529</v>
      </c>
      <c r="F117" s="189"/>
      <c r="G117" s="193" t="s">
        <v>1519</v>
      </c>
      <c r="H117" s="498"/>
    </row>
    <row r="118" spans="1:8" ht="37.5" x14ac:dyDescent="0.3">
      <c r="A118" s="228">
        <f t="shared" si="1"/>
        <v>113</v>
      </c>
      <c r="B118" s="475" t="str" cm="1">
        <f t="array" ref="B118">IADNumber&amp; " Roof"</f>
        <v>IAD35 Roof</v>
      </c>
      <c r="C118" s="475" t="str">
        <f>zSelectedEquipment &amp; " RTU 2"</f>
        <v>G104-Gen-B RTU 2</v>
      </c>
      <c r="D118" s="195" t="s">
        <v>2373</v>
      </c>
      <c r="E118" s="388" t="s">
        <v>1529</v>
      </c>
      <c r="F118" s="189"/>
      <c r="G118" s="193" t="s">
        <v>1519</v>
      </c>
      <c r="H118" s="498"/>
    </row>
    <row r="119" spans="1:8" ht="37.5" x14ac:dyDescent="0.3">
      <c r="A119" s="228">
        <f t="shared" si="1"/>
        <v>114</v>
      </c>
      <c r="B119" s="475" t="str" cm="1">
        <f t="array" ref="B119">IADNumber&amp; " Roof"</f>
        <v>IAD35 Roof</v>
      </c>
      <c r="C119" s="475" t="str">
        <f>zSelectedEquipment &amp; " RTU 2"</f>
        <v>G104-Gen-B RTU 2</v>
      </c>
      <c r="D119" s="195" t="s">
        <v>3673</v>
      </c>
      <c r="E119" s="388" t="s">
        <v>1529</v>
      </c>
      <c r="F119" s="189"/>
      <c r="G119" s="193" t="s">
        <v>1519</v>
      </c>
      <c r="H119" s="498"/>
    </row>
    <row r="120" spans="1:8" ht="37.5" x14ac:dyDescent="0.3">
      <c r="A120" s="228">
        <f t="shared" si="1"/>
        <v>115</v>
      </c>
      <c r="B120" s="475" t="str" cm="1">
        <f t="array" ref="B120">IADNumber&amp; " Roof"</f>
        <v>IAD35 Roof</v>
      </c>
      <c r="C120" s="475" t="str">
        <f>zSelectedEquipment &amp; " RTU 2"</f>
        <v>G104-Gen-B RTU 2</v>
      </c>
      <c r="D120" s="195" t="s">
        <v>3674</v>
      </c>
      <c r="E120" s="388" t="s">
        <v>1529</v>
      </c>
      <c r="F120" s="189"/>
      <c r="G120" s="193" t="s">
        <v>1519</v>
      </c>
      <c r="H120" s="498"/>
    </row>
    <row r="121" spans="1:8" ht="37.5" x14ac:dyDescent="0.3">
      <c r="A121" s="228">
        <f t="shared" si="1"/>
        <v>116</v>
      </c>
      <c r="B121" s="475" t="str" cm="1">
        <f t="array" ref="B121">IADNumber&amp; " Roof"</f>
        <v>IAD35 Roof</v>
      </c>
      <c r="C121" s="475" t="str">
        <f>zSelectedEquipment &amp; " RTU 2"</f>
        <v>G104-Gen-B RTU 2</v>
      </c>
      <c r="D121" s="195" t="s">
        <v>3675</v>
      </c>
      <c r="E121" s="388" t="s">
        <v>1529</v>
      </c>
      <c r="F121" s="189"/>
      <c r="G121" s="193" t="s">
        <v>1519</v>
      </c>
      <c r="H121" s="498"/>
    </row>
    <row r="122" spans="1:8" ht="37.5" x14ac:dyDescent="0.3">
      <c r="A122" s="228">
        <f t="shared" si="1"/>
        <v>117</v>
      </c>
      <c r="B122" s="475" t="str" cm="1">
        <f t="array" ref="B122">IADNumber&amp; " Roof"</f>
        <v>IAD35 Roof</v>
      </c>
      <c r="C122" s="475" t="str">
        <f>zSelectedEquipment &amp; " RTU 2"</f>
        <v>G104-Gen-B RTU 2</v>
      </c>
      <c r="D122" s="195" t="s">
        <v>3676</v>
      </c>
      <c r="E122" s="388" t="s">
        <v>1529</v>
      </c>
      <c r="F122" s="189"/>
      <c r="G122" s="193" t="s">
        <v>1519</v>
      </c>
      <c r="H122" s="498"/>
    </row>
    <row r="123" spans="1:8" ht="37.5" x14ac:dyDescent="0.3">
      <c r="A123" s="228">
        <f t="shared" si="1"/>
        <v>118</v>
      </c>
      <c r="B123" s="475" t="str" cm="1">
        <f t="array" ref="B123">IADNumber&amp; " Roof"</f>
        <v>IAD35 Roof</v>
      </c>
      <c r="C123" s="475" t="str">
        <f>zSelectedEquipment &amp; " RTU 2"</f>
        <v>G104-Gen-B RTU 2</v>
      </c>
      <c r="D123" s="195" t="s">
        <v>3672</v>
      </c>
      <c r="E123" s="388" t="s">
        <v>1529</v>
      </c>
      <c r="F123" s="189"/>
      <c r="G123" s="193" t="s">
        <v>1519</v>
      </c>
      <c r="H123" s="498"/>
    </row>
    <row r="124" spans="1:8" ht="37.5" x14ac:dyDescent="0.3">
      <c r="A124" s="228">
        <f t="shared" si="1"/>
        <v>119</v>
      </c>
      <c r="B124" s="475" t="str" cm="1">
        <f t="array" ref="B124">IADNumber&amp; " Roof"</f>
        <v>IAD35 Roof</v>
      </c>
      <c r="C124" s="475" t="str">
        <f>zSelectedEquipment &amp; " RTU 2"</f>
        <v>G104-Gen-B RTU 2</v>
      </c>
      <c r="D124" s="494" t="s">
        <v>3677</v>
      </c>
      <c r="E124" s="388" t="s">
        <v>1529</v>
      </c>
      <c r="F124" s="189"/>
      <c r="G124" s="193" t="s">
        <v>1519</v>
      </c>
      <c r="H124" s="498"/>
    </row>
    <row r="125" spans="1:8" ht="75" x14ac:dyDescent="0.3">
      <c r="A125" s="228">
        <f t="shared" si="1"/>
        <v>120</v>
      </c>
      <c r="B125" s="475" t="str" cm="1">
        <f t="array" ref="B125">IADNumber&amp; " Roof"</f>
        <v>IAD35 Roof</v>
      </c>
      <c r="C125" s="475" t="str">
        <f>zSelectedEquipment &amp; " RTU 2"</f>
        <v>G104-Gen-B RTU 2</v>
      </c>
      <c r="D125" s="494" t="s">
        <v>3678</v>
      </c>
      <c r="E125" s="388" t="s">
        <v>1529</v>
      </c>
      <c r="F125" s="189"/>
      <c r="G125" s="193" t="s">
        <v>1519</v>
      </c>
      <c r="H125" s="498"/>
    </row>
    <row r="126" spans="1:8" x14ac:dyDescent="0.3">
      <c r="A126" s="228">
        <f t="shared" si="1"/>
        <v>121</v>
      </c>
      <c r="B126" s="717" t="s">
        <v>2379</v>
      </c>
      <c r="C126" s="718"/>
      <c r="D126" s="718"/>
      <c r="E126" s="718"/>
      <c r="F126" s="718"/>
      <c r="G126" s="719"/>
      <c r="H126" s="498"/>
    </row>
    <row r="127" spans="1:8" ht="37.5" x14ac:dyDescent="0.3">
      <c r="A127" s="228">
        <f t="shared" si="1"/>
        <v>122</v>
      </c>
      <c r="B127" s="475" t="str" cm="1">
        <f t="array" ref="B127">IADNumber&amp; " Roof"</f>
        <v>IAD35 Roof</v>
      </c>
      <c r="C127" s="475" t="str">
        <f>zSelectedEquipment &amp; " RTU 2"</f>
        <v>G104-Gen-B RTU 2</v>
      </c>
      <c r="D127" s="245" t="s">
        <v>2323</v>
      </c>
      <c r="E127" s="388" t="s">
        <v>1529</v>
      </c>
      <c r="F127" s="189"/>
      <c r="G127" s="189" t="s">
        <v>1519</v>
      </c>
      <c r="H127" s="498"/>
    </row>
    <row r="128" spans="1:8" ht="37.5" x14ac:dyDescent="0.3">
      <c r="A128" s="228">
        <f t="shared" si="1"/>
        <v>123</v>
      </c>
      <c r="B128" s="475" t="str" cm="1">
        <f t="array" ref="B128">IADNumber&amp; " Roof"</f>
        <v>IAD35 Roof</v>
      </c>
      <c r="C128" s="475" t="str">
        <f>zSelectedEquipment &amp; " RTU 2"</f>
        <v>G104-Gen-B RTU 2</v>
      </c>
      <c r="D128" s="245" t="s">
        <v>2324</v>
      </c>
      <c r="E128" s="388" t="s">
        <v>1529</v>
      </c>
      <c r="F128" s="189"/>
      <c r="G128" s="189" t="s">
        <v>1519</v>
      </c>
      <c r="H128" s="498"/>
    </row>
    <row r="129" spans="1:8" ht="37.5" x14ac:dyDescent="0.3">
      <c r="A129" s="228">
        <f t="shared" si="1"/>
        <v>124</v>
      </c>
      <c r="B129" s="475" t="str" cm="1">
        <f t="array" ref="B129">IADNumber&amp; " Roof"</f>
        <v>IAD35 Roof</v>
      </c>
      <c r="C129" s="475" t="str">
        <f>zSelectedEquipment &amp; " RTU 2"</f>
        <v>G104-Gen-B RTU 2</v>
      </c>
      <c r="D129" s="245" t="s">
        <v>2325</v>
      </c>
      <c r="E129" s="388" t="s">
        <v>1529</v>
      </c>
      <c r="F129" s="189"/>
      <c r="G129" s="189" t="s">
        <v>1519</v>
      </c>
      <c r="H129" s="498"/>
    </row>
    <row r="130" spans="1:8" ht="37.5" x14ac:dyDescent="0.3">
      <c r="A130" s="228">
        <f t="shared" si="1"/>
        <v>125</v>
      </c>
      <c r="B130" s="475" t="str" cm="1">
        <f t="array" ref="B130">IADNumber&amp; " Roof"</f>
        <v>IAD35 Roof</v>
      </c>
      <c r="C130" s="475" t="str">
        <f>zSelectedEquipment &amp; " RTU 2"</f>
        <v>G104-Gen-B RTU 2</v>
      </c>
      <c r="D130" s="245" t="s">
        <v>2326</v>
      </c>
      <c r="E130" s="388" t="s">
        <v>1529</v>
      </c>
      <c r="F130" s="189"/>
      <c r="G130" s="189" t="s">
        <v>1519</v>
      </c>
      <c r="H130" s="498"/>
    </row>
    <row r="131" spans="1:8" ht="37.5" x14ac:dyDescent="0.3">
      <c r="A131" s="228">
        <f t="shared" si="1"/>
        <v>126</v>
      </c>
      <c r="B131" s="475" t="str" cm="1">
        <f t="array" ref="B131">IADNumber&amp; " Roof"</f>
        <v>IAD35 Roof</v>
      </c>
      <c r="C131" s="475" t="str">
        <f>zSelectedEquipment &amp; " RTU 2"</f>
        <v>G104-Gen-B RTU 2</v>
      </c>
      <c r="D131" s="245" t="s">
        <v>2327</v>
      </c>
      <c r="E131" s="388" t="s">
        <v>1529</v>
      </c>
      <c r="F131" s="189"/>
      <c r="G131" s="189" t="s">
        <v>1519</v>
      </c>
      <c r="H131" s="498"/>
    </row>
    <row r="132" spans="1:8" ht="37.5" x14ac:dyDescent="0.3">
      <c r="A132" s="228">
        <f t="shared" si="1"/>
        <v>127</v>
      </c>
      <c r="B132" s="475" t="str" cm="1">
        <f t="array" ref="B132">IADNumber&amp; " Roof"</f>
        <v>IAD35 Roof</v>
      </c>
      <c r="C132" s="475" t="str">
        <f>zSelectedEquipment &amp; " RTU 2"</f>
        <v>G104-Gen-B RTU 2</v>
      </c>
      <c r="D132" s="245" t="s">
        <v>2328</v>
      </c>
      <c r="E132" s="388" t="s">
        <v>1529</v>
      </c>
      <c r="F132" s="189"/>
      <c r="G132" s="189" t="s">
        <v>1519</v>
      </c>
      <c r="H132" s="498"/>
    </row>
    <row r="133" spans="1:8" x14ac:dyDescent="0.3">
      <c r="A133" s="228">
        <f t="shared" si="1"/>
        <v>128</v>
      </c>
      <c r="B133" s="717" t="s">
        <v>2329</v>
      </c>
      <c r="C133" s="718"/>
      <c r="D133" s="718"/>
      <c r="E133" s="718"/>
      <c r="F133" s="718"/>
      <c r="G133" s="719"/>
      <c r="H133" s="498"/>
    </row>
    <row r="134" spans="1:8" ht="37.5" x14ac:dyDescent="0.3">
      <c r="A134" s="228">
        <f t="shared" si="1"/>
        <v>129</v>
      </c>
      <c r="B134" s="475" t="str" cm="1">
        <f t="array" ref="B134">IADNumber&amp; " Roof"</f>
        <v>IAD35 Roof</v>
      </c>
      <c r="C134" s="475" t="str">
        <f>zSelectedEquipment &amp; " RTU 2"</f>
        <v>G104-Gen-B RTU 2</v>
      </c>
      <c r="D134" s="245" t="s">
        <v>2331</v>
      </c>
      <c r="E134" s="388" t="s">
        <v>1529</v>
      </c>
      <c r="F134" s="189"/>
      <c r="G134" s="189" t="s">
        <v>1519</v>
      </c>
      <c r="H134" s="498"/>
    </row>
    <row r="135" spans="1:8" ht="37.5" x14ac:dyDescent="0.3">
      <c r="A135" s="228">
        <f t="shared" si="1"/>
        <v>130</v>
      </c>
      <c r="B135" s="475" t="str" cm="1">
        <f t="array" ref="B135">IADNumber&amp; " Roof"</f>
        <v>IAD35 Roof</v>
      </c>
      <c r="C135" s="475" t="str">
        <f>zSelectedEquipment &amp; " RTU 2"</f>
        <v>G104-Gen-B RTU 2</v>
      </c>
      <c r="D135" s="245" t="s">
        <v>2332</v>
      </c>
      <c r="E135" s="388" t="s">
        <v>1529</v>
      </c>
      <c r="F135" s="189"/>
      <c r="G135" s="189" t="s">
        <v>1519</v>
      </c>
      <c r="H135" s="498"/>
    </row>
    <row r="136" spans="1:8" ht="37.5" x14ac:dyDescent="0.3">
      <c r="A136" s="228">
        <f t="shared" ref="A136:A199" si="2">A135+1</f>
        <v>131</v>
      </c>
      <c r="B136" s="475" t="str" cm="1">
        <f t="array" ref="B136">IADNumber&amp; " Roof"</f>
        <v>IAD35 Roof</v>
      </c>
      <c r="C136" s="475" t="str">
        <f>zSelectedEquipment &amp; " RTU 2"</f>
        <v>G104-Gen-B RTU 2</v>
      </c>
      <c r="D136" s="245" t="s">
        <v>2333</v>
      </c>
      <c r="E136" s="388" t="s">
        <v>1529</v>
      </c>
      <c r="F136" s="189"/>
      <c r="G136" s="189" t="s">
        <v>1519</v>
      </c>
      <c r="H136" s="498"/>
    </row>
    <row r="137" spans="1:8" ht="37.5" x14ac:dyDescent="0.3">
      <c r="A137" s="228">
        <f t="shared" si="2"/>
        <v>132</v>
      </c>
      <c r="B137" s="475" t="str" cm="1">
        <f t="array" ref="B137">IADNumber&amp; " Roof"</f>
        <v>IAD35 Roof</v>
      </c>
      <c r="C137" s="475" t="str">
        <f>zSelectedEquipment &amp; " RTU 2"</f>
        <v>G104-Gen-B RTU 2</v>
      </c>
      <c r="D137" s="245" t="s">
        <v>2334</v>
      </c>
      <c r="E137" s="388" t="s">
        <v>1529</v>
      </c>
      <c r="F137" s="189"/>
      <c r="G137" s="189" t="s">
        <v>1519</v>
      </c>
      <c r="H137" s="498"/>
    </row>
    <row r="138" spans="1:8" ht="37.5" x14ac:dyDescent="0.3">
      <c r="A138" s="228">
        <f t="shared" si="2"/>
        <v>133</v>
      </c>
      <c r="B138" s="475" t="str" cm="1">
        <f t="array" ref="B138">IADNumber&amp; " Roof"</f>
        <v>IAD35 Roof</v>
      </c>
      <c r="C138" s="475" t="str">
        <f>zSelectedEquipment &amp; " RTU 2"</f>
        <v>G104-Gen-B RTU 2</v>
      </c>
      <c r="D138" s="245" t="s">
        <v>2335</v>
      </c>
      <c r="E138" s="388" t="s">
        <v>1529</v>
      </c>
      <c r="F138" s="189"/>
      <c r="G138" s="189" t="s">
        <v>1519</v>
      </c>
      <c r="H138" s="498"/>
    </row>
    <row r="139" spans="1:8" ht="37.5" x14ac:dyDescent="0.3">
      <c r="A139" s="228">
        <f t="shared" si="2"/>
        <v>134</v>
      </c>
      <c r="B139" s="475" t="str" cm="1">
        <f t="array" ref="B139">IADNumber&amp; " Roof"</f>
        <v>IAD35 Roof</v>
      </c>
      <c r="C139" s="475" t="str">
        <f>zSelectedEquipment &amp; " RTU 2"</f>
        <v>G104-Gen-B RTU 2</v>
      </c>
      <c r="D139" s="245" t="s">
        <v>2337</v>
      </c>
      <c r="E139" s="388" t="s">
        <v>1529</v>
      </c>
      <c r="F139" s="189"/>
      <c r="G139" s="189" t="s">
        <v>1519</v>
      </c>
      <c r="H139" s="498"/>
    </row>
    <row r="140" spans="1:8" x14ac:dyDescent="0.3">
      <c r="A140" s="228">
        <f t="shared" si="2"/>
        <v>135</v>
      </c>
      <c r="B140" s="717" t="s">
        <v>2383</v>
      </c>
      <c r="C140" s="718"/>
      <c r="D140" s="718"/>
      <c r="E140" s="718"/>
      <c r="F140" s="718"/>
      <c r="G140" s="719"/>
      <c r="H140" s="498"/>
    </row>
    <row r="141" spans="1:8" ht="37.5" x14ac:dyDescent="0.3">
      <c r="A141" s="228">
        <f t="shared" si="2"/>
        <v>136</v>
      </c>
      <c r="B141" s="475" t="str" cm="1">
        <f t="array" ref="B141">IADNumber&amp; " Roof"</f>
        <v>IAD35 Roof</v>
      </c>
      <c r="C141" s="475" t="str">
        <f>zSelectedEquipment &amp; " RTU 2"</f>
        <v>G104-Gen-B RTU 2</v>
      </c>
      <c r="D141" s="245" t="s">
        <v>2384</v>
      </c>
      <c r="E141" s="388" t="s">
        <v>1529</v>
      </c>
      <c r="F141" s="189"/>
      <c r="G141" s="189" t="s">
        <v>1519</v>
      </c>
      <c r="H141" s="498"/>
    </row>
    <row r="142" spans="1:8" ht="37.5" x14ac:dyDescent="0.3">
      <c r="A142" s="228">
        <f t="shared" si="2"/>
        <v>137</v>
      </c>
      <c r="B142" s="475" t="str" cm="1">
        <f t="array" ref="B142">IADNumber&amp; " Roof"</f>
        <v>IAD35 Roof</v>
      </c>
      <c r="C142" s="475" t="str">
        <f>zSelectedEquipment &amp; " RTU 2"</f>
        <v>G104-Gen-B RTU 2</v>
      </c>
      <c r="D142" s="245" t="s">
        <v>2318</v>
      </c>
      <c r="E142" s="388" t="s">
        <v>1529</v>
      </c>
      <c r="F142" s="189"/>
      <c r="G142" s="189" t="s">
        <v>1519</v>
      </c>
      <c r="H142" s="498"/>
    </row>
    <row r="143" spans="1:8" ht="37.5" x14ac:dyDescent="0.3">
      <c r="A143" s="228">
        <f t="shared" si="2"/>
        <v>138</v>
      </c>
      <c r="B143" s="475" t="str" cm="1">
        <f t="array" ref="B143">IADNumber&amp; " Roof"</f>
        <v>IAD35 Roof</v>
      </c>
      <c r="C143" s="475" t="str">
        <f>zSelectedEquipment &amp; " RTU 2"</f>
        <v>G104-Gen-B RTU 2</v>
      </c>
      <c r="D143" s="245" t="s">
        <v>2385</v>
      </c>
      <c r="E143" s="388" t="s">
        <v>1529</v>
      </c>
      <c r="F143" s="189"/>
      <c r="G143" s="189" t="s">
        <v>1519</v>
      </c>
      <c r="H143" s="498"/>
    </row>
    <row r="144" spans="1:8" ht="37.5" x14ac:dyDescent="0.3">
      <c r="A144" s="228">
        <f t="shared" si="2"/>
        <v>139</v>
      </c>
      <c r="B144" s="475" t="str" cm="1">
        <f t="array" ref="B144">IADNumber&amp; " Roof"</f>
        <v>IAD35 Roof</v>
      </c>
      <c r="C144" s="475" t="str">
        <f>zSelectedEquipment &amp; " RTU 2"</f>
        <v>G104-Gen-B RTU 2</v>
      </c>
      <c r="D144" s="245" t="s">
        <v>2320</v>
      </c>
      <c r="E144" s="388" t="s">
        <v>1529</v>
      </c>
      <c r="F144" s="189"/>
      <c r="G144" s="189" t="s">
        <v>1519</v>
      </c>
      <c r="H144" s="498"/>
    </row>
    <row r="145" spans="1:8" ht="37.5" x14ac:dyDescent="0.3">
      <c r="A145" s="228">
        <f t="shared" si="2"/>
        <v>140</v>
      </c>
      <c r="B145" s="475" t="str" cm="1">
        <f t="array" ref="B145">IADNumber&amp; " Roof"</f>
        <v>IAD35 Roof</v>
      </c>
      <c r="C145" s="475" t="str">
        <f>zSelectedEquipment &amp; " RTU 2"</f>
        <v>G104-Gen-B RTU 2</v>
      </c>
      <c r="D145" s="245" t="s">
        <v>2386</v>
      </c>
      <c r="E145" s="388" t="s">
        <v>1529</v>
      </c>
      <c r="F145" s="189"/>
      <c r="G145" s="189" t="s">
        <v>1519</v>
      </c>
      <c r="H145" s="498"/>
    </row>
    <row r="146" spans="1:8" ht="37.5" x14ac:dyDescent="0.3">
      <c r="A146" s="228">
        <f t="shared" si="2"/>
        <v>141</v>
      </c>
      <c r="B146" s="475" t="str" cm="1">
        <f t="array" ref="B146">IADNumber&amp; " Roof"</f>
        <v>IAD35 Roof</v>
      </c>
      <c r="C146" s="475" t="str">
        <f>zSelectedEquipment &amp; " RTU 2"</f>
        <v>G104-Gen-B RTU 2</v>
      </c>
      <c r="D146" s="245" t="s">
        <v>2387</v>
      </c>
      <c r="E146" s="388" t="s">
        <v>1529</v>
      </c>
      <c r="F146" s="189"/>
      <c r="G146" s="189" t="s">
        <v>1519</v>
      </c>
      <c r="H146" s="498"/>
    </row>
    <row r="147" spans="1:8" ht="37.5" x14ac:dyDescent="0.3">
      <c r="A147" s="228">
        <f t="shared" si="2"/>
        <v>142</v>
      </c>
      <c r="B147" s="475" t="str" cm="1">
        <f t="array" ref="B147">IADNumber&amp; " Roof"</f>
        <v>IAD35 Roof</v>
      </c>
      <c r="C147" s="475" t="str">
        <f>zSelectedEquipment &amp; " RTU 2"</f>
        <v>G104-Gen-B RTU 2</v>
      </c>
      <c r="D147" s="245" t="s">
        <v>3679</v>
      </c>
      <c r="E147" s="388" t="s">
        <v>1529</v>
      </c>
      <c r="F147" s="189"/>
      <c r="G147" s="189" t="s">
        <v>1519</v>
      </c>
      <c r="H147" s="498"/>
    </row>
    <row r="148" spans="1:8" ht="37.5" x14ac:dyDescent="0.3">
      <c r="A148" s="228">
        <f t="shared" si="2"/>
        <v>143</v>
      </c>
      <c r="B148" s="475" t="str" cm="1">
        <f t="array" ref="B148">IADNumber&amp; " Roof"</f>
        <v>IAD35 Roof</v>
      </c>
      <c r="C148" s="475" t="str">
        <f>zSelectedEquipment &amp; " RTU 2"</f>
        <v>G104-Gen-B RTU 2</v>
      </c>
      <c r="D148" s="245" t="s">
        <v>3680</v>
      </c>
      <c r="E148" s="388" t="s">
        <v>1529</v>
      </c>
      <c r="F148" s="189"/>
      <c r="G148" s="189" t="s">
        <v>1519</v>
      </c>
      <c r="H148" s="498"/>
    </row>
    <row r="149" spans="1:8" x14ac:dyDescent="0.3">
      <c r="A149" s="228">
        <f t="shared" si="2"/>
        <v>144</v>
      </c>
      <c r="B149" s="716" t="s">
        <v>3681</v>
      </c>
      <c r="C149" s="716"/>
      <c r="D149" s="716"/>
      <c r="E149" s="716"/>
      <c r="F149" s="716"/>
      <c r="G149" s="716"/>
      <c r="H149" s="498"/>
    </row>
    <row r="150" spans="1:8" ht="37.5" x14ac:dyDescent="0.3">
      <c r="A150" s="228">
        <f t="shared" si="2"/>
        <v>145</v>
      </c>
      <c r="B150" s="475" t="str" cm="1">
        <f t="array" ref="B150">IADNumber&amp; " Roof"</f>
        <v>IAD35 Roof</v>
      </c>
      <c r="C150" s="475" t="str">
        <f>zSelectedEquipment &amp; " RTU 2"</f>
        <v>G104-Gen-B RTU 2</v>
      </c>
      <c r="D150" s="195" t="s">
        <v>2274</v>
      </c>
      <c r="E150" s="388" t="s">
        <v>1529</v>
      </c>
      <c r="F150" s="198"/>
      <c r="G150" s="193" t="s">
        <v>1519</v>
      </c>
      <c r="H150" s="498"/>
    </row>
    <row r="151" spans="1:8" ht="37.5" x14ac:dyDescent="0.3">
      <c r="A151" s="228">
        <f t="shared" si="2"/>
        <v>146</v>
      </c>
      <c r="B151" s="475" t="str" cm="1">
        <f t="array" ref="B151">IADNumber&amp; " Roof"</f>
        <v>IAD35 Roof</v>
      </c>
      <c r="C151" s="475" t="str">
        <f>zSelectedEquipment &amp; " RTU 2"</f>
        <v>G104-Gen-B RTU 2</v>
      </c>
      <c r="D151" s="195" t="s">
        <v>2275</v>
      </c>
      <c r="E151" s="388" t="s">
        <v>1529</v>
      </c>
      <c r="F151" s="198"/>
      <c r="G151" s="193" t="s">
        <v>1519</v>
      </c>
      <c r="H151" s="498"/>
    </row>
    <row r="152" spans="1:8" ht="37.5" x14ac:dyDescent="0.3">
      <c r="A152" s="228">
        <f t="shared" si="2"/>
        <v>147</v>
      </c>
      <c r="B152" s="475" t="str" cm="1">
        <f t="array" ref="B152">IADNumber&amp; " Roof"</f>
        <v>IAD35 Roof</v>
      </c>
      <c r="C152" s="475" t="str">
        <f>zSelectedEquipment &amp; " RTU 2"</f>
        <v>G104-Gen-B RTU 2</v>
      </c>
      <c r="D152" s="195" t="s">
        <v>3682</v>
      </c>
      <c r="E152" s="388" t="s">
        <v>1529</v>
      </c>
      <c r="F152" s="198"/>
      <c r="G152" s="193" t="s">
        <v>1519</v>
      </c>
      <c r="H152" s="498"/>
    </row>
    <row r="153" spans="1:8" ht="56.25" x14ac:dyDescent="0.3">
      <c r="A153" s="228">
        <f t="shared" si="2"/>
        <v>148</v>
      </c>
      <c r="B153" s="475" t="str" cm="1">
        <f t="array" ref="B153">IADNumber&amp; " Roof"</f>
        <v>IAD35 Roof</v>
      </c>
      <c r="C153" s="475" t="str">
        <f>zSelectedEquipment &amp; " RTU 2"</f>
        <v>G104-Gen-B RTU 2</v>
      </c>
      <c r="D153" s="195" t="s">
        <v>3683</v>
      </c>
      <c r="E153" s="388" t="s">
        <v>1529</v>
      </c>
      <c r="F153" s="198"/>
      <c r="G153" s="193" t="s">
        <v>1519</v>
      </c>
      <c r="H153" s="498"/>
    </row>
    <row r="154" spans="1:8" ht="37.5" x14ac:dyDescent="0.3">
      <c r="A154" s="228">
        <f t="shared" si="2"/>
        <v>149</v>
      </c>
      <c r="B154" s="475" t="str" cm="1">
        <f t="array" ref="B154">IADNumber&amp; " Roof"</f>
        <v>IAD35 Roof</v>
      </c>
      <c r="C154" s="475" t="str">
        <f>zSelectedEquipment &amp; " RTU 2"</f>
        <v>G104-Gen-B RTU 2</v>
      </c>
      <c r="D154" s="195" t="s">
        <v>3661</v>
      </c>
      <c r="E154" s="388" t="s">
        <v>1529</v>
      </c>
      <c r="F154" s="198"/>
      <c r="G154" s="193" t="s">
        <v>1519</v>
      </c>
      <c r="H154" s="498"/>
    </row>
    <row r="155" spans="1:8" ht="37.5" x14ac:dyDescent="0.3">
      <c r="A155" s="228">
        <f t="shared" si="2"/>
        <v>150</v>
      </c>
      <c r="B155" s="475" t="str" cm="1">
        <f t="array" ref="B155">IADNumber&amp; " Roof"</f>
        <v>IAD35 Roof</v>
      </c>
      <c r="C155" s="475" t="str">
        <f>zSelectedEquipment &amp; " RTU 2"</f>
        <v>G104-Gen-B RTU 2</v>
      </c>
      <c r="D155" s="195" t="s">
        <v>3684</v>
      </c>
      <c r="E155" s="388" t="s">
        <v>1529</v>
      </c>
      <c r="F155" s="198"/>
      <c r="G155" s="193" t="s">
        <v>1519</v>
      </c>
      <c r="H155" s="498"/>
    </row>
    <row r="156" spans="1:8" ht="37.5" x14ac:dyDescent="0.3">
      <c r="A156" s="228">
        <f t="shared" si="2"/>
        <v>151</v>
      </c>
      <c r="B156" s="475" t="str" cm="1">
        <f t="array" ref="B156">IADNumber&amp; " Roof"</f>
        <v>IAD35 Roof</v>
      </c>
      <c r="C156" s="475" t="str">
        <f>zSelectedEquipment &amp; " RTU 2"</f>
        <v>G104-Gen-B RTU 2</v>
      </c>
      <c r="D156" s="195" t="s">
        <v>2277</v>
      </c>
      <c r="E156" s="388" t="s">
        <v>1529</v>
      </c>
      <c r="F156" s="198"/>
      <c r="G156" s="193" t="s">
        <v>1519</v>
      </c>
      <c r="H156" s="498"/>
    </row>
    <row r="157" spans="1:8" ht="37.5" x14ac:dyDescent="0.3">
      <c r="A157" s="228">
        <f t="shared" si="2"/>
        <v>152</v>
      </c>
      <c r="B157" s="475" t="str" cm="1">
        <f t="array" ref="B157">IADNumber&amp; " Roof"</f>
        <v>IAD35 Roof</v>
      </c>
      <c r="C157" s="475" t="str">
        <f>zSelectedEquipment &amp; " RTU 2"</f>
        <v>G104-Gen-B RTU 2</v>
      </c>
      <c r="D157" s="195" t="s">
        <v>2340</v>
      </c>
      <c r="E157" s="388" t="s">
        <v>1529</v>
      </c>
      <c r="F157" s="198"/>
      <c r="G157" s="193" t="s">
        <v>1519</v>
      </c>
      <c r="H157" s="498"/>
    </row>
    <row r="158" spans="1:8" ht="37.5" x14ac:dyDescent="0.3">
      <c r="A158" s="228">
        <f t="shared" si="2"/>
        <v>153</v>
      </c>
      <c r="B158" s="475" t="str" cm="1">
        <f t="array" ref="B158">IADNumber&amp; " Roof"</f>
        <v>IAD35 Roof</v>
      </c>
      <c r="C158" s="475" t="str">
        <f>zSelectedEquipment &amp; " RTU 2"</f>
        <v>G104-Gen-B RTU 2</v>
      </c>
      <c r="D158" s="195" t="s">
        <v>3685</v>
      </c>
      <c r="E158" s="388" t="s">
        <v>1529</v>
      </c>
      <c r="F158" s="198"/>
      <c r="G158" s="193" t="s">
        <v>1519</v>
      </c>
      <c r="H158" s="498"/>
    </row>
    <row r="159" spans="1:8" ht="37.5" x14ac:dyDescent="0.3">
      <c r="A159" s="228">
        <f t="shared" si="2"/>
        <v>154</v>
      </c>
      <c r="B159" s="475" t="str" cm="1">
        <f t="array" ref="B159">IADNumber&amp; " Roof"</f>
        <v>IAD35 Roof</v>
      </c>
      <c r="C159" s="475" t="str">
        <f>zSelectedEquipment &amp; " RTU 2"</f>
        <v>G104-Gen-B RTU 2</v>
      </c>
      <c r="D159" s="195" t="s">
        <v>3686</v>
      </c>
      <c r="E159" s="388" t="s">
        <v>1529</v>
      </c>
      <c r="F159" s="198"/>
      <c r="G159" s="193" t="s">
        <v>1519</v>
      </c>
      <c r="H159" s="498"/>
    </row>
    <row r="160" spans="1:8" ht="37.5" x14ac:dyDescent="0.3">
      <c r="A160" s="228">
        <f t="shared" si="2"/>
        <v>155</v>
      </c>
      <c r="B160" s="475" t="str" cm="1">
        <f t="array" ref="B160">IADNumber&amp; " Roof"</f>
        <v>IAD35 Roof</v>
      </c>
      <c r="C160" s="475" t="str">
        <f>zSelectedEquipment &amp; " RTU 2"</f>
        <v>G104-Gen-B RTU 2</v>
      </c>
      <c r="D160" s="195" t="s">
        <v>3687</v>
      </c>
      <c r="E160" s="388" t="s">
        <v>1529</v>
      </c>
      <c r="F160" s="198"/>
      <c r="G160" s="193" t="s">
        <v>1519</v>
      </c>
      <c r="H160" s="498"/>
    </row>
    <row r="161" spans="1:8" ht="37.5" x14ac:dyDescent="0.3">
      <c r="A161" s="228">
        <f t="shared" si="2"/>
        <v>156</v>
      </c>
      <c r="B161" s="475" t="str" cm="1">
        <f t="array" ref="B161">IADNumber&amp; " Roof"</f>
        <v>IAD35 Roof</v>
      </c>
      <c r="C161" s="475" t="str">
        <f>zSelectedEquipment &amp; " RTU 2"</f>
        <v>G104-Gen-B RTU 2</v>
      </c>
      <c r="D161" s="195" t="s">
        <v>3688</v>
      </c>
      <c r="E161" s="388" t="s">
        <v>1529</v>
      </c>
      <c r="F161" s="198"/>
      <c r="G161" s="193" t="s">
        <v>1519</v>
      </c>
      <c r="H161" s="498"/>
    </row>
    <row r="162" spans="1:8" ht="37.5" x14ac:dyDescent="0.3">
      <c r="A162" s="228">
        <f t="shared" si="2"/>
        <v>157</v>
      </c>
      <c r="B162" s="475" t="str" cm="1">
        <f t="array" ref="B162">IADNumber&amp; " Roof"</f>
        <v>IAD35 Roof</v>
      </c>
      <c r="C162" s="475" t="str">
        <f>zSelectedEquipment &amp; " RTU 2"</f>
        <v>G104-Gen-B RTU 2</v>
      </c>
      <c r="D162" s="195" t="s">
        <v>2392</v>
      </c>
      <c r="E162" s="388" t="s">
        <v>1529</v>
      </c>
      <c r="F162" s="198"/>
      <c r="G162" s="193" t="s">
        <v>1519</v>
      </c>
      <c r="H162" s="498"/>
    </row>
    <row r="163" spans="1:8" ht="56.25" x14ac:dyDescent="0.3">
      <c r="A163" s="228">
        <f t="shared" si="2"/>
        <v>158</v>
      </c>
      <c r="B163" s="475" t="str" cm="1">
        <f t="array" ref="B163">IADNumber&amp; " Roof"</f>
        <v>IAD35 Roof</v>
      </c>
      <c r="C163" s="475" t="str">
        <f>zSelectedEquipment &amp; " RTU 2"</f>
        <v>G104-Gen-B RTU 2</v>
      </c>
      <c r="D163" s="494" t="s">
        <v>3689</v>
      </c>
      <c r="E163" s="388" t="s">
        <v>1529</v>
      </c>
      <c r="F163" s="198"/>
      <c r="G163" s="193" t="s">
        <v>1519</v>
      </c>
      <c r="H163" s="498"/>
    </row>
    <row r="164" spans="1:8" ht="37.5" x14ac:dyDescent="0.3">
      <c r="A164" s="228">
        <f t="shared" si="2"/>
        <v>159</v>
      </c>
      <c r="B164" s="475" t="str" cm="1">
        <f t="array" ref="B164">IADNumber&amp; " Roof"</f>
        <v>IAD35 Roof</v>
      </c>
      <c r="C164" s="475" t="str">
        <f>zSelectedEquipment &amp; " RTU 2"</f>
        <v>G104-Gen-B RTU 2</v>
      </c>
      <c r="D164" s="195" t="s">
        <v>2282</v>
      </c>
      <c r="E164" s="388" t="s">
        <v>1529</v>
      </c>
      <c r="F164" s="198"/>
      <c r="G164" s="193" t="s">
        <v>1519</v>
      </c>
      <c r="H164" s="498"/>
    </row>
    <row r="165" spans="1:8" ht="37.5" x14ac:dyDescent="0.3">
      <c r="A165" s="228">
        <f t="shared" si="2"/>
        <v>160</v>
      </c>
      <c r="B165" s="475" t="str" cm="1">
        <f t="array" ref="B165">IADNumber&amp; " Roof"</f>
        <v>IAD35 Roof</v>
      </c>
      <c r="C165" s="475" t="str">
        <f>zSelectedEquipment &amp; " RTU 2"</f>
        <v>G104-Gen-B RTU 2</v>
      </c>
      <c r="D165" s="195" t="s">
        <v>3690</v>
      </c>
      <c r="E165" s="388" t="s">
        <v>1529</v>
      </c>
      <c r="F165" s="198"/>
      <c r="G165" s="193" t="s">
        <v>1519</v>
      </c>
      <c r="H165" s="498"/>
    </row>
    <row r="166" spans="1:8" ht="37.5" x14ac:dyDescent="0.3">
      <c r="A166" s="228">
        <f t="shared" si="2"/>
        <v>161</v>
      </c>
      <c r="B166" s="475" t="s">
        <v>1462</v>
      </c>
      <c r="C166" s="388" t="s">
        <v>84</v>
      </c>
      <c r="D166" s="195" t="s">
        <v>2283</v>
      </c>
      <c r="E166" s="388" t="s">
        <v>1529</v>
      </c>
      <c r="F166" s="495"/>
      <c r="G166" s="193" t="s">
        <v>1519</v>
      </c>
      <c r="H166" s="498"/>
    </row>
    <row r="167" spans="1:8" ht="37.5" x14ac:dyDescent="0.3">
      <c r="A167" s="228">
        <f t="shared" si="2"/>
        <v>162</v>
      </c>
      <c r="B167" s="475" t="str" cm="1">
        <f t="array" ref="B167">IADNumber&amp; " Roof"</f>
        <v>IAD35 Roof</v>
      </c>
      <c r="C167" s="475" t="str">
        <f>zSelectedEquipment &amp; " RTU 2"</f>
        <v>G104-Gen-B RTU 2</v>
      </c>
      <c r="D167" s="195" t="s">
        <v>2284</v>
      </c>
      <c r="E167" s="388" t="s">
        <v>1529</v>
      </c>
      <c r="F167" s="495"/>
      <c r="G167" s="193" t="s">
        <v>1519</v>
      </c>
      <c r="H167" s="498"/>
    </row>
    <row r="168" spans="1:8" ht="18" customHeight="1" x14ac:dyDescent="0.3">
      <c r="A168" s="228">
        <f t="shared" si="2"/>
        <v>163</v>
      </c>
      <c r="B168" s="753" t="str">
        <f>"Perform Quarterly PM on " &amp; C170</f>
        <v>Perform Quarterly PM on G104-Gen-B RTU 3</v>
      </c>
      <c r="C168" s="754"/>
      <c r="D168" s="754"/>
      <c r="E168" s="754"/>
      <c r="F168" s="754"/>
      <c r="G168" s="755"/>
      <c r="H168" s="498"/>
    </row>
    <row r="169" spans="1:8" ht="37.5" x14ac:dyDescent="0.3">
      <c r="A169" s="228">
        <f t="shared" si="2"/>
        <v>164</v>
      </c>
      <c r="B169" s="388" t="s">
        <v>1462</v>
      </c>
      <c r="C169" s="388" t="s">
        <v>84</v>
      </c>
      <c r="D169" s="493" t="s">
        <v>3655</v>
      </c>
      <c r="E169" s="388" t="s">
        <v>3654</v>
      </c>
      <c r="F169" s="189"/>
      <c r="G169" s="189"/>
      <c r="H169" s="498"/>
    </row>
    <row r="170" spans="1:8" ht="37.5" x14ac:dyDescent="0.3">
      <c r="A170" s="228">
        <f t="shared" si="2"/>
        <v>165</v>
      </c>
      <c r="B170" s="475" t="str" cm="1">
        <f t="array" ref="B170">IADNumber&amp; " Roof"</f>
        <v>IAD35 Roof</v>
      </c>
      <c r="C170" s="475" t="str">
        <f>zSelectedEquipment &amp; " RTU 3"</f>
        <v>G104-Gen-B RTU 3</v>
      </c>
      <c r="D170" s="191" t="s">
        <v>3656</v>
      </c>
      <c r="E170" s="388" t="s">
        <v>1529</v>
      </c>
      <c r="F170" s="189"/>
      <c r="G170" s="189" t="s">
        <v>1519</v>
      </c>
      <c r="H170" s="498"/>
    </row>
    <row r="171" spans="1:8" ht="37.5" x14ac:dyDescent="0.3">
      <c r="A171" s="228">
        <f t="shared" si="2"/>
        <v>166</v>
      </c>
      <c r="B171" s="475" t="str" cm="1">
        <f t="array" ref="B171">IADNumber&amp; " Roof"</f>
        <v>IAD35 Roof</v>
      </c>
      <c r="C171" s="475" t="str">
        <f>zSelectedEquipment &amp; " RTU 3"</f>
        <v>G104-Gen-B RTU 3</v>
      </c>
      <c r="D171" s="190" t="s">
        <v>3657</v>
      </c>
      <c r="E171" s="388" t="s">
        <v>1529</v>
      </c>
      <c r="F171" s="189"/>
      <c r="G171" s="189" t="s">
        <v>1519</v>
      </c>
      <c r="H171" s="498"/>
    </row>
    <row r="172" spans="1:8" ht="37.5" x14ac:dyDescent="0.3">
      <c r="A172" s="228">
        <f t="shared" si="2"/>
        <v>167</v>
      </c>
      <c r="B172" s="475" t="str" cm="1">
        <f t="array" ref="B172">IADNumber&amp; " Roof"</f>
        <v>IAD35 Roof</v>
      </c>
      <c r="C172" s="475" t="str">
        <f>zSelectedEquipment &amp; " RTU 3"</f>
        <v>G104-Gen-B RTU 3</v>
      </c>
      <c r="D172" s="190" t="s">
        <v>3658</v>
      </c>
      <c r="E172" s="388" t="s">
        <v>1529</v>
      </c>
      <c r="F172" s="189"/>
      <c r="G172" s="189" t="s">
        <v>1519</v>
      </c>
      <c r="H172" s="498"/>
    </row>
    <row r="173" spans="1:8" ht="37.5" x14ac:dyDescent="0.3">
      <c r="A173" s="228">
        <f t="shared" si="2"/>
        <v>168</v>
      </c>
      <c r="B173" s="475" t="str" cm="1">
        <f t="array" ref="B173">IADNumber&amp; " Roof"</f>
        <v>IAD35 Roof</v>
      </c>
      <c r="C173" s="475" t="str">
        <f>zSelectedEquipment &amp; " RTU 3"</f>
        <v>G104-Gen-B RTU 3</v>
      </c>
      <c r="D173" s="190" t="s">
        <v>3659</v>
      </c>
      <c r="E173" s="388" t="s">
        <v>3654</v>
      </c>
      <c r="F173" s="189"/>
      <c r="G173" s="189" t="s">
        <v>1519</v>
      </c>
      <c r="H173" s="498"/>
    </row>
    <row r="174" spans="1:8" ht="37.5" x14ac:dyDescent="0.3">
      <c r="A174" s="228">
        <f t="shared" si="2"/>
        <v>169</v>
      </c>
      <c r="B174" s="475" t="str" cm="1">
        <f t="array" ref="B174">IADNumber&amp; " Roof"</f>
        <v>IAD35 Roof</v>
      </c>
      <c r="C174" s="475" t="str">
        <f>zSelectedEquipment &amp; " RTU 3"</f>
        <v>G104-Gen-B RTU 3</v>
      </c>
      <c r="D174" s="195" t="s">
        <v>3660</v>
      </c>
      <c r="E174" s="388" t="s">
        <v>3654</v>
      </c>
      <c r="F174" s="189"/>
      <c r="G174" s="189" t="s">
        <v>1519</v>
      </c>
      <c r="H174" s="498"/>
    </row>
    <row r="175" spans="1:8" ht="37.5" x14ac:dyDescent="0.3">
      <c r="A175" s="228">
        <f t="shared" si="2"/>
        <v>170</v>
      </c>
      <c r="B175" s="475" t="str" cm="1">
        <f t="array" ref="B175">IADNumber&amp; " Roof"</f>
        <v>IAD35 Roof</v>
      </c>
      <c r="C175" s="475" t="str">
        <f>zSelectedEquipment &amp; " RTU 3"</f>
        <v>G104-Gen-B RTU 3</v>
      </c>
      <c r="D175" s="195" t="s">
        <v>3661</v>
      </c>
      <c r="E175" s="388" t="s">
        <v>3654</v>
      </c>
      <c r="F175" s="189"/>
      <c r="G175" s="189" t="s">
        <v>1519</v>
      </c>
      <c r="H175" s="498"/>
    </row>
    <row r="176" spans="1:8" ht="56.25" x14ac:dyDescent="0.3">
      <c r="A176" s="228">
        <f t="shared" si="2"/>
        <v>171</v>
      </c>
      <c r="B176" s="475" t="str" cm="1">
        <f t="array" ref="B176">IADNumber&amp; " Roof"</f>
        <v>IAD35 Roof</v>
      </c>
      <c r="C176" s="475" t="str">
        <f>zSelectedEquipment &amp; " RTU 3"</f>
        <v>G104-Gen-B RTU 3</v>
      </c>
      <c r="D176" s="195" t="s">
        <v>3662</v>
      </c>
      <c r="E176" s="388" t="s">
        <v>3663</v>
      </c>
      <c r="F176" s="189"/>
      <c r="G176" s="189" t="s">
        <v>1519</v>
      </c>
      <c r="H176" s="498"/>
    </row>
    <row r="177" spans="1:8" ht="93.75" x14ac:dyDescent="0.3">
      <c r="A177" s="228">
        <f t="shared" si="2"/>
        <v>172</v>
      </c>
      <c r="B177" s="475" t="str" cm="1">
        <f t="array" ref="B177">IADNumber&amp; " Roof"</f>
        <v>IAD35 Roof</v>
      </c>
      <c r="C177" s="475" t="str">
        <f>zSelectedEquipment &amp; " RTU 3"</f>
        <v>G104-Gen-B RTU 3</v>
      </c>
      <c r="D177" s="195" t="s">
        <v>3664</v>
      </c>
      <c r="E177" s="388" t="s">
        <v>1529</v>
      </c>
      <c r="F177" s="189"/>
      <c r="G177" s="189" t="s">
        <v>1519</v>
      </c>
      <c r="H177" s="498"/>
    </row>
    <row r="178" spans="1:8" x14ac:dyDescent="0.3">
      <c r="A178" s="228">
        <f t="shared" si="2"/>
        <v>173</v>
      </c>
      <c r="B178" s="717" t="s">
        <v>3665</v>
      </c>
      <c r="C178" s="718"/>
      <c r="D178" s="718"/>
      <c r="E178" s="718"/>
      <c r="F178" s="718"/>
      <c r="G178" s="719"/>
      <c r="H178" s="498"/>
    </row>
    <row r="179" spans="1:8" ht="37.5" x14ac:dyDescent="0.3">
      <c r="A179" s="228">
        <f t="shared" si="2"/>
        <v>174</v>
      </c>
      <c r="B179" s="475" t="str" cm="1">
        <f t="array" ref="B179">IADNumber&amp; " Roof"</f>
        <v>IAD35 Roof</v>
      </c>
      <c r="C179" s="475" t="str">
        <f>zSelectedEquipment &amp; " RTU 3"</f>
        <v>G104-Gen-B RTU 3</v>
      </c>
      <c r="D179" s="195" t="s">
        <v>3666</v>
      </c>
      <c r="E179" s="388" t="s">
        <v>1529</v>
      </c>
      <c r="F179" s="193"/>
      <c r="G179" s="193" t="s">
        <v>1519</v>
      </c>
      <c r="H179" s="498"/>
    </row>
    <row r="180" spans="1:8" ht="37.5" x14ac:dyDescent="0.3">
      <c r="A180" s="228">
        <f t="shared" si="2"/>
        <v>175</v>
      </c>
      <c r="B180" s="475" t="str" cm="1">
        <f t="array" ref="B180">IADNumber&amp; " Roof"</f>
        <v>IAD35 Roof</v>
      </c>
      <c r="C180" s="475" t="str">
        <f>zSelectedEquipment &amp; " RTU 3"</f>
        <v>G104-Gen-B RTU 3</v>
      </c>
      <c r="D180" s="195" t="s">
        <v>3667</v>
      </c>
      <c r="E180" s="388" t="s">
        <v>1529</v>
      </c>
      <c r="F180" s="193"/>
      <c r="G180" s="193" t="s">
        <v>1519</v>
      </c>
      <c r="H180" s="498"/>
    </row>
    <row r="181" spans="1:8" ht="37.5" x14ac:dyDescent="0.3">
      <c r="A181" s="228">
        <f t="shared" si="2"/>
        <v>176</v>
      </c>
      <c r="B181" s="475" t="str" cm="1">
        <f t="array" ref="B181">IADNumber&amp; " Roof"</f>
        <v>IAD35 Roof</v>
      </c>
      <c r="C181" s="475" t="str">
        <f>zSelectedEquipment &amp; " RTU 3"</f>
        <v>G104-Gen-B RTU 3</v>
      </c>
      <c r="D181" s="195" t="s">
        <v>2251</v>
      </c>
      <c r="E181" s="388" t="s">
        <v>1529</v>
      </c>
      <c r="F181" s="193"/>
      <c r="G181" s="193" t="s">
        <v>1519</v>
      </c>
      <c r="H181" s="498"/>
    </row>
    <row r="182" spans="1:8" ht="56.25" x14ac:dyDescent="0.3">
      <c r="A182" s="228">
        <f t="shared" si="2"/>
        <v>177</v>
      </c>
      <c r="B182" s="475" t="str" cm="1">
        <f t="array" ref="B182">IADNumber&amp; " Roof"</f>
        <v>IAD35 Roof</v>
      </c>
      <c r="C182" s="475" t="str">
        <f>zSelectedEquipment &amp; " RTU 3"</f>
        <v>G104-Gen-B RTU 3</v>
      </c>
      <c r="D182" s="195" t="s">
        <v>3668</v>
      </c>
      <c r="E182" s="388" t="s">
        <v>1529</v>
      </c>
      <c r="F182" s="193"/>
      <c r="G182" s="193" t="s">
        <v>1519</v>
      </c>
      <c r="H182" s="498"/>
    </row>
    <row r="183" spans="1:8" x14ac:dyDescent="0.3">
      <c r="A183" s="228">
        <f t="shared" si="2"/>
        <v>178</v>
      </c>
      <c r="B183" s="717" t="s">
        <v>2253</v>
      </c>
      <c r="C183" s="718"/>
      <c r="D183" s="718"/>
      <c r="E183" s="718"/>
      <c r="F183" s="718"/>
      <c r="G183" s="719"/>
      <c r="H183" s="498"/>
    </row>
    <row r="184" spans="1:8" ht="75" x14ac:dyDescent="0.3">
      <c r="A184" s="228">
        <f t="shared" si="2"/>
        <v>179</v>
      </c>
      <c r="B184" s="475" t="str" cm="1">
        <f t="array" ref="B184">IADNumber&amp; " Roof"</f>
        <v>IAD35 Roof</v>
      </c>
      <c r="C184" s="475" t="str">
        <f>zSelectedEquipment &amp; " RTU 3"</f>
        <v>G104-Gen-B RTU 3</v>
      </c>
      <c r="D184" s="195" t="s">
        <v>3669</v>
      </c>
      <c r="E184" s="388" t="s">
        <v>1529</v>
      </c>
      <c r="F184" s="193"/>
      <c r="G184" s="193"/>
      <c r="H184" s="498"/>
    </row>
    <row r="185" spans="1:8" ht="37.5" x14ac:dyDescent="0.3">
      <c r="A185" s="228">
        <f t="shared" si="2"/>
        <v>180</v>
      </c>
      <c r="B185" s="475" t="str" cm="1">
        <f t="array" ref="B185">IADNumber&amp; " Roof"</f>
        <v>IAD35 Roof</v>
      </c>
      <c r="C185" s="475" t="str">
        <f>zSelectedEquipment &amp; " RTU 3"</f>
        <v>G104-Gen-B RTU 3</v>
      </c>
      <c r="D185" s="195" t="s">
        <v>2255</v>
      </c>
      <c r="E185" s="388" t="s">
        <v>1529</v>
      </c>
      <c r="F185" s="193"/>
      <c r="G185" s="193" t="s">
        <v>1519</v>
      </c>
      <c r="H185" s="498"/>
    </row>
    <row r="186" spans="1:8" x14ac:dyDescent="0.3">
      <c r="A186" s="228">
        <f t="shared" si="2"/>
        <v>181</v>
      </c>
      <c r="B186" s="717" t="s">
        <v>2366</v>
      </c>
      <c r="C186" s="718"/>
      <c r="D186" s="718"/>
      <c r="E186" s="718"/>
      <c r="F186" s="718"/>
      <c r="G186" s="719"/>
      <c r="H186" s="498"/>
    </row>
    <row r="187" spans="1:8" ht="37.5" x14ac:dyDescent="0.3">
      <c r="A187" s="228">
        <f t="shared" si="2"/>
        <v>182</v>
      </c>
      <c r="B187" s="475" t="str" cm="1">
        <f t="array" ref="B187">IADNumber&amp; " Roof"</f>
        <v>IAD35 Roof</v>
      </c>
      <c r="C187" s="475" t="str">
        <f>zSelectedEquipment &amp; " RTU 3"</f>
        <v>G104-Gen-B RTU 3</v>
      </c>
      <c r="D187" s="195" t="s">
        <v>2306</v>
      </c>
      <c r="E187" s="388" t="s">
        <v>1529</v>
      </c>
      <c r="F187" s="193"/>
      <c r="G187" s="193" t="s">
        <v>1519</v>
      </c>
      <c r="H187" s="498"/>
    </row>
    <row r="188" spans="1:8" ht="37.5" x14ac:dyDescent="0.3">
      <c r="A188" s="228">
        <f t="shared" si="2"/>
        <v>183</v>
      </c>
      <c r="B188" s="475" t="str" cm="1">
        <f t="array" ref="B188">IADNumber&amp; " Roof"</f>
        <v>IAD35 Roof</v>
      </c>
      <c r="C188" s="475" t="str">
        <f>zSelectedEquipment &amp; " RTU 3"</f>
        <v>G104-Gen-B RTU 3</v>
      </c>
      <c r="D188" s="195" t="s">
        <v>3670</v>
      </c>
      <c r="E188" s="388" t="s">
        <v>1529</v>
      </c>
      <c r="F188" s="193"/>
      <c r="G188" s="193" t="s">
        <v>1519</v>
      </c>
      <c r="H188" s="498"/>
    </row>
    <row r="189" spans="1:8" ht="37.5" x14ac:dyDescent="0.3">
      <c r="A189" s="228">
        <f t="shared" si="2"/>
        <v>184</v>
      </c>
      <c r="B189" s="475" t="str" cm="1">
        <f t="array" ref="B189">IADNumber&amp; " Roof"</f>
        <v>IAD35 Roof</v>
      </c>
      <c r="C189" s="475" t="str">
        <f>zSelectedEquipment &amp; " RTU 3"</f>
        <v>G104-Gen-B RTU 3</v>
      </c>
      <c r="D189" s="195" t="s">
        <v>2368</v>
      </c>
      <c r="E189" s="388" t="s">
        <v>1529</v>
      </c>
      <c r="F189" s="193"/>
      <c r="G189" s="193" t="s">
        <v>1519</v>
      </c>
      <c r="H189" s="498"/>
    </row>
    <row r="190" spans="1:8" ht="37.5" x14ac:dyDescent="0.3">
      <c r="A190" s="228">
        <f t="shared" si="2"/>
        <v>185</v>
      </c>
      <c r="B190" s="475" t="str" cm="1">
        <f t="array" ref="B190">IADNumber&amp; " Roof"</f>
        <v>IAD35 Roof</v>
      </c>
      <c r="C190" s="475" t="str">
        <f>zSelectedEquipment &amp; " RTU 3"</f>
        <v>G104-Gen-B RTU 3</v>
      </c>
      <c r="D190" s="195" t="s">
        <v>2309</v>
      </c>
      <c r="E190" s="388" t="s">
        <v>1529</v>
      </c>
      <c r="F190" s="193"/>
      <c r="G190" s="193" t="s">
        <v>1519</v>
      </c>
      <c r="H190" s="498"/>
    </row>
    <row r="191" spans="1:8" ht="37.5" x14ac:dyDescent="0.3">
      <c r="A191" s="228">
        <f t="shared" si="2"/>
        <v>186</v>
      </c>
      <c r="B191" s="475" t="str" cm="1">
        <f t="array" ref="B191">IADNumber&amp; " Roof"</f>
        <v>IAD35 Roof</v>
      </c>
      <c r="C191" s="475" t="str">
        <f>zSelectedEquipment &amp; " RTU 3"</f>
        <v>G104-Gen-B RTU 3</v>
      </c>
      <c r="D191" s="195" t="s">
        <v>2310</v>
      </c>
      <c r="E191" s="388" t="s">
        <v>1529</v>
      </c>
      <c r="F191" s="193"/>
      <c r="G191" s="193" t="s">
        <v>1519</v>
      </c>
      <c r="H191" s="498"/>
    </row>
    <row r="192" spans="1:8" ht="37.5" x14ac:dyDescent="0.3">
      <c r="A192" s="228">
        <f t="shared" si="2"/>
        <v>187</v>
      </c>
      <c r="B192" s="475" t="str" cm="1">
        <f t="array" ref="B192">IADNumber&amp; " Roof"</f>
        <v>IAD35 Roof</v>
      </c>
      <c r="C192" s="475" t="str">
        <f>zSelectedEquipment &amp; " RTU 3"</f>
        <v>G104-Gen-B RTU 3</v>
      </c>
      <c r="D192" s="195" t="s">
        <v>2311</v>
      </c>
      <c r="E192" s="388" t="s">
        <v>1529</v>
      </c>
      <c r="F192" s="193"/>
      <c r="G192" s="193" t="s">
        <v>1519</v>
      </c>
      <c r="H192" s="498"/>
    </row>
    <row r="193" spans="1:8" x14ac:dyDescent="0.3">
      <c r="A193" s="228">
        <f t="shared" si="2"/>
        <v>188</v>
      </c>
      <c r="B193" s="717" t="s">
        <v>2312</v>
      </c>
      <c r="C193" s="718"/>
      <c r="D193" s="718"/>
      <c r="E193" s="718"/>
      <c r="F193" s="718"/>
      <c r="G193" s="719"/>
      <c r="H193" s="498"/>
    </row>
    <row r="194" spans="1:8" ht="37.5" x14ac:dyDescent="0.3">
      <c r="A194" s="228">
        <f t="shared" si="2"/>
        <v>189</v>
      </c>
      <c r="B194" s="475" t="str" cm="1">
        <f t="array" ref="B194">IADNumber&amp; " Roof"</f>
        <v>IAD35 Roof</v>
      </c>
      <c r="C194" s="475" t="str">
        <f>zSelectedEquipment &amp; " RTU 3"</f>
        <v>G104-Gen-B RTU 3</v>
      </c>
      <c r="D194" s="195" t="s">
        <v>2369</v>
      </c>
      <c r="E194" s="388" t="s">
        <v>1529</v>
      </c>
      <c r="F194" s="189"/>
      <c r="G194" s="193" t="s">
        <v>1519</v>
      </c>
      <c r="H194" s="498"/>
    </row>
    <row r="195" spans="1:8" ht="37.5" x14ac:dyDescent="0.3">
      <c r="A195" s="228">
        <f t="shared" si="2"/>
        <v>190</v>
      </c>
      <c r="B195" s="475" t="str" cm="1">
        <f t="array" ref="B195">IADNumber&amp; " Roof"</f>
        <v>IAD35 Roof</v>
      </c>
      <c r="C195" s="475" t="str">
        <f>zSelectedEquipment &amp; " RTU 3"</f>
        <v>G104-Gen-B RTU 3</v>
      </c>
      <c r="D195" s="195" t="s">
        <v>3671</v>
      </c>
      <c r="E195" s="388" t="s">
        <v>1529</v>
      </c>
      <c r="F195" s="189"/>
      <c r="G195" s="193" t="s">
        <v>1519</v>
      </c>
      <c r="H195" s="498"/>
    </row>
    <row r="196" spans="1:8" ht="37.5" x14ac:dyDescent="0.3">
      <c r="A196" s="228">
        <f t="shared" si="2"/>
        <v>191</v>
      </c>
      <c r="B196" s="475" t="str" cm="1">
        <f t="array" ref="B196">IADNumber&amp; " Roof"</f>
        <v>IAD35 Roof</v>
      </c>
      <c r="C196" s="475" t="str">
        <f>zSelectedEquipment &amp; " RTU 3"</f>
        <v>G104-Gen-B RTU 3</v>
      </c>
      <c r="D196" s="195" t="s">
        <v>3672</v>
      </c>
      <c r="E196" s="388" t="s">
        <v>1529</v>
      </c>
      <c r="F196" s="189"/>
      <c r="G196" s="193" t="s">
        <v>1519</v>
      </c>
      <c r="H196" s="498"/>
    </row>
    <row r="197" spans="1:8" ht="37.5" x14ac:dyDescent="0.3">
      <c r="A197" s="228">
        <f t="shared" si="2"/>
        <v>192</v>
      </c>
      <c r="B197" s="475" t="str" cm="1">
        <f t="array" ref="B197">IADNumber&amp; " Roof"</f>
        <v>IAD35 Roof</v>
      </c>
      <c r="C197" s="475" t="str">
        <f>zSelectedEquipment &amp; " RTU 3"</f>
        <v>G104-Gen-B RTU 3</v>
      </c>
      <c r="D197" s="195" t="s">
        <v>2315</v>
      </c>
      <c r="E197" s="388" t="s">
        <v>1529</v>
      </c>
      <c r="F197" s="189"/>
      <c r="G197" s="193" t="s">
        <v>1519</v>
      </c>
      <c r="H197" s="498"/>
    </row>
    <row r="198" spans="1:8" ht="37.5" x14ac:dyDescent="0.3">
      <c r="A198" s="228">
        <f t="shared" si="2"/>
        <v>193</v>
      </c>
      <c r="B198" s="475" t="str" cm="1">
        <f t="array" ref="B198">IADNumber&amp; " Roof"</f>
        <v>IAD35 Roof</v>
      </c>
      <c r="C198" s="475" t="str">
        <f>zSelectedEquipment &amp; " RTU 3"</f>
        <v>G104-Gen-B RTU 3</v>
      </c>
      <c r="D198" s="195" t="s">
        <v>2373</v>
      </c>
      <c r="E198" s="388" t="s">
        <v>1529</v>
      </c>
      <c r="F198" s="189"/>
      <c r="G198" s="193" t="s">
        <v>1519</v>
      </c>
      <c r="H198" s="498"/>
    </row>
    <row r="199" spans="1:8" ht="37.5" x14ac:dyDescent="0.3">
      <c r="A199" s="228">
        <f t="shared" si="2"/>
        <v>194</v>
      </c>
      <c r="B199" s="475" t="str" cm="1">
        <f t="array" ref="B199">IADNumber&amp; " Roof"</f>
        <v>IAD35 Roof</v>
      </c>
      <c r="C199" s="475" t="str">
        <f>zSelectedEquipment &amp; " RTU 3"</f>
        <v>G104-Gen-B RTU 3</v>
      </c>
      <c r="D199" s="195" t="s">
        <v>3673</v>
      </c>
      <c r="E199" s="388" t="s">
        <v>1529</v>
      </c>
      <c r="F199" s="189"/>
      <c r="G199" s="193" t="s">
        <v>1519</v>
      </c>
      <c r="H199" s="498"/>
    </row>
    <row r="200" spans="1:8" ht="37.5" x14ac:dyDescent="0.3">
      <c r="A200" s="228">
        <f t="shared" ref="A200:A263" si="3">A199+1</f>
        <v>195</v>
      </c>
      <c r="B200" s="475" t="str" cm="1">
        <f t="array" ref="B200">IADNumber&amp; " Roof"</f>
        <v>IAD35 Roof</v>
      </c>
      <c r="C200" s="475" t="str">
        <f>zSelectedEquipment &amp; " RTU 3"</f>
        <v>G104-Gen-B RTU 3</v>
      </c>
      <c r="D200" s="195" t="s">
        <v>3674</v>
      </c>
      <c r="E200" s="388" t="s">
        <v>1529</v>
      </c>
      <c r="F200" s="189"/>
      <c r="G200" s="193" t="s">
        <v>1519</v>
      </c>
      <c r="H200" s="498"/>
    </row>
    <row r="201" spans="1:8" ht="37.5" x14ac:dyDescent="0.3">
      <c r="A201" s="228">
        <f t="shared" si="3"/>
        <v>196</v>
      </c>
      <c r="B201" s="475" t="str" cm="1">
        <f t="array" ref="B201">IADNumber&amp; " Roof"</f>
        <v>IAD35 Roof</v>
      </c>
      <c r="C201" s="475" t="str">
        <f>zSelectedEquipment &amp; " RTU 3"</f>
        <v>G104-Gen-B RTU 3</v>
      </c>
      <c r="D201" s="195" t="s">
        <v>3675</v>
      </c>
      <c r="E201" s="388" t="s">
        <v>1529</v>
      </c>
      <c r="F201" s="189"/>
      <c r="G201" s="193" t="s">
        <v>1519</v>
      </c>
      <c r="H201" s="498"/>
    </row>
    <row r="202" spans="1:8" ht="37.5" x14ac:dyDescent="0.3">
      <c r="A202" s="228">
        <f t="shared" si="3"/>
        <v>197</v>
      </c>
      <c r="B202" s="475" t="str" cm="1">
        <f t="array" ref="B202">IADNumber&amp; " Roof"</f>
        <v>IAD35 Roof</v>
      </c>
      <c r="C202" s="475" t="str">
        <f>zSelectedEquipment &amp; " RTU 3"</f>
        <v>G104-Gen-B RTU 3</v>
      </c>
      <c r="D202" s="195" t="s">
        <v>3676</v>
      </c>
      <c r="E202" s="388" t="s">
        <v>1529</v>
      </c>
      <c r="F202" s="189"/>
      <c r="G202" s="193" t="s">
        <v>1519</v>
      </c>
      <c r="H202" s="498"/>
    </row>
    <row r="203" spans="1:8" ht="37.5" x14ac:dyDescent="0.3">
      <c r="A203" s="228">
        <f t="shared" si="3"/>
        <v>198</v>
      </c>
      <c r="B203" s="475" t="str" cm="1">
        <f t="array" ref="B203">IADNumber&amp; " Roof"</f>
        <v>IAD35 Roof</v>
      </c>
      <c r="C203" s="475" t="str">
        <f>zSelectedEquipment &amp; " RTU 3"</f>
        <v>G104-Gen-B RTU 3</v>
      </c>
      <c r="D203" s="195" t="s">
        <v>3672</v>
      </c>
      <c r="E203" s="388" t="s">
        <v>1529</v>
      </c>
      <c r="F203" s="189"/>
      <c r="G203" s="193" t="s">
        <v>1519</v>
      </c>
      <c r="H203" s="498"/>
    </row>
    <row r="204" spans="1:8" ht="37.5" x14ac:dyDescent="0.3">
      <c r="A204" s="228">
        <f t="shared" si="3"/>
        <v>199</v>
      </c>
      <c r="B204" s="475" t="str" cm="1">
        <f t="array" ref="B204">IADNumber&amp; " Roof"</f>
        <v>IAD35 Roof</v>
      </c>
      <c r="C204" s="475" t="str">
        <f>zSelectedEquipment &amp; " RTU 3"</f>
        <v>G104-Gen-B RTU 3</v>
      </c>
      <c r="D204" s="494" t="s">
        <v>3677</v>
      </c>
      <c r="E204" s="388" t="s">
        <v>1529</v>
      </c>
      <c r="F204" s="189"/>
      <c r="G204" s="193" t="s">
        <v>1519</v>
      </c>
      <c r="H204" s="498"/>
    </row>
    <row r="205" spans="1:8" ht="75" x14ac:dyDescent="0.3">
      <c r="A205" s="228">
        <f t="shared" si="3"/>
        <v>200</v>
      </c>
      <c r="B205" s="475" t="str" cm="1">
        <f t="array" ref="B205">IADNumber&amp; " Roof"</f>
        <v>IAD35 Roof</v>
      </c>
      <c r="C205" s="475" t="str">
        <f>zSelectedEquipment &amp; " RTU 3"</f>
        <v>G104-Gen-B RTU 3</v>
      </c>
      <c r="D205" s="494" t="s">
        <v>3678</v>
      </c>
      <c r="E205" s="388" t="s">
        <v>1529</v>
      </c>
      <c r="F205" s="189"/>
      <c r="G205" s="193" t="s">
        <v>1519</v>
      </c>
      <c r="H205" s="498"/>
    </row>
    <row r="206" spans="1:8" x14ac:dyDescent="0.3">
      <c r="A206" s="228">
        <f t="shared" si="3"/>
        <v>201</v>
      </c>
      <c r="B206" s="717" t="s">
        <v>2379</v>
      </c>
      <c r="C206" s="718"/>
      <c r="D206" s="718"/>
      <c r="E206" s="718"/>
      <c r="F206" s="718"/>
      <c r="G206" s="719"/>
      <c r="H206" s="498"/>
    </row>
    <row r="207" spans="1:8" ht="37.5" x14ac:dyDescent="0.3">
      <c r="A207" s="228">
        <f t="shared" si="3"/>
        <v>202</v>
      </c>
      <c r="B207" s="475" t="str" cm="1">
        <f t="array" ref="B207">IADNumber&amp; " Roof"</f>
        <v>IAD35 Roof</v>
      </c>
      <c r="C207" s="475" t="str">
        <f>zSelectedEquipment &amp; " RTU 3"</f>
        <v>G104-Gen-B RTU 3</v>
      </c>
      <c r="D207" s="245" t="s">
        <v>2323</v>
      </c>
      <c r="E207" s="388" t="s">
        <v>1529</v>
      </c>
      <c r="F207" s="189"/>
      <c r="G207" s="189" t="s">
        <v>1519</v>
      </c>
      <c r="H207" s="498"/>
    </row>
    <row r="208" spans="1:8" ht="37.5" x14ac:dyDescent="0.3">
      <c r="A208" s="228">
        <f t="shared" si="3"/>
        <v>203</v>
      </c>
      <c r="B208" s="475" t="str" cm="1">
        <f t="array" ref="B208">IADNumber&amp; " Roof"</f>
        <v>IAD35 Roof</v>
      </c>
      <c r="C208" s="475" t="str">
        <f>zSelectedEquipment &amp; " RTU 3"</f>
        <v>G104-Gen-B RTU 3</v>
      </c>
      <c r="D208" s="245" t="s">
        <v>2324</v>
      </c>
      <c r="E208" s="388" t="s">
        <v>1529</v>
      </c>
      <c r="F208" s="189"/>
      <c r="G208" s="189" t="s">
        <v>1519</v>
      </c>
      <c r="H208" s="498"/>
    </row>
    <row r="209" spans="1:8" ht="37.5" x14ac:dyDescent="0.3">
      <c r="A209" s="228">
        <f t="shared" si="3"/>
        <v>204</v>
      </c>
      <c r="B209" s="475" t="str" cm="1">
        <f t="array" ref="B209">IADNumber&amp; " Roof"</f>
        <v>IAD35 Roof</v>
      </c>
      <c r="C209" s="475" t="str">
        <f>zSelectedEquipment &amp; " RTU 3"</f>
        <v>G104-Gen-B RTU 3</v>
      </c>
      <c r="D209" s="245" t="s">
        <v>2325</v>
      </c>
      <c r="E209" s="388" t="s">
        <v>1529</v>
      </c>
      <c r="F209" s="189"/>
      <c r="G209" s="189" t="s">
        <v>1519</v>
      </c>
      <c r="H209" s="498"/>
    </row>
    <row r="210" spans="1:8" ht="37.5" x14ac:dyDescent="0.3">
      <c r="A210" s="228">
        <f t="shared" si="3"/>
        <v>205</v>
      </c>
      <c r="B210" s="475" t="str" cm="1">
        <f t="array" ref="B210">IADNumber&amp; " Roof"</f>
        <v>IAD35 Roof</v>
      </c>
      <c r="C210" s="475" t="str">
        <f>zSelectedEquipment &amp; " RTU 3"</f>
        <v>G104-Gen-B RTU 3</v>
      </c>
      <c r="D210" s="245" t="s">
        <v>2326</v>
      </c>
      <c r="E210" s="388" t="s">
        <v>1529</v>
      </c>
      <c r="F210" s="189"/>
      <c r="G210" s="189" t="s">
        <v>1519</v>
      </c>
      <c r="H210" s="498"/>
    </row>
    <row r="211" spans="1:8" ht="37.5" x14ac:dyDescent="0.3">
      <c r="A211" s="228">
        <f t="shared" si="3"/>
        <v>206</v>
      </c>
      <c r="B211" s="475" t="str" cm="1">
        <f t="array" ref="B211">IADNumber&amp; " Roof"</f>
        <v>IAD35 Roof</v>
      </c>
      <c r="C211" s="475" t="str">
        <f>zSelectedEquipment &amp; " RTU 3"</f>
        <v>G104-Gen-B RTU 3</v>
      </c>
      <c r="D211" s="245" t="s">
        <v>2327</v>
      </c>
      <c r="E211" s="388" t="s">
        <v>1529</v>
      </c>
      <c r="F211" s="189"/>
      <c r="G211" s="189" t="s">
        <v>1519</v>
      </c>
      <c r="H211" s="498"/>
    </row>
    <row r="212" spans="1:8" ht="37.5" x14ac:dyDescent="0.3">
      <c r="A212" s="228">
        <f t="shared" si="3"/>
        <v>207</v>
      </c>
      <c r="B212" s="475" t="str" cm="1">
        <f t="array" ref="B212">IADNumber&amp; " Roof"</f>
        <v>IAD35 Roof</v>
      </c>
      <c r="C212" s="475" t="str">
        <f>zSelectedEquipment &amp; " RTU 3"</f>
        <v>G104-Gen-B RTU 3</v>
      </c>
      <c r="D212" s="245" t="s">
        <v>2328</v>
      </c>
      <c r="E212" s="388" t="s">
        <v>1529</v>
      </c>
      <c r="F212" s="189"/>
      <c r="G212" s="189" t="s">
        <v>1519</v>
      </c>
      <c r="H212" s="498"/>
    </row>
    <row r="213" spans="1:8" x14ac:dyDescent="0.3">
      <c r="A213" s="228">
        <f t="shared" si="3"/>
        <v>208</v>
      </c>
      <c r="B213" s="717" t="s">
        <v>2329</v>
      </c>
      <c r="C213" s="718"/>
      <c r="D213" s="718"/>
      <c r="E213" s="718"/>
      <c r="F213" s="718"/>
      <c r="G213" s="719"/>
      <c r="H213" s="498"/>
    </row>
    <row r="214" spans="1:8" ht="37.5" x14ac:dyDescent="0.3">
      <c r="A214" s="228">
        <f t="shared" si="3"/>
        <v>209</v>
      </c>
      <c r="B214" s="475" t="str" cm="1">
        <f t="array" ref="B214">IADNumber&amp; " Roof"</f>
        <v>IAD35 Roof</v>
      </c>
      <c r="C214" s="475" t="str">
        <f>zSelectedEquipment &amp; " RTU 3"</f>
        <v>G104-Gen-B RTU 3</v>
      </c>
      <c r="D214" s="245" t="s">
        <v>2331</v>
      </c>
      <c r="E214" s="388" t="s">
        <v>1529</v>
      </c>
      <c r="F214" s="189"/>
      <c r="G214" s="189" t="s">
        <v>1519</v>
      </c>
      <c r="H214" s="498"/>
    </row>
    <row r="215" spans="1:8" ht="37.5" x14ac:dyDescent="0.3">
      <c r="A215" s="228">
        <f t="shared" si="3"/>
        <v>210</v>
      </c>
      <c r="B215" s="475" t="str" cm="1">
        <f t="array" ref="B215">IADNumber&amp; " Roof"</f>
        <v>IAD35 Roof</v>
      </c>
      <c r="C215" s="475" t="str">
        <f>zSelectedEquipment &amp; " RTU 3"</f>
        <v>G104-Gen-B RTU 3</v>
      </c>
      <c r="D215" s="245" t="s">
        <v>2332</v>
      </c>
      <c r="E215" s="388" t="s">
        <v>1529</v>
      </c>
      <c r="F215" s="189"/>
      <c r="G215" s="189" t="s">
        <v>1519</v>
      </c>
      <c r="H215" s="498"/>
    </row>
    <row r="216" spans="1:8" ht="37.5" x14ac:dyDescent="0.3">
      <c r="A216" s="228">
        <f t="shared" si="3"/>
        <v>211</v>
      </c>
      <c r="B216" s="475" t="str" cm="1">
        <f t="array" ref="B216">IADNumber&amp; " Roof"</f>
        <v>IAD35 Roof</v>
      </c>
      <c r="C216" s="475" t="str">
        <f>zSelectedEquipment &amp; " RTU 3"</f>
        <v>G104-Gen-B RTU 3</v>
      </c>
      <c r="D216" s="245" t="s">
        <v>2333</v>
      </c>
      <c r="E216" s="388" t="s">
        <v>1529</v>
      </c>
      <c r="F216" s="189"/>
      <c r="G216" s="189" t="s">
        <v>1519</v>
      </c>
      <c r="H216" s="498"/>
    </row>
    <row r="217" spans="1:8" ht="37.5" x14ac:dyDescent="0.3">
      <c r="A217" s="228">
        <f t="shared" si="3"/>
        <v>212</v>
      </c>
      <c r="B217" s="475" t="str" cm="1">
        <f t="array" ref="B217">IADNumber&amp; " Roof"</f>
        <v>IAD35 Roof</v>
      </c>
      <c r="C217" s="475" t="str">
        <f>zSelectedEquipment &amp; " RTU 3"</f>
        <v>G104-Gen-B RTU 3</v>
      </c>
      <c r="D217" s="245" t="s">
        <v>2334</v>
      </c>
      <c r="E217" s="388" t="s">
        <v>1529</v>
      </c>
      <c r="F217" s="189"/>
      <c r="G217" s="189" t="s">
        <v>1519</v>
      </c>
      <c r="H217" s="498"/>
    </row>
    <row r="218" spans="1:8" ht="37.5" x14ac:dyDescent="0.3">
      <c r="A218" s="228">
        <f t="shared" si="3"/>
        <v>213</v>
      </c>
      <c r="B218" s="475" t="str" cm="1">
        <f t="array" ref="B218">IADNumber&amp; " Roof"</f>
        <v>IAD35 Roof</v>
      </c>
      <c r="C218" s="475" t="str">
        <f>zSelectedEquipment &amp; " RTU 3"</f>
        <v>G104-Gen-B RTU 3</v>
      </c>
      <c r="D218" s="245" t="s">
        <v>2335</v>
      </c>
      <c r="E218" s="388" t="s">
        <v>1529</v>
      </c>
      <c r="F218" s="189"/>
      <c r="G218" s="189" t="s">
        <v>1519</v>
      </c>
      <c r="H218" s="498"/>
    </row>
    <row r="219" spans="1:8" ht="37.5" x14ac:dyDescent="0.3">
      <c r="A219" s="228">
        <f t="shared" si="3"/>
        <v>214</v>
      </c>
      <c r="B219" s="475" t="str" cm="1">
        <f t="array" ref="B219">IADNumber&amp; " Roof"</f>
        <v>IAD35 Roof</v>
      </c>
      <c r="C219" s="475" t="str">
        <f>zSelectedEquipment &amp; " RTU 3"</f>
        <v>G104-Gen-B RTU 3</v>
      </c>
      <c r="D219" s="245" t="s">
        <v>2337</v>
      </c>
      <c r="E219" s="388" t="s">
        <v>1529</v>
      </c>
      <c r="F219" s="189"/>
      <c r="G219" s="189" t="s">
        <v>1519</v>
      </c>
      <c r="H219" s="498"/>
    </row>
    <row r="220" spans="1:8" x14ac:dyDescent="0.3">
      <c r="A220" s="228">
        <f t="shared" si="3"/>
        <v>215</v>
      </c>
      <c r="B220" s="717" t="s">
        <v>2383</v>
      </c>
      <c r="C220" s="718"/>
      <c r="D220" s="718"/>
      <c r="E220" s="718"/>
      <c r="F220" s="718"/>
      <c r="G220" s="719"/>
      <c r="H220" s="498"/>
    </row>
    <row r="221" spans="1:8" ht="37.5" x14ac:dyDescent="0.3">
      <c r="A221" s="228">
        <f t="shared" si="3"/>
        <v>216</v>
      </c>
      <c r="B221" s="475" t="str" cm="1">
        <f t="array" ref="B221">IADNumber&amp; " Roof"</f>
        <v>IAD35 Roof</v>
      </c>
      <c r="C221" s="475" t="str">
        <f>zSelectedEquipment &amp; " RTU 3"</f>
        <v>G104-Gen-B RTU 3</v>
      </c>
      <c r="D221" s="245" t="s">
        <v>2384</v>
      </c>
      <c r="E221" s="388" t="s">
        <v>1529</v>
      </c>
      <c r="F221" s="189"/>
      <c r="G221" s="189" t="s">
        <v>1519</v>
      </c>
      <c r="H221" s="498"/>
    </row>
    <row r="222" spans="1:8" ht="37.5" x14ac:dyDescent="0.3">
      <c r="A222" s="228">
        <f t="shared" si="3"/>
        <v>217</v>
      </c>
      <c r="B222" s="475" t="str" cm="1">
        <f t="array" ref="B222">IADNumber&amp; " Roof"</f>
        <v>IAD35 Roof</v>
      </c>
      <c r="C222" s="475" t="str">
        <f>zSelectedEquipment &amp; " RTU 3"</f>
        <v>G104-Gen-B RTU 3</v>
      </c>
      <c r="D222" s="245" t="s">
        <v>2318</v>
      </c>
      <c r="E222" s="388" t="s">
        <v>1529</v>
      </c>
      <c r="F222" s="189"/>
      <c r="G222" s="189" t="s">
        <v>1519</v>
      </c>
      <c r="H222" s="498"/>
    </row>
    <row r="223" spans="1:8" ht="37.5" x14ac:dyDescent="0.3">
      <c r="A223" s="228">
        <f t="shared" si="3"/>
        <v>218</v>
      </c>
      <c r="B223" s="475" t="str" cm="1">
        <f t="array" ref="B223">IADNumber&amp; " Roof"</f>
        <v>IAD35 Roof</v>
      </c>
      <c r="C223" s="475" t="str">
        <f>zSelectedEquipment &amp; " RTU 3"</f>
        <v>G104-Gen-B RTU 3</v>
      </c>
      <c r="D223" s="245" t="s">
        <v>2385</v>
      </c>
      <c r="E223" s="388" t="s">
        <v>1529</v>
      </c>
      <c r="F223" s="189"/>
      <c r="G223" s="189" t="s">
        <v>1519</v>
      </c>
      <c r="H223" s="498"/>
    </row>
    <row r="224" spans="1:8" ht="37.5" x14ac:dyDescent="0.3">
      <c r="A224" s="228">
        <f t="shared" si="3"/>
        <v>219</v>
      </c>
      <c r="B224" s="475" t="str" cm="1">
        <f t="array" ref="B224">IADNumber&amp; " Roof"</f>
        <v>IAD35 Roof</v>
      </c>
      <c r="C224" s="475" t="str">
        <f>zSelectedEquipment &amp; " RTU 3"</f>
        <v>G104-Gen-B RTU 3</v>
      </c>
      <c r="D224" s="245" t="s">
        <v>2320</v>
      </c>
      <c r="E224" s="388" t="s">
        <v>1529</v>
      </c>
      <c r="F224" s="189"/>
      <c r="G224" s="189" t="s">
        <v>1519</v>
      </c>
      <c r="H224" s="498"/>
    </row>
    <row r="225" spans="1:8" ht="37.5" x14ac:dyDescent="0.3">
      <c r="A225" s="228">
        <f t="shared" si="3"/>
        <v>220</v>
      </c>
      <c r="B225" s="475" t="str" cm="1">
        <f t="array" ref="B225">IADNumber&amp; " Roof"</f>
        <v>IAD35 Roof</v>
      </c>
      <c r="C225" s="475" t="str">
        <f>zSelectedEquipment &amp; " RTU 3"</f>
        <v>G104-Gen-B RTU 3</v>
      </c>
      <c r="D225" s="245" t="s">
        <v>2386</v>
      </c>
      <c r="E225" s="388" t="s">
        <v>1529</v>
      </c>
      <c r="F225" s="189"/>
      <c r="G225" s="189" t="s">
        <v>1519</v>
      </c>
      <c r="H225" s="498"/>
    </row>
    <row r="226" spans="1:8" ht="37.5" x14ac:dyDescent="0.3">
      <c r="A226" s="228">
        <f t="shared" si="3"/>
        <v>221</v>
      </c>
      <c r="B226" s="475" t="str" cm="1">
        <f t="array" ref="B226">IADNumber&amp; " Roof"</f>
        <v>IAD35 Roof</v>
      </c>
      <c r="C226" s="475" t="str">
        <f>zSelectedEquipment &amp; " RTU 3"</f>
        <v>G104-Gen-B RTU 3</v>
      </c>
      <c r="D226" s="245" t="s">
        <v>2387</v>
      </c>
      <c r="E226" s="388" t="s">
        <v>1529</v>
      </c>
      <c r="F226" s="189"/>
      <c r="G226" s="189" t="s">
        <v>1519</v>
      </c>
      <c r="H226" s="498"/>
    </row>
    <row r="227" spans="1:8" ht="37.5" x14ac:dyDescent="0.3">
      <c r="A227" s="228">
        <f t="shared" si="3"/>
        <v>222</v>
      </c>
      <c r="B227" s="475" t="str" cm="1">
        <f t="array" ref="B227">IADNumber&amp; " Roof"</f>
        <v>IAD35 Roof</v>
      </c>
      <c r="C227" s="475" t="str">
        <f>zSelectedEquipment &amp; " RTU 3"</f>
        <v>G104-Gen-B RTU 3</v>
      </c>
      <c r="D227" s="245" t="s">
        <v>3679</v>
      </c>
      <c r="E227" s="388" t="s">
        <v>1529</v>
      </c>
      <c r="F227" s="189"/>
      <c r="G227" s="189" t="s">
        <v>1519</v>
      </c>
      <c r="H227" s="498"/>
    </row>
    <row r="228" spans="1:8" ht="37.5" x14ac:dyDescent="0.3">
      <c r="A228" s="228">
        <f t="shared" si="3"/>
        <v>223</v>
      </c>
      <c r="B228" s="475" t="str" cm="1">
        <f t="array" ref="B228">IADNumber&amp; " Roof"</f>
        <v>IAD35 Roof</v>
      </c>
      <c r="C228" s="475" t="str">
        <f>zSelectedEquipment &amp; " RTU 3"</f>
        <v>G104-Gen-B RTU 3</v>
      </c>
      <c r="D228" s="245" t="s">
        <v>3680</v>
      </c>
      <c r="E228" s="388" t="s">
        <v>1529</v>
      </c>
      <c r="F228" s="189"/>
      <c r="G228" s="189" t="s">
        <v>1519</v>
      </c>
      <c r="H228" s="498"/>
    </row>
    <row r="229" spans="1:8" x14ac:dyDescent="0.3">
      <c r="A229" s="228">
        <f t="shared" si="3"/>
        <v>224</v>
      </c>
      <c r="B229" s="716" t="s">
        <v>3681</v>
      </c>
      <c r="C229" s="716"/>
      <c r="D229" s="716"/>
      <c r="E229" s="716"/>
      <c r="F229" s="716"/>
      <c r="G229" s="716"/>
      <c r="H229" s="498"/>
    </row>
    <row r="230" spans="1:8" ht="37.5" x14ac:dyDescent="0.3">
      <c r="A230" s="228">
        <f t="shared" si="3"/>
        <v>225</v>
      </c>
      <c r="B230" s="475" t="str" cm="1">
        <f t="array" ref="B230">IADNumber&amp; " Roof"</f>
        <v>IAD35 Roof</v>
      </c>
      <c r="C230" s="475" t="str">
        <f>zSelectedEquipment &amp; " RTU 3"</f>
        <v>G104-Gen-B RTU 3</v>
      </c>
      <c r="D230" s="195" t="s">
        <v>2274</v>
      </c>
      <c r="E230" s="388" t="s">
        <v>1529</v>
      </c>
      <c r="F230" s="198"/>
      <c r="G230" s="193" t="s">
        <v>1519</v>
      </c>
      <c r="H230" s="498"/>
    </row>
    <row r="231" spans="1:8" ht="37.5" x14ac:dyDescent="0.3">
      <c r="A231" s="228">
        <f t="shared" si="3"/>
        <v>226</v>
      </c>
      <c r="B231" s="475" t="str" cm="1">
        <f t="array" ref="B231">IADNumber&amp; " Roof"</f>
        <v>IAD35 Roof</v>
      </c>
      <c r="C231" s="475" t="str">
        <f>zSelectedEquipment &amp; " RTU 3"</f>
        <v>G104-Gen-B RTU 3</v>
      </c>
      <c r="D231" s="195" t="s">
        <v>2275</v>
      </c>
      <c r="E231" s="388" t="s">
        <v>1529</v>
      </c>
      <c r="F231" s="198"/>
      <c r="G231" s="193" t="s">
        <v>1519</v>
      </c>
      <c r="H231" s="498"/>
    </row>
    <row r="232" spans="1:8" ht="37.5" x14ac:dyDescent="0.3">
      <c r="A232" s="228">
        <f t="shared" si="3"/>
        <v>227</v>
      </c>
      <c r="B232" s="475" t="str" cm="1">
        <f t="array" ref="B232">IADNumber&amp; " Roof"</f>
        <v>IAD35 Roof</v>
      </c>
      <c r="C232" s="475" t="str">
        <f>zSelectedEquipment &amp; " RTU 3"</f>
        <v>G104-Gen-B RTU 3</v>
      </c>
      <c r="D232" s="195" t="s">
        <v>3682</v>
      </c>
      <c r="E232" s="388" t="s">
        <v>1529</v>
      </c>
      <c r="F232" s="198"/>
      <c r="G232" s="193" t="s">
        <v>1519</v>
      </c>
      <c r="H232" s="498"/>
    </row>
    <row r="233" spans="1:8" ht="56.25" x14ac:dyDescent="0.3">
      <c r="A233" s="228">
        <f t="shared" si="3"/>
        <v>228</v>
      </c>
      <c r="B233" s="475" t="str" cm="1">
        <f t="array" ref="B233">IADNumber&amp; " Roof"</f>
        <v>IAD35 Roof</v>
      </c>
      <c r="C233" s="475" t="str">
        <f>zSelectedEquipment &amp; " RTU 3"</f>
        <v>G104-Gen-B RTU 3</v>
      </c>
      <c r="D233" s="195" t="s">
        <v>3683</v>
      </c>
      <c r="E233" s="388" t="s">
        <v>1529</v>
      </c>
      <c r="F233" s="198"/>
      <c r="G233" s="193" t="s">
        <v>1519</v>
      </c>
      <c r="H233" s="498"/>
    </row>
    <row r="234" spans="1:8" ht="37.5" x14ac:dyDescent="0.3">
      <c r="A234" s="228">
        <f t="shared" si="3"/>
        <v>229</v>
      </c>
      <c r="B234" s="475" t="str" cm="1">
        <f t="array" ref="B234">IADNumber&amp; " Roof"</f>
        <v>IAD35 Roof</v>
      </c>
      <c r="C234" s="475" t="str">
        <f>zSelectedEquipment &amp; " RTU 3"</f>
        <v>G104-Gen-B RTU 3</v>
      </c>
      <c r="D234" s="195" t="s">
        <v>3661</v>
      </c>
      <c r="E234" s="388" t="s">
        <v>1529</v>
      </c>
      <c r="F234" s="198"/>
      <c r="G234" s="193" t="s">
        <v>1519</v>
      </c>
      <c r="H234" s="498"/>
    </row>
    <row r="235" spans="1:8" ht="37.5" x14ac:dyDescent="0.3">
      <c r="A235" s="228">
        <f t="shared" si="3"/>
        <v>230</v>
      </c>
      <c r="B235" s="475" t="str" cm="1">
        <f t="array" ref="B235">IADNumber&amp; " Roof"</f>
        <v>IAD35 Roof</v>
      </c>
      <c r="C235" s="475" t="str">
        <f>zSelectedEquipment &amp; " RTU 3"</f>
        <v>G104-Gen-B RTU 3</v>
      </c>
      <c r="D235" s="195" t="s">
        <v>3684</v>
      </c>
      <c r="E235" s="388" t="s">
        <v>1529</v>
      </c>
      <c r="F235" s="198"/>
      <c r="G235" s="193" t="s">
        <v>1519</v>
      </c>
      <c r="H235" s="498"/>
    </row>
    <row r="236" spans="1:8" ht="37.5" x14ac:dyDescent="0.3">
      <c r="A236" s="228">
        <f t="shared" si="3"/>
        <v>231</v>
      </c>
      <c r="B236" s="475" t="str" cm="1">
        <f t="array" ref="B236">IADNumber&amp; " Roof"</f>
        <v>IAD35 Roof</v>
      </c>
      <c r="C236" s="475" t="str">
        <f>zSelectedEquipment &amp; " RTU 3"</f>
        <v>G104-Gen-B RTU 3</v>
      </c>
      <c r="D236" s="195" t="s">
        <v>2277</v>
      </c>
      <c r="E236" s="388" t="s">
        <v>1529</v>
      </c>
      <c r="F236" s="198"/>
      <c r="G236" s="193" t="s">
        <v>1519</v>
      </c>
      <c r="H236" s="498"/>
    </row>
    <row r="237" spans="1:8" ht="37.5" x14ac:dyDescent="0.3">
      <c r="A237" s="228">
        <f t="shared" si="3"/>
        <v>232</v>
      </c>
      <c r="B237" s="475" t="str" cm="1">
        <f t="array" ref="B237">IADNumber&amp; " Roof"</f>
        <v>IAD35 Roof</v>
      </c>
      <c r="C237" s="475" t="str">
        <f>zSelectedEquipment &amp; " RTU 3"</f>
        <v>G104-Gen-B RTU 3</v>
      </c>
      <c r="D237" s="195" t="s">
        <v>2340</v>
      </c>
      <c r="E237" s="388" t="s">
        <v>1529</v>
      </c>
      <c r="F237" s="198"/>
      <c r="G237" s="193" t="s">
        <v>1519</v>
      </c>
      <c r="H237" s="498"/>
    </row>
    <row r="238" spans="1:8" ht="37.5" x14ac:dyDescent="0.3">
      <c r="A238" s="228">
        <f t="shared" si="3"/>
        <v>233</v>
      </c>
      <c r="B238" s="475" t="str" cm="1">
        <f t="array" ref="B238">IADNumber&amp; " Roof"</f>
        <v>IAD35 Roof</v>
      </c>
      <c r="C238" s="475" t="str">
        <f>zSelectedEquipment &amp; " RTU 3"</f>
        <v>G104-Gen-B RTU 3</v>
      </c>
      <c r="D238" s="195" t="s">
        <v>3685</v>
      </c>
      <c r="E238" s="388" t="s">
        <v>1529</v>
      </c>
      <c r="F238" s="198"/>
      <c r="G238" s="193" t="s">
        <v>1519</v>
      </c>
      <c r="H238" s="498"/>
    </row>
    <row r="239" spans="1:8" ht="37.5" x14ac:dyDescent="0.3">
      <c r="A239" s="228">
        <f t="shared" si="3"/>
        <v>234</v>
      </c>
      <c r="B239" s="475" t="str" cm="1">
        <f t="array" ref="B239">IADNumber&amp; " Roof"</f>
        <v>IAD35 Roof</v>
      </c>
      <c r="C239" s="475" t="str">
        <f>zSelectedEquipment &amp; " RTU 3"</f>
        <v>G104-Gen-B RTU 3</v>
      </c>
      <c r="D239" s="195" t="s">
        <v>3686</v>
      </c>
      <c r="E239" s="388" t="s">
        <v>1529</v>
      </c>
      <c r="F239" s="198"/>
      <c r="G239" s="193" t="s">
        <v>1519</v>
      </c>
      <c r="H239" s="498"/>
    </row>
    <row r="240" spans="1:8" ht="37.5" x14ac:dyDescent="0.3">
      <c r="A240" s="228">
        <f t="shared" si="3"/>
        <v>235</v>
      </c>
      <c r="B240" s="475" t="str" cm="1">
        <f t="array" ref="B240">IADNumber&amp; " Roof"</f>
        <v>IAD35 Roof</v>
      </c>
      <c r="C240" s="475" t="str">
        <f>zSelectedEquipment &amp; " RTU 3"</f>
        <v>G104-Gen-B RTU 3</v>
      </c>
      <c r="D240" s="195" t="s">
        <v>3687</v>
      </c>
      <c r="E240" s="388" t="s">
        <v>1529</v>
      </c>
      <c r="F240" s="198"/>
      <c r="G240" s="193" t="s">
        <v>1519</v>
      </c>
      <c r="H240" s="498"/>
    </row>
    <row r="241" spans="1:8" ht="37.5" x14ac:dyDescent="0.3">
      <c r="A241" s="228">
        <f t="shared" si="3"/>
        <v>236</v>
      </c>
      <c r="B241" s="475" t="str" cm="1">
        <f t="array" ref="B241">IADNumber&amp; " Roof"</f>
        <v>IAD35 Roof</v>
      </c>
      <c r="C241" s="475" t="str">
        <f>zSelectedEquipment &amp; " RTU 3"</f>
        <v>G104-Gen-B RTU 3</v>
      </c>
      <c r="D241" s="195" t="s">
        <v>3688</v>
      </c>
      <c r="E241" s="388" t="s">
        <v>1529</v>
      </c>
      <c r="F241" s="198"/>
      <c r="G241" s="193" t="s">
        <v>1519</v>
      </c>
      <c r="H241" s="498"/>
    </row>
    <row r="242" spans="1:8" ht="37.5" x14ac:dyDescent="0.3">
      <c r="A242" s="228">
        <f t="shared" si="3"/>
        <v>237</v>
      </c>
      <c r="B242" s="475" t="str" cm="1">
        <f t="array" ref="B242">IADNumber&amp; " Roof"</f>
        <v>IAD35 Roof</v>
      </c>
      <c r="C242" s="475" t="str">
        <f>zSelectedEquipment &amp; " RTU 3"</f>
        <v>G104-Gen-B RTU 3</v>
      </c>
      <c r="D242" s="195" t="s">
        <v>2392</v>
      </c>
      <c r="E242" s="388" t="s">
        <v>1529</v>
      </c>
      <c r="F242" s="198"/>
      <c r="G242" s="193" t="s">
        <v>1519</v>
      </c>
      <c r="H242" s="498"/>
    </row>
    <row r="243" spans="1:8" ht="56.25" x14ac:dyDescent="0.3">
      <c r="A243" s="228">
        <f t="shared" si="3"/>
        <v>238</v>
      </c>
      <c r="B243" s="475" t="str" cm="1">
        <f t="array" ref="B243">IADNumber&amp; " Roof"</f>
        <v>IAD35 Roof</v>
      </c>
      <c r="C243" s="475" t="str">
        <f>zSelectedEquipment &amp; " RTU 3"</f>
        <v>G104-Gen-B RTU 3</v>
      </c>
      <c r="D243" s="494" t="s">
        <v>3689</v>
      </c>
      <c r="E243" s="388" t="s">
        <v>1529</v>
      </c>
      <c r="F243" s="198"/>
      <c r="G243" s="193" t="s">
        <v>1519</v>
      </c>
      <c r="H243" s="498"/>
    </row>
    <row r="244" spans="1:8" ht="37.5" x14ac:dyDescent="0.3">
      <c r="A244" s="228">
        <f t="shared" si="3"/>
        <v>239</v>
      </c>
      <c r="B244" s="475" t="str" cm="1">
        <f t="array" ref="B244">IADNumber&amp; " Roof"</f>
        <v>IAD35 Roof</v>
      </c>
      <c r="C244" s="475" t="str">
        <f>zSelectedEquipment &amp; " RTU 3"</f>
        <v>G104-Gen-B RTU 3</v>
      </c>
      <c r="D244" s="195" t="s">
        <v>2282</v>
      </c>
      <c r="E244" s="388" t="s">
        <v>1529</v>
      </c>
      <c r="F244" s="198"/>
      <c r="G244" s="193" t="s">
        <v>1519</v>
      </c>
      <c r="H244" s="498"/>
    </row>
    <row r="245" spans="1:8" ht="37.5" x14ac:dyDescent="0.3">
      <c r="A245" s="228">
        <f t="shared" si="3"/>
        <v>240</v>
      </c>
      <c r="B245" s="475" t="str" cm="1">
        <f t="array" ref="B245">IADNumber&amp; " Roof"</f>
        <v>IAD35 Roof</v>
      </c>
      <c r="C245" s="475" t="str">
        <f>zSelectedEquipment &amp; " RTU 3"</f>
        <v>G104-Gen-B RTU 3</v>
      </c>
      <c r="D245" s="195" t="s">
        <v>3690</v>
      </c>
      <c r="E245" s="388" t="s">
        <v>1529</v>
      </c>
      <c r="F245" s="198"/>
      <c r="G245" s="193" t="s">
        <v>1519</v>
      </c>
      <c r="H245" s="498"/>
    </row>
    <row r="246" spans="1:8" ht="37.5" x14ac:dyDescent="0.3">
      <c r="A246" s="228">
        <f t="shared" si="3"/>
        <v>241</v>
      </c>
      <c r="B246" s="475" t="s">
        <v>1462</v>
      </c>
      <c r="C246" s="388" t="s">
        <v>84</v>
      </c>
      <c r="D246" s="195" t="s">
        <v>2283</v>
      </c>
      <c r="E246" s="388" t="s">
        <v>1529</v>
      </c>
      <c r="F246" s="495"/>
      <c r="G246" s="193" t="s">
        <v>1519</v>
      </c>
      <c r="H246" s="498"/>
    </row>
    <row r="247" spans="1:8" ht="37.5" x14ac:dyDescent="0.3">
      <c r="A247" s="228">
        <f t="shared" si="3"/>
        <v>242</v>
      </c>
      <c r="B247" s="475" t="str" cm="1">
        <f t="array" ref="B247">IADNumber&amp; " Roof"</f>
        <v>IAD35 Roof</v>
      </c>
      <c r="C247" s="475" t="str">
        <f>zSelectedEquipment &amp; " RTU 3"</f>
        <v>G104-Gen-B RTU 3</v>
      </c>
      <c r="D247" s="195" t="s">
        <v>2284</v>
      </c>
      <c r="E247" s="388" t="s">
        <v>1529</v>
      </c>
      <c r="F247" s="495"/>
      <c r="G247" s="193" t="s">
        <v>1519</v>
      </c>
      <c r="H247" s="498"/>
    </row>
    <row r="248" spans="1:8" ht="18" customHeight="1" x14ac:dyDescent="0.3">
      <c r="A248" s="228">
        <f t="shared" si="3"/>
        <v>243</v>
      </c>
      <c r="B248" s="753" t="str">
        <f>"Perform Quarterly PM on " &amp; C250</f>
        <v>Perform Quarterly PM on G104-Gen-B RTU 4</v>
      </c>
      <c r="C248" s="754"/>
      <c r="D248" s="754"/>
      <c r="E248" s="754"/>
      <c r="F248" s="754"/>
      <c r="G248" s="755"/>
      <c r="H248" s="498"/>
    </row>
    <row r="249" spans="1:8" ht="37.5" x14ac:dyDescent="0.3">
      <c r="A249" s="228">
        <f t="shared" si="3"/>
        <v>244</v>
      </c>
      <c r="B249" s="388" t="s">
        <v>1462</v>
      </c>
      <c r="C249" s="388" t="s">
        <v>84</v>
      </c>
      <c r="D249" s="493" t="s">
        <v>3655</v>
      </c>
      <c r="E249" s="388" t="s">
        <v>3654</v>
      </c>
      <c r="F249" s="189"/>
      <c r="G249" s="189"/>
      <c r="H249" s="498"/>
    </row>
    <row r="250" spans="1:8" ht="37.5" x14ac:dyDescent="0.3">
      <c r="A250" s="228">
        <f t="shared" si="3"/>
        <v>245</v>
      </c>
      <c r="B250" s="475" t="str" cm="1">
        <f t="array" ref="B250">IADNumber&amp; " Roof"</f>
        <v>IAD35 Roof</v>
      </c>
      <c r="C250" s="475" t="str">
        <f>zSelectedEquipment &amp; " RTU 4"</f>
        <v>G104-Gen-B RTU 4</v>
      </c>
      <c r="D250" s="191" t="s">
        <v>3656</v>
      </c>
      <c r="E250" s="388" t="s">
        <v>1529</v>
      </c>
      <c r="F250" s="189"/>
      <c r="G250" s="189" t="s">
        <v>1519</v>
      </c>
      <c r="H250" s="498"/>
    </row>
    <row r="251" spans="1:8" ht="37.5" x14ac:dyDescent="0.3">
      <c r="A251" s="228">
        <f t="shared" si="3"/>
        <v>246</v>
      </c>
      <c r="B251" s="475" t="str" cm="1">
        <f t="array" ref="B251">IADNumber&amp; " Roof"</f>
        <v>IAD35 Roof</v>
      </c>
      <c r="C251" s="475" t="str">
        <f>zSelectedEquipment &amp; " RTU 4"</f>
        <v>G104-Gen-B RTU 4</v>
      </c>
      <c r="D251" s="190" t="s">
        <v>3657</v>
      </c>
      <c r="E251" s="388" t="s">
        <v>1529</v>
      </c>
      <c r="F251" s="189"/>
      <c r="G251" s="189" t="s">
        <v>1519</v>
      </c>
      <c r="H251" s="498"/>
    </row>
    <row r="252" spans="1:8" ht="37.5" x14ac:dyDescent="0.3">
      <c r="A252" s="228">
        <f t="shared" si="3"/>
        <v>247</v>
      </c>
      <c r="B252" s="475" t="str" cm="1">
        <f t="array" ref="B252">IADNumber&amp; " Roof"</f>
        <v>IAD35 Roof</v>
      </c>
      <c r="C252" s="475" t="str">
        <f>zSelectedEquipment &amp; " RTU 4"</f>
        <v>G104-Gen-B RTU 4</v>
      </c>
      <c r="D252" s="190" t="s">
        <v>3658</v>
      </c>
      <c r="E252" s="388" t="s">
        <v>1529</v>
      </c>
      <c r="F252" s="189"/>
      <c r="G252" s="189" t="s">
        <v>1519</v>
      </c>
      <c r="H252" s="498"/>
    </row>
    <row r="253" spans="1:8" ht="37.5" x14ac:dyDescent="0.3">
      <c r="A253" s="228">
        <f t="shared" si="3"/>
        <v>248</v>
      </c>
      <c r="B253" s="475" t="str" cm="1">
        <f t="array" ref="B253">IADNumber&amp; " Roof"</f>
        <v>IAD35 Roof</v>
      </c>
      <c r="C253" s="475" t="str">
        <f>zSelectedEquipment &amp; " RTU 4"</f>
        <v>G104-Gen-B RTU 4</v>
      </c>
      <c r="D253" s="190" t="s">
        <v>3659</v>
      </c>
      <c r="E253" s="388" t="s">
        <v>3654</v>
      </c>
      <c r="F253" s="189"/>
      <c r="G253" s="189" t="s">
        <v>1519</v>
      </c>
      <c r="H253" s="498"/>
    </row>
    <row r="254" spans="1:8" ht="37.5" x14ac:dyDescent="0.3">
      <c r="A254" s="228">
        <f t="shared" si="3"/>
        <v>249</v>
      </c>
      <c r="B254" s="475" t="str" cm="1">
        <f t="array" ref="B254">IADNumber&amp; " Roof"</f>
        <v>IAD35 Roof</v>
      </c>
      <c r="C254" s="475" t="str">
        <f>zSelectedEquipment &amp; " RTU 4"</f>
        <v>G104-Gen-B RTU 4</v>
      </c>
      <c r="D254" s="195" t="s">
        <v>3660</v>
      </c>
      <c r="E254" s="388" t="s">
        <v>3654</v>
      </c>
      <c r="F254" s="189"/>
      <c r="G254" s="189" t="s">
        <v>1519</v>
      </c>
      <c r="H254" s="498"/>
    </row>
    <row r="255" spans="1:8" ht="37.5" x14ac:dyDescent="0.3">
      <c r="A255" s="228">
        <f t="shared" si="3"/>
        <v>250</v>
      </c>
      <c r="B255" s="475" t="str" cm="1">
        <f t="array" ref="B255">IADNumber&amp; " Roof"</f>
        <v>IAD35 Roof</v>
      </c>
      <c r="C255" s="475" t="str">
        <f>zSelectedEquipment &amp; " RTU 4"</f>
        <v>G104-Gen-B RTU 4</v>
      </c>
      <c r="D255" s="195" t="s">
        <v>3661</v>
      </c>
      <c r="E255" s="388" t="s">
        <v>3654</v>
      </c>
      <c r="F255" s="189"/>
      <c r="G255" s="189" t="s">
        <v>1519</v>
      </c>
      <c r="H255" s="498"/>
    </row>
    <row r="256" spans="1:8" ht="56.25" x14ac:dyDescent="0.3">
      <c r="A256" s="228">
        <f t="shared" si="3"/>
        <v>251</v>
      </c>
      <c r="B256" s="475" t="str" cm="1">
        <f t="array" ref="B256">IADNumber&amp; " Roof"</f>
        <v>IAD35 Roof</v>
      </c>
      <c r="C256" s="475" t="str">
        <f>zSelectedEquipment &amp; " RTU 4"</f>
        <v>G104-Gen-B RTU 4</v>
      </c>
      <c r="D256" s="195" t="s">
        <v>3662</v>
      </c>
      <c r="E256" s="388" t="s">
        <v>3663</v>
      </c>
      <c r="F256" s="189"/>
      <c r="G256" s="189" t="s">
        <v>1519</v>
      </c>
      <c r="H256" s="498"/>
    </row>
    <row r="257" spans="1:8" ht="93.75" x14ac:dyDescent="0.3">
      <c r="A257" s="228">
        <f t="shared" si="3"/>
        <v>252</v>
      </c>
      <c r="B257" s="475" t="str" cm="1">
        <f t="array" ref="B257">IADNumber&amp; " Roof"</f>
        <v>IAD35 Roof</v>
      </c>
      <c r="C257" s="475" t="str">
        <f>zSelectedEquipment &amp; " RTU 4"</f>
        <v>G104-Gen-B RTU 4</v>
      </c>
      <c r="D257" s="195" t="s">
        <v>3664</v>
      </c>
      <c r="E257" s="388" t="s">
        <v>1529</v>
      </c>
      <c r="F257" s="189"/>
      <c r="G257" s="189" t="s">
        <v>1519</v>
      </c>
      <c r="H257" s="498"/>
    </row>
    <row r="258" spans="1:8" x14ac:dyDescent="0.3">
      <c r="A258" s="228">
        <f t="shared" si="3"/>
        <v>253</v>
      </c>
      <c r="B258" s="717" t="s">
        <v>3665</v>
      </c>
      <c r="C258" s="718"/>
      <c r="D258" s="718"/>
      <c r="E258" s="718"/>
      <c r="F258" s="718"/>
      <c r="G258" s="719"/>
      <c r="H258" s="498"/>
    </row>
    <row r="259" spans="1:8" ht="37.5" x14ac:dyDescent="0.3">
      <c r="A259" s="228">
        <f t="shared" si="3"/>
        <v>254</v>
      </c>
      <c r="B259" s="475" t="str" cm="1">
        <f t="array" ref="B259">IADNumber&amp; " Roof"</f>
        <v>IAD35 Roof</v>
      </c>
      <c r="C259" s="475" t="str">
        <f>zSelectedEquipment &amp; " RTU 4"</f>
        <v>G104-Gen-B RTU 4</v>
      </c>
      <c r="D259" s="195" t="s">
        <v>3666</v>
      </c>
      <c r="E259" s="388" t="s">
        <v>1529</v>
      </c>
      <c r="F259" s="193"/>
      <c r="G259" s="193" t="s">
        <v>1519</v>
      </c>
      <c r="H259" s="498"/>
    </row>
    <row r="260" spans="1:8" ht="37.5" x14ac:dyDescent="0.3">
      <c r="A260" s="228">
        <f t="shared" si="3"/>
        <v>255</v>
      </c>
      <c r="B260" s="475" t="str" cm="1">
        <f t="array" ref="B260">IADNumber&amp; " Roof"</f>
        <v>IAD35 Roof</v>
      </c>
      <c r="C260" s="475" t="str">
        <f>zSelectedEquipment &amp; " RTU 4"</f>
        <v>G104-Gen-B RTU 4</v>
      </c>
      <c r="D260" s="195" t="s">
        <v>3667</v>
      </c>
      <c r="E260" s="388" t="s">
        <v>1529</v>
      </c>
      <c r="F260" s="193"/>
      <c r="G260" s="193" t="s">
        <v>1519</v>
      </c>
      <c r="H260" s="498"/>
    </row>
    <row r="261" spans="1:8" ht="37.5" x14ac:dyDescent="0.3">
      <c r="A261" s="228">
        <f t="shared" si="3"/>
        <v>256</v>
      </c>
      <c r="B261" s="475" t="str" cm="1">
        <f t="array" ref="B261">IADNumber&amp; " Roof"</f>
        <v>IAD35 Roof</v>
      </c>
      <c r="C261" s="475" t="str">
        <f>zSelectedEquipment &amp; " RTU 4"</f>
        <v>G104-Gen-B RTU 4</v>
      </c>
      <c r="D261" s="195" t="s">
        <v>2251</v>
      </c>
      <c r="E261" s="388" t="s">
        <v>1529</v>
      </c>
      <c r="F261" s="193"/>
      <c r="G261" s="193" t="s">
        <v>1519</v>
      </c>
      <c r="H261" s="498"/>
    </row>
    <row r="262" spans="1:8" ht="56.25" x14ac:dyDescent="0.3">
      <c r="A262" s="228">
        <f t="shared" si="3"/>
        <v>257</v>
      </c>
      <c r="B262" s="475" t="str" cm="1">
        <f t="array" ref="B262">IADNumber&amp; " Roof"</f>
        <v>IAD35 Roof</v>
      </c>
      <c r="C262" s="475" t="str">
        <f>zSelectedEquipment &amp; " RTU 4"</f>
        <v>G104-Gen-B RTU 4</v>
      </c>
      <c r="D262" s="195" t="s">
        <v>3668</v>
      </c>
      <c r="E262" s="388" t="s">
        <v>1529</v>
      </c>
      <c r="F262" s="193"/>
      <c r="G262" s="193" t="s">
        <v>1519</v>
      </c>
      <c r="H262" s="498"/>
    </row>
    <row r="263" spans="1:8" x14ac:dyDescent="0.3">
      <c r="A263" s="228">
        <f t="shared" si="3"/>
        <v>258</v>
      </c>
      <c r="B263" s="717" t="s">
        <v>2253</v>
      </c>
      <c r="C263" s="718"/>
      <c r="D263" s="718"/>
      <c r="E263" s="718"/>
      <c r="F263" s="718"/>
      <c r="G263" s="719"/>
      <c r="H263" s="498"/>
    </row>
    <row r="264" spans="1:8" ht="75" x14ac:dyDescent="0.3">
      <c r="A264" s="228">
        <f t="shared" ref="A264:A327" si="4">A263+1</f>
        <v>259</v>
      </c>
      <c r="B264" s="475" t="str" cm="1">
        <f t="array" ref="B264">IADNumber&amp; " Roof"</f>
        <v>IAD35 Roof</v>
      </c>
      <c r="C264" s="475" t="str">
        <f>zSelectedEquipment &amp; " RTU 4"</f>
        <v>G104-Gen-B RTU 4</v>
      </c>
      <c r="D264" s="195" t="s">
        <v>3669</v>
      </c>
      <c r="E264" s="388" t="s">
        <v>1529</v>
      </c>
      <c r="F264" s="193"/>
      <c r="G264" s="193"/>
      <c r="H264" s="498"/>
    </row>
    <row r="265" spans="1:8" ht="37.5" x14ac:dyDescent="0.3">
      <c r="A265" s="228">
        <f t="shared" si="4"/>
        <v>260</v>
      </c>
      <c r="B265" s="475" t="str" cm="1">
        <f t="array" ref="B265">IADNumber&amp; " Roof"</f>
        <v>IAD35 Roof</v>
      </c>
      <c r="C265" s="475" t="str">
        <f>zSelectedEquipment &amp; " RTU 4"</f>
        <v>G104-Gen-B RTU 4</v>
      </c>
      <c r="D265" s="195" t="s">
        <v>2255</v>
      </c>
      <c r="E265" s="388" t="s">
        <v>1529</v>
      </c>
      <c r="F265" s="193"/>
      <c r="G265" s="193" t="s">
        <v>1519</v>
      </c>
      <c r="H265" s="498"/>
    </row>
    <row r="266" spans="1:8" x14ac:dyDescent="0.3">
      <c r="A266" s="228">
        <f t="shared" si="4"/>
        <v>261</v>
      </c>
      <c r="B266" s="717" t="s">
        <v>2366</v>
      </c>
      <c r="C266" s="718"/>
      <c r="D266" s="718"/>
      <c r="E266" s="718"/>
      <c r="F266" s="718"/>
      <c r="G266" s="719"/>
      <c r="H266" s="498"/>
    </row>
    <row r="267" spans="1:8" ht="37.5" x14ac:dyDescent="0.3">
      <c r="A267" s="228">
        <f t="shared" si="4"/>
        <v>262</v>
      </c>
      <c r="B267" s="475" t="str" cm="1">
        <f t="array" ref="B267">IADNumber&amp; " Roof"</f>
        <v>IAD35 Roof</v>
      </c>
      <c r="C267" s="475" t="str">
        <f>zSelectedEquipment &amp; " RTU 4"</f>
        <v>G104-Gen-B RTU 4</v>
      </c>
      <c r="D267" s="195" t="s">
        <v>2306</v>
      </c>
      <c r="E267" s="388" t="s">
        <v>1529</v>
      </c>
      <c r="F267" s="193"/>
      <c r="G267" s="193" t="s">
        <v>1519</v>
      </c>
      <c r="H267" s="498"/>
    </row>
    <row r="268" spans="1:8" ht="37.5" x14ac:dyDescent="0.3">
      <c r="A268" s="228">
        <f t="shared" si="4"/>
        <v>263</v>
      </c>
      <c r="B268" s="475" t="str" cm="1">
        <f t="array" ref="B268">IADNumber&amp; " Roof"</f>
        <v>IAD35 Roof</v>
      </c>
      <c r="C268" s="475" t="str">
        <f>zSelectedEquipment &amp; " RTU 4"</f>
        <v>G104-Gen-B RTU 4</v>
      </c>
      <c r="D268" s="195" t="s">
        <v>3670</v>
      </c>
      <c r="E268" s="388" t="s">
        <v>1529</v>
      </c>
      <c r="F268" s="193"/>
      <c r="G268" s="193" t="s">
        <v>1519</v>
      </c>
      <c r="H268" s="498"/>
    </row>
    <row r="269" spans="1:8" ht="37.5" x14ac:dyDescent="0.3">
      <c r="A269" s="228">
        <f t="shared" si="4"/>
        <v>264</v>
      </c>
      <c r="B269" s="475" t="str" cm="1">
        <f t="array" ref="B269">IADNumber&amp; " Roof"</f>
        <v>IAD35 Roof</v>
      </c>
      <c r="C269" s="475" t="str">
        <f>zSelectedEquipment &amp; " RTU 4"</f>
        <v>G104-Gen-B RTU 4</v>
      </c>
      <c r="D269" s="195" t="s">
        <v>2368</v>
      </c>
      <c r="E269" s="388" t="s">
        <v>1529</v>
      </c>
      <c r="F269" s="193"/>
      <c r="G269" s="193" t="s">
        <v>1519</v>
      </c>
      <c r="H269" s="498"/>
    </row>
    <row r="270" spans="1:8" ht="37.5" x14ac:dyDescent="0.3">
      <c r="A270" s="228">
        <f t="shared" si="4"/>
        <v>265</v>
      </c>
      <c r="B270" s="475" t="str" cm="1">
        <f t="array" ref="B270">IADNumber&amp; " Roof"</f>
        <v>IAD35 Roof</v>
      </c>
      <c r="C270" s="475" t="str">
        <f>zSelectedEquipment &amp; " RTU 4"</f>
        <v>G104-Gen-B RTU 4</v>
      </c>
      <c r="D270" s="195" t="s">
        <v>2309</v>
      </c>
      <c r="E270" s="388" t="s">
        <v>1529</v>
      </c>
      <c r="F270" s="193"/>
      <c r="G270" s="193" t="s">
        <v>1519</v>
      </c>
      <c r="H270" s="498"/>
    </row>
    <row r="271" spans="1:8" ht="37.5" x14ac:dyDescent="0.3">
      <c r="A271" s="228">
        <f t="shared" si="4"/>
        <v>266</v>
      </c>
      <c r="B271" s="475" t="str" cm="1">
        <f t="array" ref="B271">IADNumber&amp; " Roof"</f>
        <v>IAD35 Roof</v>
      </c>
      <c r="C271" s="475" t="str">
        <f>zSelectedEquipment &amp; " RTU 4"</f>
        <v>G104-Gen-B RTU 4</v>
      </c>
      <c r="D271" s="195" t="s">
        <v>2310</v>
      </c>
      <c r="E271" s="388" t="s">
        <v>1529</v>
      </c>
      <c r="F271" s="193"/>
      <c r="G271" s="193" t="s">
        <v>1519</v>
      </c>
      <c r="H271" s="498"/>
    </row>
    <row r="272" spans="1:8" ht="37.5" x14ac:dyDescent="0.3">
      <c r="A272" s="228">
        <f t="shared" si="4"/>
        <v>267</v>
      </c>
      <c r="B272" s="475" t="str" cm="1">
        <f t="array" ref="B272">IADNumber&amp; " Roof"</f>
        <v>IAD35 Roof</v>
      </c>
      <c r="C272" s="475" t="str">
        <f>zSelectedEquipment &amp; " RTU 4"</f>
        <v>G104-Gen-B RTU 4</v>
      </c>
      <c r="D272" s="195" t="s">
        <v>2311</v>
      </c>
      <c r="E272" s="388" t="s">
        <v>1529</v>
      </c>
      <c r="F272" s="193"/>
      <c r="G272" s="193" t="s">
        <v>1519</v>
      </c>
      <c r="H272" s="498"/>
    </row>
    <row r="273" spans="1:8" x14ac:dyDescent="0.3">
      <c r="A273" s="228">
        <f t="shared" si="4"/>
        <v>268</v>
      </c>
      <c r="B273" s="717" t="s">
        <v>2312</v>
      </c>
      <c r="C273" s="718"/>
      <c r="D273" s="718"/>
      <c r="E273" s="718"/>
      <c r="F273" s="718"/>
      <c r="G273" s="719"/>
      <c r="H273" s="498"/>
    </row>
    <row r="274" spans="1:8" ht="37.5" x14ac:dyDescent="0.3">
      <c r="A274" s="228">
        <f t="shared" si="4"/>
        <v>269</v>
      </c>
      <c r="B274" s="475" t="str" cm="1">
        <f t="array" ref="B274">IADNumber&amp; " Roof"</f>
        <v>IAD35 Roof</v>
      </c>
      <c r="C274" s="475" t="str">
        <f>zSelectedEquipment &amp; " RTU 4"</f>
        <v>G104-Gen-B RTU 4</v>
      </c>
      <c r="D274" s="195" t="s">
        <v>2369</v>
      </c>
      <c r="E274" s="388" t="s">
        <v>1529</v>
      </c>
      <c r="F274" s="189"/>
      <c r="G274" s="193" t="s">
        <v>1519</v>
      </c>
      <c r="H274" s="498"/>
    </row>
    <row r="275" spans="1:8" ht="37.5" x14ac:dyDescent="0.3">
      <c r="A275" s="228">
        <f t="shared" si="4"/>
        <v>270</v>
      </c>
      <c r="B275" s="475" t="str" cm="1">
        <f t="array" ref="B275">IADNumber&amp; " Roof"</f>
        <v>IAD35 Roof</v>
      </c>
      <c r="C275" s="475" t="str">
        <f>zSelectedEquipment &amp; " RTU 4"</f>
        <v>G104-Gen-B RTU 4</v>
      </c>
      <c r="D275" s="195" t="s">
        <v>3671</v>
      </c>
      <c r="E275" s="388" t="s">
        <v>1529</v>
      </c>
      <c r="F275" s="189"/>
      <c r="G275" s="193" t="s">
        <v>1519</v>
      </c>
      <c r="H275" s="498"/>
    </row>
    <row r="276" spans="1:8" ht="37.5" x14ac:dyDescent="0.3">
      <c r="A276" s="228">
        <f t="shared" si="4"/>
        <v>271</v>
      </c>
      <c r="B276" s="475" t="str" cm="1">
        <f t="array" ref="B276">IADNumber&amp; " Roof"</f>
        <v>IAD35 Roof</v>
      </c>
      <c r="C276" s="475" t="str">
        <f>zSelectedEquipment &amp; " RTU 4"</f>
        <v>G104-Gen-B RTU 4</v>
      </c>
      <c r="D276" s="195" t="s">
        <v>3672</v>
      </c>
      <c r="E276" s="388" t="s">
        <v>1529</v>
      </c>
      <c r="F276" s="189"/>
      <c r="G276" s="193" t="s">
        <v>1519</v>
      </c>
      <c r="H276" s="498"/>
    </row>
    <row r="277" spans="1:8" ht="37.5" x14ac:dyDescent="0.3">
      <c r="A277" s="228">
        <f t="shared" si="4"/>
        <v>272</v>
      </c>
      <c r="B277" s="475" t="str" cm="1">
        <f t="array" ref="B277">IADNumber&amp; " Roof"</f>
        <v>IAD35 Roof</v>
      </c>
      <c r="C277" s="475" t="str">
        <f>zSelectedEquipment &amp; " RTU 4"</f>
        <v>G104-Gen-B RTU 4</v>
      </c>
      <c r="D277" s="195" t="s">
        <v>2315</v>
      </c>
      <c r="E277" s="388" t="s">
        <v>1529</v>
      </c>
      <c r="F277" s="189"/>
      <c r="G277" s="193" t="s">
        <v>1519</v>
      </c>
      <c r="H277" s="498"/>
    </row>
    <row r="278" spans="1:8" ht="37.5" x14ac:dyDescent="0.3">
      <c r="A278" s="228">
        <f t="shared" si="4"/>
        <v>273</v>
      </c>
      <c r="B278" s="475" t="str" cm="1">
        <f t="array" ref="B278">IADNumber&amp; " Roof"</f>
        <v>IAD35 Roof</v>
      </c>
      <c r="C278" s="475" t="str">
        <f>zSelectedEquipment &amp; " RTU 4"</f>
        <v>G104-Gen-B RTU 4</v>
      </c>
      <c r="D278" s="195" t="s">
        <v>2373</v>
      </c>
      <c r="E278" s="388" t="s">
        <v>1529</v>
      </c>
      <c r="F278" s="189"/>
      <c r="G278" s="193" t="s">
        <v>1519</v>
      </c>
      <c r="H278" s="498"/>
    </row>
    <row r="279" spans="1:8" ht="37.5" x14ac:dyDescent="0.3">
      <c r="A279" s="228">
        <f t="shared" si="4"/>
        <v>274</v>
      </c>
      <c r="B279" s="475" t="str" cm="1">
        <f t="array" ref="B279">IADNumber&amp; " Roof"</f>
        <v>IAD35 Roof</v>
      </c>
      <c r="C279" s="475" t="str">
        <f>zSelectedEquipment &amp; " RTU 4"</f>
        <v>G104-Gen-B RTU 4</v>
      </c>
      <c r="D279" s="195" t="s">
        <v>3673</v>
      </c>
      <c r="E279" s="388" t="s">
        <v>1529</v>
      </c>
      <c r="F279" s="189"/>
      <c r="G279" s="193" t="s">
        <v>1519</v>
      </c>
      <c r="H279" s="498"/>
    </row>
    <row r="280" spans="1:8" ht="37.5" x14ac:dyDescent="0.3">
      <c r="A280" s="228">
        <f t="shared" si="4"/>
        <v>275</v>
      </c>
      <c r="B280" s="475" t="str" cm="1">
        <f t="array" ref="B280">IADNumber&amp; " Roof"</f>
        <v>IAD35 Roof</v>
      </c>
      <c r="C280" s="475" t="str">
        <f>zSelectedEquipment &amp; " RTU 4"</f>
        <v>G104-Gen-B RTU 4</v>
      </c>
      <c r="D280" s="195" t="s">
        <v>3674</v>
      </c>
      <c r="E280" s="388" t="s">
        <v>1529</v>
      </c>
      <c r="F280" s="189"/>
      <c r="G280" s="193" t="s">
        <v>1519</v>
      </c>
      <c r="H280" s="498"/>
    </row>
    <row r="281" spans="1:8" ht="37.5" x14ac:dyDescent="0.3">
      <c r="A281" s="228">
        <f t="shared" si="4"/>
        <v>276</v>
      </c>
      <c r="B281" s="475" t="str" cm="1">
        <f t="array" ref="B281">IADNumber&amp; " Roof"</f>
        <v>IAD35 Roof</v>
      </c>
      <c r="C281" s="475" t="str">
        <f>zSelectedEquipment &amp; " RTU 4"</f>
        <v>G104-Gen-B RTU 4</v>
      </c>
      <c r="D281" s="195" t="s">
        <v>3675</v>
      </c>
      <c r="E281" s="388" t="s">
        <v>1529</v>
      </c>
      <c r="F281" s="189"/>
      <c r="G281" s="193" t="s">
        <v>1519</v>
      </c>
      <c r="H281" s="498"/>
    </row>
    <row r="282" spans="1:8" ht="37.5" x14ac:dyDescent="0.3">
      <c r="A282" s="228">
        <f t="shared" si="4"/>
        <v>277</v>
      </c>
      <c r="B282" s="475" t="str" cm="1">
        <f t="array" ref="B282">IADNumber&amp; " Roof"</f>
        <v>IAD35 Roof</v>
      </c>
      <c r="C282" s="475" t="str">
        <f>zSelectedEquipment &amp; " RTU 4"</f>
        <v>G104-Gen-B RTU 4</v>
      </c>
      <c r="D282" s="195" t="s">
        <v>3676</v>
      </c>
      <c r="E282" s="388" t="s">
        <v>1529</v>
      </c>
      <c r="F282" s="189"/>
      <c r="G282" s="193" t="s">
        <v>1519</v>
      </c>
      <c r="H282" s="498"/>
    </row>
    <row r="283" spans="1:8" ht="37.5" x14ac:dyDescent="0.3">
      <c r="A283" s="228">
        <f t="shared" si="4"/>
        <v>278</v>
      </c>
      <c r="B283" s="475" t="str" cm="1">
        <f t="array" ref="B283">IADNumber&amp; " Roof"</f>
        <v>IAD35 Roof</v>
      </c>
      <c r="C283" s="475" t="str">
        <f>zSelectedEquipment &amp; " RTU 4"</f>
        <v>G104-Gen-B RTU 4</v>
      </c>
      <c r="D283" s="195" t="s">
        <v>3672</v>
      </c>
      <c r="E283" s="388" t="s">
        <v>1529</v>
      </c>
      <c r="F283" s="189"/>
      <c r="G283" s="193" t="s">
        <v>1519</v>
      </c>
      <c r="H283" s="498"/>
    </row>
    <row r="284" spans="1:8" ht="37.5" x14ac:dyDescent="0.3">
      <c r="A284" s="228">
        <f t="shared" si="4"/>
        <v>279</v>
      </c>
      <c r="B284" s="475" t="str" cm="1">
        <f t="array" ref="B284">IADNumber&amp; " Roof"</f>
        <v>IAD35 Roof</v>
      </c>
      <c r="C284" s="475" t="str">
        <f>zSelectedEquipment &amp; " RTU 4"</f>
        <v>G104-Gen-B RTU 4</v>
      </c>
      <c r="D284" s="494" t="s">
        <v>3677</v>
      </c>
      <c r="E284" s="388" t="s">
        <v>1529</v>
      </c>
      <c r="F284" s="189"/>
      <c r="G284" s="193" t="s">
        <v>1519</v>
      </c>
      <c r="H284" s="498"/>
    </row>
    <row r="285" spans="1:8" ht="75" x14ac:dyDescent="0.3">
      <c r="A285" s="228">
        <f t="shared" si="4"/>
        <v>280</v>
      </c>
      <c r="B285" s="475" t="str" cm="1">
        <f t="array" ref="B285">IADNumber&amp; " Roof"</f>
        <v>IAD35 Roof</v>
      </c>
      <c r="C285" s="475" t="str">
        <f>zSelectedEquipment &amp; " RTU 4"</f>
        <v>G104-Gen-B RTU 4</v>
      </c>
      <c r="D285" s="494" t="s">
        <v>3678</v>
      </c>
      <c r="E285" s="388" t="s">
        <v>1529</v>
      </c>
      <c r="F285" s="189"/>
      <c r="G285" s="193" t="s">
        <v>1519</v>
      </c>
      <c r="H285" s="498"/>
    </row>
    <row r="286" spans="1:8" x14ac:dyDescent="0.3">
      <c r="A286" s="228">
        <f t="shared" si="4"/>
        <v>281</v>
      </c>
      <c r="B286" s="717" t="s">
        <v>2379</v>
      </c>
      <c r="C286" s="718"/>
      <c r="D286" s="718"/>
      <c r="E286" s="718"/>
      <c r="F286" s="718"/>
      <c r="G286" s="719"/>
      <c r="H286" s="498"/>
    </row>
    <row r="287" spans="1:8" ht="37.5" x14ac:dyDescent="0.3">
      <c r="A287" s="228">
        <f t="shared" si="4"/>
        <v>282</v>
      </c>
      <c r="B287" s="475" t="str" cm="1">
        <f t="array" ref="B287">IADNumber&amp; " Roof"</f>
        <v>IAD35 Roof</v>
      </c>
      <c r="C287" s="475" t="str">
        <f>zSelectedEquipment &amp; " RTU 4"</f>
        <v>G104-Gen-B RTU 4</v>
      </c>
      <c r="D287" s="245" t="s">
        <v>2323</v>
      </c>
      <c r="E287" s="388" t="s">
        <v>1529</v>
      </c>
      <c r="F287" s="189"/>
      <c r="G287" s="189" t="s">
        <v>1519</v>
      </c>
      <c r="H287" s="498"/>
    </row>
    <row r="288" spans="1:8" ht="37.5" x14ac:dyDescent="0.3">
      <c r="A288" s="228">
        <f t="shared" si="4"/>
        <v>283</v>
      </c>
      <c r="B288" s="475" t="str" cm="1">
        <f t="array" ref="B288">IADNumber&amp; " Roof"</f>
        <v>IAD35 Roof</v>
      </c>
      <c r="C288" s="475" t="str">
        <f>zSelectedEquipment &amp; " RTU 4"</f>
        <v>G104-Gen-B RTU 4</v>
      </c>
      <c r="D288" s="245" t="s">
        <v>2324</v>
      </c>
      <c r="E288" s="388" t="s">
        <v>1529</v>
      </c>
      <c r="F288" s="189"/>
      <c r="G288" s="189" t="s">
        <v>1519</v>
      </c>
      <c r="H288" s="498"/>
    </row>
    <row r="289" spans="1:8" ht="37.5" x14ac:dyDescent="0.3">
      <c r="A289" s="228">
        <f t="shared" si="4"/>
        <v>284</v>
      </c>
      <c r="B289" s="475" t="str" cm="1">
        <f t="array" ref="B289">IADNumber&amp; " Roof"</f>
        <v>IAD35 Roof</v>
      </c>
      <c r="C289" s="475" t="str">
        <f>zSelectedEquipment &amp; " RTU 4"</f>
        <v>G104-Gen-B RTU 4</v>
      </c>
      <c r="D289" s="245" t="s">
        <v>2325</v>
      </c>
      <c r="E289" s="388" t="s">
        <v>1529</v>
      </c>
      <c r="F289" s="189"/>
      <c r="G289" s="189" t="s">
        <v>1519</v>
      </c>
      <c r="H289" s="498"/>
    </row>
    <row r="290" spans="1:8" ht="37.5" x14ac:dyDescent="0.3">
      <c r="A290" s="228">
        <f t="shared" si="4"/>
        <v>285</v>
      </c>
      <c r="B290" s="475" t="str" cm="1">
        <f t="array" ref="B290">IADNumber&amp; " Roof"</f>
        <v>IAD35 Roof</v>
      </c>
      <c r="C290" s="475" t="str">
        <f>zSelectedEquipment &amp; " RTU 4"</f>
        <v>G104-Gen-B RTU 4</v>
      </c>
      <c r="D290" s="245" t="s">
        <v>2326</v>
      </c>
      <c r="E290" s="388" t="s">
        <v>1529</v>
      </c>
      <c r="F290" s="189"/>
      <c r="G290" s="189" t="s">
        <v>1519</v>
      </c>
      <c r="H290" s="498"/>
    </row>
    <row r="291" spans="1:8" ht="37.5" x14ac:dyDescent="0.3">
      <c r="A291" s="228">
        <f t="shared" si="4"/>
        <v>286</v>
      </c>
      <c r="B291" s="475" t="str" cm="1">
        <f t="array" ref="B291">IADNumber&amp; " Roof"</f>
        <v>IAD35 Roof</v>
      </c>
      <c r="C291" s="475" t="str">
        <f>zSelectedEquipment &amp; " RTU 4"</f>
        <v>G104-Gen-B RTU 4</v>
      </c>
      <c r="D291" s="245" t="s">
        <v>2327</v>
      </c>
      <c r="E291" s="388" t="s">
        <v>1529</v>
      </c>
      <c r="F291" s="189"/>
      <c r="G291" s="189" t="s">
        <v>1519</v>
      </c>
      <c r="H291" s="498"/>
    </row>
    <row r="292" spans="1:8" ht="37.5" x14ac:dyDescent="0.3">
      <c r="A292" s="228">
        <f t="shared" si="4"/>
        <v>287</v>
      </c>
      <c r="B292" s="475" t="str" cm="1">
        <f t="array" ref="B292">IADNumber&amp; " Roof"</f>
        <v>IAD35 Roof</v>
      </c>
      <c r="C292" s="475" t="str">
        <f>zSelectedEquipment &amp; " RTU 4"</f>
        <v>G104-Gen-B RTU 4</v>
      </c>
      <c r="D292" s="245" t="s">
        <v>2328</v>
      </c>
      <c r="E292" s="388" t="s">
        <v>1529</v>
      </c>
      <c r="F292" s="189"/>
      <c r="G292" s="189" t="s">
        <v>1519</v>
      </c>
      <c r="H292" s="498"/>
    </row>
    <row r="293" spans="1:8" x14ac:dyDescent="0.3">
      <c r="A293" s="228">
        <f t="shared" si="4"/>
        <v>288</v>
      </c>
      <c r="B293" s="717" t="s">
        <v>2329</v>
      </c>
      <c r="C293" s="718"/>
      <c r="D293" s="718"/>
      <c r="E293" s="718"/>
      <c r="F293" s="718"/>
      <c r="G293" s="719"/>
      <c r="H293" s="498"/>
    </row>
    <row r="294" spans="1:8" ht="37.5" x14ac:dyDescent="0.3">
      <c r="A294" s="228">
        <f t="shared" si="4"/>
        <v>289</v>
      </c>
      <c r="B294" s="475" t="str" cm="1">
        <f t="array" ref="B294">IADNumber&amp; " Roof"</f>
        <v>IAD35 Roof</v>
      </c>
      <c r="C294" s="475" t="str">
        <f>zSelectedEquipment &amp; " RTU 4"</f>
        <v>G104-Gen-B RTU 4</v>
      </c>
      <c r="D294" s="245" t="s">
        <v>2331</v>
      </c>
      <c r="E294" s="388" t="s">
        <v>1529</v>
      </c>
      <c r="F294" s="189"/>
      <c r="G294" s="189" t="s">
        <v>1519</v>
      </c>
      <c r="H294" s="498"/>
    </row>
    <row r="295" spans="1:8" ht="37.5" x14ac:dyDescent="0.3">
      <c r="A295" s="228">
        <f t="shared" si="4"/>
        <v>290</v>
      </c>
      <c r="B295" s="475" t="str" cm="1">
        <f t="array" ref="B295">IADNumber&amp; " Roof"</f>
        <v>IAD35 Roof</v>
      </c>
      <c r="C295" s="475" t="str">
        <f>zSelectedEquipment &amp; " RTU 4"</f>
        <v>G104-Gen-B RTU 4</v>
      </c>
      <c r="D295" s="245" t="s">
        <v>2332</v>
      </c>
      <c r="E295" s="388" t="s">
        <v>1529</v>
      </c>
      <c r="F295" s="189"/>
      <c r="G295" s="189" t="s">
        <v>1519</v>
      </c>
      <c r="H295" s="498"/>
    </row>
    <row r="296" spans="1:8" ht="37.5" x14ac:dyDescent="0.3">
      <c r="A296" s="228">
        <f t="shared" si="4"/>
        <v>291</v>
      </c>
      <c r="B296" s="475" t="str" cm="1">
        <f t="array" ref="B296">IADNumber&amp; " Roof"</f>
        <v>IAD35 Roof</v>
      </c>
      <c r="C296" s="475" t="str">
        <f>zSelectedEquipment &amp; " RTU 4"</f>
        <v>G104-Gen-B RTU 4</v>
      </c>
      <c r="D296" s="245" t="s">
        <v>2333</v>
      </c>
      <c r="E296" s="388" t="s">
        <v>1529</v>
      </c>
      <c r="F296" s="189"/>
      <c r="G296" s="189" t="s">
        <v>1519</v>
      </c>
      <c r="H296" s="498"/>
    </row>
    <row r="297" spans="1:8" ht="37.5" x14ac:dyDescent="0.3">
      <c r="A297" s="228">
        <f t="shared" si="4"/>
        <v>292</v>
      </c>
      <c r="B297" s="475" t="str" cm="1">
        <f t="array" ref="B297">IADNumber&amp; " Roof"</f>
        <v>IAD35 Roof</v>
      </c>
      <c r="C297" s="475" t="str">
        <f>zSelectedEquipment &amp; " RTU 4"</f>
        <v>G104-Gen-B RTU 4</v>
      </c>
      <c r="D297" s="245" t="s">
        <v>2334</v>
      </c>
      <c r="E297" s="388" t="s">
        <v>1529</v>
      </c>
      <c r="F297" s="189"/>
      <c r="G297" s="189" t="s">
        <v>1519</v>
      </c>
      <c r="H297" s="498"/>
    </row>
    <row r="298" spans="1:8" ht="37.5" x14ac:dyDescent="0.3">
      <c r="A298" s="228">
        <f t="shared" si="4"/>
        <v>293</v>
      </c>
      <c r="B298" s="475" t="str" cm="1">
        <f t="array" ref="B298">IADNumber&amp; " Roof"</f>
        <v>IAD35 Roof</v>
      </c>
      <c r="C298" s="475" t="str">
        <f>zSelectedEquipment &amp; " RTU 4"</f>
        <v>G104-Gen-B RTU 4</v>
      </c>
      <c r="D298" s="245" t="s">
        <v>2335</v>
      </c>
      <c r="E298" s="388" t="s">
        <v>1529</v>
      </c>
      <c r="F298" s="189"/>
      <c r="G298" s="189" t="s">
        <v>1519</v>
      </c>
      <c r="H298" s="498"/>
    </row>
    <row r="299" spans="1:8" ht="37.5" x14ac:dyDescent="0.3">
      <c r="A299" s="228">
        <f t="shared" si="4"/>
        <v>294</v>
      </c>
      <c r="B299" s="475" t="str" cm="1">
        <f t="array" ref="B299">IADNumber&amp; " Roof"</f>
        <v>IAD35 Roof</v>
      </c>
      <c r="C299" s="475" t="str">
        <f>zSelectedEquipment &amp; " RTU 4"</f>
        <v>G104-Gen-B RTU 4</v>
      </c>
      <c r="D299" s="245" t="s">
        <v>2337</v>
      </c>
      <c r="E299" s="388" t="s">
        <v>1529</v>
      </c>
      <c r="F299" s="189"/>
      <c r="G299" s="189" t="s">
        <v>1519</v>
      </c>
      <c r="H299" s="498"/>
    </row>
    <row r="300" spans="1:8" x14ac:dyDescent="0.3">
      <c r="A300" s="228">
        <f t="shared" si="4"/>
        <v>295</v>
      </c>
      <c r="B300" s="717" t="s">
        <v>2383</v>
      </c>
      <c r="C300" s="718"/>
      <c r="D300" s="718"/>
      <c r="E300" s="718"/>
      <c r="F300" s="718"/>
      <c r="G300" s="719"/>
      <c r="H300" s="498"/>
    </row>
    <row r="301" spans="1:8" ht="37.5" x14ac:dyDescent="0.3">
      <c r="A301" s="228">
        <f t="shared" si="4"/>
        <v>296</v>
      </c>
      <c r="B301" s="475" t="str" cm="1">
        <f t="array" ref="B301">IADNumber&amp; " Roof"</f>
        <v>IAD35 Roof</v>
      </c>
      <c r="C301" s="475" t="str">
        <f>zSelectedEquipment &amp; " RTU 4"</f>
        <v>G104-Gen-B RTU 4</v>
      </c>
      <c r="D301" s="245" t="s">
        <v>2384</v>
      </c>
      <c r="E301" s="388" t="s">
        <v>1529</v>
      </c>
      <c r="F301" s="189"/>
      <c r="G301" s="189" t="s">
        <v>1519</v>
      </c>
      <c r="H301" s="498"/>
    </row>
    <row r="302" spans="1:8" ht="37.5" x14ac:dyDescent="0.3">
      <c r="A302" s="228">
        <f t="shared" si="4"/>
        <v>297</v>
      </c>
      <c r="B302" s="475" t="str" cm="1">
        <f t="array" ref="B302">IADNumber&amp; " Roof"</f>
        <v>IAD35 Roof</v>
      </c>
      <c r="C302" s="475" t="str">
        <f>zSelectedEquipment &amp; " RTU 4"</f>
        <v>G104-Gen-B RTU 4</v>
      </c>
      <c r="D302" s="245" t="s">
        <v>2318</v>
      </c>
      <c r="E302" s="388" t="s">
        <v>1529</v>
      </c>
      <c r="F302" s="189"/>
      <c r="G302" s="189" t="s">
        <v>1519</v>
      </c>
      <c r="H302" s="498"/>
    </row>
    <row r="303" spans="1:8" ht="37.5" x14ac:dyDescent="0.3">
      <c r="A303" s="228">
        <f t="shared" si="4"/>
        <v>298</v>
      </c>
      <c r="B303" s="475" t="str" cm="1">
        <f t="array" ref="B303">IADNumber&amp; " Roof"</f>
        <v>IAD35 Roof</v>
      </c>
      <c r="C303" s="475" t="str">
        <f>zSelectedEquipment &amp; " RTU 4"</f>
        <v>G104-Gen-B RTU 4</v>
      </c>
      <c r="D303" s="245" t="s">
        <v>2385</v>
      </c>
      <c r="E303" s="388" t="s">
        <v>1529</v>
      </c>
      <c r="F303" s="189"/>
      <c r="G303" s="189" t="s">
        <v>1519</v>
      </c>
      <c r="H303" s="498"/>
    </row>
    <row r="304" spans="1:8" ht="37.5" x14ac:dyDescent="0.3">
      <c r="A304" s="228">
        <f t="shared" si="4"/>
        <v>299</v>
      </c>
      <c r="B304" s="475" t="str" cm="1">
        <f t="array" ref="B304">IADNumber&amp; " Roof"</f>
        <v>IAD35 Roof</v>
      </c>
      <c r="C304" s="475" t="str">
        <f>zSelectedEquipment &amp; " RTU 4"</f>
        <v>G104-Gen-B RTU 4</v>
      </c>
      <c r="D304" s="245" t="s">
        <v>2320</v>
      </c>
      <c r="E304" s="388" t="s">
        <v>1529</v>
      </c>
      <c r="F304" s="189"/>
      <c r="G304" s="189" t="s">
        <v>1519</v>
      </c>
      <c r="H304" s="498"/>
    </row>
    <row r="305" spans="1:8" ht="37.5" x14ac:dyDescent="0.3">
      <c r="A305" s="228">
        <f t="shared" si="4"/>
        <v>300</v>
      </c>
      <c r="B305" s="475" t="str" cm="1">
        <f t="array" ref="B305">IADNumber&amp; " Roof"</f>
        <v>IAD35 Roof</v>
      </c>
      <c r="C305" s="475" t="str">
        <f>zSelectedEquipment &amp; " RTU 4"</f>
        <v>G104-Gen-B RTU 4</v>
      </c>
      <c r="D305" s="245" t="s">
        <v>2386</v>
      </c>
      <c r="E305" s="388" t="s">
        <v>1529</v>
      </c>
      <c r="F305" s="189"/>
      <c r="G305" s="189" t="s">
        <v>1519</v>
      </c>
      <c r="H305" s="498"/>
    </row>
    <row r="306" spans="1:8" ht="37.5" x14ac:dyDescent="0.3">
      <c r="A306" s="228">
        <f t="shared" si="4"/>
        <v>301</v>
      </c>
      <c r="B306" s="475" t="str" cm="1">
        <f t="array" ref="B306">IADNumber&amp; " Roof"</f>
        <v>IAD35 Roof</v>
      </c>
      <c r="C306" s="475" t="str">
        <f>zSelectedEquipment &amp; " RTU 4"</f>
        <v>G104-Gen-B RTU 4</v>
      </c>
      <c r="D306" s="245" t="s">
        <v>2387</v>
      </c>
      <c r="E306" s="388" t="s">
        <v>1529</v>
      </c>
      <c r="F306" s="189"/>
      <c r="G306" s="189" t="s">
        <v>1519</v>
      </c>
      <c r="H306" s="498"/>
    </row>
    <row r="307" spans="1:8" ht="37.5" x14ac:dyDescent="0.3">
      <c r="A307" s="228">
        <f t="shared" si="4"/>
        <v>302</v>
      </c>
      <c r="B307" s="475" t="str" cm="1">
        <f t="array" ref="B307">IADNumber&amp; " Roof"</f>
        <v>IAD35 Roof</v>
      </c>
      <c r="C307" s="475" t="str">
        <f>zSelectedEquipment &amp; " RTU 4"</f>
        <v>G104-Gen-B RTU 4</v>
      </c>
      <c r="D307" s="245" t="s">
        <v>3679</v>
      </c>
      <c r="E307" s="388" t="s">
        <v>1529</v>
      </c>
      <c r="F307" s="189"/>
      <c r="G307" s="189" t="s">
        <v>1519</v>
      </c>
      <c r="H307" s="498"/>
    </row>
    <row r="308" spans="1:8" ht="37.5" x14ac:dyDescent="0.3">
      <c r="A308" s="228">
        <f t="shared" si="4"/>
        <v>303</v>
      </c>
      <c r="B308" s="475" t="str" cm="1">
        <f t="array" ref="B308">IADNumber&amp; " Roof"</f>
        <v>IAD35 Roof</v>
      </c>
      <c r="C308" s="475" t="str">
        <f>zSelectedEquipment &amp; " RTU 4"</f>
        <v>G104-Gen-B RTU 4</v>
      </c>
      <c r="D308" s="245" t="s">
        <v>3680</v>
      </c>
      <c r="E308" s="388" t="s">
        <v>1529</v>
      </c>
      <c r="F308" s="189"/>
      <c r="G308" s="189" t="s">
        <v>1519</v>
      </c>
      <c r="H308" s="498"/>
    </row>
    <row r="309" spans="1:8" x14ac:dyDescent="0.3">
      <c r="A309" s="228">
        <f t="shared" si="4"/>
        <v>304</v>
      </c>
      <c r="B309" s="716" t="s">
        <v>3681</v>
      </c>
      <c r="C309" s="716"/>
      <c r="D309" s="716"/>
      <c r="E309" s="716"/>
      <c r="F309" s="716"/>
      <c r="G309" s="716"/>
      <c r="H309" s="498"/>
    </row>
    <row r="310" spans="1:8" ht="37.5" x14ac:dyDescent="0.3">
      <c r="A310" s="228">
        <f t="shared" si="4"/>
        <v>305</v>
      </c>
      <c r="B310" s="475" t="str" cm="1">
        <f t="array" ref="B310">IADNumber&amp; " Roof"</f>
        <v>IAD35 Roof</v>
      </c>
      <c r="C310" s="475" t="str">
        <f>zSelectedEquipment &amp; " RTU 4"</f>
        <v>G104-Gen-B RTU 4</v>
      </c>
      <c r="D310" s="195" t="s">
        <v>2274</v>
      </c>
      <c r="E310" s="388" t="s">
        <v>1529</v>
      </c>
      <c r="F310" s="198"/>
      <c r="G310" s="193" t="s">
        <v>1519</v>
      </c>
      <c r="H310" s="498"/>
    </row>
    <row r="311" spans="1:8" ht="37.5" x14ac:dyDescent="0.3">
      <c r="A311" s="228">
        <f t="shared" si="4"/>
        <v>306</v>
      </c>
      <c r="B311" s="475" t="str" cm="1">
        <f t="array" ref="B311">IADNumber&amp; " Roof"</f>
        <v>IAD35 Roof</v>
      </c>
      <c r="C311" s="475" t="str">
        <f>zSelectedEquipment &amp; " RTU 4"</f>
        <v>G104-Gen-B RTU 4</v>
      </c>
      <c r="D311" s="195" t="s">
        <v>2275</v>
      </c>
      <c r="E311" s="388" t="s">
        <v>1529</v>
      </c>
      <c r="F311" s="198"/>
      <c r="G311" s="193" t="s">
        <v>1519</v>
      </c>
      <c r="H311" s="498"/>
    </row>
    <row r="312" spans="1:8" ht="37.5" x14ac:dyDescent="0.3">
      <c r="A312" s="228">
        <f t="shared" si="4"/>
        <v>307</v>
      </c>
      <c r="B312" s="475" t="str" cm="1">
        <f t="array" ref="B312">IADNumber&amp; " Roof"</f>
        <v>IAD35 Roof</v>
      </c>
      <c r="C312" s="475" t="str">
        <f>zSelectedEquipment &amp; " RTU 4"</f>
        <v>G104-Gen-B RTU 4</v>
      </c>
      <c r="D312" s="195" t="s">
        <v>3682</v>
      </c>
      <c r="E312" s="388" t="s">
        <v>1529</v>
      </c>
      <c r="F312" s="198"/>
      <c r="G312" s="193" t="s">
        <v>1519</v>
      </c>
      <c r="H312" s="498"/>
    </row>
    <row r="313" spans="1:8" ht="56.25" x14ac:dyDescent="0.3">
      <c r="A313" s="228">
        <f t="shared" si="4"/>
        <v>308</v>
      </c>
      <c r="B313" s="475" t="str" cm="1">
        <f t="array" ref="B313">IADNumber&amp; " Roof"</f>
        <v>IAD35 Roof</v>
      </c>
      <c r="C313" s="475" t="str">
        <f>zSelectedEquipment &amp; " RTU 4"</f>
        <v>G104-Gen-B RTU 4</v>
      </c>
      <c r="D313" s="195" t="s">
        <v>3683</v>
      </c>
      <c r="E313" s="388" t="s">
        <v>1529</v>
      </c>
      <c r="F313" s="198"/>
      <c r="G313" s="193" t="s">
        <v>1519</v>
      </c>
      <c r="H313" s="498"/>
    </row>
    <row r="314" spans="1:8" ht="37.5" x14ac:dyDescent="0.3">
      <c r="A314" s="228">
        <f t="shared" si="4"/>
        <v>309</v>
      </c>
      <c r="B314" s="475" t="str" cm="1">
        <f t="array" ref="B314">IADNumber&amp; " Roof"</f>
        <v>IAD35 Roof</v>
      </c>
      <c r="C314" s="475" t="str">
        <f>zSelectedEquipment &amp; " RTU 4"</f>
        <v>G104-Gen-B RTU 4</v>
      </c>
      <c r="D314" s="195" t="s">
        <v>3661</v>
      </c>
      <c r="E314" s="388" t="s">
        <v>1529</v>
      </c>
      <c r="F314" s="198"/>
      <c r="G314" s="193" t="s">
        <v>1519</v>
      </c>
      <c r="H314" s="498"/>
    </row>
    <row r="315" spans="1:8" ht="37.5" x14ac:dyDescent="0.3">
      <c r="A315" s="228">
        <f t="shared" si="4"/>
        <v>310</v>
      </c>
      <c r="B315" s="475" t="str" cm="1">
        <f t="array" ref="B315">IADNumber&amp; " Roof"</f>
        <v>IAD35 Roof</v>
      </c>
      <c r="C315" s="475" t="str">
        <f>zSelectedEquipment &amp; " RTU 4"</f>
        <v>G104-Gen-B RTU 4</v>
      </c>
      <c r="D315" s="195" t="s">
        <v>3684</v>
      </c>
      <c r="E315" s="388" t="s">
        <v>1529</v>
      </c>
      <c r="F315" s="198"/>
      <c r="G315" s="193" t="s">
        <v>1519</v>
      </c>
      <c r="H315" s="498"/>
    </row>
    <row r="316" spans="1:8" ht="37.5" x14ac:dyDescent="0.3">
      <c r="A316" s="228">
        <f t="shared" si="4"/>
        <v>311</v>
      </c>
      <c r="B316" s="475" t="str" cm="1">
        <f t="array" ref="B316">IADNumber&amp; " Roof"</f>
        <v>IAD35 Roof</v>
      </c>
      <c r="C316" s="475" t="str">
        <f>zSelectedEquipment &amp; " RTU 4"</f>
        <v>G104-Gen-B RTU 4</v>
      </c>
      <c r="D316" s="195" t="s">
        <v>2277</v>
      </c>
      <c r="E316" s="388" t="s">
        <v>1529</v>
      </c>
      <c r="F316" s="198"/>
      <c r="G316" s="193" t="s">
        <v>1519</v>
      </c>
      <c r="H316" s="498"/>
    </row>
    <row r="317" spans="1:8" ht="37.5" x14ac:dyDescent="0.3">
      <c r="A317" s="228">
        <f t="shared" si="4"/>
        <v>312</v>
      </c>
      <c r="B317" s="475" t="str" cm="1">
        <f t="array" ref="B317">IADNumber&amp; " Roof"</f>
        <v>IAD35 Roof</v>
      </c>
      <c r="C317" s="475" t="str">
        <f>zSelectedEquipment &amp; " RTU 4"</f>
        <v>G104-Gen-B RTU 4</v>
      </c>
      <c r="D317" s="195" t="s">
        <v>2340</v>
      </c>
      <c r="E317" s="388" t="s">
        <v>1529</v>
      </c>
      <c r="F317" s="198"/>
      <c r="G317" s="193" t="s">
        <v>1519</v>
      </c>
      <c r="H317" s="498"/>
    </row>
    <row r="318" spans="1:8" ht="37.5" x14ac:dyDescent="0.3">
      <c r="A318" s="228">
        <f t="shared" si="4"/>
        <v>313</v>
      </c>
      <c r="B318" s="475" t="str" cm="1">
        <f t="array" ref="B318">IADNumber&amp; " Roof"</f>
        <v>IAD35 Roof</v>
      </c>
      <c r="C318" s="475" t="str">
        <f>zSelectedEquipment &amp; " RTU 4"</f>
        <v>G104-Gen-B RTU 4</v>
      </c>
      <c r="D318" s="195" t="s">
        <v>3685</v>
      </c>
      <c r="E318" s="388" t="s">
        <v>1529</v>
      </c>
      <c r="F318" s="198"/>
      <c r="G318" s="193" t="s">
        <v>1519</v>
      </c>
      <c r="H318" s="498"/>
    </row>
    <row r="319" spans="1:8" ht="37.5" x14ac:dyDescent="0.3">
      <c r="A319" s="228">
        <f t="shared" si="4"/>
        <v>314</v>
      </c>
      <c r="B319" s="475" t="str" cm="1">
        <f t="array" ref="B319">IADNumber&amp; " Roof"</f>
        <v>IAD35 Roof</v>
      </c>
      <c r="C319" s="475" t="str">
        <f>zSelectedEquipment &amp; " RTU 4"</f>
        <v>G104-Gen-B RTU 4</v>
      </c>
      <c r="D319" s="195" t="s">
        <v>3686</v>
      </c>
      <c r="E319" s="388" t="s">
        <v>1529</v>
      </c>
      <c r="F319" s="198"/>
      <c r="G319" s="193" t="s">
        <v>1519</v>
      </c>
      <c r="H319" s="498"/>
    </row>
    <row r="320" spans="1:8" ht="37.5" x14ac:dyDescent="0.3">
      <c r="A320" s="228">
        <f t="shared" si="4"/>
        <v>315</v>
      </c>
      <c r="B320" s="475" t="str" cm="1">
        <f t="array" ref="B320">IADNumber&amp; " Roof"</f>
        <v>IAD35 Roof</v>
      </c>
      <c r="C320" s="475" t="str">
        <f>zSelectedEquipment &amp; " RTU 4"</f>
        <v>G104-Gen-B RTU 4</v>
      </c>
      <c r="D320" s="195" t="s">
        <v>3687</v>
      </c>
      <c r="E320" s="388" t="s">
        <v>1529</v>
      </c>
      <c r="F320" s="198"/>
      <c r="G320" s="193" t="s">
        <v>1519</v>
      </c>
      <c r="H320" s="498"/>
    </row>
    <row r="321" spans="1:8" ht="37.5" x14ac:dyDescent="0.3">
      <c r="A321" s="228">
        <f t="shared" si="4"/>
        <v>316</v>
      </c>
      <c r="B321" s="475" t="str" cm="1">
        <f t="array" ref="B321">IADNumber&amp; " Roof"</f>
        <v>IAD35 Roof</v>
      </c>
      <c r="C321" s="475" t="str">
        <f>zSelectedEquipment &amp; " RTU 4"</f>
        <v>G104-Gen-B RTU 4</v>
      </c>
      <c r="D321" s="195" t="s">
        <v>3688</v>
      </c>
      <c r="E321" s="388" t="s">
        <v>1529</v>
      </c>
      <c r="F321" s="198"/>
      <c r="G321" s="193" t="s">
        <v>1519</v>
      </c>
      <c r="H321" s="498"/>
    </row>
    <row r="322" spans="1:8" ht="37.5" x14ac:dyDescent="0.3">
      <c r="A322" s="228">
        <f t="shared" si="4"/>
        <v>317</v>
      </c>
      <c r="B322" s="475" t="str" cm="1">
        <f t="array" ref="B322">IADNumber&amp; " Roof"</f>
        <v>IAD35 Roof</v>
      </c>
      <c r="C322" s="475" t="str">
        <f>zSelectedEquipment &amp; " RTU 4"</f>
        <v>G104-Gen-B RTU 4</v>
      </c>
      <c r="D322" s="195" t="s">
        <v>2392</v>
      </c>
      <c r="E322" s="388" t="s">
        <v>1529</v>
      </c>
      <c r="F322" s="198"/>
      <c r="G322" s="193" t="s">
        <v>1519</v>
      </c>
      <c r="H322" s="498"/>
    </row>
    <row r="323" spans="1:8" ht="56.25" x14ac:dyDescent="0.3">
      <c r="A323" s="228">
        <f t="shared" si="4"/>
        <v>318</v>
      </c>
      <c r="B323" s="475" t="str" cm="1">
        <f t="array" ref="B323">IADNumber&amp; " Roof"</f>
        <v>IAD35 Roof</v>
      </c>
      <c r="C323" s="475" t="str">
        <f>zSelectedEquipment &amp; " RTU 4"</f>
        <v>G104-Gen-B RTU 4</v>
      </c>
      <c r="D323" s="494" t="s">
        <v>3689</v>
      </c>
      <c r="E323" s="388" t="s">
        <v>1529</v>
      </c>
      <c r="F323" s="198"/>
      <c r="G323" s="193" t="s">
        <v>1519</v>
      </c>
      <c r="H323" s="498"/>
    </row>
    <row r="324" spans="1:8" ht="37.5" x14ac:dyDescent="0.3">
      <c r="A324" s="228">
        <f t="shared" si="4"/>
        <v>319</v>
      </c>
      <c r="B324" s="475" t="str" cm="1">
        <f t="array" ref="B324">IADNumber&amp; " Roof"</f>
        <v>IAD35 Roof</v>
      </c>
      <c r="C324" s="475" t="str">
        <f>zSelectedEquipment &amp; " RTU 4"</f>
        <v>G104-Gen-B RTU 4</v>
      </c>
      <c r="D324" s="195" t="s">
        <v>2282</v>
      </c>
      <c r="E324" s="388" t="s">
        <v>1529</v>
      </c>
      <c r="F324" s="198"/>
      <c r="G324" s="193" t="s">
        <v>1519</v>
      </c>
      <c r="H324" s="498"/>
    </row>
    <row r="325" spans="1:8" ht="37.5" x14ac:dyDescent="0.3">
      <c r="A325" s="228">
        <f t="shared" si="4"/>
        <v>320</v>
      </c>
      <c r="B325" s="475" t="str" cm="1">
        <f t="array" ref="B325">IADNumber&amp; " Roof"</f>
        <v>IAD35 Roof</v>
      </c>
      <c r="C325" s="475" t="str">
        <f>zSelectedEquipment &amp; " RTU 4"</f>
        <v>G104-Gen-B RTU 4</v>
      </c>
      <c r="D325" s="195" t="s">
        <v>3690</v>
      </c>
      <c r="E325" s="388" t="s">
        <v>1529</v>
      </c>
      <c r="F325" s="198"/>
      <c r="G325" s="193" t="s">
        <v>1519</v>
      </c>
      <c r="H325" s="498"/>
    </row>
    <row r="326" spans="1:8" ht="37.5" x14ac:dyDescent="0.3">
      <c r="A326" s="228">
        <f t="shared" si="4"/>
        <v>321</v>
      </c>
      <c r="B326" s="475" t="s">
        <v>1462</v>
      </c>
      <c r="C326" s="388" t="s">
        <v>84</v>
      </c>
      <c r="D326" s="195" t="s">
        <v>2283</v>
      </c>
      <c r="E326" s="388" t="s">
        <v>1529</v>
      </c>
      <c r="F326" s="495"/>
      <c r="G326" s="193" t="s">
        <v>1519</v>
      </c>
      <c r="H326" s="498"/>
    </row>
    <row r="327" spans="1:8" ht="37.5" x14ac:dyDescent="0.3">
      <c r="A327" s="228">
        <f t="shared" si="4"/>
        <v>322</v>
      </c>
      <c r="B327" s="475" t="str" cm="1">
        <f t="array" ref="B327">IADNumber&amp; " Roof"</f>
        <v>IAD35 Roof</v>
      </c>
      <c r="C327" s="475" t="str">
        <f>zSelectedEquipment &amp; " RTU 4"</f>
        <v>G104-Gen-B RTU 4</v>
      </c>
      <c r="D327" s="195" t="s">
        <v>2284</v>
      </c>
      <c r="E327" s="388" t="s">
        <v>1529</v>
      </c>
      <c r="F327" s="495"/>
      <c r="G327" s="193" t="s">
        <v>1519</v>
      </c>
      <c r="H327" s="498"/>
    </row>
    <row r="328" spans="1:8" ht="18" customHeight="1" x14ac:dyDescent="0.3">
      <c r="A328" s="228">
        <f t="shared" ref="A328:A391" si="5">A327+1</f>
        <v>323</v>
      </c>
      <c r="B328" s="753" t="str">
        <f>"Perform Quarterly PM on " &amp; C330</f>
        <v>Perform Quarterly PM on G104-Gen-B RTU 5</v>
      </c>
      <c r="C328" s="754"/>
      <c r="D328" s="754"/>
      <c r="E328" s="754"/>
      <c r="F328" s="754"/>
      <c r="G328" s="755"/>
      <c r="H328" s="498"/>
    </row>
    <row r="329" spans="1:8" ht="37.5" x14ac:dyDescent="0.3">
      <c r="A329" s="228">
        <f t="shared" si="5"/>
        <v>324</v>
      </c>
      <c r="B329" s="388" t="s">
        <v>1462</v>
      </c>
      <c r="C329" s="388" t="s">
        <v>84</v>
      </c>
      <c r="D329" s="493" t="s">
        <v>3655</v>
      </c>
      <c r="E329" s="388" t="s">
        <v>3654</v>
      </c>
      <c r="F329" s="189"/>
      <c r="G329" s="189"/>
      <c r="H329" s="498"/>
    </row>
    <row r="330" spans="1:8" ht="37.5" x14ac:dyDescent="0.3">
      <c r="A330" s="228">
        <f t="shared" si="5"/>
        <v>325</v>
      </c>
      <c r="B330" s="475" t="str" cm="1">
        <f t="array" ref="B330">IADNumber&amp; " Roof"</f>
        <v>IAD35 Roof</v>
      </c>
      <c r="C330" s="475" t="str">
        <f>zSelectedEquipment &amp; " RTU 5"</f>
        <v>G104-Gen-B RTU 5</v>
      </c>
      <c r="D330" s="191" t="s">
        <v>3656</v>
      </c>
      <c r="E330" s="388" t="s">
        <v>1529</v>
      </c>
      <c r="F330" s="189"/>
      <c r="G330" s="189" t="s">
        <v>1519</v>
      </c>
      <c r="H330" s="498"/>
    </row>
    <row r="331" spans="1:8" ht="37.5" x14ac:dyDescent="0.3">
      <c r="A331" s="228">
        <f t="shared" si="5"/>
        <v>326</v>
      </c>
      <c r="B331" s="475" t="str" cm="1">
        <f t="array" ref="B331">IADNumber&amp; " Roof"</f>
        <v>IAD35 Roof</v>
      </c>
      <c r="C331" s="475" t="str">
        <f>zSelectedEquipment &amp; " RTU 5"</f>
        <v>G104-Gen-B RTU 5</v>
      </c>
      <c r="D331" s="190" t="s">
        <v>3657</v>
      </c>
      <c r="E331" s="388" t="s">
        <v>1529</v>
      </c>
      <c r="F331" s="189"/>
      <c r="G331" s="189" t="s">
        <v>1519</v>
      </c>
      <c r="H331" s="498"/>
    </row>
    <row r="332" spans="1:8" ht="37.5" x14ac:dyDescent="0.3">
      <c r="A332" s="228">
        <f t="shared" si="5"/>
        <v>327</v>
      </c>
      <c r="B332" s="475" t="str" cm="1">
        <f t="array" ref="B332">IADNumber&amp; " Roof"</f>
        <v>IAD35 Roof</v>
      </c>
      <c r="C332" s="475" t="str">
        <f>zSelectedEquipment &amp; " RTU 5"</f>
        <v>G104-Gen-B RTU 5</v>
      </c>
      <c r="D332" s="190" t="s">
        <v>3658</v>
      </c>
      <c r="E332" s="388" t="s">
        <v>1529</v>
      </c>
      <c r="F332" s="189"/>
      <c r="G332" s="189" t="s">
        <v>1519</v>
      </c>
      <c r="H332" s="498"/>
    </row>
    <row r="333" spans="1:8" ht="37.5" x14ac:dyDescent="0.3">
      <c r="A333" s="228">
        <f t="shared" si="5"/>
        <v>328</v>
      </c>
      <c r="B333" s="475" t="str" cm="1">
        <f t="array" ref="B333">IADNumber&amp; " Roof"</f>
        <v>IAD35 Roof</v>
      </c>
      <c r="C333" s="475" t="str">
        <f>zSelectedEquipment &amp; " RTU 5"</f>
        <v>G104-Gen-B RTU 5</v>
      </c>
      <c r="D333" s="190" t="s">
        <v>3659</v>
      </c>
      <c r="E333" s="388" t="s">
        <v>3654</v>
      </c>
      <c r="F333" s="189"/>
      <c r="G333" s="189" t="s">
        <v>1519</v>
      </c>
      <c r="H333" s="498"/>
    </row>
    <row r="334" spans="1:8" ht="37.5" x14ac:dyDescent="0.3">
      <c r="A334" s="228">
        <f t="shared" si="5"/>
        <v>329</v>
      </c>
      <c r="B334" s="475" t="str" cm="1">
        <f t="array" ref="B334">IADNumber&amp; " Roof"</f>
        <v>IAD35 Roof</v>
      </c>
      <c r="C334" s="475" t="str">
        <f>zSelectedEquipment &amp; " RTU 5"</f>
        <v>G104-Gen-B RTU 5</v>
      </c>
      <c r="D334" s="195" t="s">
        <v>3660</v>
      </c>
      <c r="E334" s="388" t="s">
        <v>3654</v>
      </c>
      <c r="F334" s="189"/>
      <c r="G334" s="189" t="s">
        <v>1519</v>
      </c>
      <c r="H334" s="498"/>
    </row>
    <row r="335" spans="1:8" ht="37.5" x14ac:dyDescent="0.3">
      <c r="A335" s="228">
        <f t="shared" si="5"/>
        <v>330</v>
      </c>
      <c r="B335" s="475" t="str" cm="1">
        <f t="array" ref="B335">IADNumber&amp; " Roof"</f>
        <v>IAD35 Roof</v>
      </c>
      <c r="C335" s="475" t="str">
        <f>zSelectedEquipment &amp; " RTU 5"</f>
        <v>G104-Gen-B RTU 5</v>
      </c>
      <c r="D335" s="195" t="s">
        <v>3661</v>
      </c>
      <c r="E335" s="388" t="s">
        <v>3654</v>
      </c>
      <c r="F335" s="189"/>
      <c r="G335" s="189" t="s">
        <v>1519</v>
      </c>
      <c r="H335" s="498"/>
    </row>
    <row r="336" spans="1:8" ht="56.25" x14ac:dyDescent="0.3">
      <c r="A336" s="228">
        <f t="shared" si="5"/>
        <v>331</v>
      </c>
      <c r="B336" s="475" t="str" cm="1">
        <f t="array" ref="B336">IADNumber&amp; " Roof"</f>
        <v>IAD35 Roof</v>
      </c>
      <c r="C336" s="475" t="str">
        <f>zSelectedEquipment &amp; " RTU 5"</f>
        <v>G104-Gen-B RTU 5</v>
      </c>
      <c r="D336" s="195" t="s">
        <v>3662</v>
      </c>
      <c r="E336" s="388" t="s">
        <v>3663</v>
      </c>
      <c r="F336" s="189"/>
      <c r="G336" s="189" t="s">
        <v>1519</v>
      </c>
      <c r="H336" s="498"/>
    </row>
    <row r="337" spans="1:8" ht="93.75" x14ac:dyDescent="0.3">
      <c r="A337" s="228">
        <f t="shared" si="5"/>
        <v>332</v>
      </c>
      <c r="B337" s="475" t="str" cm="1">
        <f t="array" ref="B337">IADNumber&amp; " Roof"</f>
        <v>IAD35 Roof</v>
      </c>
      <c r="C337" s="475" t="str">
        <f>zSelectedEquipment &amp; " RTU 5"</f>
        <v>G104-Gen-B RTU 5</v>
      </c>
      <c r="D337" s="195" t="s">
        <v>3664</v>
      </c>
      <c r="E337" s="388" t="s">
        <v>1529</v>
      </c>
      <c r="F337" s="189"/>
      <c r="G337" s="189" t="s">
        <v>1519</v>
      </c>
      <c r="H337" s="498"/>
    </row>
    <row r="338" spans="1:8" x14ac:dyDescent="0.3">
      <c r="A338" s="228">
        <f t="shared" si="5"/>
        <v>333</v>
      </c>
      <c r="B338" s="717" t="s">
        <v>3665</v>
      </c>
      <c r="C338" s="718"/>
      <c r="D338" s="718"/>
      <c r="E338" s="718"/>
      <c r="F338" s="718"/>
      <c r="G338" s="719"/>
      <c r="H338" s="498"/>
    </row>
    <row r="339" spans="1:8" ht="37.5" x14ac:dyDescent="0.3">
      <c r="A339" s="228">
        <f t="shared" si="5"/>
        <v>334</v>
      </c>
      <c r="B339" s="475" t="str" cm="1">
        <f t="array" ref="B339">IADNumber&amp; " Roof"</f>
        <v>IAD35 Roof</v>
      </c>
      <c r="C339" s="475" t="str">
        <f>zSelectedEquipment &amp; " RTU 5"</f>
        <v>G104-Gen-B RTU 5</v>
      </c>
      <c r="D339" s="195" t="s">
        <v>3666</v>
      </c>
      <c r="E339" s="388" t="s">
        <v>1529</v>
      </c>
      <c r="F339" s="193"/>
      <c r="G339" s="193" t="s">
        <v>1519</v>
      </c>
      <c r="H339" s="498"/>
    </row>
    <row r="340" spans="1:8" ht="37.5" x14ac:dyDescent="0.3">
      <c r="A340" s="228">
        <f t="shared" si="5"/>
        <v>335</v>
      </c>
      <c r="B340" s="475" t="str" cm="1">
        <f t="array" ref="B340">IADNumber&amp; " Roof"</f>
        <v>IAD35 Roof</v>
      </c>
      <c r="C340" s="475" t="str">
        <f>zSelectedEquipment &amp; " RTU 5"</f>
        <v>G104-Gen-B RTU 5</v>
      </c>
      <c r="D340" s="195" t="s">
        <v>3667</v>
      </c>
      <c r="E340" s="388" t="s">
        <v>1529</v>
      </c>
      <c r="F340" s="193"/>
      <c r="G340" s="193" t="s">
        <v>1519</v>
      </c>
      <c r="H340" s="498"/>
    </row>
    <row r="341" spans="1:8" ht="37.5" x14ac:dyDescent="0.3">
      <c r="A341" s="228">
        <f t="shared" si="5"/>
        <v>336</v>
      </c>
      <c r="B341" s="475" t="str" cm="1">
        <f t="array" ref="B341">IADNumber&amp; " Roof"</f>
        <v>IAD35 Roof</v>
      </c>
      <c r="C341" s="475" t="str">
        <f>zSelectedEquipment &amp; " RTU 5"</f>
        <v>G104-Gen-B RTU 5</v>
      </c>
      <c r="D341" s="195" t="s">
        <v>2251</v>
      </c>
      <c r="E341" s="388" t="s">
        <v>1529</v>
      </c>
      <c r="F341" s="193"/>
      <c r="G341" s="193" t="s">
        <v>1519</v>
      </c>
      <c r="H341" s="498"/>
    </row>
    <row r="342" spans="1:8" ht="56.25" x14ac:dyDescent="0.3">
      <c r="A342" s="228">
        <f t="shared" si="5"/>
        <v>337</v>
      </c>
      <c r="B342" s="475" t="str" cm="1">
        <f t="array" ref="B342">IADNumber&amp; " Roof"</f>
        <v>IAD35 Roof</v>
      </c>
      <c r="C342" s="475" t="str">
        <f>zSelectedEquipment &amp; " RTU 5"</f>
        <v>G104-Gen-B RTU 5</v>
      </c>
      <c r="D342" s="195" t="s">
        <v>3668</v>
      </c>
      <c r="E342" s="388" t="s">
        <v>1529</v>
      </c>
      <c r="F342" s="193"/>
      <c r="G342" s="193" t="s">
        <v>1519</v>
      </c>
      <c r="H342" s="498"/>
    </row>
    <row r="343" spans="1:8" x14ac:dyDescent="0.3">
      <c r="A343" s="228">
        <f t="shared" si="5"/>
        <v>338</v>
      </c>
      <c r="B343" s="717" t="s">
        <v>2253</v>
      </c>
      <c r="C343" s="718"/>
      <c r="D343" s="718"/>
      <c r="E343" s="718"/>
      <c r="F343" s="718"/>
      <c r="G343" s="719"/>
      <c r="H343" s="498"/>
    </row>
    <row r="344" spans="1:8" ht="75" x14ac:dyDescent="0.3">
      <c r="A344" s="228">
        <f t="shared" si="5"/>
        <v>339</v>
      </c>
      <c r="B344" s="475" t="str" cm="1">
        <f t="array" ref="B344">IADNumber&amp; " Roof"</f>
        <v>IAD35 Roof</v>
      </c>
      <c r="C344" s="475" t="str">
        <f>zSelectedEquipment &amp; " RTU 5"</f>
        <v>G104-Gen-B RTU 5</v>
      </c>
      <c r="D344" s="195" t="s">
        <v>3669</v>
      </c>
      <c r="E344" s="388" t="s">
        <v>1529</v>
      </c>
      <c r="F344" s="193"/>
      <c r="G344" s="193"/>
      <c r="H344" s="498"/>
    </row>
    <row r="345" spans="1:8" ht="37.5" x14ac:dyDescent="0.3">
      <c r="A345" s="228">
        <f t="shared" si="5"/>
        <v>340</v>
      </c>
      <c r="B345" s="475" t="str" cm="1">
        <f t="array" ref="B345">IADNumber&amp; " Roof"</f>
        <v>IAD35 Roof</v>
      </c>
      <c r="C345" s="475" t="str">
        <f>zSelectedEquipment &amp; " RTU 5"</f>
        <v>G104-Gen-B RTU 5</v>
      </c>
      <c r="D345" s="195" t="s">
        <v>2255</v>
      </c>
      <c r="E345" s="388" t="s">
        <v>1529</v>
      </c>
      <c r="F345" s="193"/>
      <c r="G345" s="193" t="s">
        <v>1519</v>
      </c>
      <c r="H345" s="498"/>
    </row>
    <row r="346" spans="1:8" x14ac:dyDescent="0.3">
      <c r="A346" s="228">
        <f t="shared" si="5"/>
        <v>341</v>
      </c>
      <c r="B346" s="789" t="s">
        <v>2366</v>
      </c>
      <c r="C346" s="790"/>
      <c r="D346" s="790"/>
      <c r="E346" s="790"/>
      <c r="F346" s="790"/>
      <c r="G346" s="791"/>
      <c r="H346" s="498"/>
    </row>
    <row r="347" spans="1:8" ht="37.5" x14ac:dyDescent="0.3">
      <c r="A347" s="228">
        <f t="shared" si="5"/>
        <v>342</v>
      </c>
      <c r="B347" s="475" t="str" cm="1">
        <f t="array" ref="B347">IADNumber&amp; " Roof"</f>
        <v>IAD35 Roof</v>
      </c>
      <c r="C347" s="475" t="str">
        <f>zSelectedEquipment &amp; " RTU 5"</f>
        <v>G104-Gen-B RTU 5</v>
      </c>
      <c r="D347" s="195" t="s">
        <v>2306</v>
      </c>
      <c r="E347" s="388" t="s">
        <v>1529</v>
      </c>
      <c r="F347" s="193"/>
      <c r="G347" s="193" t="s">
        <v>1519</v>
      </c>
      <c r="H347" s="498"/>
    </row>
    <row r="348" spans="1:8" ht="37.5" x14ac:dyDescent="0.3">
      <c r="A348" s="228">
        <f t="shared" si="5"/>
        <v>343</v>
      </c>
      <c r="B348" s="475" t="str" cm="1">
        <f t="array" ref="B348">IADNumber&amp; " Roof"</f>
        <v>IAD35 Roof</v>
      </c>
      <c r="C348" s="475" t="str">
        <f>zSelectedEquipment &amp; " RTU 5"</f>
        <v>G104-Gen-B RTU 5</v>
      </c>
      <c r="D348" s="195" t="s">
        <v>3670</v>
      </c>
      <c r="E348" s="388" t="s">
        <v>1529</v>
      </c>
      <c r="F348" s="193"/>
      <c r="G348" s="193" t="s">
        <v>1519</v>
      </c>
      <c r="H348" s="498"/>
    </row>
    <row r="349" spans="1:8" ht="37.5" x14ac:dyDescent="0.3">
      <c r="A349" s="228">
        <f t="shared" si="5"/>
        <v>344</v>
      </c>
      <c r="B349" s="475" t="str" cm="1">
        <f t="array" ref="B349">IADNumber&amp; " Roof"</f>
        <v>IAD35 Roof</v>
      </c>
      <c r="C349" s="475" t="str">
        <f>zSelectedEquipment &amp; " RTU 5"</f>
        <v>G104-Gen-B RTU 5</v>
      </c>
      <c r="D349" s="195" t="s">
        <v>2368</v>
      </c>
      <c r="E349" s="388" t="s">
        <v>1529</v>
      </c>
      <c r="F349" s="193"/>
      <c r="G349" s="193" t="s">
        <v>1519</v>
      </c>
      <c r="H349" s="498"/>
    </row>
    <row r="350" spans="1:8" ht="37.5" x14ac:dyDescent="0.3">
      <c r="A350" s="228">
        <f t="shared" si="5"/>
        <v>345</v>
      </c>
      <c r="B350" s="475" t="str" cm="1">
        <f t="array" ref="B350">IADNumber&amp; " Roof"</f>
        <v>IAD35 Roof</v>
      </c>
      <c r="C350" s="475" t="str">
        <f>zSelectedEquipment &amp; " RTU 5"</f>
        <v>G104-Gen-B RTU 5</v>
      </c>
      <c r="D350" s="195" t="s">
        <v>2309</v>
      </c>
      <c r="E350" s="388" t="s">
        <v>1529</v>
      </c>
      <c r="F350" s="193"/>
      <c r="G350" s="193" t="s">
        <v>1519</v>
      </c>
      <c r="H350" s="498"/>
    </row>
    <row r="351" spans="1:8" ht="37.5" x14ac:dyDescent="0.3">
      <c r="A351" s="228">
        <f t="shared" si="5"/>
        <v>346</v>
      </c>
      <c r="B351" s="475" t="str" cm="1">
        <f t="array" ref="B351">IADNumber&amp; " Roof"</f>
        <v>IAD35 Roof</v>
      </c>
      <c r="C351" s="475" t="str">
        <f>zSelectedEquipment &amp; " RTU 5"</f>
        <v>G104-Gen-B RTU 5</v>
      </c>
      <c r="D351" s="195" t="s">
        <v>2310</v>
      </c>
      <c r="E351" s="388" t="s">
        <v>1529</v>
      </c>
      <c r="F351" s="193"/>
      <c r="G351" s="193" t="s">
        <v>1519</v>
      </c>
      <c r="H351" s="498"/>
    </row>
    <row r="352" spans="1:8" ht="37.5" x14ac:dyDescent="0.3">
      <c r="A352" s="228">
        <f t="shared" si="5"/>
        <v>347</v>
      </c>
      <c r="B352" s="475" t="str" cm="1">
        <f t="array" ref="B352">IADNumber&amp; " Roof"</f>
        <v>IAD35 Roof</v>
      </c>
      <c r="C352" s="475" t="str">
        <f>zSelectedEquipment &amp; " RTU 5"</f>
        <v>G104-Gen-B RTU 5</v>
      </c>
      <c r="D352" s="195" t="s">
        <v>2311</v>
      </c>
      <c r="E352" s="388" t="s">
        <v>1529</v>
      </c>
      <c r="F352" s="193"/>
      <c r="G352" s="193" t="s">
        <v>1519</v>
      </c>
      <c r="H352" s="498"/>
    </row>
    <row r="353" spans="1:8" x14ac:dyDescent="0.3">
      <c r="A353" s="228">
        <f t="shared" si="5"/>
        <v>348</v>
      </c>
      <c r="B353" s="717" t="s">
        <v>2312</v>
      </c>
      <c r="C353" s="718"/>
      <c r="D353" s="718"/>
      <c r="E353" s="718"/>
      <c r="F353" s="718"/>
      <c r="G353" s="719"/>
      <c r="H353" s="498"/>
    </row>
    <row r="354" spans="1:8" ht="37.5" x14ac:dyDescent="0.3">
      <c r="A354" s="228">
        <f t="shared" si="5"/>
        <v>349</v>
      </c>
      <c r="B354" s="475" t="str" cm="1">
        <f t="array" ref="B354">IADNumber&amp; " Roof"</f>
        <v>IAD35 Roof</v>
      </c>
      <c r="C354" s="475" t="str">
        <f>zSelectedEquipment &amp; " RTU 5"</f>
        <v>G104-Gen-B RTU 5</v>
      </c>
      <c r="D354" s="195" t="s">
        <v>2369</v>
      </c>
      <c r="E354" s="388" t="s">
        <v>1529</v>
      </c>
      <c r="F354" s="189"/>
      <c r="G354" s="193" t="s">
        <v>1519</v>
      </c>
      <c r="H354" s="498"/>
    </row>
    <row r="355" spans="1:8" ht="37.5" x14ac:dyDescent="0.3">
      <c r="A355" s="228">
        <f t="shared" si="5"/>
        <v>350</v>
      </c>
      <c r="B355" s="475" t="str" cm="1">
        <f t="array" ref="B355">IADNumber&amp; " Roof"</f>
        <v>IAD35 Roof</v>
      </c>
      <c r="C355" s="475" t="str">
        <f>zSelectedEquipment &amp; " RTU 5"</f>
        <v>G104-Gen-B RTU 5</v>
      </c>
      <c r="D355" s="195" t="s">
        <v>3671</v>
      </c>
      <c r="E355" s="388" t="s">
        <v>1529</v>
      </c>
      <c r="F355" s="189"/>
      <c r="G355" s="193" t="s">
        <v>1519</v>
      </c>
      <c r="H355" s="498"/>
    </row>
    <row r="356" spans="1:8" ht="37.5" x14ac:dyDescent="0.3">
      <c r="A356" s="228">
        <f t="shared" si="5"/>
        <v>351</v>
      </c>
      <c r="B356" s="475" t="str" cm="1">
        <f t="array" ref="B356">IADNumber&amp; " Roof"</f>
        <v>IAD35 Roof</v>
      </c>
      <c r="C356" s="475" t="str">
        <f>zSelectedEquipment &amp; " RTU 5"</f>
        <v>G104-Gen-B RTU 5</v>
      </c>
      <c r="D356" s="195" t="s">
        <v>3672</v>
      </c>
      <c r="E356" s="388" t="s">
        <v>1529</v>
      </c>
      <c r="F356" s="189"/>
      <c r="G356" s="193" t="s">
        <v>1519</v>
      </c>
      <c r="H356" s="498"/>
    </row>
    <row r="357" spans="1:8" ht="37.5" x14ac:dyDescent="0.3">
      <c r="A357" s="228">
        <f t="shared" si="5"/>
        <v>352</v>
      </c>
      <c r="B357" s="475" t="str" cm="1">
        <f t="array" ref="B357">IADNumber&amp; " Roof"</f>
        <v>IAD35 Roof</v>
      </c>
      <c r="C357" s="475" t="str">
        <f>zSelectedEquipment &amp; " RTU 5"</f>
        <v>G104-Gen-B RTU 5</v>
      </c>
      <c r="D357" s="195" t="s">
        <v>2315</v>
      </c>
      <c r="E357" s="388" t="s">
        <v>1529</v>
      </c>
      <c r="F357" s="189"/>
      <c r="G357" s="193" t="s">
        <v>1519</v>
      </c>
      <c r="H357" s="498"/>
    </row>
    <row r="358" spans="1:8" ht="37.5" x14ac:dyDescent="0.3">
      <c r="A358" s="228">
        <f t="shared" si="5"/>
        <v>353</v>
      </c>
      <c r="B358" s="475" t="str" cm="1">
        <f t="array" ref="B358">IADNumber&amp; " Roof"</f>
        <v>IAD35 Roof</v>
      </c>
      <c r="C358" s="475" t="str">
        <f>zSelectedEquipment &amp; " RTU 5"</f>
        <v>G104-Gen-B RTU 5</v>
      </c>
      <c r="D358" s="195" t="s">
        <v>2373</v>
      </c>
      <c r="E358" s="388" t="s">
        <v>1529</v>
      </c>
      <c r="F358" s="189"/>
      <c r="G358" s="193" t="s">
        <v>1519</v>
      </c>
      <c r="H358" s="498"/>
    </row>
    <row r="359" spans="1:8" ht="37.5" x14ac:dyDescent="0.3">
      <c r="A359" s="228">
        <f t="shared" si="5"/>
        <v>354</v>
      </c>
      <c r="B359" s="475" t="str" cm="1">
        <f t="array" ref="B359">IADNumber&amp; " Roof"</f>
        <v>IAD35 Roof</v>
      </c>
      <c r="C359" s="475" t="str">
        <f>zSelectedEquipment &amp; " RTU 5"</f>
        <v>G104-Gen-B RTU 5</v>
      </c>
      <c r="D359" s="195" t="s">
        <v>3673</v>
      </c>
      <c r="E359" s="388" t="s">
        <v>1529</v>
      </c>
      <c r="F359" s="189"/>
      <c r="G359" s="193" t="s">
        <v>1519</v>
      </c>
      <c r="H359" s="498"/>
    </row>
    <row r="360" spans="1:8" ht="37.5" x14ac:dyDescent="0.3">
      <c r="A360" s="228">
        <f t="shared" si="5"/>
        <v>355</v>
      </c>
      <c r="B360" s="475" t="str" cm="1">
        <f t="array" ref="B360">IADNumber&amp; " Roof"</f>
        <v>IAD35 Roof</v>
      </c>
      <c r="C360" s="475" t="str">
        <f>zSelectedEquipment &amp; " RTU 5"</f>
        <v>G104-Gen-B RTU 5</v>
      </c>
      <c r="D360" s="195" t="s">
        <v>3674</v>
      </c>
      <c r="E360" s="388" t="s">
        <v>1529</v>
      </c>
      <c r="F360" s="189"/>
      <c r="G360" s="193" t="s">
        <v>1519</v>
      </c>
      <c r="H360" s="498"/>
    </row>
    <row r="361" spans="1:8" ht="37.5" x14ac:dyDescent="0.3">
      <c r="A361" s="228">
        <f t="shared" si="5"/>
        <v>356</v>
      </c>
      <c r="B361" s="475" t="str" cm="1">
        <f t="array" ref="B361">IADNumber&amp; " Roof"</f>
        <v>IAD35 Roof</v>
      </c>
      <c r="C361" s="475" t="str">
        <f>zSelectedEquipment &amp; " RTU 5"</f>
        <v>G104-Gen-B RTU 5</v>
      </c>
      <c r="D361" s="195" t="s">
        <v>3675</v>
      </c>
      <c r="E361" s="388" t="s">
        <v>1529</v>
      </c>
      <c r="F361" s="189"/>
      <c r="G361" s="193" t="s">
        <v>1519</v>
      </c>
      <c r="H361" s="498"/>
    </row>
    <row r="362" spans="1:8" ht="37.5" x14ac:dyDescent="0.3">
      <c r="A362" s="228">
        <f t="shared" si="5"/>
        <v>357</v>
      </c>
      <c r="B362" s="475" t="str" cm="1">
        <f t="array" ref="B362">IADNumber&amp; " Roof"</f>
        <v>IAD35 Roof</v>
      </c>
      <c r="C362" s="475" t="str">
        <f>zSelectedEquipment &amp; " RTU 5"</f>
        <v>G104-Gen-B RTU 5</v>
      </c>
      <c r="D362" s="195" t="s">
        <v>3676</v>
      </c>
      <c r="E362" s="388" t="s">
        <v>1529</v>
      </c>
      <c r="F362" s="189"/>
      <c r="G362" s="193" t="s">
        <v>1519</v>
      </c>
      <c r="H362" s="498"/>
    </row>
    <row r="363" spans="1:8" ht="37.5" x14ac:dyDescent="0.3">
      <c r="A363" s="228">
        <f t="shared" si="5"/>
        <v>358</v>
      </c>
      <c r="B363" s="475" t="str" cm="1">
        <f t="array" ref="B363">IADNumber&amp; " Roof"</f>
        <v>IAD35 Roof</v>
      </c>
      <c r="C363" s="475" t="str">
        <f>zSelectedEquipment &amp; " RTU 5"</f>
        <v>G104-Gen-B RTU 5</v>
      </c>
      <c r="D363" s="195" t="s">
        <v>3672</v>
      </c>
      <c r="E363" s="388" t="s">
        <v>1529</v>
      </c>
      <c r="F363" s="189"/>
      <c r="G363" s="193" t="s">
        <v>1519</v>
      </c>
      <c r="H363" s="498"/>
    </row>
    <row r="364" spans="1:8" ht="37.5" x14ac:dyDescent="0.3">
      <c r="A364" s="228">
        <f t="shared" si="5"/>
        <v>359</v>
      </c>
      <c r="B364" s="475" t="str" cm="1">
        <f t="array" ref="B364">IADNumber&amp; " Roof"</f>
        <v>IAD35 Roof</v>
      </c>
      <c r="C364" s="475" t="str">
        <f>zSelectedEquipment &amp; " RTU 5"</f>
        <v>G104-Gen-B RTU 5</v>
      </c>
      <c r="D364" s="494" t="s">
        <v>3677</v>
      </c>
      <c r="E364" s="388" t="s">
        <v>1529</v>
      </c>
      <c r="F364" s="189"/>
      <c r="G364" s="193" t="s">
        <v>1519</v>
      </c>
      <c r="H364" s="498"/>
    </row>
    <row r="365" spans="1:8" ht="75" x14ac:dyDescent="0.3">
      <c r="A365" s="228">
        <f t="shared" si="5"/>
        <v>360</v>
      </c>
      <c r="B365" s="475" t="str" cm="1">
        <f t="array" ref="B365">IADNumber&amp; " Roof"</f>
        <v>IAD35 Roof</v>
      </c>
      <c r="C365" s="475" t="str">
        <f>zSelectedEquipment &amp; " RTU 5"</f>
        <v>G104-Gen-B RTU 5</v>
      </c>
      <c r="D365" s="494" t="s">
        <v>3678</v>
      </c>
      <c r="E365" s="388" t="s">
        <v>1529</v>
      </c>
      <c r="F365" s="189"/>
      <c r="G365" s="193" t="s">
        <v>1519</v>
      </c>
      <c r="H365" s="498"/>
    </row>
    <row r="366" spans="1:8" x14ac:dyDescent="0.3">
      <c r="A366" s="228">
        <f t="shared" si="5"/>
        <v>361</v>
      </c>
      <c r="B366" s="717" t="s">
        <v>2379</v>
      </c>
      <c r="C366" s="718"/>
      <c r="D366" s="718"/>
      <c r="E366" s="718"/>
      <c r="F366" s="718"/>
      <c r="G366" s="719"/>
      <c r="H366" s="498"/>
    </row>
    <row r="367" spans="1:8" ht="37.5" x14ac:dyDescent="0.3">
      <c r="A367" s="228">
        <f t="shared" si="5"/>
        <v>362</v>
      </c>
      <c r="B367" s="475" t="str" cm="1">
        <f t="array" ref="B367">IADNumber&amp; " Roof"</f>
        <v>IAD35 Roof</v>
      </c>
      <c r="C367" s="475" t="str">
        <f>zSelectedEquipment &amp; " RTU 5"</f>
        <v>G104-Gen-B RTU 5</v>
      </c>
      <c r="D367" s="245" t="s">
        <v>2323</v>
      </c>
      <c r="E367" s="388" t="s">
        <v>1529</v>
      </c>
      <c r="F367" s="189"/>
      <c r="G367" s="189" t="s">
        <v>1519</v>
      </c>
      <c r="H367" s="498"/>
    </row>
    <row r="368" spans="1:8" ht="37.5" x14ac:dyDescent="0.3">
      <c r="A368" s="228">
        <f t="shared" si="5"/>
        <v>363</v>
      </c>
      <c r="B368" s="475" t="str" cm="1">
        <f t="array" ref="B368">IADNumber&amp; " Roof"</f>
        <v>IAD35 Roof</v>
      </c>
      <c r="C368" s="475" t="str">
        <f>zSelectedEquipment &amp; " RTU 5"</f>
        <v>G104-Gen-B RTU 5</v>
      </c>
      <c r="D368" s="245" t="s">
        <v>2324</v>
      </c>
      <c r="E368" s="388" t="s">
        <v>1529</v>
      </c>
      <c r="F368" s="189"/>
      <c r="G368" s="189" t="s">
        <v>1519</v>
      </c>
      <c r="H368" s="498"/>
    </row>
    <row r="369" spans="1:8" ht="37.5" x14ac:dyDescent="0.3">
      <c r="A369" s="228">
        <f t="shared" si="5"/>
        <v>364</v>
      </c>
      <c r="B369" s="475" t="str" cm="1">
        <f t="array" ref="B369">IADNumber&amp; " Roof"</f>
        <v>IAD35 Roof</v>
      </c>
      <c r="C369" s="475" t="str">
        <f>zSelectedEquipment &amp; " RTU 5"</f>
        <v>G104-Gen-B RTU 5</v>
      </c>
      <c r="D369" s="245" t="s">
        <v>2325</v>
      </c>
      <c r="E369" s="388" t="s">
        <v>1529</v>
      </c>
      <c r="F369" s="189"/>
      <c r="G369" s="189" t="s">
        <v>1519</v>
      </c>
      <c r="H369" s="498"/>
    </row>
    <row r="370" spans="1:8" ht="37.5" x14ac:dyDescent="0.3">
      <c r="A370" s="228">
        <f t="shared" si="5"/>
        <v>365</v>
      </c>
      <c r="B370" s="475" t="str" cm="1">
        <f t="array" ref="B370">IADNumber&amp; " Roof"</f>
        <v>IAD35 Roof</v>
      </c>
      <c r="C370" s="475" t="str">
        <f>zSelectedEquipment &amp; " RTU 5"</f>
        <v>G104-Gen-B RTU 5</v>
      </c>
      <c r="D370" s="245" t="s">
        <v>2326</v>
      </c>
      <c r="E370" s="388" t="s">
        <v>1529</v>
      </c>
      <c r="F370" s="189"/>
      <c r="G370" s="189" t="s">
        <v>1519</v>
      </c>
      <c r="H370" s="498"/>
    </row>
    <row r="371" spans="1:8" ht="37.5" x14ac:dyDescent="0.3">
      <c r="A371" s="228">
        <f t="shared" si="5"/>
        <v>366</v>
      </c>
      <c r="B371" s="475" t="str" cm="1">
        <f t="array" ref="B371">IADNumber&amp; " Roof"</f>
        <v>IAD35 Roof</v>
      </c>
      <c r="C371" s="475" t="str">
        <f>zSelectedEquipment &amp; " RTU 5"</f>
        <v>G104-Gen-B RTU 5</v>
      </c>
      <c r="D371" s="245" t="s">
        <v>2327</v>
      </c>
      <c r="E371" s="388" t="s">
        <v>1529</v>
      </c>
      <c r="F371" s="189"/>
      <c r="G371" s="189" t="s">
        <v>1519</v>
      </c>
      <c r="H371" s="498"/>
    </row>
    <row r="372" spans="1:8" ht="37.5" x14ac:dyDescent="0.3">
      <c r="A372" s="228">
        <f t="shared" si="5"/>
        <v>367</v>
      </c>
      <c r="B372" s="475" t="str" cm="1">
        <f t="array" ref="B372">IADNumber&amp; " Roof"</f>
        <v>IAD35 Roof</v>
      </c>
      <c r="C372" s="475" t="str">
        <f>zSelectedEquipment &amp; " RTU 5"</f>
        <v>G104-Gen-B RTU 5</v>
      </c>
      <c r="D372" s="245" t="s">
        <v>2328</v>
      </c>
      <c r="E372" s="388" t="s">
        <v>1529</v>
      </c>
      <c r="F372" s="189"/>
      <c r="G372" s="189" t="s">
        <v>1519</v>
      </c>
      <c r="H372" s="498"/>
    </row>
    <row r="373" spans="1:8" x14ac:dyDescent="0.3">
      <c r="A373" s="228">
        <f t="shared" si="5"/>
        <v>368</v>
      </c>
      <c r="B373" s="717" t="s">
        <v>2329</v>
      </c>
      <c r="C373" s="718"/>
      <c r="D373" s="718"/>
      <c r="E373" s="718"/>
      <c r="F373" s="718"/>
      <c r="G373" s="719"/>
      <c r="H373" s="498"/>
    </row>
    <row r="374" spans="1:8" ht="37.5" x14ac:dyDescent="0.3">
      <c r="A374" s="228">
        <f t="shared" si="5"/>
        <v>369</v>
      </c>
      <c r="B374" s="475" t="str" cm="1">
        <f t="array" ref="B374">IADNumber&amp; " Roof"</f>
        <v>IAD35 Roof</v>
      </c>
      <c r="C374" s="475" t="str">
        <f>zSelectedEquipment &amp; " RTU 5"</f>
        <v>G104-Gen-B RTU 5</v>
      </c>
      <c r="D374" s="245" t="s">
        <v>2331</v>
      </c>
      <c r="E374" s="388" t="s">
        <v>1529</v>
      </c>
      <c r="F374" s="189"/>
      <c r="G374" s="189" t="s">
        <v>1519</v>
      </c>
      <c r="H374" s="498"/>
    </row>
    <row r="375" spans="1:8" ht="37.5" x14ac:dyDescent="0.3">
      <c r="A375" s="228">
        <f t="shared" si="5"/>
        <v>370</v>
      </c>
      <c r="B375" s="475" t="str" cm="1">
        <f t="array" ref="B375">IADNumber&amp; " Roof"</f>
        <v>IAD35 Roof</v>
      </c>
      <c r="C375" s="475" t="str">
        <f>zSelectedEquipment &amp; " RTU 5"</f>
        <v>G104-Gen-B RTU 5</v>
      </c>
      <c r="D375" s="245" t="s">
        <v>2332</v>
      </c>
      <c r="E375" s="388" t="s">
        <v>1529</v>
      </c>
      <c r="F375" s="189"/>
      <c r="G375" s="189" t="s">
        <v>1519</v>
      </c>
      <c r="H375" s="498"/>
    </row>
    <row r="376" spans="1:8" ht="37.5" x14ac:dyDescent="0.3">
      <c r="A376" s="228">
        <f t="shared" si="5"/>
        <v>371</v>
      </c>
      <c r="B376" s="475" t="str" cm="1">
        <f t="array" ref="B376">IADNumber&amp; " Roof"</f>
        <v>IAD35 Roof</v>
      </c>
      <c r="C376" s="475" t="str">
        <f>zSelectedEquipment &amp; " RTU 5"</f>
        <v>G104-Gen-B RTU 5</v>
      </c>
      <c r="D376" s="245" t="s">
        <v>2333</v>
      </c>
      <c r="E376" s="388" t="s">
        <v>1529</v>
      </c>
      <c r="F376" s="189"/>
      <c r="G376" s="189" t="s">
        <v>1519</v>
      </c>
      <c r="H376" s="498"/>
    </row>
    <row r="377" spans="1:8" ht="37.5" x14ac:dyDescent="0.3">
      <c r="A377" s="228">
        <f t="shared" si="5"/>
        <v>372</v>
      </c>
      <c r="B377" s="475" t="str" cm="1">
        <f t="array" ref="B377">IADNumber&amp; " Roof"</f>
        <v>IAD35 Roof</v>
      </c>
      <c r="C377" s="475" t="str">
        <f>zSelectedEquipment &amp; " RTU 5"</f>
        <v>G104-Gen-B RTU 5</v>
      </c>
      <c r="D377" s="245" t="s">
        <v>2334</v>
      </c>
      <c r="E377" s="388" t="s">
        <v>1529</v>
      </c>
      <c r="F377" s="189"/>
      <c r="G377" s="189" t="s">
        <v>1519</v>
      </c>
      <c r="H377" s="498"/>
    </row>
    <row r="378" spans="1:8" ht="37.5" x14ac:dyDescent="0.3">
      <c r="A378" s="228">
        <f t="shared" si="5"/>
        <v>373</v>
      </c>
      <c r="B378" s="475" t="str" cm="1">
        <f t="array" ref="B378">IADNumber&amp; " Roof"</f>
        <v>IAD35 Roof</v>
      </c>
      <c r="C378" s="475" t="str">
        <f>zSelectedEquipment &amp; " RTU 5"</f>
        <v>G104-Gen-B RTU 5</v>
      </c>
      <c r="D378" s="245" t="s">
        <v>2335</v>
      </c>
      <c r="E378" s="388" t="s">
        <v>1529</v>
      </c>
      <c r="F378" s="189"/>
      <c r="G378" s="189" t="s">
        <v>1519</v>
      </c>
      <c r="H378" s="498"/>
    </row>
    <row r="379" spans="1:8" ht="37.5" x14ac:dyDescent="0.3">
      <c r="A379" s="228">
        <f t="shared" si="5"/>
        <v>374</v>
      </c>
      <c r="B379" s="475" t="str" cm="1">
        <f t="array" ref="B379">IADNumber&amp; " Roof"</f>
        <v>IAD35 Roof</v>
      </c>
      <c r="C379" s="475" t="str">
        <f>zSelectedEquipment &amp; " RTU 5"</f>
        <v>G104-Gen-B RTU 5</v>
      </c>
      <c r="D379" s="245" t="s">
        <v>2337</v>
      </c>
      <c r="E379" s="388" t="s">
        <v>1529</v>
      </c>
      <c r="F379" s="189"/>
      <c r="G379" s="189" t="s">
        <v>1519</v>
      </c>
      <c r="H379" s="498"/>
    </row>
    <row r="380" spans="1:8" x14ac:dyDescent="0.3">
      <c r="A380" s="228">
        <f t="shared" si="5"/>
        <v>375</v>
      </c>
      <c r="B380" s="717" t="s">
        <v>2383</v>
      </c>
      <c r="C380" s="718"/>
      <c r="D380" s="718"/>
      <c r="E380" s="718"/>
      <c r="F380" s="718"/>
      <c r="G380" s="719"/>
      <c r="H380" s="498"/>
    </row>
    <row r="381" spans="1:8" ht="37.5" x14ac:dyDescent="0.3">
      <c r="A381" s="228">
        <f t="shared" si="5"/>
        <v>376</v>
      </c>
      <c r="B381" s="475" t="str" cm="1">
        <f t="array" ref="B381">IADNumber&amp; " Roof"</f>
        <v>IAD35 Roof</v>
      </c>
      <c r="C381" s="475" t="str">
        <f>zSelectedEquipment &amp; " RTU 5"</f>
        <v>G104-Gen-B RTU 5</v>
      </c>
      <c r="D381" s="245" t="s">
        <v>2384</v>
      </c>
      <c r="E381" s="388" t="s">
        <v>1529</v>
      </c>
      <c r="F381" s="189"/>
      <c r="G381" s="189" t="s">
        <v>1519</v>
      </c>
      <c r="H381" s="498"/>
    </row>
    <row r="382" spans="1:8" ht="37.5" x14ac:dyDescent="0.3">
      <c r="A382" s="228">
        <f t="shared" si="5"/>
        <v>377</v>
      </c>
      <c r="B382" s="475" t="str" cm="1">
        <f t="array" ref="B382">IADNumber&amp; " Roof"</f>
        <v>IAD35 Roof</v>
      </c>
      <c r="C382" s="475" t="str">
        <f>zSelectedEquipment &amp; " RTU 5"</f>
        <v>G104-Gen-B RTU 5</v>
      </c>
      <c r="D382" s="245" t="s">
        <v>2318</v>
      </c>
      <c r="E382" s="388" t="s">
        <v>1529</v>
      </c>
      <c r="F382" s="189"/>
      <c r="G382" s="189" t="s">
        <v>1519</v>
      </c>
      <c r="H382" s="498"/>
    </row>
    <row r="383" spans="1:8" ht="37.5" x14ac:dyDescent="0.3">
      <c r="A383" s="228">
        <f t="shared" si="5"/>
        <v>378</v>
      </c>
      <c r="B383" s="475" t="str" cm="1">
        <f t="array" ref="B383">IADNumber&amp; " Roof"</f>
        <v>IAD35 Roof</v>
      </c>
      <c r="C383" s="475" t="str">
        <f>zSelectedEquipment &amp; " RTU 5"</f>
        <v>G104-Gen-B RTU 5</v>
      </c>
      <c r="D383" s="245" t="s">
        <v>2385</v>
      </c>
      <c r="E383" s="388" t="s">
        <v>1529</v>
      </c>
      <c r="F383" s="189"/>
      <c r="G383" s="189" t="s">
        <v>1519</v>
      </c>
      <c r="H383" s="498"/>
    </row>
    <row r="384" spans="1:8" ht="37.5" x14ac:dyDescent="0.3">
      <c r="A384" s="228">
        <f t="shared" si="5"/>
        <v>379</v>
      </c>
      <c r="B384" s="475" t="str" cm="1">
        <f t="array" ref="B384">IADNumber&amp; " Roof"</f>
        <v>IAD35 Roof</v>
      </c>
      <c r="C384" s="475" t="str">
        <f>zSelectedEquipment &amp; " RTU 5"</f>
        <v>G104-Gen-B RTU 5</v>
      </c>
      <c r="D384" s="245" t="s">
        <v>2320</v>
      </c>
      <c r="E384" s="388" t="s">
        <v>1529</v>
      </c>
      <c r="F384" s="189"/>
      <c r="G384" s="189" t="s">
        <v>1519</v>
      </c>
      <c r="H384" s="498"/>
    </row>
    <row r="385" spans="1:8" ht="37.5" x14ac:dyDescent="0.3">
      <c r="A385" s="228">
        <f t="shared" si="5"/>
        <v>380</v>
      </c>
      <c r="B385" s="475" t="str" cm="1">
        <f t="array" ref="B385">IADNumber&amp; " Roof"</f>
        <v>IAD35 Roof</v>
      </c>
      <c r="C385" s="475" t="str">
        <f>zSelectedEquipment &amp; " RTU 5"</f>
        <v>G104-Gen-B RTU 5</v>
      </c>
      <c r="D385" s="245" t="s">
        <v>2386</v>
      </c>
      <c r="E385" s="388" t="s">
        <v>1529</v>
      </c>
      <c r="F385" s="189"/>
      <c r="G385" s="189" t="s">
        <v>1519</v>
      </c>
      <c r="H385" s="498"/>
    </row>
    <row r="386" spans="1:8" ht="37.5" x14ac:dyDescent="0.3">
      <c r="A386" s="228">
        <f t="shared" si="5"/>
        <v>381</v>
      </c>
      <c r="B386" s="475" t="str" cm="1">
        <f t="array" ref="B386">IADNumber&amp; " Roof"</f>
        <v>IAD35 Roof</v>
      </c>
      <c r="C386" s="475" t="str">
        <f>zSelectedEquipment &amp; " RTU 5"</f>
        <v>G104-Gen-B RTU 5</v>
      </c>
      <c r="D386" s="245" t="s">
        <v>2387</v>
      </c>
      <c r="E386" s="388" t="s">
        <v>1529</v>
      </c>
      <c r="F386" s="189"/>
      <c r="G386" s="189" t="s">
        <v>1519</v>
      </c>
      <c r="H386" s="498"/>
    </row>
    <row r="387" spans="1:8" ht="37.5" x14ac:dyDescent="0.3">
      <c r="A387" s="228">
        <f t="shared" si="5"/>
        <v>382</v>
      </c>
      <c r="B387" s="475" t="str" cm="1">
        <f t="array" ref="B387">IADNumber&amp; " Roof"</f>
        <v>IAD35 Roof</v>
      </c>
      <c r="C387" s="475" t="str">
        <f>zSelectedEquipment &amp; " RTU 5"</f>
        <v>G104-Gen-B RTU 5</v>
      </c>
      <c r="D387" s="245" t="s">
        <v>3679</v>
      </c>
      <c r="E387" s="388" t="s">
        <v>1529</v>
      </c>
      <c r="F387" s="189"/>
      <c r="G387" s="189" t="s">
        <v>1519</v>
      </c>
      <c r="H387" s="498"/>
    </row>
    <row r="388" spans="1:8" ht="37.5" x14ac:dyDescent="0.3">
      <c r="A388" s="228">
        <f t="shared" si="5"/>
        <v>383</v>
      </c>
      <c r="B388" s="475" t="str" cm="1">
        <f t="array" ref="B388">IADNumber&amp; " Roof"</f>
        <v>IAD35 Roof</v>
      </c>
      <c r="C388" s="475" t="str">
        <f>zSelectedEquipment &amp; " RTU 5"</f>
        <v>G104-Gen-B RTU 5</v>
      </c>
      <c r="D388" s="245" t="s">
        <v>3680</v>
      </c>
      <c r="E388" s="388" t="s">
        <v>1529</v>
      </c>
      <c r="F388" s="189"/>
      <c r="G388" s="189" t="s">
        <v>1519</v>
      </c>
      <c r="H388" s="498"/>
    </row>
    <row r="389" spans="1:8" x14ac:dyDescent="0.3">
      <c r="A389" s="228">
        <f t="shared" si="5"/>
        <v>384</v>
      </c>
      <c r="B389" s="716" t="s">
        <v>3681</v>
      </c>
      <c r="C389" s="716"/>
      <c r="D389" s="716"/>
      <c r="E389" s="716"/>
      <c r="F389" s="716"/>
      <c r="G389" s="716"/>
      <c r="H389" s="498"/>
    </row>
    <row r="390" spans="1:8" ht="37.5" x14ac:dyDescent="0.3">
      <c r="A390" s="228">
        <f t="shared" si="5"/>
        <v>385</v>
      </c>
      <c r="B390" s="475" t="str" cm="1">
        <f t="array" ref="B390">IADNumber&amp; " Roof"</f>
        <v>IAD35 Roof</v>
      </c>
      <c r="C390" s="475" t="str">
        <f>zSelectedEquipment &amp; " RTU 5"</f>
        <v>G104-Gen-B RTU 5</v>
      </c>
      <c r="D390" s="195" t="s">
        <v>2274</v>
      </c>
      <c r="E390" s="388" t="s">
        <v>1529</v>
      </c>
      <c r="F390" s="198"/>
      <c r="G390" s="193" t="s">
        <v>1519</v>
      </c>
      <c r="H390" s="498"/>
    </row>
    <row r="391" spans="1:8" ht="37.5" x14ac:dyDescent="0.3">
      <c r="A391" s="228">
        <f t="shared" si="5"/>
        <v>386</v>
      </c>
      <c r="B391" s="475" t="str" cm="1">
        <f t="array" ref="B391">IADNumber&amp; " Roof"</f>
        <v>IAD35 Roof</v>
      </c>
      <c r="C391" s="475" t="str">
        <f>zSelectedEquipment &amp; " RTU 5"</f>
        <v>G104-Gen-B RTU 5</v>
      </c>
      <c r="D391" s="195" t="s">
        <v>2275</v>
      </c>
      <c r="E391" s="388" t="s">
        <v>1529</v>
      </c>
      <c r="F391" s="198"/>
      <c r="G391" s="193" t="s">
        <v>1519</v>
      </c>
      <c r="H391" s="498"/>
    </row>
    <row r="392" spans="1:8" ht="37.5" x14ac:dyDescent="0.3">
      <c r="A392" s="228">
        <f t="shared" ref="A392:A455" si="6">A391+1</f>
        <v>387</v>
      </c>
      <c r="B392" s="475" t="str" cm="1">
        <f t="array" ref="B392">IADNumber&amp; " Roof"</f>
        <v>IAD35 Roof</v>
      </c>
      <c r="C392" s="475" t="str">
        <f>zSelectedEquipment &amp; " RTU 5"</f>
        <v>G104-Gen-B RTU 5</v>
      </c>
      <c r="D392" s="195" t="s">
        <v>3682</v>
      </c>
      <c r="E392" s="388" t="s">
        <v>1529</v>
      </c>
      <c r="F392" s="198"/>
      <c r="G392" s="193" t="s">
        <v>1519</v>
      </c>
      <c r="H392" s="498"/>
    </row>
    <row r="393" spans="1:8" ht="56.25" x14ac:dyDescent="0.3">
      <c r="A393" s="228">
        <f t="shared" si="6"/>
        <v>388</v>
      </c>
      <c r="B393" s="475" t="str" cm="1">
        <f t="array" ref="B393">IADNumber&amp; " Roof"</f>
        <v>IAD35 Roof</v>
      </c>
      <c r="C393" s="475" t="str">
        <f>zSelectedEquipment &amp; " RTU 5"</f>
        <v>G104-Gen-B RTU 5</v>
      </c>
      <c r="D393" s="195" t="s">
        <v>3683</v>
      </c>
      <c r="E393" s="388" t="s">
        <v>1529</v>
      </c>
      <c r="F393" s="198"/>
      <c r="G393" s="193" t="s">
        <v>1519</v>
      </c>
      <c r="H393" s="498"/>
    </row>
    <row r="394" spans="1:8" ht="37.5" x14ac:dyDescent="0.3">
      <c r="A394" s="228">
        <f t="shared" si="6"/>
        <v>389</v>
      </c>
      <c r="B394" s="475" t="str" cm="1">
        <f t="array" ref="B394">IADNumber&amp; " Roof"</f>
        <v>IAD35 Roof</v>
      </c>
      <c r="C394" s="475" t="str">
        <f>zSelectedEquipment &amp; " RTU 5"</f>
        <v>G104-Gen-B RTU 5</v>
      </c>
      <c r="D394" s="195" t="s">
        <v>3661</v>
      </c>
      <c r="E394" s="388" t="s">
        <v>1529</v>
      </c>
      <c r="F394" s="198"/>
      <c r="G394" s="193" t="s">
        <v>1519</v>
      </c>
      <c r="H394" s="498"/>
    </row>
    <row r="395" spans="1:8" ht="37.5" x14ac:dyDescent="0.3">
      <c r="A395" s="228">
        <f t="shared" si="6"/>
        <v>390</v>
      </c>
      <c r="B395" s="475" t="str" cm="1">
        <f t="array" ref="B395">IADNumber&amp; " Roof"</f>
        <v>IAD35 Roof</v>
      </c>
      <c r="C395" s="475" t="str">
        <f>zSelectedEquipment &amp; " RTU 5"</f>
        <v>G104-Gen-B RTU 5</v>
      </c>
      <c r="D395" s="195" t="s">
        <v>3684</v>
      </c>
      <c r="E395" s="388" t="s">
        <v>1529</v>
      </c>
      <c r="F395" s="198"/>
      <c r="G395" s="193" t="s">
        <v>1519</v>
      </c>
      <c r="H395" s="498"/>
    </row>
    <row r="396" spans="1:8" ht="37.5" x14ac:dyDescent="0.3">
      <c r="A396" s="228">
        <f t="shared" si="6"/>
        <v>391</v>
      </c>
      <c r="B396" s="475" t="str" cm="1">
        <f t="array" ref="B396">IADNumber&amp; " Roof"</f>
        <v>IAD35 Roof</v>
      </c>
      <c r="C396" s="475" t="str">
        <f>zSelectedEquipment &amp; " RTU 5"</f>
        <v>G104-Gen-B RTU 5</v>
      </c>
      <c r="D396" s="195" t="s">
        <v>2277</v>
      </c>
      <c r="E396" s="388" t="s">
        <v>1529</v>
      </c>
      <c r="F396" s="198"/>
      <c r="G396" s="193" t="s">
        <v>1519</v>
      </c>
      <c r="H396" s="498"/>
    </row>
    <row r="397" spans="1:8" ht="37.5" x14ac:dyDescent="0.3">
      <c r="A397" s="228">
        <f t="shared" si="6"/>
        <v>392</v>
      </c>
      <c r="B397" s="475" t="str" cm="1">
        <f t="array" ref="B397">IADNumber&amp; " Roof"</f>
        <v>IAD35 Roof</v>
      </c>
      <c r="C397" s="475" t="str">
        <f>zSelectedEquipment &amp; " RTU 5"</f>
        <v>G104-Gen-B RTU 5</v>
      </c>
      <c r="D397" s="195" t="s">
        <v>2340</v>
      </c>
      <c r="E397" s="388" t="s">
        <v>1529</v>
      </c>
      <c r="F397" s="198"/>
      <c r="G397" s="193" t="s">
        <v>1519</v>
      </c>
      <c r="H397" s="498"/>
    </row>
    <row r="398" spans="1:8" ht="37.5" x14ac:dyDescent="0.3">
      <c r="A398" s="228">
        <f t="shared" si="6"/>
        <v>393</v>
      </c>
      <c r="B398" s="475" t="str" cm="1">
        <f t="array" ref="B398">IADNumber&amp; " Roof"</f>
        <v>IAD35 Roof</v>
      </c>
      <c r="C398" s="475" t="str">
        <f>zSelectedEquipment &amp; " RTU 5"</f>
        <v>G104-Gen-B RTU 5</v>
      </c>
      <c r="D398" s="195" t="s">
        <v>3685</v>
      </c>
      <c r="E398" s="388" t="s">
        <v>1529</v>
      </c>
      <c r="F398" s="198"/>
      <c r="G398" s="193" t="s">
        <v>1519</v>
      </c>
      <c r="H398" s="498"/>
    </row>
    <row r="399" spans="1:8" ht="37.5" x14ac:dyDescent="0.3">
      <c r="A399" s="228">
        <f t="shared" si="6"/>
        <v>394</v>
      </c>
      <c r="B399" s="475" t="str" cm="1">
        <f t="array" ref="B399">IADNumber&amp; " Roof"</f>
        <v>IAD35 Roof</v>
      </c>
      <c r="C399" s="475" t="str">
        <f>zSelectedEquipment &amp; " RTU 5"</f>
        <v>G104-Gen-B RTU 5</v>
      </c>
      <c r="D399" s="195" t="s">
        <v>3686</v>
      </c>
      <c r="E399" s="388" t="s">
        <v>1529</v>
      </c>
      <c r="F399" s="198"/>
      <c r="G399" s="193" t="s">
        <v>1519</v>
      </c>
      <c r="H399" s="498"/>
    </row>
    <row r="400" spans="1:8" ht="37.5" x14ac:dyDescent="0.3">
      <c r="A400" s="228">
        <f t="shared" si="6"/>
        <v>395</v>
      </c>
      <c r="B400" s="475" t="str" cm="1">
        <f t="array" ref="B400">IADNumber&amp; " Roof"</f>
        <v>IAD35 Roof</v>
      </c>
      <c r="C400" s="475" t="str">
        <f>zSelectedEquipment &amp; " RTU 5"</f>
        <v>G104-Gen-B RTU 5</v>
      </c>
      <c r="D400" s="195" t="s">
        <v>3687</v>
      </c>
      <c r="E400" s="388" t="s">
        <v>1529</v>
      </c>
      <c r="F400" s="198"/>
      <c r="G400" s="193" t="s">
        <v>1519</v>
      </c>
      <c r="H400" s="498"/>
    </row>
    <row r="401" spans="1:8" ht="37.5" x14ac:dyDescent="0.3">
      <c r="A401" s="228">
        <f t="shared" si="6"/>
        <v>396</v>
      </c>
      <c r="B401" s="475" t="str" cm="1">
        <f t="array" ref="B401">IADNumber&amp; " Roof"</f>
        <v>IAD35 Roof</v>
      </c>
      <c r="C401" s="475" t="str">
        <f>zSelectedEquipment &amp; " RTU 5"</f>
        <v>G104-Gen-B RTU 5</v>
      </c>
      <c r="D401" s="195" t="s">
        <v>3688</v>
      </c>
      <c r="E401" s="388" t="s">
        <v>1529</v>
      </c>
      <c r="F401" s="198"/>
      <c r="G401" s="193" t="s">
        <v>1519</v>
      </c>
      <c r="H401" s="498"/>
    </row>
    <row r="402" spans="1:8" ht="37.5" x14ac:dyDescent="0.3">
      <c r="A402" s="228">
        <f t="shared" si="6"/>
        <v>397</v>
      </c>
      <c r="B402" s="475" t="str" cm="1">
        <f t="array" ref="B402">IADNumber&amp; " Roof"</f>
        <v>IAD35 Roof</v>
      </c>
      <c r="C402" s="475" t="str">
        <f>zSelectedEquipment &amp; " RTU 5"</f>
        <v>G104-Gen-B RTU 5</v>
      </c>
      <c r="D402" s="195" t="s">
        <v>2392</v>
      </c>
      <c r="E402" s="388" t="s">
        <v>1529</v>
      </c>
      <c r="F402" s="198"/>
      <c r="G402" s="193" t="s">
        <v>1519</v>
      </c>
      <c r="H402" s="498"/>
    </row>
    <row r="403" spans="1:8" ht="56.25" x14ac:dyDescent="0.3">
      <c r="A403" s="228">
        <f t="shared" si="6"/>
        <v>398</v>
      </c>
      <c r="B403" s="475" t="str" cm="1">
        <f t="array" ref="B403">IADNumber&amp; " Roof"</f>
        <v>IAD35 Roof</v>
      </c>
      <c r="C403" s="475" t="str">
        <f>zSelectedEquipment &amp; " RTU 5"</f>
        <v>G104-Gen-B RTU 5</v>
      </c>
      <c r="D403" s="494" t="s">
        <v>3689</v>
      </c>
      <c r="E403" s="388" t="s">
        <v>1529</v>
      </c>
      <c r="F403" s="198"/>
      <c r="G403" s="193" t="s">
        <v>1519</v>
      </c>
      <c r="H403" s="498"/>
    </row>
    <row r="404" spans="1:8" ht="37.5" x14ac:dyDescent="0.3">
      <c r="A404" s="228">
        <f t="shared" si="6"/>
        <v>399</v>
      </c>
      <c r="B404" s="475" t="str" cm="1">
        <f t="array" ref="B404">IADNumber&amp; " Roof"</f>
        <v>IAD35 Roof</v>
      </c>
      <c r="C404" s="475" t="str">
        <f>zSelectedEquipment &amp; " RTU 5"</f>
        <v>G104-Gen-B RTU 5</v>
      </c>
      <c r="D404" s="195" t="s">
        <v>2282</v>
      </c>
      <c r="E404" s="388" t="s">
        <v>1529</v>
      </c>
      <c r="F404" s="198"/>
      <c r="G404" s="193" t="s">
        <v>1519</v>
      </c>
      <c r="H404" s="498"/>
    </row>
    <row r="405" spans="1:8" ht="37.5" x14ac:dyDescent="0.3">
      <c r="A405" s="228">
        <f t="shared" si="6"/>
        <v>400</v>
      </c>
      <c r="B405" s="475" t="str" cm="1">
        <f t="array" ref="B405">IADNumber&amp; " Roof"</f>
        <v>IAD35 Roof</v>
      </c>
      <c r="C405" s="475" t="str">
        <f>zSelectedEquipment &amp; " RTU 5"</f>
        <v>G104-Gen-B RTU 5</v>
      </c>
      <c r="D405" s="195" t="s">
        <v>3690</v>
      </c>
      <c r="E405" s="388" t="s">
        <v>1529</v>
      </c>
      <c r="F405" s="198"/>
      <c r="G405" s="193" t="s">
        <v>1519</v>
      </c>
      <c r="H405" s="498"/>
    </row>
    <row r="406" spans="1:8" ht="37.5" x14ac:dyDescent="0.3">
      <c r="A406" s="228">
        <f t="shared" si="6"/>
        <v>401</v>
      </c>
      <c r="B406" s="475" t="s">
        <v>1462</v>
      </c>
      <c r="C406" s="388" t="s">
        <v>84</v>
      </c>
      <c r="D406" s="195" t="s">
        <v>2283</v>
      </c>
      <c r="E406" s="388" t="s">
        <v>1529</v>
      </c>
      <c r="F406" s="495"/>
      <c r="G406" s="193" t="s">
        <v>1519</v>
      </c>
      <c r="H406" s="498"/>
    </row>
    <row r="407" spans="1:8" ht="37.5" x14ac:dyDescent="0.3">
      <c r="A407" s="228">
        <f t="shared" si="6"/>
        <v>402</v>
      </c>
      <c r="B407" s="475" t="str" cm="1">
        <f t="array" ref="B407">IADNumber&amp; " Roof"</f>
        <v>IAD35 Roof</v>
      </c>
      <c r="C407" s="475" t="str">
        <f>zSelectedEquipment &amp; " RTU 5"</f>
        <v>G104-Gen-B RTU 5</v>
      </c>
      <c r="D407" s="195" t="s">
        <v>2284</v>
      </c>
      <c r="E407" s="388" t="s">
        <v>1529</v>
      </c>
      <c r="F407" s="495"/>
      <c r="G407" s="193" t="s">
        <v>1519</v>
      </c>
      <c r="H407" s="498"/>
    </row>
    <row r="408" spans="1:8" ht="18" customHeight="1" x14ac:dyDescent="0.3">
      <c r="A408" s="228">
        <f t="shared" si="6"/>
        <v>403</v>
      </c>
      <c r="B408" s="753" t="str">
        <f>"Perform Quarterly PM on " &amp; C410</f>
        <v>Perform Quarterly PM on G104-Gen-B RTU 6</v>
      </c>
      <c r="C408" s="754"/>
      <c r="D408" s="754"/>
      <c r="E408" s="754"/>
      <c r="F408" s="754"/>
      <c r="G408" s="755"/>
      <c r="H408" s="498"/>
    </row>
    <row r="409" spans="1:8" ht="37.5" x14ac:dyDescent="0.3">
      <c r="A409" s="228">
        <f t="shared" si="6"/>
        <v>404</v>
      </c>
      <c r="B409" s="388" t="s">
        <v>1462</v>
      </c>
      <c r="C409" s="388" t="s">
        <v>84</v>
      </c>
      <c r="D409" s="493" t="s">
        <v>3655</v>
      </c>
      <c r="E409" s="388" t="s">
        <v>3654</v>
      </c>
      <c r="F409" s="189"/>
      <c r="G409" s="189"/>
      <c r="H409" s="498"/>
    </row>
    <row r="410" spans="1:8" ht="37.5" x14ac:dyDescent="0.3">
      <c r="A410" s="228">
        <f t="shared" si="6"/>
        <v>405</v>
      </c>
      <c r="B410" s="475" t="str" cm="1">
        <f t="array" ref="B410">IADNumber&amp; " Roof"</f>
        <v>IAD35 Roof</v>
      </c>
      <c r="C410" s="475" t="str">
        <f>zSelectedEquipment &amp; " RTU 6"</f>
        <v>G104-Gen-B RTU 6</v>
      </c>
      <c r="D410" s="191" t="s">
        <v>3656</v>
      </c>
      <c r="E410" s="388" t="s">
        <v>1529</v>
      </c>
      <c r="F410" s="189"/>
      <c r="G410" s="189" t="s">
        <v>1519</v>
      </c>
      <c r="H410" s="498"/>
    </row>
    <row r="411" spans="1:8" ht="37.5" x14ac:dyDescent="0.3">
      <c r="A411" s="228">
        <f t="shared" si="6"/>
        <v>406</v>
      </c>
      <c r="B411" s="475" t="str" cm="1">
        <f t="array" ref="B411">IADNumber&amp; " Roof"</f>
        <v>IAD35 Roof</v>
      </c>
      <c r="C411" s="475" t="str">
        <f>zSelectedEquipment &amp; " RTU 6"</f>
        <v>G104-Gen-B RTU 6</v>
      </c>
      <c r="D411" s="190" t="s">
        <v>3657</v>
      </c>
      <c r="E411" s="388" t="s">
        <v>1529</v>
      </c>
      <c r="F411" s="189"/>
      <c r="G411" s="189" t="s">
        <v>1519</v>
      </c>
      <c r="H411" s="498"/>
    </row>
    <row r="412" spans="1:8" ht="37.5" x14ac:dyDescent="0.3">
      <c r="A412" s="228">
        <f t="shared" si="6"/>
        <v>407</v>
      </c>
      <c r="B412" s="475" t="str" cm="1">
        <f t="array" ref="B412">IADNumber&amp; " Roof"</f>
        <v>IAD35 Roof</v>
      </c>
      <c r="C412" s="475" t="str">
        <f>zSelectedEquipment &amp; " RTU 6"</f>
        <v>G104-Gen-B RTU 6</v>
      </c>
      <c r="D412" s="190" t="s">
        <v>3658</v>
      </c>
      <c r="E412" s="388" t="s">
        <v>1529</v>
      </c>
      <c r="F412" s="189"/>
      <c r="G412" s="189" t="s">
        <v>1519</v>
      </c>
      <c r="H412" s="498"/>
    </row>
    <row r="413" spans="1:8" ht="37.5" x14ac:dyDescent="0.3">
      <c r="A413" s="228">
        <f t="shared" si="6"/>
        <v>408</v>
      </c>
      <c r="B413" s="475" t="str" cm="1">
        <f t="array" ref="B413">IADNumber&amp; " Roof"</f>
        <v>IAD35 Roof</v>
      </c>
      <c r="C413" s="475" t="str">
        <f>zSelectedEquipment &amp; " RTU 6"</f>
        <v>G104-Gen-B RTU 6</v>
      </c>
      <c r="D413" s="190" t="s">
        <v>3659</v>
      </c>
      <c r="E413" s="388" t="s">
        <v>3654</v>
      </c>
      <c r="F413" s="189"/>
      <c r="G413" s="189" t="s">
        <v>1519</v>
      </c>
      <c r="H413" s="498"/>
    </row>
    <row r="414" spans="1:8" ht="37.5" x14ac:dyDescent="0.3">
      <c r="A414" s="228">
        <f t="shared" si="6"/>
        <v>409</v>
      </c>
      <c r="B414" s="475" t="str" cm="1">
        <f t="array" ref="B414">IADNumber&amp; " Roof"</f>
        <v>IAD35 Roof</v>
      </c>
      <c r="C414" s="475" t="str">
        <f>zSelectedEquipment &amp; " RTU 6"</f>
        <v>G104-Gen-B RTU 6</v>
      </c>
      <c r="D414" s="195" t="s">
        <v>3660</v>
      </c>
      <c r="E414" s="388" t="s">
        <v>3654</v>
      </c>
      <c r="F414" s="189"/>
      <c r="G414" s="189" t="s">
        <v>1519</v>
      </c>
      <c r="H414" s="498"/>
    </row>
    <row r="415" spans="1:8" ht="37.5" x14ac:dyDescent="0.3">
      <c r="A415" s="228">
        <f t="shared" si="6"/>
        <v>410</v>
      </c>
      <c r="B415" s="475" t="str" cm="1">
        <f t="array" ref="B415">IADNumber&amp; " Roof"</f>
        <v>IAD35 Roof</v>
      </c>
      <c r="C415" s="475" t="str">
        <f>zSelectedEquipment &amp; " RTU 6"</f>
        <v>G104-Gen-B RTU 6</v>
      </c>
      <c r="D415" s="195" t="s">
        <v>3661</v>
      </c>
      <c r="E415" s="388" t="s">
        <v>3654</v>
      </c>
      <c r="F415" s="189"/>
      <c r="G415" s="189" t="s">
        <v>1519</v>
      </c>
      <c r="H415" s="498"/>
    </row>
    <row r="416" spans="1:8" ht="56.25" x14ac:dyDescent="0.3">
      <c r="A416" s="228">
        <f t="shared" si="6"/>
        <v>411</v>
      </c>
      <c r="B416" s="475" t="str" cm="1">
        <f t="array" ref="B416">IADNumber&amp; " Roof"</f>
        <v>IAD35 Roof</v>
      </c>
      <c r="C416" s="475" t="str">
        <f>zSelectedEquipment &amp; " RTU 6"</f>
        <v>G104-Gen-B RTU 6</v>
      </c>
      <c r="D416" s="195" t="s">
        <v>3662</v>
      </c>
      <c r="E416" s="388" t="s">
        <v>3663</v>
      </c>
      <c r="F416" s="189"/>
      <c r="G416" s="189" t="s">
        <v>1519</v>
      </c>
      <c r="H416" s="498"/>
    </row>
    <row r="417" spans="1:8" ht="93.75" x14ac:dyDescent="0.3">
      <c r="A417" s="228">
        <f t="shared" si="6"/>
        <v>412</v>
      </c>
      <c r="B417" s="475" t="str" cm="1">
        <f t="array" ref="B417">IADNumber&amp; " Roof"</f>
        <v>IAD35 Roof</v>
      </c>
      <c r="C417" s="475" t="str">
        <f>zSelectedEquipment &amp; " RTU 6"</f>
        <v>G104-Gen-B RTU 6</v>
      </c>
      <c r="D417" s="195" t="s">
        <v>3664</v>
      </c>
      <c r="E417" s="388" t="s">
        <v>1529</v>
      </c>
      <c r="F417" s="189"/>
      <c r="G417" s="189" t="s">
        <v>1519</v>
      </c>
      <c r="H417" s="498"/>
    </row>
    <row r="418" spans="1:8" x14ac:dyDescent="0.3">
      <c r="A418" s="228">
        <f t="shared" si="6"/>
        <v>413</v>
      </c>
      <c r="B418" s="717" t="s">
        <v>3665</v>
      </c>
      <c r="C418" s="718"/>
      <c r="D418" s="718"/>
      <c r="E418" s="718"/>
      <c r="F418" s="718"/>
      <c r="G418" s="719"/>
      <c r="H418" s="498"/>
    </row>
    <row r="419" spans="1:8" ht="37.5" x14ac:dyDescent="0.3">
      <c r="A419" s="228">
        <f t="shared" si="6"/>
        <v>414</v>
      </c>
      <c r="B419" s="475" t="str" cm="1">
        <f t="array" ref="B419">IADNumber&amp; " Roof"</f>
        <v>IAD35 Roof</v>
      </c>
      <c r="C419" s="475" t="str">
        <f>zSelectedEquipment &amp; " RTU 6"</f>
        <v>G104-Gen-B RTU 6</v>
      </c>
      <c r="D419" s="195" t="s">
        <v>3666</v>
      </c>
      <c r="E419" s="388" t="s">
        <v>1529</v>
      </c>
      <c r="F419" s="193"/>
      <c r="G419" s="193" t="s">
        <v>1519</v>
      </c>
      <c r="H419" s="498"/>
    </row>
    <row r="420" spans="1:8" ht="37.5" x14ac:dyDescent="0.3">
      <c r="A420" s="228">
        <f t="shared" si="6"/>
        <v>415</v>
      </c>
      <c r="B420" s="475" t="str" cm="1">
        <f t="array" ref="B420">IADNumber&amp; " Roof"</f>
        <v>IAD35 Roof</v>
      </c>
      <c r="C420" s="475" t="str">
        <f>zSelectedEquipment &amp; " RTU 6"</f>
        <v>G104-Gen-B RTU 6</v>
      </c>
      <c r="D420" s="195" t="s">
        <v>3667</v>
      </c>
      <c r="E420" s="388" t="s">
        <v>1529</v>
      </c>
      <c r="F420" s="193"/>
      <c r="G420" s="193" t="s">
        <v>1519</v>
      </c>
      <c r="H420" s="498"/>
    </row>
    <row r="421" spans="1:8" ht="37.5" x14ac:dyDescent="0.3">
      <c r="A421" s="228">
        <f t="shared" si="6"/>
        <v>416</v>
      </c>
      <c r="B421" s="475" t="str" cm="1">
        <f t="array" ref="B421">IADNumber&amp; " Roof"</f>
        <v>IAD35 Roof</v>
      </c>
      <c r="C421" s="475" t="str">
        <f>zSelectedEquipment &amp; " RTU 6"</f>
        <v>G104-Gen-B RTU 6</v>
      </c>
      <c r="D421" s="195" t="s">
        <v>2251</v>
      </c>
      <c r="E421" s="388" t="s">
        <v>1529</v>
      </c>
      <c r="F421" s="193"/>
      <c r="G421" s="193" t="s">
        <v>1519</v>
      </c>
      <c r="H421" s="498"/>
    </row>
    <row r="422" spans="1:8" ht="56.25" x14ac:dyDescent="0.3">
      <c r="A422" s="228">
        <f t="shared" si="6"/>
        <v>417</v>
      </c>
      <c r="B422" s="475" t="str" cm="1">
        <f t="array" ref="B422">IADNumber&amp; " Roof"</f>
        <v>IAD35 Roof</v>
      </c>
      <c r="C422" s="475" t="str">
        <f>zSelectedEquipment &amp; " RTU 6"</f>
        <v>G104-Gen-B RTU 6</v>
      </c>
      <c r="D422" s="195" t="s">
        <v>3668</v>
      </c>
      <c r="E422" s="388" t="s">
        <v>1529</v>
      </c>
      <c r="F422" s="193"/>
      <c r="G422" s="193" t="s">
        <v>1519</v>
      </c>
      <c r="H422" s="498"/>
    </row>
    <row r="423" spans="1:8" x14ac:dyDescent="0.3">
      <c r="A423" s="228">
        <f t="shared" si="6"/>
        <v>418</v>
      </c>
      <c r="B423" s="789" t="s">
        <v>2253</v>
      </c>
      <c r="C423" s="790"/>
      <c r="D423" s="790"/>
      <c r="E423" s="790"/>
      <c r="F423" s="790"/>
      <c r="G423" s="791"/>
      <c r="H423" s="498"/>
    </row>
    <row r="424" spans="1:8" ht="75" x14ac:dyDescent="0.3">
      <c r="A424" s="228">
        <f t="shared" si="6"/>
        <v>419</v>
      </c>
      <c r="B424" s="475" t="str" cm="1">
        <f t="array" ref="B424">IADNumber&amp; " Roof"</f>
        <v>IAD35 Roof</v>
      </c>
      <c r="C424" s="475" t="str">
        <f>zSelectedEquipment &amp; " RTU 6"</f>
        <v>G104-Gen-B RTU 6</v>
      </c>
      <c r="D424" s="195" t="s">
        <v>3669</v>
      </c>
      <c r="E424" s="388" t="s">
        <v>1529</v>
      </c>
      <c r="F424" s="193"/>
      <c r="G424" s="193"/>
      <c r="H424" s="498"/>
    </row>
    <row r="425" spans="1:8" ht="37.5" x14ac:dyDescent="0.3">
      <c r="A425" s="228">
        <f t="shared" si="6"/>
        <v>420</v>
      </c>
      <c r="B425" s="475" t="str" cm="1">
        <f t="array" ref="B425">IADNumber&amp; " Roof"</f>
        <v>IAD35 Roof</v>
      </c>
      <c r="C425" s="475" t="str">
        <f>zSelectedEquipment &amp; " RTU 6"</f>
        <v>G104-Gen-B RTU 6</v>
      </c>
      <c r="D425" s="195" t="s">
        <v>2255</v>
      </c>
      <c r="E425" s="388" t="s">
        <v>1529</v>
      </c>
      <c r="F425" s="193"/>
      <c r="G425" s="193" t="s">
        <v>1519</v>
      </c>
      <c r="H425" s="498"/>
    </row>
    <row r="426" spans="1:8" x14ac:dyDescent="0.3">
      <c r="A426" s="228">
        <f t="shared" si="6"/>
        <v>421</v>
      </c>
      <c r="B426" s="717" t="s">
        <v>2366</v>
      </c>
      <c r="C426" s="718"/>
      <c r="D426" s="718"/>
      <c r="E426" s="718"/>
      <c r="F426" s="718"/>
      <c r="G426" s="719"/>
      <c r="H426" s="498"/>
    </row>
    <row r="427" spans="1:8" ht="37.5" x14ac:dyDescent="0.3">
      <c r="A427" s="228">
        <f t="shared" si="6"/>
        <v>422</v>
      </c>
      <c r="B427" s="475" t="str" cm="1">
        <f t="array" ref="B427">IADNumber&amp; " Roof"</f>
        <v>IAD35 Roof</v>
      </c>
      <c r="C427" s="475" t="str">
        <f>zSelectedEquipment &amp; " RTU 6"</f>
        <v>G104-Gen-B RTU 6</v>
      </c>
      <c r="D427" s="195" t="s">
        <v>2306</v>
      </c>
      <c r="E427" s="388" t="s">
        <v>1529</v>
      </c>
      <c r="F427" s="193"/>
      <c r="G427" s="193" t="s">
        <v>1519</v>
      </c>
      <c r="H427" s="498"/>
    </row>
    <row r="428" spans="1:8" ht="37.5" x14ac:dyDescent="0.3">
      <c r="A428" s="228">
        <f t="shared" si="6"/>
        <v>423</v>
      </c>
      <c r="B428" s="475" t="str" cm="1">
        <f t="array" ref="B428">IADNumber&amp; " Roof"</f>
        <v>IAD35 Roof</v>
      </c>
      <c r="C428" s="475" t="str">
        <f>zSelectedEquipment &amp; " RTU 6"</f>
        <v>G104-Gen-B RTU 6</v>
      </c>
      <c r="D428" s="195" t="s">
        <v>3670</v>
      </c>
      <c r="E428" s="388" t="s">
        <v>1529</v>
      </c>
      <c r="F428" s="193"/>
      <c r="G428" s="193" t="s">
        <v>1519</v>
      </c>
      <c r="H428" s="498"/>
    </row>
    <row r="429" spans="1:8" ht="37.5" x14ac:dyDescent="0.3">
      <c r="A429" s="228">
        <f t="shared" si="6"/>
        <v>424</v>
      </c>
      <c r="B429" s="475" t="str" cm="1">
        <f t="array" ref="B429">IADNumber&amp; " Roof"</f>
        <v>IAD35 Roof</v>
      </c>
      <c r="C429" s="475" t="str">
        <f>zSelectedEquipment &amp; " RTU 6"</f>
        <v>G104-Gen-B RTU 6</v>
      </c>
      <c r="D429" s="195" t="s">
        <v>2368</v>
      </c>
      <c r="E429" s="388" t="s">
        <v>1529</v>
      </c>
      <c r="F429" s="193"/>
      <c r="G429" s="193" t="s">
        <v>1519</v>
      </c>
      <c r="H429" s="498"/>
    </row>
    <row r="430" spans="1:8" ht="37.5" x14ac:dyDescent="0.3">
      <c r="A430" s="228">
        <f t="shared" si="6"/>
        <v>425</v>
      </c>
      <c r="B430" s="475" t="str" cm="1">
        <f t="array" ref="B430">IADNumber&amp; " Roof"</f>
        <v>IAD35 Roof</v>
      </c>
      <c r="C430" s="475" t="str">
        <f>zSelectedEquipment &amp; " RTU 6"</f>
        <v>G104-Gen-B RTU 6</v>
      </c>
      <c r="D430" s="195" t="s">
        <v>2309</v>
      </c>
      <c r="E430" s="388" t="s">
        <v>1529</v>
      </c>
      <c r="F430" s="193"/>
      <c r="G430" s="193" t="s">
        <v>1519</v>
      </c>
      <c r="H430" s="498"/>
    </row>
    <row r="431" spans="1:8" ht="37.5" x14ac:dyDescent="0.3">
      <c r="A431" s="228">
        <f t="shared" si="6"/>
        <v>426</v>
      </c>
      <c r="B431" s="475" t="str" cm="1">
        <f t="array" ref="B431">IADNumber&amp; " Roof"</f>
        <v>IAD35 Roof</v>
      </c>
      <c r="C431" s="475" t="str">
        <f>zSelectedEquipment &amp; " RTU 6"</f>
        <v>G104-Gen-B RTU 6</v>
      </c>
      <c r="D431" s="195" t="s">
        <v>2310</v>
      </c>
      <c r="E431" s="388" t="s">
        <v>1529</v>
      </c>
      <c r="F431" s="193"/>
      <c r="G431" s="193" t="s">
        <v>1519</v>
      </c>
      <c r="H431" s="498"/>
    </row>
    <row r="432" spans="1:8" ht="37.5" x14ac:dyDescent="0.3">
      <c r="A432" s="228">
        <f t="shared" si="6"/>
        <v>427</v>
      </c>
      <c r="B432" s="475" t="str" cm="1">
        <f t="array" ref="B432">IADNumber&amp; " Roof"</f>
        <v>IAD35 Roof</v>
      </c>
      <c r="C432" s="475" t="str">
        <f>zSelectedEquipment &amp; " RTU 6"</f>
        <v>G104-Gen-B RTU 6</v>
      </c>
      <c r="D432" s="195" t="s">
        <v>2311</v>
      </c>
      <c r="E432" s="388" t="s">
        <v>1529</v>
      </c>
      <c r="F432" s="193"/>
      <c r="G432" s="193" t="s">
        <v>1519</v>
      </c>
      <c r="H432" s="498"/>
    </row>
    <row r="433" spans="1:8" x14ac:dyDescent="0.3">
      <c r="A433" s="228">
        <f t="shared" si="6"/>
        <v>428</v>
      </c>
      <c r="B433" s="717" t="s">
        <v>2312</v>
      </c>
      <c r="C433" s="718"/>
      <c r="D433" s="718"/>
      <c r="E433" s="718"/>
      <c r="F433" s="718"/>
      <c r="G433" s="719"/>
      <c r="H433" s="498"/>
    </row>
    <row r="434" spans="1:8" ht="37.5" x14ac:dyDescent="0.3">
      <c r="A434" s="228">
        <f t="shared" si="6"/>
        <v>429</v>
      </c>
      <c r="B434" s="475" t="str" cm="1">
        <f t="array" ref="B434">IADNumber&amp; " Roof"</f>
        <v>IAD35 Roof</v>
      </c>
      <c r="C434" s="475" t="str">
        <f>zSelectedEquipment &amp; " RTU 6"</f>
        <v>G104-Gen-B RTU 6</v>
      </c>
      <c r="D434" s="195" t="s">
        <v>2369</v>
      </c>
      <c r="E434" s="388" t="s">
        <v>1529</v>
      </c>
      <c r="F434" s="189"/>
      <c r="G434" s="193" t="s">
        <v>1519</v>
      </c>
      <c r="H434" s="498"/>
    </row>
    <row r="435" spans="1:8" ht="37.5" x14ac:dyDescent="0.3">
      <c r="A435" s="228">
        <f t="shared" si="6"/>
        <v>430</v>
      </c>
      <c r="B435" s="475" t="str" cm="1">
        <f t="array" ref="B435">IADNumber&amp; " Roof"</f>
        <v>IAD35 Roof</v>
      </c>
      <c r="C435" s="475" t="str">
        <f>zSelectedEquipment &amp; " RTU 6"</f>
        <v>G104-Gen-B RTU 6</v>
      </c>
      <c r="D435" s="195" t="s">
        <v>3671</v>
      </c>
      <c r="E435" s="388" t="s">
        <v>1529</v>
      </c>
      <c r="F435" s="189"/>
      <c r="G435" s="193" t="s">
        <v>1519</v>
      </c>
      <c r="H435" s="498"/>
    </row>
    <row r="436" spans="1:8" ht="37.5" x14ac:dyDescent="0.3">
      <c r="A436" s="228">
        <f t="shared" si="6"/>
        <v>431</v>
      </c>
      <c r="B436" s="475" t="str" cm="1">
        <f t="array" ref="B436">IADNumber&amp; " Roof"</f>
        <v>IAD35 Roof</v>
      </c>
      <c r="C436" s="475" t="str">
        <f>zSelectedEquipment &amp; " RTU 6"</f>
        <v>G104-Gen-B RTU 6</v>
      </c>
      <c r="D436" s="195" t="s">
        <v>3672</v>
      </c>
      <c r="E436" s="388" t="s">
        <v>1529</v>
      </c>
      <c r="F436" s="189"/>
      <c r="G436" s="193" t="s">
        <v>1519</v>
      </c>
      <c r="H436" s="498"/>
    </row>
    <row r="437" spans="1:8" ht="37.5" x14ac:dyDescent="0.3">
      <c r="A437" s="228">
        <f t="shared" si="6"/>
        <v>432</v>
      </c>
      <c r="B437" s="475" t="str" cm="1">
        <f t="array" ref="B437">IADNumber&amp; " Roof"</f>
        <v>IAD35 Roof</v>
      </c>
      <c r="C437" s="475" t="str">
        <f>zSelectedEquipment &amp; " RTU 6"</f>
        <v>G104-Gen-B RTU 6</v>
      </c>
      <c r="D437" s="195" t="s">
        <v>2315</v>
      </c>
      <c r="E437" s="388" t="s">
        <v>1529</v>
      </c>
      <c r="F437" s="189"/>
      <c r="G437" s="193" t="s">
        <v>1519</v>
      </c>
      <c r="H437" s="498"/>
    </row>
    <row r="438" spans="1:8" ht="37.5" x14ac:dyDescent="0.3">
      <c r="A438" s="228">
        <f t="shared" si="6"/>
        <v>433</v>
      </c>
      <c r="B438" s="475" t="str" cm="1">
        <f t="array" ref="B438">IADNumber&amp; " Roof"</f>
        <v>IAD35 Roof</v>
      </c>
      <c r="C438" s="475" t="str">
        <f>zSelectedEquipment &amp; " RTU 6"</f>
        <v>G104-Gen-B RTU 6</v>
      </c>
      <c r="D438" s="195" t="s">
        <v>2373</v>
      </c>
      <c r="E438" s="388" t="s">
        <v>1529</v>
      </c>
      <c r="F438" s="189"/>
      <c r="G438" s="193" t="s">
        <v>1519</v>
      </c>
      <c r="H438" s="498"/>
    </row>
    <row r="439" spans="1:8" ht="37.5" x14ac:dyDescent="0.3">
      <c r="A439" s="228">
        <f t="shared" si="6"/>
        <v>434</v>
      </c>
      <c r="B439" s="475" t="str" cm="1">
        <f t="array" ref="B439">IADNumber&amp; " Roof"</f>
        <v>IAD35 Roof</v>
      </c>
      <c r="C439" s="475" t="str">
        <f>zSelectedEquipment &amp; " RTU 6"</f>
        <v>G104-Gen-B RTU 6</v>
      </c>
      <c r="D439" s="195" t="s">
        <v>3673</v>
      </c>
      <c r="E439" s="388" t="s">
        <v>1529</v>
      </c>
      <c r="F439" s="189"/>
      <c r="G439" s="193" t="s">
        <v>1519</v>
      </c>
      <c r="H439" s="498"/>
    </row>
    <row r="440" spans="1:8" ht="37.5" x14ac:dyDescent="0.3">
      <c r="A440" s="228">
        <f t="shared" si="6"/>
        <v>435</v>
      </c>
      <c r="B440" s="475" t="str" cm="1">
        <f t="array" ref="B440">IADNumber&amp; " Roof"</f>
        <v>IAD35 Roof</v>
      </c>
      <c r="C440" s="475" t="str">
        <f>zSelectedEquipment &amp; " RTU 6"</f>
        <v>G104-Gen-B RTU 6</v>
      </c>
      <c r="D440" s="195" t="s">
        <v>3674</v>
      </c>
      <c r="E440" s="388" t="s">
        <v>1529</v>
      </c>
      <c r="F440" s="189"/>
      <c r="G440" s="193" t="s">
        <v>1519</v>
      </c>
      <c r="H440" s="498"/>
    </row>
    <row r="441" spans="1:8" ht="37.5" x14ac:dyDescent="0.3">
      <c r="A441" s="228">
        <f t="shared" si="6"/>
        <v>436</v>
      </c>
      <c r="B441" s="475" t="str" cm="1">
        <f t="array" ref="B441">IADNumber&amp; " Roof"</f>
        <v>IAD35 Roof</v>
      </c>
      <c r="C441" s="475" t="str">
        <f>zSelectedEquipment &amp; " RTU 6"</f>
        <v>G104-Gen-B RTU 6</v>
      </c>
      <c r="D441" s="195" t="s">
        <v>3675</v>
      </c>
      <c r="E441" s="388" t="s">
        <v>1529</v>
      </c>
      <c r="F441" s="189"/>
      <c r="G441" s="193" t="s">
        <v>1519</v>
      </c>
      <c r="H441" s="498"/>
    </row>
    <row r="442" spans="1:8" ht="37.5" x14ac:dyDescent="0.3">
      <c r="A442" s="228">
        <f t="shared" si="6"/>
        <v>437</v>
      </c>
      <c r="B442" s="475" t="str" cm="1">
        <f t="array" ref="B442">IADNumber&amp; " Roof"</f>
        <v>IAD35 Roof</v>
      </c>
      <c r="C442" s="475" t="str">
        <f>zSelectedEquipment &amp; " RTU 6"</f>
        <v>G104-Gen-B RTU 6</v>
      </c>
      <c r="D442" s="195" t="s">
        <v>3676</v>
      </c>
      <c r="E442" s="388" t="s">
        <v>1529</v>
      </c>
      <c r="F442" s="189"/>
      <c r="G442" s="193" t="s">
        <v>1519</v>
      </c>
      <c r="H442" s="498"/>
    </row>
    <row r="443" spans="1:8" ht="37.5" x14ac:dyDescent="0.3">
      <c r="A443" s="228">
        <f t="shared" si="6"/>
        <v>438</v>
      </c>
      <c r="B443" s="475" t="str" cm="1">
        <f t="array" ref="B443">IADNumber&amp; " Roof"</f>
        <v>IAD35 Roof</v>
      </c>
      <c r="C443" s="475" t="str">
        <f>zSelectedEquipment &amp; " RTU 6"</f>
        <v>G104-Gen-B RTU 6</v>
      </c>
      <c r="D443" s="195" t="s">
        <v>3672</v>
      </c>
      <c r="E443" s="388" t="s">
        <v>1529</v>
      </c>
      <c r="F443" s="189"/>
      <c r="G443" s="193" t="s">
        <v>1519</v>
      </c>
      <c r="H443" s="498"/>
    </row>
    <row r="444" spans="1:8" ht="37.5" x14ac:dyDescent="0.3">
      <c r="A444" s="228">
        <f t="shared" si="6"/>
        <v>439</v>
      </c>
      <c r="B444" s="475" t="str" cm="1">
        <f t="array" ref="B444">IADNumber&amp; " Roof"</f>
        <v>IAD35 Roof</v>
      </c>
      <c r="C444" s="475" t="str">
        <f>zSelectedEquipment &amp; " RTU 6"</f>
        <v>G104-Gen-B RTU 6</v>
      </c>
      <c r="D444" s="494" t="s">
        <v>3677</v>
      </c>
      <c r="E444" s="388" t="s">
        <v>1529</v>
      </c>
      <c r="F444" s="189"/>
      <c r="G444" s="193" t="s">
        <v>1519</v>
      </c>
      <c r="H444" s="498"/>
    </row>
    <row r="445" spans="1:8" ht="75" x14ac:dyDescent="0.3">
      <c r="A445" s="228">
        <f t="shared" si="6"/>
        <v>440</v>
      </c>
      <c r="B445" s="475" t="str" cm="1">
        <f t="array" ref="B445">IADNumber&amp; " Roof"</f>
        <v>IAD35 Roof</v>
      </c>
      <c r="C445" s="475" t="str">
        <f>zSelectedEquipment &amp; " RTU 6"</f>
        <v>G104-Gen-B RTU 6</v>
      </c>
      <c r="D445" s="494" t="s">
        <v>3678</v>
      </c>
      <c r="E445" s="388" t="s">
        <v>1529</v>
      </c>
      <c r="F445" s="189"/>
      <c r="G445" s="193" t="s">
        <v>1519</v>
      </c>
      <c r="H445" s="498"/>
    </row>
    <row r="446" spans="1:8" x14ac:dyDescent="0.3">
      <c r="A446" s="228">
        <f t="shared" si="6"/>
        <v>441</v>
      </c>
      <c r="B446" s="717" t="s">
        <v>2379</v>
      </c>
      <c r="C446" s="718"/>
      <c r="D446" s="718"/>
      <c r="E446" s="718"/>
      <c r="F446" s="718"/>
      <c r="G446" s="719"/>
      <c r="H446" s="498"/>
    </row>
    <row r="447" spans="1:8" ht="37.5" x14ac:dyDescent="0.3">
      <c r="A447" s="228">
        <f t="shared" si="6"/>
        <v>442</v>
      </c>
      <c r="B447" s="475" t="str" cm="1">
        <f t="array" ref="B447">IADNumber&amp; " Roof"</f>
        <v>IAD35 Roof</v>
      </c>
      <c r="C447" s="475" t="str">
        <f>zSelectedEquipment &amp; " RTU 6"</f>
        <v>G104-Gen-B RTU 6</v>
      </c>
      <c r="D447" s="245" t="s">
        <v>2323</v>
      </c>
      <c r="E447" s="388" t="s">
        <v>1529</v>
      </c>
      <c r="F447" s="189"/>
      <c r="G447" s="189" t="s">
        <v>1519</v>
      </c>
      <c r="H447" s="498"/>
    </row>
    <row r="448" spans="1:8" ht="37.5" x14ac:dyDescent="0.3">
      <c r="A448" s="228">
        <f t="shared" si="6"/>
        <v>443</v>
      </c>
      <c r="B448" s="475" t="str" cm="1">
        <f t="array" ref="B448">IADNumber&amp; " Roof"</f>
        <v>IAD35 Roof</v>
      </c>
      <c r="C448" s="475" t="str">
        <f>zSelectedEquipment &amp; " RTU 6"</f>
        <v>G104-Gen-B RTU 6</v>
      </c>
      <c r="D448" s="245" t="s">
        <v>2324</v>
      </c>
      <c r="E448" s="388" t="s">
        <v>1529</v>
      </c>
      <c r="F448" s="189"/>
      <c r="G448" s="189" t="s">
        <v>1519</v>
      </c>
      <c r="H448" s="498"/>
    </row>
    <row r="449" spans="1:8" ht="37.5" x14ac:dyDescent="0.3">
      <c r="A449" s="228">
        <f t="shared" si="6"/>
        <v>444</v>
      </c>
      <c r="B449" s="475" t="str" cm="1">
        <f t="array" ref="B449">IADNumber&amp; " Roof"</f>
        <v>IAD35 Roof</v>
      </c>
      <c r="C449" s="475" t="str">
        <f>zSelectedEquipment &amp; " RTU 6"</f>
        <v>G104-Gen-B RTU 6</v>
      </c>
      <c r="D449" s="245" t="s">
        <v>2325</v>
      </c>
      <c r="E449" s="388" t="s">
        <v>1529</v>
      </c>
      <c r="F449" s="189"/>
      <c r="G449" s="189" t="s">
        <v>1519</v>
      </c>
      <c r="H449" s="498"/>
    </row>
    <row r="450" spans="1:8" ht="37.5" x14ac:dyDescent="0.3">
      <c r="A450" s="228">
        <f t="shared" si="6"/>
        <v>445</v>
      </c>
      <c r="B450" s="475" t="str" cm="1">
        <f t="array" ref="B450">IADNumber&amp; " Roof"</f>
        <v>IAD35 Roof</v>
      </c>
      <c r="C450" s="475" t="str">
        <f>zSelectedEquipment &amp; " RTU 6"</f>
        <v>G104-Gen-B RTU 6</v>
      </c>
      <c r="D450" s="245" t="s">
        <v>2326</v>
      </c>
      <c r="E450" s="388" t="s">
        <v>1529</v>
      </c>
      <c r="F450" s="189"/>
      <c r="G450" s="189" t="s">
        <v>1519</v>
      </c>
      <c r="H450" s="498"/>
    </row>
    <row r="451" spans="1:8" ht="37.5" x14ac:dyDescent="0.3">
      <c r="A451" s="228">
        <f t="shared" si="6"/>
        <v>446</v>
      </c>
      <c r="B451" s="475" t="str" cm="1">
        <f t="array" ref="B451">IADNumber&amp; " Roof"</f>
        <v>IAD35 Roof</v>
      </c>
      <c r="C451" s="475" t="str">
        <f>zSelectedEquipment &amp; " RTU 6"</f>
        <v>G104-Gen-B RTU 6</v>
      </c>
      <c r="D451" s="245" t="s">
        <v>2327</v>
      </c>
      <c r="E451" s="388" t="s">
        <v>1529</v>
      </c>
      <c r="F451" s="189"/>
      <c r="G451" s="189" t="s">
        <v>1519</v>
      </c>
      <c r="H451" s="498"/>
    </row>
    <row r="452" spans="1:8" ht="37.5" x14ac:dyDescent="0.3">
      <c r="A452" s="228">
        <f t="shared" si="6"/>
        <v>447</v>
      </c>
      <c r="B452" s="475" t="str" cm="1">
        <f t="array" ref="B452">IADNumber&amp; " Roof"</f>
        <v>IAD35 Roof</v>
      </c>
      <c r="C452" s="475" t="str">
        <f>zSelectedEquipment &amp; " RTU 6"</f>
        <v>G104-Gen-B RTU 6</v>
      </c>
      <c r="D452" s="245" t="s">
        <v>2328</v>
      </c>
      <c r="E452" s="388" t="s">
        <v>1529</v>
      </c>
      <c r="F452" s="189"/>
      <c r="G452" s="189" t="s">
        <v>1519</v>
      </c>
      <c r="H452" s="498"/>
    </row>
    <row r="453" spans="1:8" x14ac:dyDescent="0.3">
      <c r="A453" s="228">
        <f t="shared" si="6"/>
        <v>448</v>
      </c>
      <c r="B453" s="717" t="s">
        <v>2329</v>
      </c>
      <c r="C453" s="718"/>
      <c r="D453" s="718"/>
      <c r="E453" s="718"/>
      <c r="F453" s="718"/>
      <c r="G453" s="719"/>
      <c r="H453" s="498"/>
    </row>
    <row r="454" spans="1:8" ht="37.5" x14ac:dyDescent="0.3">
      <c r="A454" s="228">
        <f t="shared" si="6"/>
        <v>449</v>
      </c>
      <c r="B454" s="475" t="str" cm="1">
        <f t="array" ref="B454">IADNumber&amp; " Roof"</f>
        <v>IAD35 Roof</v>
      </c>
      <c r="C454" s="475" t="str">
        <f>zSelectedEquipment &amp; " RTU 6"</f>
        <v>G104-Gen-B RTU 6</v>
      </c>
      <c r="D454" s="245" t="s">
        <v>2331</v>
      </c>
      <c r="E454" s="388" t="s">
        <v>1529</v>
      </c>
      <c r="F454" s="189"/>
      <c r="G454" s="189" t="s">
        <v>1519</v>
      </c>
      <c r="H454" s="498"/>
    </row>
    <row r="455" spans="1:8" ht="37.5" x14ac:dyDescent="0.3">
      <c r="A455" s="228">
        <f t="shared" si="6"/>
        <v>450</v>
      </c>
      <c r="B455" s="475" t="str" cm="1">
        <f t="array" ref="B455">IADNumber&amp; " Roof"</f>
        <v>IAD35 Roof</v>
      </c>
      <c r="C455" s="475" t="str">
        <f>zSelectedEquipment &amp; " RTU 6"</f>
        <v>G104-Gen-B RTU 6</v>
      </c>
      <c r="D455" s="245" t="s">
        <v>2332</v>
      </c>
      <c r="E455" s="388" t="s">
        <v>1529</v>
      </c>
      <c r="F455" s="189"/>
      <c r="G455" s="189" t="s">
        <v>1519</v>
      </c>
      <c r="H455" s="498"/>
    </row>
    <row r="456" spans="1:8" ht="37.5" x14ac:dyDescent="0.3">
      <c r="A456" s="228">
        <f t="shared" ref="A456:A519" si="7">A455+1</f>
        <v>451</v>
      </c>
      <c r="B456" s="475" t="str" cm="1">
        <f t="array" ref="B456">IADNumber&amp; " Roof"</f>
        <v>IAD35 Roof</v>
      </c>
      <c r="C456" s="475" t="str">
        <f>zSelectedEquipment &amp; " RTU 6"</f>
        <v>G104-Gen-B RTU 6</v>
      </c>
      <c r="D456" s="245" t="s">
        <v>2333</v>
      </c>
      <c r="E456" s="388" t="s">
        <v>1529</v>
      </c>
      <c r="F456" s="189"/>
      <c r="G456" s="189" t="s">
        <v>1519</v>
      </c>
      <c r="H456" s="498"/>
    </row>
    <row r="457" spans="1:8" ht="37.5" x14ac:dyDescent="0.3">
      <c r="A457" s="228">
        <f t="shared" si="7"/>
        <v>452</v>
      </c>
      <c r="B457" s="475" t="str" cm="1">
        <f t="array" ref="B457">IADNumber&amp; " Roof"</f>
        <v>IAD35 Roof</v>
      </c>
      <c r="C457" s="475" t="str">
        <f>zSelectedEquipment &amp; " RTU 6"</f>
        <v>G104-Gen-B RTU 6</v>
      </c>
      <c r="D457" s="245" t="s">
        <v>2334</v>
      </c>
      <c r="E457" s="388" t="s">
        <v>1529</v>
      </c>
      <c r="F457" s="189"/>
      <c r="G457" s="189" t="s">
        <v>1519</v>
      </c>
      <c r="H457" s="498"/>
    </row>
    <row r="458" spans="1:8" ht="37.5" x14ac:dyDescent="0.3">
      <c r="A458" s="228">
        <f t="shared" si="7"/>
        <v>453</v>
      </c>
      <c r="B458" s="475" t="str" cm="1">
        <f t="array" ref="B458">IADNumber&amp; " Roof"</f>
        <v>IAD35 Roof</v>
      </c>
      <c r="C458" s="475" t="str">
        <f>zSelectedEquipment &amp; " RTU 6"</f>
        <v>G104-Gen-B RTU 6</v>
      </c>
      <c r="D458" s="245" t="s">
        <v>2335</v>
      </c>
      <c r="E458" s="388" t="s">
        <v>1529</v>
      </c>
      <c r="F458" s="189"/>
      <c r="G458" s="189" t="s">
        <v>1519</v>
      </c>
      <c r="H458" s="498"/>
    </row>
    <row r="459" spans="1:8" ht="37.5" x14ac:dyDescent="0.3">
      <c r="A459" s="228">
        <f t="shared" si="7"/>
        <v>454</v>
      </c>
      <c r="B459" s="475" t="str" cm="1">
        <f t="array" ref="B459">IADNumber&amp; " Roof"</f>
        <v>IAD35 Roof</v>
      </c>
      <c r="C459" s="475" t="str">
        <f>zSelectedEquipment &amp; " RTU 6"</f>
        <v>G104-Gen-B RTU 6</v>
      </c>
      <c r="D459" s="245" t="s">
        <v>2337</v>
      </c>
      <c r="E459" s="388" t="s">
        <v>1529</v>
      </c>
      <c r="F459" s="189"/>
      <c r="G459" s="189" t="s">
        <v>1519</v>
      </c>
      <c r="H459" s="498"/>
    </row>
    <row r="460" spans="1:8" x14ac:dyDescent="0.3">
      <c r="A460" s="228">
        <f t="shared" si="7"/>
        <v>455</v>
      </c>
      <c r="B460" s="717" t="s">
        <v>2383</v>
      </c>
      <c r="C460" s="718"/>
      <c r="D460" s="718"/>
      <c r="E460" s="718"/>
      <c r="F460" s="718"/>
      <c r="G460" s="719"/>
      <c r="H460" s="498"/>
    </row>
    <row r="461" spans="1:8" ht="37.5" x14ac:dyDescent="0.3">
      <c r="A461" s="228">
        <f t="shared" si="7"/>
        <v>456</v>
      </c>
      <c r="B461" s="475" t="str" cm="1">
        <f t="array" ref="B461">IADNumber&amp; " Roof"</f>
        <v>IAD35 Roof</v>
      </c>
      <c r="C461" s="475" t="str">
        <f>zSelectedEquipment &amp; " RTU 6"</f>
        <v>G104-Gen-B RTU 6</v>
      </c>
      <c r="D461" s="245" t="s">
        <v>2384</v>
      </c>
      <c r="E461" s="388" t="s">
        <v>1529</v>
      </c>
      <c r="F461" s="189"/>
      <c r="G461" s="189" t="s">
        <v>1519</v>
      </c>
      <c r="H461" s="498"/>
    </row>
    <row r="462" spans="1:8" ht="37.5" x14ac:dyDescent="0.3">
      <c r="A462" s="228">
        <f t="shared" si="7"/>
        <v>457</v>
      </c>
      <c r="B462" s="475" t="str" cm="1">
        <f t="array" ref="B462">IADNumber&amp; " Roof"</f>
        <v>IAD35 Roof</v>
      </c>
      <c r="C462" s="475" t="str">
        <f>zSelectedEquipment &amp; " RTU 6"</f>
        <v>G104-Gen-B RTU 6</v>
      </c>
      <c r="D462" s="245" t="s">
        <v>2318</v>
      </c>
      <c r="E462" s="388" t="s">
        <v>1529</v>
      </c>
      <c r="F462" s="189"/>
      <c r="G462" s="189" t="s">
        <v>1519</v>
      </c>
      <c r="H462" s="498"/>
    </row>
    <row r="463" spans="1:8" ht="37.5" x14ac:dyDescent="0.3">
      <c r="A463" s="228">
        <f t="shared" si="7"/>
        <v>458</v>
      </c>
      <c r="B463" s="475" t="str" cm="1">
        <f t="array" ref="B463">IADNumber&amp; " Roof"</f>
        <v>IAD35 Roof</v>
      </c>
      <c r="C463" s="475" t="str">
        <f>zSelectedEquipment &amp; " RTU 6"</f>
        <v>G104-Gen-B RTU 6</v>
      </c>
      <c r="D463" s="245" t="s">
        <v>2385</v>
      </c>
      <c r="E463" s="388" t="s">
        <v>1529</v>
      </c>
      <c r="F463" s="189"/>
      <c r="G463" s="189" t="s">
        <v>1519</v>
      </c>
      <c r="H463" s="498"/>
    </row>
    <row r="464" spans="1:8" ht="37.5" x14ac:dyDescent="0.3">
      <c r="A464" s="228">
        <f t="shared" si="7"/>
        <v>459</v>
      </c>
      <c r="B464" s="475" t="str" cm="1">
        <f t="array" ref="B464">IADNumber&amp; " Roof"</f>
        <v>IAD35 Roof</v>
      </c>
      <c r="C464" s="475" t="str">
        <f>zSelectedEquipment &amp; " RTU 6"</f>
        <v>G104-Gen-B RTU 6</v>
      </c>
      <c r="D464" s="245" t="s">
        <v>2320</v>
      </c>
      <c r="E464" s="388" t="s">
        <v>1529</v>
      </c>
      <c r="F464" s="189"/>
      <c r="G464" s="189" t="s">
        <v>1519</v>
      </c>
      <c r="H464" s="498"/>
    </row>
    <row r="465" spans="1:8" ht="37.5" x14ac:dyDescent="0.3">
      <c r="A465" s="228">
        <f t="shared" si="7"/>
        <v>460</v>
      </c>
      <c r="B465" s="475" t="str" cm="1">
        <f t="array" ref="B465">IADNumber&amp; " Roof"</f>
        <v>IAD35 Roof</v>
      </c>
      <c r="C465" s="475" t="str">
        <f>zSelectedEquipment &amp; " RTU 6"</f>
        <v>G104-Gen-B RTU 6</v>
      </c>
      <c r="D465" s="245" t="s">
        <v>2386</v>
      </c>
      <c r="E465" s="388" t="s">
        <v>1529</v>
      </c>
      <c r="F465" s="189"/>
      <c r="G465" s="189" t="s">
        <v>1519</v>
      </c>
      <c r="H465" s="498"/>
    </row>
    <row r="466" spans="1:8" ht="37.5" x14ac:dyDescent="0.3">
      <c r="A466" s="228">
        <f t="shared" si="7"/>
        <v>461</v>
      </c>
      <c r="B466" s="475" t="str" cm="1">
        <f t="array" ref="B466">IADNumber&amp; " Roof"</f>
        <v>IAD35 Roof</v>
      </c>
      <c r="C466" s="475" t="str">
        <f>zSelectedEquipment &amp; " RTU 6"</f>
        <v>G104-Gen-B RTU 6</v>
      </c>
      <c r="D466" s="245" t="s">
        <v>2387</v>
      </c>
      <c r="E466" s="388" t="s">
        <v>1529</v>
      </c>
      <c r="F466" s="189"/>
      <c r="G466" s="189" t="s">
        <v>1519</v>
      </c>
      <c r="H466" s="498"/>
    </row>
    <row r="467" spans="1:8" ht="37.5" x14ac:dyDescent="0.3">
      <c r="A467" s="228">
        <f t="shared" si="7"/>
        <v>462</v>
      </c>
      <c r="B467" s="475" t="str" cm="1">
        <f t="array" ref="B467">IADNumber&amp; " Roof"</f>
        <v>IAD35 Roof</v>
      </c>
      <c r="C467" s="475" t="str">
        <f>zSelectedEquipment &amp; " RTU 6"</f>
        <v>G104-Gen-B RTU 6</v>
      </c>
      <c r="D467" s="245" t="s">
        <v>3679</v>
      </c>
      <c r="E467" s="388" t="s">
        <v>1529</v>
      </c>
      <c r="F467" s="189"/>
      <c r="G467" s="189" t="s">
        <v>1519</v>
      </c>
      <c r="H467" s="498"/>
    </row>
    <row r="468" spans="1:8" ht="37.5" x14ac:dyDescent="0.3">
      <c r="A468" s="228">
        <f t="shared" si="7"/>
        <v>463</v>
      </c>
      <c r="B468" s="475" t="str" cm="1">
        <f t="array" ref="B468">IADNumber&amp; " Roof"</f>
        <v>IAD35 Roof</v>
      </c>
      <c r="C468" s="475" t="str">
        <f>zSelectedEquipment &amp; " RTU 6"</f>
        <v>G104-Gen-B RTU 6</v>
      </c>
      <c r="D468" s="245" t="s">
        <v>3680</v>
      </c>
      <c r="E468" s="388" t="s">
        <v>1529</v>
      </c>
      <c r="F468" s="189"/>
      <c r="G468" s="189" t="s">
        <v>1519</v>
      </c>
      <c r="H468" s="498"/>
    </row>
    <row r="469" spans="1:8" x14ac:dyDescent="0.3">
      <c r="A469" s="228">
        <f t="shared" si="7"/>
        <v>464</v>
      </c>
      <c r="B469" s="716" t="s">
        <v>3681</v>
      </c>
      <c r="C469" s="716"/>
      <c r="D469" s="716"/>
      <c r="E469" s="716"/>
      <c r="F469" s="716"/>
      <c r="G469" s="716"/>
      <c r="H469" s="498"/>
    </row>
    <row r="470" spans="1:8" ht="37.5" x14ac:dyDescent="0.3">
      <c r="A470" s="228">
        <f t="shared" si="7"/>
        <v>465</v>
      </c>
      <c r="B470" s="475" t="str" cm="1">
        <f t="array" ref="B470">IADNumber&amp; " Roof"</f>
        <v>IAD35 Roof</v>
      </c>
      <c r="C470" s="475" t="str">
        <f>zSelectedEquipment &amp; " RTU 6"</f>
        <v>G104-Gen-B RTU 6</v>
      </c>
      <c r="D470" s="195" t="s">
        <v>2274</v>
      </c>
      <c r="E470" s="388" t="s">
        <v>1529</v>
      </c>
      <c r="F470" s="198"/>
      <c r="G470" s="193" t="s">
        <v>1519</v>
      </c>
      <c r="H470" s="498"/>
    </row>
    <row r="471" spans="1:8" ht="37.5" x14ac:dyDescent="0.3">
      <c r="A471" s="228">
        <f t="shared" si="7"/>
        <v>466</v>
      </c>
      <c r="B471" s="475" t="str" cm="1">
        <f t="array" ref="B471">IADNumber&amp; " Roof"</f>
        <v>IAD35 Roof</v>
      </c>
      <c r="C471" s="475" t="str">
        <f>zSelectedEquipment &amp; " RTU 6"</f>
        <v>G104-Gen-B RTU 6</v>
      </c>
      <c r="D471" s="195" t="s">
        <v>2275</v>
      </c>
      <c r="E471" s="388" t="s">
        <v>1529</v>
      </c>
      <c r="F471" s="198"/>
      <c r="G471" s="193" t="s">
        <v>1519</v>
      </c>
      <c r="H471" s="498"/>
    </row>
    <row r="472" spans="1:8" ht="37.5" x14ac:dyDescent="0.3">
      <c r="A472" s="228">
        <f t="shared" si="7"/>
        <v>467</v>
      </c>
      <c r="B472" s="475" t="str" cm="1">
        <f t="array" ref="B472">IADNumber&amp; " Roof"</f>
        <v>IAD35 Roof</v>
      </c>
      <c r="C472" s="475" t="str">
        <f>zSelectedEquipment &amp; " RTU 6"</f>
        <v>G104-Gen-B RTU 6</v>
      </c>
      <c r="D472" s="195" t="s">
        <v>3682</v>
      </c>
      <c r="E472" s="388" t="s">
        <v>1529</v>
      </c>
      <c r="F472" s="198"/>
      <c r="G472" s="193" t="s">
        <v>1519</v>
      </c>
      <c r="H472" s="498"/>
    </row>
    <row r="473" spans="1:8" ht="56.25" x14ac:dyDescent="0.3">
      <c r="A473" s="228">
        <f t="shared" si="7"/>
        <v>468</v>
      </c>
      <c r="B473" s="475" t="str" cm="1">
        <f t="array" ref="B473">IADNumber&amp; " Roof"</f>
        <v>IAD35 Roof</v>
      </c>
      <c r="C473" s="475" t="str">
        <f>zSelectedEquipment &amp; " RTU 6"</f>
        <v>G104-Gen-B RTU 6</v>
      </c>
      <c r="D473" s="195" t="s">
        <v>3683</v>
      </c>
      <c r="E473" s="388" t="s">
        <v>1529</v>
      </c>
      <c r="F473" s="198"/>
      <c r="G473" s="193" t="s">
        <v>1519</v>
      </c>
      <c r="H473" s="498"/>
    </row>
    <row r="474" spans="1:8" ht="37.5" x14ac:dyDescent="0.3">
      <c r="A474" s="228">
        <f t="shared" si="7"/>
        <v>469</v>
      </c>
      <c r="B474" s="475" t="str" cm="1">
        <f t="array" ref="B474">IADNumber&amp; " Roof"</f>
        <v>IAD35 Roof</v>
      </c>
      <c r="C474" s="475" t="str">
        <f>zSelectedEquipment &amp; " RTU 6"</f>
        <v>G104-Gen-B RTU 6</v>
      </c>
      <c r="D474" s="195" t="s">
        <v>3661</v>
      </c>
      <c r="E474" s="388" t="s">
        <v>1529</v>
      </c>
      <c r="F474" s="198"/>
      <c r="G474" s="193" t="s">
        <v>1519</v>
      </c>
      <c r="H474" s="498"/>
    </row>
    <row r="475" spans="1:8" ht="37.5" x14ac:dyDescent="0.3">
      <c r="A475" s="228">
        <f t="shared" si="7"/>
        <v>470</v>
      </c>
      <c r="B475" s="475" t="str" cm="1">
        <f t="array" ref="B475">IADNumber&amp; " Roof"</f>
        <v>IAD35 Roof</v>
      </c>
      <c r="C475" s="475" t="str">
        <f>zSelectedEquipment &amp; " RTU 6"</f>
        <v>G104-Gen-B RTU 6</v>
      </c>
      <c r="D475" s="195" t="s">
        <v>3684</v>
      </c>
      <c r="E475" s="388" t="s">
        <v>1529</v>
      </c>
      <c r="F475" s="198"/>
      <c r="G475" s="193" t="s">
        <v>1519</v>
      </c>
      <c r="H475" s="498"/>
    </row>
    <row r="476" spans="1:8" ht="37.5" x14ac:dyDescent="0.3">
      <c r="A476" s="228">
        <f t="shared" si="7"/>
        <v>471</v>
      </c>
      <c r="B476" s="475" t="str" cm="1">
        <f t="array" ref="B476">IADNumber&amp; " Roof"</f>
        <v>IAD35 Roof</v>
      </c>
      <c r="C476" s="475" t="str">
        <f>zSelectedEquipment &amp; " RTU 6"</f>
        <v>G104-Gen-B RTU 6</v>
      </c>
      <c r="D476" s="195" t="s">
        <v>2277</v>
      </c>
      <c r="E476" s="388" t="s">
        <v>1529</v>
      </c>
      <c r="F476" s="198"/>
      <c r="G476" s="193" t="s">
        <v>1519</v>
      </c>
      <c r="H476" s="498"/>
    </row>
    <row r="477" spans="1:8" ht="37.5" x14ac:dyDescent="0.3">
      <c r="A477" s="228">
        <f t="shared" si="7"/>
        <v>472</v>
      </c>
      <c r="B477" s="475" t="str" cm="1">
        <f t="array" ref="B477">IADNumber&amp; " Roof"</f>
        <v>IAD35 Roof</v>
      </c>
      <c r="C477" s="475" t="str">
        <f>zSelectedEquipment &amp; " RTU 6"</f>
        <v>G104-Gen-B RTU 6</v>
      </c>
      <c r="D477" s="195" t="s">
        <v>2340</v>
      </c>
      <c r="E477" s="388" t="s">
        <v>1529</v>
      </c>
      <c r="F477" s="198"/>
      <c r="G477" s="193" t="s">
        <v>1519</v>
      </c>
      <c r="H477" s="498"/>
    </row>
    <row r="478" spans="1:8" ht="37.5" x14ac:dyDescent="0.3">
      <c r="A478" s="228">
        <f t="shared" si="7"/>
        <v>473</v>
      </c>
      <c r="B478" s="475" t="str" cm="1">
        <f t="array" ref="B478">IADNumber&amp; " Roof"</f>
        <v>IAD35 Roof</v>
      </c>
      <c r="C478" s="475" t="str">
        <f>zSelectedEquipment &amp; " RTU 6"</f>
        <v>G104-Gen-B RTU 6</v>
      </c>
      <c r="D478" s="195" t="s">
        <v>3685</v>
      </c>
      <c r="E478" s="388" t="s">
        <v>1529</v>
      </c>
      <c r="F478" s="198"/>
      <c r="G478" s="193" t="s">
        <v>1519</v>
      </c>
      <c r="H478" s="498"/>
    </row>
    <row r="479" spans="1:8" ht="37.5" x14ac:dyDescent="0.3">
      <c r="A479" s="228">
        <f t="shared" si="7"/>
        <v>474</v>
      </c>
      <c r="B479" s="475" t="str" cm="1">
        <f t="array" ref="B479">IADNumber&amp; " Roof"</f>
        <v>IAD35 Roof</v>
      </c>
      <c r="C479" s="475" t="str">
        <f>zSelectedEquipment &amp; " RTU 6"</f>
        <v>G104-Gen-B RTU 6</v>
      </c>
      <c r="D479" s="195" t="s">
        <v>3686</v>
      </c>
      <c r="E479" s="388" t="s">
        <v>1529</v>
      </c>
      <c r="F479" s="198"/>
      <c r="G479" s="193" t="s">
        <v>1519</v>
      </c>
      <c r="H479" s="498"/>
    </row>
    <row r="480" spans="1:8" ht="37.5" x14ac:dyDescent="0.3">
      <c r="A480" s="228">
        <f t="shared" si="7"/>
        <v>475</v>
      </c>
      <c r="B480" s="475" t="str" cm="1">
        <f t="array" ref="B480">IADNumber&amp; " Roof"</f>
        <v>IAD35 Roof</v>
      </c>
      <c r="C480" s="475" t="str">
        <f>zSelectedEquipment &amp; " RTU 6"</f>
        <v>G104-Gen-B RTU 6</v>
      </c>
      <c r="D480" s="195" t="s">
        <v>3687</v>
      </c>
      <c r="E480" s="388" t="s">
        <v>1529</v>
      </c>
      <c r="F480" s="198"/>
      <c r="G480" s="193" t="s">
        <v>1519</v>
      </c>
      <c r="H480" s="498"/>
    </row>
    <row r="481" spans="1:8" ht="37.5" x14ac:dyDescent="0.3">
      <c r="A481" s="228">
        <f t="shared" si="7"/>
        <v>476</v>
      </c>
      <c r="B481" s="475" t="str" cm="1">
        <f t="array" ref="B481">IADNumber&amp; " Roof"</f>
        <v>IAD35 Roof</v>
      </c>
      <c r="C481" s="475" t="str">
        <f>zSelectedEquipment &amp; " RTU 6"</f>
        <v>G104-Gen-B RTU 6</v>
      </c>
      <c r="D481" s="195" t="s">
        <v>3688</v>
      </c>
      <c r="E481" s="388" t="s">
        <v>1529</v>
      </c>
      <c r="F481" s="198"/>
      <c r="G481" s="193" t="s">
        <v>1519</v>
      </c>
      <c r="H481" s="498"/>
    </row>
    <row r="482" spans="1:8" ht="37.5" x14ac:dyDescent="0.3">
      <c r="A482" s="228">
        <f t="shared" si="7"/>
        <v>477</v>
      </c>
      <c r="B482" s="475" t="str" cm="1">
        <f t="array" ref="B482">IADNumber&amp; " Roof"</f>
        <v>IAD35 Roof</v>
      </c>
      <c r="C482" s="475" t="str">
        <f>zSelectedEquipment &amp; " RTU 6"</f>
        <v>G104-Gen-B RTU 6</v>
      </c>
      <c r="D482" s="195" t="s">
        <v>2392</v>
      </c>
      <c r="E482" s="388" t="s">
        <v>1529</v>
      </c>
      <c r="F482" s="198"/>
      <c r="G482" s="193" t="s">
        <v>1519</v>
      </c>
      <c r="H482" s="498"/>
    </row>
    <row r="483" spans="1:8" ht="56.25" x14ac:dyDescent="0.3">
      <c r="A483" s="228">
        <f t="shared" si="7"/>
        <v>478</v>
      </c>
      <c r="B483" s="475" t="str" cm="1">
        <f t="array" ref="B483">IADNumber&amp; " Roof"</f>
        <v>IAD35 Roof</v>
      </c>
      <c r="C483" s="475" t="str">
        <f>zSelectedEquipment &amp; " RTU 6"</f>
        <v>G104-Gen-B RTU 6</v>
      </c>
      <c r="D483" s="494" t="s">
        <v>3689</v>
      </c>
      <c r="E483" s="388" t="s">
        <v>1529</v>
      </c>
      <c r="F483" s="198"/>
      <c r="G483" s="193" t="s">
        <v>1519</v>
      </c>
      <c r="H483" s="498"/>
    </row>
    <row r="484" spans="1:8" ht="37.5" x14ac:dyDescent="0.3">
      <c r="A484" s="228">
        <f t="shared" si="7"/>
        <v>479</v>
      </c>
      <c r="B484" s="475" t="str" cm="1">
        <f t="array" ref="B484">IADNumber&amp; " Roof"</f>
        <v>IAD35 Roof</v>
      </c>
      <c r="C484" s="475" t="str">
        <f>zSelectedEquipment &amp; " RTU 6"</f>
        <v>G104-Gen-B RTU 6</v>
      </c>
      <c r="D484" s="195" t="s">
        <v>2282</v>
      </c>
      <c r="E484" s="388" t="s">
        <v>1529</v>
      </c>
      <c r="F484" s="198"/>
      <c r="G484" s="193" t="s">
        <v>1519</v>
      </c>
      <c r="H484" s="498"/>
    </row>
    <row r="485" spans="1:8" ht="37.5" x14ac:dyDescent="0.3">
      <c r="A485" s="228">
        <f t="shared" si="7"/>
        <v>480</v>
      </c>
      <c r="B485" s="475" t="str" cm="1">
        <f t="array" ref="B485">IADNumber&amp; " Roof"</f>
        <v>IAD35 Roof</v>
      </c>
      <c r="C485" s="475" t="str">
        <f>zSelectedEquipment &amp; " RTU 6"</f>
        <v>G104-Gen-B RTU 6</v>
      </c>
      <c r="D485" s="195" t="s">
        <v>3690</v>
      </c>
      <c r="E485" s="388" t="s">
        <v>1529</v>
      </c>
      <c r="F485" s="198"/>
      <c r="G485" s="193" t="s">
        <v>1519</v>
      </c>
      <c r="H485" s="498"/>
    </row>
    <row r="486" spans="1:8" ht="37.5" x14ac:dyDescent="0.3">
      <c r="A486" s="228">
        <f t="shared" si="7"/>
        <v>481</v>
      </c>
      <c r="B486" s="475" t="s">
        <v>1462</v>
      </c>
      <c r="C486" s="388" t="s">
        <v>84</v>
      </c>
      <c r="D486" s="195" t="s">
        <v>2283</v>
      </c>
      <c r="E486" s="388" t="s">
        <v>1529</v>
      </c>
      <c r="F486" s="495"/>
      <c r="G486" s="193" t="s">
        <v>1519</v>
      </c>
      <c r="H486" s="498"/>
    </row>
    <row r="487" spans="1:8" ht="37.5" x14ac:dyDescent="0.3">
      <c r="A487" s="228">
        <f t="shared" si="7"/>
        <v>482</v>
      </c>
      <c r="B487" s="475" t="str" cm="1">
        <f t="array" ref="B487">IADNumber&amp; " Roof"</f>
        <v>IAD35 Roof</v>
      </c>
      <c r="C487" s="475" t="str">
        <f>zSelectedEquipment &amp; " RTU 6"</f>
        <v>G104-Gen-B RTU 6</v>
      </c>
      <c r="D487" s="195" t="s">
        <v>2284</v>
      </c>
      <c r="E487" s="388" t="s">
        <v>1529</v>
      </c>
      <c r="F487" s="495"/>
      <c r="G487" s="193" t="s">
        <v>1519</v>
      </c>
      <c r="H487" s="498"/>
    </row>
    <row r="488" spans="1:8" ht="18" customHeight="1" x14ac:dyDescent="0.3">
      <c r="A488" s="228" t="e" cm="1">
        <f t="array" ref="A488">IF(NumberofRTUs=2,A167+1,IF(NumberofRTUs=0,A7+1,A487+1))</f>
        <v>#N/A</v>
      </c>
      <c r="B488" s="753" t="str">
        <f>"Perform Quarterly PM on " &amp; C490</f>
        <v>Perform Quarterly PM on G104-Gen-B MAU 1</v>
      </c>
      <c r="C488" s="754"/>
      <c r="D488" s="754"/>
      <c r="E488" s="754"/>
      <c r="F488" s="754"/>
      <c r="G488" s="755"/>
    </row>
    <row r="489" spans="1:8" ht="37.5" x14ac:dyDescent="0.3">
      <c r="A489" s="228" t="e">
        <f t="shared" si="7"/>
        <v>#N/A</v>
      </c>
      <c r="B489" s="388" t="s">
        <v>1462</v>
      </c>
      <c r="C489" s="388" t="s">
        <v>84</v>
      </c>
      <c r="D489" s="493" t="s">
        <v>3655</v>
      </c>
      <c r="E489" s="388" t="s">
        <v>3654</v>
      </c>
      <c r="F489" s="189"/>
      <c r="G489" s="189"/>
    </row>
    <row r="490" spans="1:8" ht="37.5" x14ac:dyDescent="0.3">
      <c r="A490" s="228" t="e">
        <f t="shared" si="7"/>
        <v>#N/A</v>
      </c>
      <c r="B490" s="475" t="str" cm="1">
        <f t="array" ref="B490">IADNumber&amp; " Roof"</f>
        <v>IAD35 Roof</v>
      </c>
      <c r="C490" s="475" t="str">
        <f>zSelectedEquipment &amp; " MAU 1"</f>
        <v>G104-Gen-B MAU 1</v>
      </c>
      <c r="D490" s="191" t="s">
        <v>3656</v>
      </c>
      <c r="E490" s="388" t="s">
        <v>1529</v>
      </c>
      <c r="F490" s="189"/>
      <c r="G490" s="189" t="s">
        <v>1519</v>
      </c>
    </row>
    <row r="491" spans="1:8" ht="37.5" x14ac:dyDescent="0.3">
      <c r="A491" s="228" t="e">
        <f t="shared" si="7"/>
        <v>#N/A</v>
      </c>
      <c r="B491" s="475" t="str" cm="1">
        <f t="array" ref="B491">IADNumber&amp; " Roof"</f>
        <v>IAD35 Roof</v>
      </c>
      <c r="C491" s="475" t="str">
        <f>zSelectedEquipment &amp; " MAU 1"</f>
        <v>G104-Gen-B MAU 1</v>
      </c>
      <c r="D491" s="190" t="s">
        <v>3657</v>
      </c>
      <c r="E491" s="388" t="s">
        <v>1529</v>
      </c>
      <c r="F491" s="189"/>
      <c r="G491" s="189" t="s">
        <v>1519</v>
      </c>
    </row>
    <row r="492" spans="1:8" ht="37.5" x14ac:dyDescent="0.3">
      <c r="A492" s="228" t="e">
        <f t="shared" si="7"/>
        <v>#N/A</v>
      </c>
      <c r="B492" s="475" t="str" cm="1">
        <f t="array" ref="B492">IADNumber&amp; " Roof"</f>
        <v>IAD35 Roof</v>
      </c>
      <c r="C492" s="475" t="str">
        <f>zSelectedEquipment &amp; " MAU 1"</f>
        <v>G104-Gen-B MAU 1</v>
      </c>
      <c r="D492" s="190" t="s">
        <v>3658</v>
      </c>
      <c r="E492" s="388" t="s">
        <v>1529</v>
      </c>
      <c r="F492" s="189"/>
      <c r="G492" s="189" t="s">
        <v>1519</v>
      </c>
    </row>
    <row r="493" spans="1:8" ht="37.5" x14ac:dyDescent="0.3">
      <c r="A493" s="228" t="e">
        <f t="shared" si="7"/>
        <v>#N/A</v>
      </c>
      <c r="B493" s="475" t="str" cm="1">
        <f t="array" ref="B493">IADNumber&amp; " Roof"</f>
        <v>IAD35 Roof</v>
      </c>
      <c r="C493" s="475" t="str">
        <f>zSelectedEquipment &amp; " MAU 1"</f>
        <v>G104-Gen-B MAU 1</v>
      </c>
      <c r="D493" s="190" t="s">
        <v>3659</v>
      </c>
      <c r="E493" s="388" t="s">
        <v>3654</v>
      </c>
      <c r="F493" s="189"/>
      <c r="G493" s="189" t="s">
        <v>1519</v>
      </c>
    </row>
    <row r="494" spans="1:8" ht="37.5" x14ac:dyDescent="0.3">
      <c r="A494" s="228" t="e">
        <f t="shared" si="7"/>
        <v>#N/A</v>
      </c>
      <c r="B494" s="475" t="str" cm="1">
        <f t="array" ref="B494">IADNumber&amp; " Roof"</f>
        <v>IAD35 Roof</v>
      </c>
      <c r="C494" s="475" t="str">
        <f>zSelectedEquipment &amp; " MAU 1"</f>
        <v>G104-Gen-B MAU 1</v>
      </c>
      <c r="D494" s="195" t="s">
        <v>3660</v>
      </c>
      <c r="E494" s="388" t="s">
        <v>3654</v>
      </c>
      <c r="F494" s="189"/>
      <c r="G494" s="189" t="s">
        <v>1519</v>
      </c>
    </row>
    <row r="495" spans="1:8" ht="37.5" x14ac:dyDescent="0.3">
      <c r="A495" s="228" t="e">
        <f t="shared" si="7"/>
        <v>#N/A</v>
      </c>
      <c r="B495" s="475" t="str" cm="1">
        <f t="array" ref="B495">IADNumber&amp; " Roof"</f>
        <v>IAD35 Roof</v>
      </c>
      <c r="C495" s="475" t="str">
        <f>zSelectedEquipment &amp; " MAU 1"</f>
        <v>G104-Gen-B MAU 1</v>
      </c>
      <c r="D495" s="195" t="s">
        <v>3661</v>
      </c>
      <c r="E495" s="388" t="s">
        <v>3654</v>
      </c>
      <c r="F495" s="189"/>
      <c r="G495" s="189" t="s">
        <v>1519</v>
      </c>
    </row>
    <row r="496" spans="1:8" ht="56.25" x14ac:dyDescent="0.3">
      <c r="A496" s="228" t="e">
        <f t="shared" si="7"/>
        <v>#N/A</v>
      </c>
      <c r="B496" s="475" t="str" cm="1">
        <f t="array" ref="B496">IADNumber&amp; " Roof"</f>
        <v>IAD35 Roof</v>
      </c>
      <c r="C496" s="475" t="str">
        <f>zSelectedEquipment &amp; " MAU 1"</f>
        <v>G104-Gen-B MAU 1</v>
      </c>
      <c r="D496" s="195" t="s">
        <v>3662</v>
      </c>
      <c r="E496" s="388" t="s">
        <v>3663</v>
      </c>
      <c r="F496" s="189"/>
      <c r="G496" s="189" t="s">
        <v>1519</v>
      </c>
    </row>
    <row r="497" spans="1:7" ht="93.75" x14ac:dyDescent="0.3">
      <c r="A497" s="228" t="e">
        <f t="shared" si="7"/>
        <v>#N/A</v>
      </c>
      <c r="B497" s="475" t="str" cm="1">
        <f t="array" ref="B497">IADNumber&amp; " Roof"</f>
        <v>IAD35 Roof</v>
      </c>
      <c r="C497" s="475" t="str">
        <f>zSelectedEquipment &amp; " MAU 1"</f>
        <v>G104-Gen-B MAU 1</v>
      </c>
      <c r="D497" s="195" t="s">
        <v>3664</v>
      </c>
      <c r="E497" s="388" t="s">
        <v>1529</v>
      </c>
      <c r="F497" s="189"/>
      <c r="G497" s="189" t="s">
        <v>1519</v>
      </c>
    </row>
    <row r="498" spans="1:7" x14ac:dyDescent="0.3">
      <c r="A498" s="228" t="e">
        <f t="shared" si="7"/>
        <v>#N/A</v>
      </c>
      <c r="B498" s="717" t="s">
        <v>3665</v>
      </c>
      <c r="C498" s="718"/>
      <c r="D498" s="718"/>
      <c r="E498" s="718"/>
      <c r="F498" s="718"/>
      <c r="G498" s="719"/>
    </row>
    <row r="499" spans="1:7" ht="37.5" x14ac:dyDescent="0.3">
      <c r="A499" s="228" t="e">
        <f t="shared" si="7"/>
        <v>#N/A</v>
      </c>
      <c r="B499" s="475" t="str" cm="1">
        <f t="array" ref="B499">IADNumber&amp; " Roof"</f>
        <v>IAD35 Roof</v>
      </c>
      <c r="C499" s="475" t="str">
        <f>zSelectedEquipment &amp; " MAU 1"</f>
        <v>G104-Gen-B MAU 1</v>
      </c>
      <c r="D499" s="195" t="s">
        <v>3666</v>
      </c>
      <c r="E499" s="388" t="s">
        <v>1529</v>
      </c>
      <c r="F499" s="193"/>
      <c r="G499" s="193" t="s">
        <v>1519</v>
      </c>
    </row>
    <row r="500" spans="1:7" ht="37.5" x14ac:dyDescent="0.3">
      <c r="A500" s="228" t="e">
        <f t="shared" si="7"/>
        <v>#N/A</v>
      </c>
      <c r="B500" s="475" t="str" cm="1">
        <f t="array" ref="B500">IADNumber&amp; " Roof"</f>
        <v>IAD35 Roof</v>
      </c>
      <c r="C500" s="475" t="str">
        <f>zSelectedEquipment &amp; " MAU 1"</f>
        <v>G104-Gen-B MAU 1</v>
      </c>
      <c r="D500" s="195" t="s">
        <v>3667</v>
      </c>
      <c r="E500" s="388" t="s">
        <v>1529</v>
      </c>
      <c r="F500" s="193"/>
      <c r="G500" s="193" t="s">
        <v>1519</v>
      </c>
    </row>
    <row r="501" spans="1:7" ht="37.5" x14ac:dyDescent="0.3">
      <c r="A501" s="228" t="e">
        <f t="shared" si="7"/>
        <v>#N/A</v>
      </c>
      <c r="B501" s="475" t="str" cm="1">
        <f t="array" ref="B501">IADNumber&amp; " Roof"</f>
        <v>IAD35 Roof</v>
      </c>
      <c r="C501" s="475" t="str">
        <f>zSelectedEquipment &amp; " MAU 1"</f>
        <v>G104-Gen-B MAU 1</v>
      </c>
      <c r="D501" s="195" t="s">
        <v>2251</v>
      </c>
      <c r="E501" s="388" t="s">
        <v>1529</v>
      </c>
      <c r="F501" s="193"/>
      <c r="G501" s="193" t="s">
        <v>1519</v>
      </c>
    </row>
    <row r="502" spans="1:7" ht="56.25" x14ac:dyDescent="0.3">
      <c r="A502" s="228" t="e">
        <f t="shared" si="7"/>
        <v>#N/A</v>
      </c>
      <c r="B502" s="475" t="str" cm="1">
        <f t="array" ref="B502">IADNumber&amp; " Roof"</f>
        <v>IAD35 Roof</v>
      </c>
      <c r="C502" s="475" t="str">
        <f>zSelectedEquipment &amp; " MAU 1"</f>
        <v>G104-Gen-B MAU 1</v>
      </c>
      <c r="D502" s="195" t="s">
        <v>3668</v>
      </c>
      <c r="E502" s="388" t="s">
        <v>1529</v>
      </c>
      <c r="F502" s="193"/>
      <c r="G502" s="193" t="s">
        <v>1519</v>
      </c>
    </row>
    <row r="503" spans="1:7" x14ac:dyDescent="0.3">
      <c r="A503" s="228" t="e">
        <f t="shared" si="7"/>
        <v>#N/A</v>
      </c>
      <c r="B503" s="717" t="s">
        <v>2253</v>
      </c>
      <c r="C503" s="718"/>
      <c r="D503" s="718"/>
      <c r="E503" s="718"/>
      <c r="F503" s="718"/>
      <c r="G503" s="719"/>
    </row>
    <row r="504" spans="1:7" ht="75" x14ac:dyDescent="0.3">
      <c r="A504" s="228" t="e">
        <f t="shared" si="7"/>
        <v>#N/A</v>
      </c>
      <c r="B504" s="475" t="str" cm="1">
        <f t="array" ref="B504">IADNumber&amp; " Roof"</f>
        <v>IAD35 Roof</v>
      </c>
      <c r="C504" s="475" t="str">
        <f>zSelectedEquipment &amp; " MAU 1"</f>
        <v>G104-Gen-B MAU 1</v>
      </c>
      <c r="D504" s="195" t="s">
        <v>3669</v>
      </c>
      <c r="E504" s="388" t="s">
        <v>1529</v>
      </c>
      <c r="F504" s="193"/>
      <c r="G504" s="193"/>
    </row>
    <row r="505" spans="1:7" ht="37.5" x14ac:dyDescent="0.3">
      <c r="A505" s="228" t="e">
        <f t="shared" si="7"/>
        <v>#N/A</v>
      </c>
      <c r="B505" s="475" t="str" cm="1">
        <f t="array" ref="B505">IADNumber&amp; " Roof"</f>
        <v>IAD35 Roof</v>
      </c>
      <c r="C505" s="475" t="str">
        <f>zSelectedEquipment &amp; " MAU 1"</f>
        <v>G104-Gen-B MAU 1</v>
      </c>
      <c r="D505" s="195" t="s">
        <v>2255</v>
      </c>
      <c r="E505" s="388" t="s">
        <v>1529</v>
      </c>
      <c r="F505" s="193"/>
      <c r="G505" s="193" t="s">
        <v>1519</v>
      </c>
    </row>
    <row r="506" spans="1:7" x14ac:dyDescent="0.3">
      <c r="A506" s="228" t="e">
        <f t="shared" si="7"/>
        <v>#N/A</v>
      </c>
      <c r="B506" s="717" t="s">
        <v>2366</v>
      </c>
      <c r="C506" s="718"/>
      <c r="D506" s="718"/>
      <c r="E506" s="718"/>
      <c r="F506" s="718"/>
      <c r="G506" s="719"/>
    </row>
    <row r="507" spans="1:7" ht="37.5" x14ac:dyDescent="0.3">
      <c r="A507" s="228" t="e">
        <f t="shared" si="7"/>
        <v>#N/A</v>
      </c>
      <c r="B507" s="475" t="str" cm="1">
        <f t="array" ref="B507">IADNumber&amp; " Roof"</f>
        <v>IAD35 Roof</v>
      </c>
      <c r="C507" s="475" t="str">
        <f>zSelectedEquipment &amp; " MAU 1"</f>
        <v>G104-Gen-B MAU 1</v>
      </c>
      <c r="D507" s="195" t="s">
        <v>2306</v>
      </c>
      <c r="E507" s="388" t="s">
        <v>1529</v>
      </c>
      <c r="F507" s="193"/>
      <c r="G507" s="193" t="s">
        <v>1519</v>
      </c>
    </row>
    <row r="508" spans="1:7" ht="37.5" x14ac:dyDescent="0.3">
      <c r="A508" s="228" t="e">
        <f t="shared" si="7"/>
        <v>#N/A</v>
      </c>
      <c r="B508" s="475" t="str" cm="1">
        <f t="array" ref="B508">IADNumber&amp; " Roof"</f>
        <v>IAD35 Roof</v>
      </c>
      <c r="C508" s="475" t="str">
        <f>zSelectedEquipment &amp; " MAU 1"</f>
        <v>G104-Gen-B MAU 1</v>
      </c>
      <c r="D508" s="195" t="s">
        <v>3670</v>
      </c>
      <c r="E508" s="388" t="s">
        <v>1529</v>
      </c>
      <c r="F508" s="193"/>
      <c r="G508" s="193" t="s">
        <v>1519</v>
      </c>
    </row>
    <row r="509" spans="1:7" ht="37.5" x14ac:dyDescent="0.3">
      <c r="A509" s="228" t="e">
        <f t="shared" si="7"/>
        <v>#N/A</v>
      </c>
      <c r="B509" s="475" t="str" cm="1">
        <f t="array" ref="B509">IADNumber&amp; " Roof"</f>
        <v>IAD35 Roof</v>
      </c>
      <c r="C509" s="475" t="str">
        <f>zSelectedEquipment &amp; " MAU 1"</f>
        <v>G104-Gen-B MAU 1</v>
      </c>
      <c r="D509" s="195" t="s">
        <v>2368</v>
      </c>
      <c r="E509" s="388" t="s">
        <v>1529</v>
      </c>
      <c r="F509" s="193"/>
      <c r="G509" s="193" t="s">
        <v>1519</v>
      </c>
    </row>
    <row r="510" spans="1:7" ht="37.5" x14ac:dyDescent="0.3">
      <c r="A510" s="228" t="e">
        <f t="shared" si="7"/>
        <v>#N/A</v>
      </c>
      <c r="B510" s="475" t="str" cm="1">
        <f t="array" ref="B510">IADNumber&amp; " Roof"</f>
        <v>IAD35 Roof</v>
      </c>
      <c r="C510" s="475" t="str">
        <f>zSelectedEquipment &amp; " MAU 1"</f>
        <v>G104-Gen-B MAU 1</v>
      </c>
      <c r="D510" s="195" t="s">
        <v>2309</v>
      </c>
      <c r="E510" s="388" t="s">
        <v>1529</v>
      </c>
      <c r="F510" s="193"/>
      <c r="G510" s="193" t="s">
        <v>1519</v>
      </c>
    </row>
    <row r="511" spans="1:7" ht="37.5" x14ac:dyDescent="0.3">
      <c r="A511" s="228" t="e">
        <f t="shared" si="7"/>
        <v>#N/A</v>
      </c>
      <c r="B511" s="475" t="str" cm="1">
        <f t="array" ref="B511">IADNumber&amp; " Roof"</f>
        <v>IAD35 Roof</v>
      </c>
      <c r="C511" s="475" t="str">
        <f>zSelectedEquipment &amp; " MAU 1"</f>
        <v>G104-Gen-B MAU 1</v>
      </c>
      <c r="D511" s="195" t="s">
        <v>2310</v>
      </c>
      <c r="E511" s="388" t="s">
        <v>1529</v>
      </c>
      <c r="F511" s="193"/>
      <c r="G511" s="193" t="s">
        <v>1519</v>
      </c>
    </row>
    <row r="512" spans="1:7" ht="37.5" x14ac:dyDescent="0.3">
      <c r="A512" s="228" t="e">
        <f t="shared" si="7"/>
        <v>#N/A</v>
      </c>
      <c r="B512" s="475" t="str" cm="1">
        <f t="array" ref="B512">IADNumber&amp; " Roof"</f>
        <v>IAD35 Roof</v>
      </c>
      <c r="C512" s="475" t="str">
        <f>zSelectedEquipment &amp; " MAU 1"</f>
        <v>G104-Gen-B MAU 1</v>
      </c>
      <c r="D512" s="195" t="s">
        <v>2311</v>
      </c>
      <c r="E512" s="388" t="s">
        <v>1529</v>
      </c>
      <c r="F512" s="193"/>
      <c r="G512" s="193" t="s">
        <v>1519</v>
      </c>
    </row>
    <row r="513" spans="1:7" x14ac:dyDescent="0.3">
      <c r="A513" s="228" t="e">
        <f t="shared" si="7"/>
        <v>#N/A</v>
      </c>
      <c r="B513" s="717" t="s">
        <v>2312</v>
      </c>
      <c r="C513" s="718"/>
      <c r="D513" s="718"/>
      <c r="E513" s="718"/>
      <c r="F513" s="718"/>
      <c r="G513" s="719"/>
    </row>
    <row r="514" spans="1:7" ht="37.5" x14ac:dyDescent="0.3">
      <c r="A514" s="228" t="e">
        <f t="shared" si="7"/>
        <v>#N/A</v>
      </c>
      <c r="B514" s="475" t="str" cm="1">
        <f t="array" ref="B514">IADNumber&amp; " Roof"</f>
        <v>IAD35 Roof</v>
      </c>
      <c r="C514" s="475" t="str">
        <f>zSelectedEquipment &amp; " MAU 1"</f>
        <v>G104-Gen-B MAU 1</v>
      </c>
      <c r="D514" s="195" t="s">
        <v>2369</v>
      </c>
      <c r="E514" s="388" t="s">
        <v>1529</v>
      </c>
      <c r="F514" s="189"/>
      <c r="G514" s="193" t="s">
        <v>1519</v>
      </c>
    </row>
    <row r="515" spans="1:7" ht="37.5" x14ac:dyDescent="0.3">
      <c r="A515" s="228" t="e">
        <f t="shared" si="7"/>
        <v>#N/A</v>
      </c>
      <c r="B515" s="475" t="str" cm="1">
        <f t="array" ref="B515">IADNumber&amp; " Roof"</f>
        <v>IAD35 Roof</v>
      </c>
      <c r="C515" s="475" t="str">
        <f>zSelectedEquipment &amp; " MAU 1"</f>
        <v>G104-Gen-B MAU 1</v>
      </c>
      <c r="D515" s="195" t="s">
        <v>3671</v>
      </c>
      <c r="E515" s="388" t="s">
        <v>1529</v>
      </c>
      <c r="F515" s="189"/>
      <c r="G515" s="193" t="s">
        <v>1519</v>
      </c>
    </row>
    <row r="516" spans="1:7" ht="37.5" x14ac:dyDescent="0.3">
      <c r="A516" s="228" t="e">
        <f t="shared" si="7"/>
        <v>#N/A</v>
      </c>
      <c r="B516" s="475" t="str" cm="1">
        <f t="array" ref="B516">IADNumber&amp; " Roof"</f>
        <v>IAD35 Roof</v>
      </c>
      <c r="C516" s="475" t="str">
        <f>zSelectedEquipment &amp; " MAU 1"</f>
        <v>G104-Gen-B MAU 1</v>
      </c>
      <c r="D516" s="195" t="s">
        <v>3672</v>
      </c>
      <c r="E516" s="388" t="s">
        <v>1529</v>
      </c>
      <c r="F516" s="189"/>
      <c r="G516" s="193" t="s">
        <v>1519</v>
      </c>
    </row>
    <row r="517" spans="1:7" ht="37.5" x14ac:dyDescent="0.3">
      <c r="A517" s="228" t="e">
        <f t="shared" si="7"/>
        <v>#N/A</v>
      </c>
      <c r="B517" s="475" t="str" cm="1">
        <f t="array" ref="B517">IADNumber&amp; " Roof"</f>
        <v>IAD35 Roof</v>
      </c>
      <c r="C517" s="475" t="str">
        <f>zSelectedEquipment &amp; " MAU 1"</f>
        <v>G104-Gen-B MAU 1</v>
      </c>
      <c r="D517" s="195" t="s">
        <v>2315</v>
      </c>
      <c r="E517" s="388" t="s">
        <v>1529</v>
      </c>
      <c r="F517" s="189"/>
      <c r="G517" s="193" t="s">
        <v>1519</v>
      </c>
    </row>
    <row r="518" spans="1:7" ht="37.5" x14ac:dyDescent="0.3">
      <c r="A518" s="228" t="e">
        <f t="shared" si="7"/>
        <v>#N/A</v>
      </c>
      <c r="B518" s="475" t="str" cm="1">
        <f t="array" ref="B518">IADNumber&amp; " Roof"</f>
        <v>IAD35 Roof</v>
      </c>
      <c r="C518" s="475" t="str">
        <f>zSelectedEquipment &amp; " MAU 1"</f>
        <v>G104-Gen-B MAU 1</v>
      </c>
      <c r="D518" s="195" t="s">
        <v>2373</v>
      </c>
      <c r="E518" s="388" t="s">
        <v>1529</v>
      </c>
      <c r="F518" s="189"/>
      <c r="G518" s="193" t="s">
        <v>1519</v>
      </c>
    </row>
    <row r="519" spans="1:7" ht="37.5" x14ac:dyDescent="0.3">
      <c r="A519" s="228" t="e">
        <f t="shared" si="7"/>
        <v>#N/A</v>
      </c>
      <c r="B519" s="475" t="str" cm="1">
        <f t="array" ref="B519">IADNumber&amp; " Roof"</f>
        <v>IAD35 Roof</v>
      </c>
      <c r="C519" s="475" t="str">
        <f>zSelectedEquipment &amp; " MAU 1"</f>
        <v>G104-Gen-B MAU 1</v>
      </c>
      <c r="D519" s="195" t="s">
        <v>3673</v>
      </c>
      <c r="E519" s="388" t="s">
        <v>1529</v>
      </c>
      <c r="F519" s="189"/>
      <c r="G519" s="193" t="s">
        <v>1519</v>
      </c>
    </row>
    <row r="520" spans="1:7" ht="37.5" x14ac:dyDescent="0.3">
      <c r="A520" s="228" t="e">
        <f t="shared" ref="A520:A583" si="8">A519+1</f>
        <v>#N/A</v>
      </c>
      <c r="B520" s="475" t="str" cm="1">
        <f t="array" ref="B520">IADNumber&amp; " Roof"</f>
        <v>IAD35 Roof</v>
      </c>
      <c r="C520" s="475" t="str">
        <f>zSelectedEquipment &amp; " MAU 1"</f>
        <v>G104-Gen-B MAU 1</v>
      </c>
      <c r="D520" s="195" t="s">
        <v>3674</v>
      </c>
      <c r="E520" s="388" t="s">
        <v>1529</v>
      </c>
      <c r="F520" s="189"/>
      <c r="G520" s="193" t="s">
        <v>1519</v>
      </c>
    </row>
    <row r="521" spans="1:7" ht="37.5" x14ac:dyDescent="0.3">
      <c r="A521" s="228" t="e">
        <f t="shared" si="8"/>
        <v>#N/A</v>
      </c>
      <c r="B521" s="475" t="str" cm="1">
        <f t="array" ref="B521">IADNumber&amp; " Roof"</f>
        <v>IAD35 Roof</v>
      </c>
      <c r="C521" s="475" t="str">
        <f>zSelectedEquipment &amp; " MAU 1"</f>
        <v>G104-Gen-B MAU 1</v>
      </c>
      <c r="D521" s="195" t="s">
        <v>3675</v>
      </c>
      <c r="E521" s="388" t="s">
        <v>1529</v>
      </c>
      <c r="F521" s="189"/>
      <c r="G521" s="193" t="s">
        <v>1519</v>
      </c>
    </row>
    <row r="522" spans="1:7" ht="37.5" x14ac:dyDescent="0.3">
      <c r="A522" s="228" t="e">
        <f t="shared" si="8"/>
        <v>#N/A</v>
      </c>
      <c r="B522" s="475" t="str" cm="1">
        <f t="array" ref="B522">IADNumber&amp; " Roof"</f>
        <v>IAD35 Roof</v>
      </c>
      <c r="C522" s="475" t="str">
        <f>zSelectedEquipment &amp; " MAU 1"</f>
        <v>G104-Gen-B MAU 1</v>
      </c>
      <c r="D522" s="195" t="s">
        <v>3676</v>
      </c>
      <c r="E522" s="388" t="s">
        <v>1529</v>
      </c>
      <c r="F522" s="189"/>
      <c r="G522" s="193" t="s">
        <v>1519</v>
      </c>
    </row>
    <row r="523" spans="1:7" ht="37.5" x14ac:dyDescent="0.3">
      <c r="A523" s="228" t="e">
        <f t="shared" si="8"/>
        <v>#N/A</v>
      </c>
      <c r="B523" s="475" t="str" cm="1">
        <f t="array" ref="B523">IADNumber&amp; " Roof"</f>
        <v>IAD35 Roof</v>
      </c>
      <c r="C523" s="475" t="str">
        <f>zSelectedEquipment &amp; " MAU 1"</f>
        <v>G104-Gen-B MAU 1</v>
      </c>
      <c r="D523" s="195" t="s">
        <v>3672</v>
      </c>
      <c r="E523" s="388" t="s">
        <v>1529</v>
      </c>
      <c r="F523" s="189"/>
      <c r="G523" s="193" t="s">
        <v>1519</v>
      </c>
    </row>
    <row r="524" spans="1:7" ht="37.5" x14ac:dyDescent="0.3">
      <c r="A524" s="228" t="e">
        <f t="shared" si="8"/>
        <v>#N/A</v>
      </c>
      <c r="B524" s="475" t="str" cm="1">
        <f t="array" ref="B524">IADNumber&amp; " Roof"</f>
        <v>IAD35 Roof</v>
      </c>
      <c r="C524" s="475" t="str">
        <f>zSelectedEquipment &amp; " MAU 1"</f>
        <v>G104-Gen-B MAU 1</v>
      </c>
      <c r="D524" s="494" t="s">
        <v>3677</v>
      </c>
      <c r="E524" s="388" t="s">
        <v>1529</v>
      </c>
      <c r="F524" s="189"/>
      <c r="G524" s="193" t="s">
        <v>1519</v>
      </c>
    </row>
    <row r="525" spans="1:7" ht="75" x14ac:dyDescent="0.3">
      <c r="A525" s="228" t="e">
        <f t="shared" si="8"/>
        <v>#N/A</v>
      </c>
      <c r="B525" s="475" t="str" cm="1">
        <f t="array" ref="B525">IADNumber&amp; " Roof"</f>
        <v>IAD35 Roof</v>
      </c>
      <c r="C525" s="475" t="str">
        <f>zSelectedEquipment &amp; " MAU 1"</f>
        <v>G104-Gen-B MAU 1</v>
      </c>
      <c r="D525" s="494" t="s">
        <v>3678</v>
      </c>
      <c r="E525" s="388" t="s">
        <v>1529</v>
      </c>
      <c r="F525" s="189"/>
      <c r="G525" s="193" t="s">
        <v>1519</v>
      </c>
    </row>
    <row r="526" spans="1:7" x14ac:dyDescent="0.3">
      <c r="A526" s="228" t="e">
        <f t="shared" si="8"/>
        <v>#N/A</v>
      </c>
      <c r="B526" s="717" t="s">
        <v>2379</v>
      </c>
      <c r="C526" s="718"/>
      <c r="D526" s="718"/>
      <c r="E526" s="718"/>
      <c r="F526" s="718"/>
      <c r="G526" s="719"/>
    </row>
    <row r="527" spans="1:7" ht="37.5" x14ac:dyDescent="0.3">
      <c r="A527" s="228" t="e">
        <f t="shared" si="8"/>
        <v>#N/A</v>
      </c>
      <c r="B527" s="475" t="str" cm="1">
        <f t="array" ref="B527">IADNumber&amp; " Roof"</f>
        <v>IAD35 Roof</v>
      </c>
      <c r="C527" s="475" t="str">
        <f>zSelectedEquipment &amp; " MAU 1"</f>
        <v>G104-Gen-B MAU 1</v>
      </c>
      <c r="D527" s="245" t="s">
        <v>2323</v>
      </c>
      <c r="E527" s="388" t="s">
        <v>1529</v>
      </c>
      <c r="F527" s="189"/>
      <c r="G527" s="189" t="s">
        <v>1519</v>
      </c>
    </row>
    <row r="528" spans="1:7" ht="37.5" x14ac:dyDescent="0.3">
      <c r="A528" s="228" t="e">
        <f t="shared" si="8"/>
        <v>#N/A</v>
      </c>
      <c r="B528" s="475" t="str" cm="1">
        <f t="array" ref="B528">IADNumber&amp; " Roof"</f>
        <v>IAD35 Roof</v>
      </c>
      <c r="C528" s="475" t="str">
        <f>zSelectedEquipment &amp; " MAU 1"</f>
        <v>G104-Gen-B MAU 1</v>
      </c>
      <c r="D528" s="245" t="s">
        <v>2324</v>
      </c>
      <c r="E528" s="388" t="s">
        <v>1529</v>
      </c>
      <c r="F528" s="189"/>
      <c r="G528" s="189" t="s">
        <v>1519</v>
      </c>
    </row>
    <row r="529" spans="1:7" ht="37.5" x14ac:dyDescent="0.3">
      <c r="A529" s="228" t="e">
        <f t="shared" si="8"/>
        <v>#N/A</v>
      </c>
      <c r="B529" s="475" t="str" cm="1">
        <f t="array" ref="B529">IADNumber&amp; " Roof"</f>
        <v>IAD35 Roof</v>
      </c>
      <c r="C529" s="475" t="str">
        <f>zSelectedEquipment &amp; " MAU 1"</f>
        <v>G104-Gen-B MAU 1</v>
      </c>
      <c r="D529" s="245" t="s">
        <v>2325</v>
      </c>
      <c r="E529" s="388" t="s">
        <v>1529</v>
      </c>
      <c r="F529" s="189"/>
      <c r="G529" s="189" t="s">
        <v>1519</v>
      </c>
    </row>
    <row r="530" spans="1:7" ht="37.5" x14ac:dyDescent="0.3">
      <c r="A530" s="228" t="e">
        <f t="shared" si="8"/>
        <v>#N/A</v>
      </c>
      <c r="B530" s="475" t="str" cm="1">
        <f t="array" ref="B530">IADNumber&amp; " Roof"</f>
        <v>IAD35 Roof</v>
      </c>
      <c r="C530" s="475" t="str">
        <f>zSelectedEquipment &amp; " MAU 1"</f>
        <v>G104-Gen-B MAU 1</v>
      </c>
      <c r="D530" s="245" t="s">
        <v>2326</v>
      </c>
      <c r="E530" s="388" t="s">
        <v>1529</v>
      </c>
      <c r="F530" s="189"/>
      <c r="G530" s="189" t="s">
        <v>1519</v>
      </c>
    </row>
    <row r="531" spans="1:7" ht="37.5" x14ac:dyDescent="0.3">
      <c r="A531" s="228" t="e">
        <f t="shared" si="8"/>
        <v>#N/A</v>
      </c>
      <c r="B531" s="475" t="str" cm="1">
        <f t="array" ref="B531">IADNumber&amp; " Roof"</f>
        <v>IAD35 Roof</v>
      </c>
      <c r="C531" s="475" t="str">
        <f>zSelectedEquipment &amp; " MAU 1"</f>
        <v>G104-Gen-B MAU 1</v>
      </c>
      <c r="D531" s="245" t="s">
        <v>2327</v>
      </c>
      <c r="E531" s="388" t="s">
        <v>1529</v>
      </c>
      <c r="F531" s="189"/>
      <c r="G531" s="189" t="s">
        <v>1519</v>
      </c>
    </row>
    <row r="532" spans="1:7" ht="37.5" x14ac:dyDescent="0.3">
      <c r="A532" s="228" t="e">
        <f t="shared" si="8"/>
        <v>#N/A</v>
      </c>
      <c r="B532" s="475" t="str" cm="1">
        <f t="array" ref="B532">IADNumber&amp; " Roof"</f>
        <v>IAD35 Roof</v>
      </c>
      <c r="C532" s="475" t="str">
        <f>zSelectedEquipment &amp; " MAU 1"</f>
        <v>G104-Gen-B MAU 1</v>
      </c>
      <c r="D532" s="245" t="s">
        <v>2328</v>
      </c>
      <c r="E532" s="388" t="s">
        <v>1529</v>
      </c>
      <c r="F532" s="189"/>
      <c r="G532" s="189" t="s">
        <v>1519</v>
      </c>
    </row>
    <row r="533" spans="1:7" x14ac:dyDescent="0.3">
      <c r="A533" s="228" t="e">
        <f t="shared" si="8"/>
        <v>#N/A</v>
      </c>
      <c r="B533" s="717" t="s">
        <v>2329</v>
      </c>
      <c r="C533" s="718"/>
      <c r="D533" s="718"/>
      <c r="E533" s="718"/>
      <c r="F533" s="718"/>
      <c r="G533" s="719"/>
    </row>
    <row r="534" spans="1:7" ht="37.5" x14ac:dyDescent="0.3">
      <c r="A534" s="228" t="e">
        <f t="shared" si="8"/>
        <v>#N/A</v>
      </c>
      <c r="B534" s="475" t="str" cm="1">
        <f t="array" ref="B534">IADNumber&amp; " Roof"</f>
        <v>IAD35 Roof</v>
      </c>
      <c r="C534" s="475" t="str">
        <f>zSelectedEquipment &amp; " MAU 1"</f>
        <v>G104-Gen-B MAU 1</v>
      </c>
      <c r="D534" s="245" t="s">
        <v>2331</v>
      </c>
      <c r="E534" s="388" t="s">
        <v>1529</v>
      </c>
      <c r="F534" s="189"/>
      <c r="G534" s="189" t="s">
        <v>1519</v>
      </c>
    </row>
    <row r="535" spans="1:7" ht="37.5" x14ac:dyDescent="0.3">
      <c r="A535" s="228" t="e">
        <f t="shared" si="8"/>
        <v>#N/A</v>
      </c>
      <c r="B535" s="475" t="str" cm="1">
        <f t="array" ref="B535">IADNumber&amp; " Roof"</f>
        <v>IAD35 Roof</v>
      </c>
      <c r="C535" s="475" t="str">
        <f>zSelectedEquipment &amp; " MAU 1"</f>
        <v>G104-Gen-B MAU 1</v>
      </c>
      <c r="D535" s="245" t="s">
        <v>2332</v>
      </c>
      <c r="E535" s="388" t="s">
        <v>1529</v>
      </c>
      <c r="F535" s="189"/>
      <c r="G535" s="189" t="s">
        <v>1519</v>
      </c>
    </row>
    <row r="536" spans="1:7" ht="37.5" x14ac:dyDescent="0.3">
      <c r="A536" s="228" t="e">
        <f t="shared" si="8"/>
        <v>#N/A</v>
      </c>
      <c r="B536" s="475" t="str" cm="1">
        <f t="array" ref="B536">IADNumber&amp; " Roof"</f>
        <v>IAD35 Roof</v>
      </c>
      <c r="C536" s="475" t="str">
        <f>zSelectedEquipment &amp; " MAU 1"</f>
        <v>G104-Gen-B MAU 1</v>
      </c>
      <c r="D536" s="245" t="s">
        <v>2333</v>
      </c>
      <c r="E536" s="388" t="s">
        <v>1529</v>
      </c>
      <c r="F536" s="189"/>
      <c r="G536" s="189" t="s">
        <v>1519</v>
      </c>
    </row>
    <row r="537" spans="1:7" ht="37.5" x14ac:dyDescent="0.3">
      <c r="A537" s="228" t="e">
        <f t="shared" si="8"/>
        <v>#N/A</v>
      </c>
      <c r="B537" s="475" t="str" cm="1">
        <f t="array" ref="B537">IADNumber&amp; " Roof"</f>
        <v>IAD35 Roof</v>
      </c>
      <c r="C537" s="475" t="str">
        <f>zSelectedEquipment &amp; " MAU 1"</f>
        <v>G104-Gen-B MAU 1</v>
      </c>
      <c r="D537" s="245" t="s">
        <v>2334</v>
      </c>
      <c r="E537" s="388" t="s">
        <v>1529</v>
      </c>
      <c r="F537" s="189"/>
      <c r="G537" s="189" t="s">
        <v>1519</v>
      </c>
    </row>
    <row r="538" spans="1:7" ht="37.5" x14ac:dyDescent="0.3">
      <c r="A538" s="228" t="e">
        <f t="shared" si="8"/>
        <v>#N/A</v>
      </c>
      <c r="B538" s="475" t="str" cm="1">
        <f t="array" ref="B538">IADNumber&amp; " Roof"</f>
        <v>IAD35 Roof</v>
      </c>
      <c r="C538" s="475" t="str">
        <f>zSelectedEquipment &amp; " MAU 1"</f>
        <v>G104-Gen-B MAU 1</v>
      </c>
      <c r="D538" s="245" t="s">
        <v>2335</v>
      </c>
      <c r="E538" s="388" t="s">
        <v>1529</v>
      </c>
      <c r="F538" s="189"/>
      <c r="G538" s="189" t="s">
        <v>1519</v>
      </c>
    </row>
    <row r="539" spans="1:7" ht="37.5" x14ac:dyDescent="0.3">
      <c r="A539" s="228" t="e">
        <f t="shared" si="8"/>
        <v>#N/A</v>
      </c>
      <c r="B539" s="475" t="str" cm="1">
        <f t="array" ref="B539">IADNumber&amp; " Roof"</f>
        <v>IAD35 Roof</v>
      </c>
      <c r="C539" s="475" t="str">
        <f>zSelectedEquipment &amp; " MAU 1"</f>
        <v>G104-Gen-B MAU 1</v>
      </c>
      <c r="D539" s="245" t="s">
        <v>2337</v>
      </c>
      <c r="E539" s="388" t="s">
        <v>1529</v>
      </c>
      <c r="F539" s="189"/>
      <c r="G539" s="189" t="s">
        <v>1519</v>
      </c>
    </row>
    <row r="540" spans="1:7" x14ac:dyDescent="0.3">
      <c r="A540" s="228" t="e">
        <f t="shared" si="8"/>
        <v>#N/A</v>
      </c>
      <c r="B540" s="717" t="s">
        <v>2383</v>
      </c>
      <c r="C540" s="718"/>
      <c r="D540" s="718"/>
      <c r="E540" s="718"/>
      <c r="F540" s="718"/>
      <c r="G540" s="719"/>
    </row>
    <row r="541" spans="1:7" ht="37.5" x14ac:dyDescent="0.3">
      <c r="A541" s="228" t="e">
        <f t="shared" si="8"/>
        <v>#N/A</v>
      </c>
      <c r="B541" s="475" t="str" cm="1">
        <f t="array" ref="B541">IADNumber&amp; " Roof"</f>
        <v>IAD35 Roof</v>
      </c>
      <c r="C541" s="475" t="str">
        <f>zSelectedEquipment &amp; " MAU 1"</f>
        <v>G104-Gen-B MAU 1</v>
      </c>
      <c r="D541" s="245" t="s">
        <v>2384</v>
      </c>
      <c r="E541" s="388" t="s">
        <v>1529</v>
      </c>
      <c r="F541" s="189"/>
      <c r="G541" s="189" t="s">
        <v>1519</v>
      </c>
    </row>
    <row r="542" spans="1:7" ht="37.5" x14ac:dyDescent="0.3">
      <c r="A542" s="228" t="e">
        <f t="shared" si="8"/>
        <v>#N/A</v>
      </c>
      <c r="B542" s="475" t="str" cm="1">
        <f t="array" ref="B542">IADNumber&amp; " Roof"</f>
        <v>IAD35 Roof</v>
      </c>
      <c r="C542" s="475" t="str">
        <f>zSelectedEquipment &amp; " MAU 1"</f>
        <v>G104-Gen-B MAU 1</v>
      </c>
      <c r="D542" s="245" t="s">
        <v>2318</v>
      </c>
      <c r="E542" s="388" t="s">
        <v>1529</v>
      </c>
      <c r="F542" s="189"/>
      <c r="G542" s="189" t="s">
        <v>1519</v>
      </c>
    </row>
    <row r="543" spans="1:7" ht="37.5" x14ac:dyDescent="0.3">
      <c r="A543" s="228" t="e">
        <f t="shared" si="8"/>
        <v>#N/A</v>
      </c>
      <c r="B543" s="475" t="str" cm="1">
        <f t="array" ref="B543">IADNumber&amp; " Roof"</f>
        <v>IAD35 Roof</v>
      </c>
      <c r="C543" s="475" t="str">
        <f>zSelectedEquipment &amp; " MAU 1"</f>
        <v>G104-Gen-B MAU 1</v>
      </c>
      <c r="D543" s="245" t="s">
        <v>2385</v>
      </c>
      <c r="E543" s="388" t="s">
        <v>1529</v>
      </c>
      <c r="F543" s="189"/>
      <c r="G543" s="189" t="s">
        <v>1519</v>
      </c>
    </row>
    <row r="544" spans="1:7" ht="37.5" x14ac:dyDescent="0.3">
      <c r="A544" s="228" t="e">
        <f t="shared" si="8"/>
        <v>#N/A</v>
      </c>
      <c r="B544" s="475" t="str" cm="1">
        <f t="array" ref="B544">IADNumber&amp; " Roof"</f>
        <v>IAD35 Roof</v>
      </c>
      <c r="C544" s="475" t="str">
        <f>zSelectedEquipment &amp; " MAU 1"</f>
        <v>G104-Gen-B MAU 1</v>
      </c>
      <c r="D544" s="245" t="s">
        <v>2320</v>
      </c>
      <c r="E544" s="388" t="s">
        <v>1529</v>
      </c>
      <c r="F544" s="189"/>
      <c r="G544" s="189" t="s">
        <v>1519</v>
      </c>
    </row>
    <row r="545" spans="1:8" ht="37.5" x14ac:dyDescent="0.3">
      <c r="A545" s="228" t="e">
        <f t="shared" si="8"/>
        <v>#N/A</v>
      </c>
      <c r="B545" s="475" t="str" cm="1">
        <f t="array" ref="B545">IADNumber&amp; " Roof"</f>
        <v>IAD35 Roof</v>
      </c>
      <c r="C545" s="475" t="str">
        <f>zSelectedEquipment &amp; " MAU 1"</f>
        <v>G104-Gen-B MAU 1</v>
      </c>
      <c r="D545" s="245" t="s">
        <v>2386</v>
      </c>
      <c r="E545" s="388" t="s">
        <v>1529</v>
      </c>
      <c r="F545" s="189"/>
      <c r="G545" s="189" t="s">
        <v>1519</v>
      </c>
    </row>
    <row r="546" spans="1:8" ht="37.5" x14ac:dyDescent="0.3">
      <c r="A546" s="228" t="e">
        <f t="shared" si="8"/>
        <v>#N/A</v>
      </c>
      <c r="B546" s="475" t="str" cm="1">
        <f t="array" ref="B546">IADNumber&amp; " Roof"</f>
        <v>IAD35 Roof</v>
      </c>
      <c r="C546" s="475" t="str">
        <f>zSelectedEquipment &amp; " MAU 1"</f>
        <v>G104-Gen-B MAU 1</v>
      </c>
      <c r="D546" s="245" t="s">
        <v>2387</v>
      </c>
      <c r="E546" s="388" t="s">
        <v>1529</v>
      </c>
      <c r="F546" s="189"/>
      <c r="G546" s="189" t="s">
        <v>1519</v>
      </c>
    </row>
    <row r="547" spans="1:8" ht="37.5" x14ac:dyDescent="0.3">
      <c r="A547" s="228" t="e">
        <f t="shared" si="8"/>
        <v>#N/A</v>
      </c>
      <c r="B547" s="475" t="str" cm="1">
        <f t="array" ref="B547">IADNumber&amp; " Roof"</f>
        <v>IAD35 Roof</v>
      </c>
      <c r="C547" s="475" t="str">
        <f>zSelectedEquipment &amp; " MAU 1"</f>
        <v>G104-Gen-B MAU 1</v>
      </c>
      <c r="D547" s="245" t="s">
        <v>3679</v>
      </c>
      <c r="E547" s="388" t="s">
        <v>1529</v>
      </c>
      <c r="F547" s="189"/>
      <c r="G547" s="189" t="s">
        <v>1519</v>
      </c>
    </row>
    <row r="548" spans="1:8" ht="37.5" x14ac:dyDescent="0.3">
      <c r="A548" s="228" t="e">
        <f t="shared" si="8"/>
        <v>#N/A</v>
      </c>
      <c r="B548" s="475" t="str" cm="1">
        <f t="array" ref="B548">IADNumber&amp; " Roof"</f>
        <v>IAD35 Roof</v>
      </c>
      <c r="C548" s="475" t="str">
        <f>zSelectedEquipment &amp; " MAU 1"</f>
        <v>G104-Gen-B MAU 1</v>
      </c>
      <c r="D548" s="245" t="s">
        <v>3680</v>
      </c>
      <c r="E548" s="388" t="s">
        <v>1529</v>
      </c>
      <c r="F548" s="189"/>
      <c r="G548" s="189" t="s">
        <v>1519</v>
      </c>
    </row>
    <row r="549" spans="1:8" x14ac:dyDescent="0.3">
      <c r="A549" s="228" t="e">
        <f t="shared" si="8"/>
        <v>#N/A</v>
      </c>
      <c r="B549" s="716" t="s">
        <v>3681</v>
      </c>
      <c r="C549" s="716"/>
      <c r="D549" s="716"/>
      <c r="E549" s="716"/>
      <c r="F549" s="716"/>
      <c r="G549" s="716"/>
    </row>
    <row r="550" spans="1:8" ht="37.5" x14ac:dyDescent="0.3">
      <c r="A550" s="228" t="e">
        <f t="shared" si="8"/>
        <v>#N/A</v>
      </c>
      <c r="B550" s="475" t="str" cm="1">
        <f t="array" ref="B550">IADNumber&amp; " Roof"</f>
        <v>IAD35 Roof</v>
      </c>
      <c r="C550" s="475" t="str">
        <f>zSelectedEquipment &amp; " MAU 1"</f>
        <v>G104-Gen-B MAU 1</v>
      </c>
      <c r="D550" s="195" t="s">
        <v>2274</v>
      </c>
      <c r="E550" s="388" t="s">
        <v>1529</v>
      </c>
      <c r="F550" s="198"/>
      <c r="G550" s="193" t="s">
        <v>1519</v>
      </c>
    </row>
    <row r="551" spans="1:8" ht="37.5" x14ac:dyDescent="0.3">
      <c r="A551" s="228" t="e">
        <f t="shared" si="8"/>
        <v>#N/A</v>
      </c>
      <c r="B551" s="475" t="str" cm="1">
        <f t="array" ref="B551">IADNumber&amp; " Roof"</f>
        <v>IAD35 Roof</v>
      </c>
      <c r="C551" s="475" t="str">
        <f>zSelectedEquipment &amp; " MAU 1"</f>
        <v>G104-Gen-B MAU 1</v>
      </c>
      <c r="D551" s="195" t="s">
        <v>2275</v>
      </c>
      <c r="E551" s="388" t="s">
        <v>1529</v>
      </c>
      <c r="F551" s="198"/>
      <c r="G551" s="193" t="s">
        <v>1519</v>
      </c>
      <c r="H551" s="497"/>
    </row>
    <row r="552" spans="1:8" ht="37.5" x14ac:dyDescent="0.3">
      <c r="A552" s="228" t="e">
        <f t="shared" si="8"/>
        <v>#N/A</v>
      </c>
      <c r="B552" s="475" t="str" cm="1">
        <f t="array" ref="B552">IADNumber&amp; " Roof"</f>
        <v>IAD35 Roof</v>
      </c>
      <c r="C552" s="475" t="str">
        <f>zSelectedEquipment &amp; " MAU 1"</f>
        <v>G104-Gen-B MAU 1</v>
      </c>
      <c r="D552" s="195" t="s">
        <v>3682</v>
      </c>
      <c r="E552" s="388" t="s">
        <v>1529</v>
      </c>
      <c r="F552" s="198"/>
      <c r="G552" s="193" t="s">
        <v>1519</v>
      </c>
      <c r="H552" s="497"/>
    </row>
    <row r="553" spans="1:8" ht="56.25" x14ac:dyDescent="0.3">
      <c r="A553" s="228" t="e">
        <f t="shared" si="8"/>
        <v>#N/A</v>
      </c>
      <c r="B553" s="475" t="str" cm="1">
        <f t="array" ref="B553">IADNumber&amp; " Roof"</f>
        <v>IAD35 Roof</v>
      </c>
      <c r="C553" s="475" t="str">
        <f>zSelectedEquipment &amp; " MAU 1"</f>
        <v>G104-Gen-B MAU 1</v>
      </c>
      <c r="D553" s="195" t="s">
        <v>3683</v>
      </c>
      <c r="E553" s="388" t="s">
        <v>1529</v>
      </c>
      <c r="F553" s="198"/>
      <c r="G553" s="193" t="s">
        <v>1519</v>
      </c>
      <c r="H553" s="497"/>
    </row>
    <row r="554" spans="1:8" ht="37.5" x14ac:dyDescent="0.3">
      <c r="A554" s="228" t="e">
        <f t="shared" si="8"/>
        <v>#N/A</v>
      </c>
      <c r="B554" s="475" t="str" cm="1">
        <f t="array" ref="B554">IADNumber&amp; " Roof"</f>
        <v>IAD35 Roof</v>
      </c>
      <c r="C554" s="475" t="str">
        <f>zSelectedEquipment &amp; " MAU 1"</f>
        <v>G104-Gen-B MAU 1</v>
      </c>
      <c r="D554" s="195" t="s">
        <v>3661</v>
      </c>
      <c r="E554" s="388" t="s">
        <v>1529</v>
      </c>
      <c r="F554" s="198"/>
      <c r="G554" s="193" t="s">
        <v>1519</v>
      </c>
      <c r="H554" s="497"/>
    </row>
    <row r="555" spans="1:8" ht="37.5" x14ac:dyDescent="0.3">
      <c r="A555" s="228" t="e">
        <f t="shared" si="8"/>
        <v>#N/A</v>
      </c>
      <c r="B555" s="475" t="str" cm="1">
        <f t="array" ref="B555">IADNumber&amp; " Roof"</f>
        <v>IAD35 Roof</v>
      </c>
      <c r="C555" s="475" t="str">
        <f>zSelectedEquipment &amp; " MAU 1"</f>
        <v>G104-Gen-B MAU 1</v>
      </c>
      <c r="D555" s="195" t="s">
        <v>3684</v>
      </c>
      <c r="E555" s="388" t="s">
        <v>1529</v>
      </c>
      <c r="F555" s="198"/>
      <c r="G555" s="193" t="s">
        <v>1519</v>
      </c>
      <c r="H555" s="497"/>
    </row>
    <row r="556" spans="1:8" ht="37.5" x14ac:dyDescent="0.3">
      <c r="A556" s="228" t="e">
        <f t="shared" si="8"/>
        <v>#N/A</v>
      </c>
      <c r="B556" s="475" t="str" cm="1">
        <f t="array" ref="B556">IADNumber&amp; " Roof"</f>
        <v>IAD35 Roof</v>
      </c>
      <c r="C556" s="475" t="str">
        <f>zSelectedEquipment &amp; " MAU 1"</f>
        <v>G104-Gen-B MAU 1</v>
      </c>
      <c r="D556" s="195" t="s">
        <v>2277</v>
      </c>
      <c r="E556" s="388" t="s">
        <v>1529</v>
      </c>
      <c r="F556" s="198"/>
      <c r="G556" s="193" t="s">
        <v>1519</v>
      </c>
      <c r="H556" s="497"/>
    </row>
    <row r="557" spans="1:8" ht="37.5" x14ac:dyDescent="0.3">
      <c r="A557" s="228" t="e">
        <f t="shared" si="8"/>
        <v>#N/A</v>
      </c>
      <c r="B557" s="475" t="str" cm="1">
        <f t="array" ref="B557">IADNumber&amp; " Roof"</f>
        <v>IAD35 Roof</v>
      </c>
      <c r="C557" s="475" t="str">
        <f>zSelectedEquipment &amp; " MAU 1"</f>
        <v>G104-Gen-B MAU 1</v>
      </c>
      <c r="D557" s="195" t="s">
        <v>2340</v>
      </c>
      <c r="E557" s="388" t="s">
        <v>1529</v>
      </c>
      <c r="F557" s="198"/>
      <c r="G557" s="193" t="s">
        <v>1519</v>
      </c>
      <c r="H557" s="497"/>
    </row>
    <row r="558" spans="1:8" ht="37.5" x14ac:dyDescent="0.3">
      <c r="A558" s="228" t="e">
        <f t="shared" si="8"/>
        <v>#N/A</v>
      </c>
      <c r="B558" s="475" t="str" cm="1">
        <f t="array" ref="B558">IADNumber&amp; " Roof"</f>
        <v>IAD35 Roof</v>
      </c>
      <c r="C558" s="475" t="str">
        <f>zSelectedEquipment &amp; " MAU 1"</f>
        <v>G104-Gen-B MAU 1</v>
      </c>
      <c r="D558" s="195" t="s">
        <v>3685</v>
      </c>
      <c r="E558" s="388" t="s">
        <v>1529</v>
      </c>
      <c r="F558" s="198"/>
      <c r="G558" s="193" t="s">
        <v>1519</v>
      </c>
      <c r="H558" s="497"/>
    </row>
    <row r="559" spans="1:8" ht="37.5" x14ac:dyDescent="0.3">
      <c r="A559" s="228" t="e">
        <f t="shared" si="8"/>
        <v>#N/A</v>
      </c>
      <c r="B559" s="475" t="str" cm="1">
        <f t="array" ref="B559">IADNumber&amp; " Roof"</f>
        <v>IAD35 Roof</v>
      </c>
      <c r="C559" s="475" t="str">
        <f>zSelectedEquipment &amp; " MAU 1"</f>
        <v>G104-Gen-B MAU 1</v>
      </c>
      <c r="D559" s="195" t="s">
        <v>3686</v>
      </c>
      <c r="E559" s="388" t="s">
        <v>1529</v>
      </c>
      <c r="F559" s="198"/>
      <c r="G559" s="193" t="s">
        <v>1519</v>
      </c>
      <c r="H559" s="497"/>
    </row>
    <row r="560" spans="1:8" ht="37.5" x14ac:dyDescent="0.3">
      <c r="A560" s="228" t="e">
        <f t="shared" si="8"/>
        <v>#N/A</v>
      </c>
      <c r="B560" s="475" t="str" cm="1">
        <f t="array" ref="B560">IADNumber&amp; " Roof"</f>
        <v>IAD35 Roof</v>
      </c>
      <c r="C560" s="475" t="str">
        <f>zSelectedEquipment &amp; " MAU 1"</f>
        <v>G104-Gen-B MAU 1</v>
      </c>
      <c r="D560" s="195" t="s">
        <v>3687</v>
      </c>
      <c r="E560" s="388" t="s">
        <v>1529</v>
      </c>
      <c r="F560" s="198"/>
      <c r="G560" s="193" t="s">
        <v>1519</v>
      </c>
      <c r="H560" s="497"/>
    </row>
    <row r="561" spans="1:8" ht="37.5" x14ac:dyDescent="0.3">
      <c r="A561" s="228" t="e">
        <f t="shared" si="8"/>
        <v>#N/A</v>
      </c>
      <c r="B561" s="475" t="str" cm="1">
        <f t="array" ref="B561">IADNumber&amp; " Roof"</f>
        <v>IAD35 Roof</v>
      </c>
      <c r="C561" s="475" t="str">
        <f>zSelectedEquipment &amp; " MAU 1"</f>
        <v>G104-Gen-B MAU 1</v>
      </c>
      <c r="D561" s="195" t="s">
        <v>3688</v>
      </c>
      <c r="E561" s="388" t="s">
        <v>1529</v>
      </c>
      <c r="F561" s="198"/>
      <c r="G561" s="193" t="s">
        <v>1519</v>
      </c>
      <c r="H561" s="497"/>
    </row>
    <row r="562" spans="1:8" ht="37.5" x14ac:dyDescent="0.3">
      <c r="A562" s="228" t="e">
        <f t="shared" si="8"/>
        <v>#N/A</v>
      </c>
      <c r="B562" s="475" t="str" cm="1">
        <f t="array" ref="B562">IADNumber&amp; " Roof"</f>
        <v>IAD35 Roof</v>
      </c>
      <c r="C562" s="475" t="str">
        <f>zSelectedEquipment &amp; " MAU 1"</f>
        <v>G104-Gen-B MAU 1</v>
      </c>
      <c r="D562" s="195" t="s">
        <v>2392</v>
      </c>
      <c r="E562" s="388" t="s">
        <v>1529</v>
      </c>
      <c r="F562" s="198"/>
      <c r="G562" s="193" t="s">
        <v>1519</v>
      </c>
      <c r="H562" s="497"/>
    </row>
    <row r="563" spans="1:8" ht="56.25" x14ac:dyDescent="0.3">
      <c r="A563" s="228" t="e">
        <f t="shared" si="8"/>
        <v>#N/A</v>
      </c>
      <c r="B563" s="475" t="str" cm="1">
        <f t="array" ref="B563">IADNumber&amp; " Roof"</f>
        <v>IAD35 Roof</v>
      </c>
      <c r="C563" s="475" t="str">
        <f>zSelectedEquipment &amp; " MAU 1"</f>
        <v>G104-Gen-B MAU 1</v>
      </c>
      <c r="D563" s="494" t="s">
        <v>3689</v>
      </c>
      <c r="E563" s="388" t="s">
        <v>1529</v>
      </c>
      <c r="F563" s="198"/>
      <c r="G563" s="193" t="s">
        <v>1519</v>
      </c>
      <c r="H563" s="497"/>
    </row>
    <row r="564" spans="1:8" ht="37.5" x14ac:dyDescent="0.3">
      <c r="A564" s="228" t="e">
        <f t="shared" si="8"/>
        <v>#N/A</v>
      </c>
      <c r="B564" s="475" t="str" cm="1">
        <f t="array" ref="B564">IADNumber&amp; " Roof"</f>
        <v>IAD35 Roof</v>
      </c>
      <c r="C564" s="475" t="str">
        <f>zSelectedEquipment &amp; " MAU 1"</f>
        <v>G104-Gen-B MAU 1</v>
      </c>
      <c r="D564" s="195" t="s">
        <v>2282</v>
      </c>
      <c r="E564" s="388" t="s">
        <v>1529</v>
      </c>
      <c r="F564" s="198"/>
      <c r="G564" s="193" t="s">
        <v>1519</v>
      </c>
      <c r="H564" s="497"/>
    </row>
    <row r="565" spans="1:8" ht="37.5" x14ac:dyDescent="0.3">
      <c r="A565" s="228" t="e">
        <f t="shared" si="8"/>
        <v>#N/A</v>
      </c>
      <c r="B565" s="475" t="str" cm="1">
        <f t="array" ref="B565">IADNumber&amp; " Roof"</f>
        <v>IAD35 Roof</v>
      </c>
      <c r="C565" s="475" t="str">
        <f>zSelectedEquipment &amp; " MAU 1"</f>
        <v>G104-Gen-B MAU 1</v>
      </c>
      <c r="D565" s="195" t="s">
        <v>3690</v>
      </c>
      <c r="E565" s="388" t="s">
        <v>1529</v>
      </c>
      <c r="F565" s="198"/>
      <c r="G565" s="193" t="s">
        <v>1519</v>
      </c>
      <c r="H565" s="497"/>
    </row>
    <row r="566" spans="1:8" ht="37.5" x14ac:dyDescent="0.3">
      <c r="A566" s="228" t="e">
        <f t="shared" si="8"/>
        <v>#N/A</v>
      </c>
      <c r="B566" s="475" t="s">
        <v>1462</v>
      </c>
      <c r="C566" s="388" t="s">
        <v>84</v>
      </c>
      <c r="D566" s="195" t="s">
        <v>2283</v>
      </c>
      <c r="E566" s="388" t="s">
        <v>1529</v>
      </c>
      <c r="F566" s="495"/>
      <c r="G566" s="193" t="s">
        <v>1519</v>
      </c>
      <c r="H566" s="497"/>
    </row>
    <row r="567" spans="1:8" ht="37.5" x14ac:dyDescent="0.3">
      <c r="A567" s="228" t="e">
        <f t="shared" si="8"/>
        <v>#N/A</v>
      </c>
      <c r="B567" s="475" t="str" cm="1">
        <f t="array" ref="B567">IADNumber&amp; " Roof"</f>
        <v>IAD35 Roof</v>
      </c>
      <c r="C567" s="475" t="str">
        <f>zSelectedEquipment &amp; " MAU 1"</f>
        <v>G104-Gen-B MAU 1</v>
      </c>
      <c r="D567" s="195" t="s">
        <v>2284</v>
      </c>
      <c r="E567" s="388" t="s">
        <v>1529</v>
      </c>
      <c r="F567" s="495"/>
      <c r="G567" s="193" t="s">
        <v>1519</v>
      </c>
      <c r="H567" s="497"/>
    </row>
    <row r="568" spans="1:8" ht="18" customHeight="1" x14ac:dyDescent="0.3">
      <c r="A568" s="228" t="e">
        <f t="shared" si="8"/>
        <v>#N/A</v>
      </c>
      <c r="B568" s="753" t="str">
        <f>"Perform Quarterly PM on " &amp; C570</f>
        <v>Perform Quarterly PM on G104-Gen-B MAU 2</v>
      </c>
      <c r="C568" s="754"/>
      <c r="D568" s="754"/>
      <c r="E568" s="754"/>
      <c r="F568" s="754"/>
      <c r="G568" s="755"/>
    </row>
    <row r="569" spans="1:8" ht="37.5" x14ac:dyDescent="0.3">
      <c r="A569" s="228" t="e">
        <f t="shared" si="8"/>
        <v>#N/A</v>
      </c>
      <c r="B569" s="388" t="s">
        <v>1462</v>
      </c>
      <c r="C569" s="388" t="s">
        <v>84</v>
      </c>
      <c r="D569" s="493" t="s">
        <v>3655</v>
      </c>
      <c r="E569" s="388" t="s">
        <v>3654</v>
      </c>
      <c r="F569" s="189"/>
      <c r="G569" s="189"/>
    </row>
    <row r="570" spans="1:8" ht="37.5" x14ac:dyDescent="0.3">
      <c r="A570" s="228" t="e">
        <f t="shared" si="8"/>
        <v>#N/A</v>
      </c>
      <c r="B570" s="475" t="str" cm="1">
        <f t="array" ref="B570">IADNumber&amp; " Roof"</f>
        <v>IAD35 Roof</v>
      </c>
      <c r="C570" s="475" t="str">
        <f>zSelectedEquipment &amp; " MAU 2"</f>
        <v>G104-Gen-B MAU 2</v>
      </c>
      <c r="D570" s="191" t="s">
        <v>3656</v>
      </c>
      <c r="E570" s="388" t="s">
        <v>1529</v>
      </c>
      <c r="F570" s="189"/>
      <c r="G570" s="189" t="s">
        <v>1519</v>
      </c>
    </row>
    <row r="571" spans="1:8" ht="37.5" x14ac:dyDescent="0.3">
      <c r="A571" s="228" t="e">
        <f t="shared" si="8"/>
        <v>#N/A</v>
      </c>
      <c r="B571" s="475" t="str" cm="1">
        <f t="array" ref="B571">IADNumber&amp; " Roof"</f>
        <v>IAD35 Roof</v>
      </c>
      <c r="C571" s="475" t="str">
        <f>zSelectedEquipment &amp; " MAU 2"</f>
        <v>G104-Gen-B MAU 2</v>
      </c>
      <c r="D571" s="190" t="s">
        <v>3657</v>
      </c>
      <c r="E571" s="388" t="s">
        <v>1529</v>
      </c>
      <c r="F571" s="189"/>
      <c r="G571" s="189" t="s">
        <v>1519</v>
      </c>
    </row>
    <row r="572" spans="1:8" ht="37.5" x14ac:dyDescent="0.3">
      <c r="A572" s="228" t="e">
        <f t="shared" si="8"/>
        <v>#N/A</v>
      </c>
      <c r="B572" s="475" t="str" cm="1">
        <f t="array" ref="B572">IADNumber&amp; " Roof"</f>
        <v>IAD35 Roof</v>
      </c>
      <c r="C572" s="475" t="str">
        <f>zSelectedEquipment &amp; " MAU 2"</f>
        <v>G104-Gen-B MAU 2</v>
      </c>
      <c r="D572" s="190" t="s">
        <v>3658</v>
      </c>
      <c r="E572" s="388" t="s">
        <v>1529</v>
      </c>
      <c r="F572" s="189"/>
      <c r="G572" s="189" t="s">
        <v>1519</v>
      </c>
    </row>
    <row r="573" spans="1:8" ht="37.5" x14ac:dyDescent="0.3">
      <c r="A573" s="228" t="e">
        <f t="shared" si="8"/>
        <v>#N/A</v>
      </c>
      <c r="B573" s="475" t="str" cm="1">
        <f t="array" ref="B573">IADNumber&amp; " Roof"</f>
        <v>IAD35 Roof</v>
      </c>
      <c r="C573" s="475" t="str">
        <f>zSelectedEquipment &amp; " MAU 2"</f>
        <v>G104-Gen-B MAU 2</v>
      </c>
      <c r="D573" s="190" t="s">
        <v>3659</v>
      </c>
      <c r="E573" s="388" t="s">
        <v>3654</v>
      </c>
      <c r="F573" s="189"/>
      <c r="G573" s="189" t="s">
        <v>1519</v>
      </c>
    </row>
    <row r="574" spans="1:8" ht="37.5" x14ac:dyDescent="0.3">
      <c r="A574" s="228" t="e">
        <f t="shared" si="8"/>
        <v>#N/A</v>
      </c>
      <c r="B574" s="475" t="str" cm="1">
        <f t="array" ref="B574">IADNumber&amp; " Roof"</f>
        <v>IAD35 Roof</v>
      </c>
      <c r="C574" s="475" t="str">
        <f>zSelectedEquipment &amp; " MAU 2"</f>
        <v>G104-Gen-B MAU 2</v>
      </c>
      <c r="D574" s="195" t="s">
        <v>3660</v>
      </c>
      <c r="E574" s="388" t="s">
        <v>3654</v>
      </c>
      <c r="F574" s="189"/>
      <c r="G574" s="189" t="s">
        <v>1519</v>
      </c>
    </row>
    <row r="575" spans="1:8" ht="37.5" x14ac:dyDescent="0.3">
      <c r="A575" s="228" t="e">
        <f t="shared" si="8"/>
        <v>#N/A</v>
      </c>
      <c r="B575" s="475" t="str" cm="1">
        <f t="array" ref="B575">IADNumber&amp; " Roof"</f>
        <v>IAD35 Roof</v>
      </c>
      <c r="C575" s="475" t="str">
        <f>zSelectedEquipment &amp; " MAU 2"</f>
        <v>G104-Gen-B MAU 2</v>
      </c>
      <c r="D575" s="195" t="s">
        <v>3661</v>
      </c>
      <c r="E575" s="388" t="s">
        <v>3654</v>
      </c>
      <c r="F575" s="189"/>
      <c r="G575" s="189" t="s">
        <v>1519</v>
      </c>
    </row>
    <row r="576" spans="1:8" ht="56.25" x14ac:dyDescent="0.3">
      <c r="A576" s="228" t="e">
        <f t="shared" si="8"/>
        <v>#N/A</v>
      </c>
      <c r="B576" s="475" t="str" cm="1">
        <f t="array" ref="B576">IADNumber&amp; " Roof"</f>
        <v>IAD35 Roof</v>
      </c>
      <c r="C576" s="475" t="str">
        <f>zSelectedEquipment &amp; " MAU 2"</f>
        <v>G104-Gen-B MAU 2</v>
      </c>
      <c r="D576" s="195" t="s">
        <v>3662</v>
      </c>
      <c r="E576" s="388" t="s">
        <v>3663</v>
      </c>
      <c r="F576" s="189"/>
      <c r="G576" s="189" t="s">
        <v>1519</v>
      </c>
    </row>
    <row r="577" spans="1:7" ht="93.75" x14ac:dyDescent="0.3">
      <c r="A577" s="228" t="e">
        <f t="shared" si="8"/>
        <v>#N/A</v>
      </c>
      <c r="B577" s="475" t="str" cm="1">
        <f t="array" ref="B577">IADNumber&amp; " Roof"</f>
        <v>IAD35 Roof</v>
      </c>
      <c r="C577" s="475" t="str">
        <f>zSelectedEquipment &amp; " MAU 2"</f>
        <v>G104-Gen-B MAU 2</v>
      </c>
      <c r="D577" s="195" t="s">
        <v>3664</v>
      </c>
      <c r="E577" s="388" t="s">
        <v>1529</v>
      </c>
      <c r="F577" s="189"/>
      <c r="G577" s="189" t="s">
        <v>1519</v>
      </c>
    </row>
    <row r="578" spans="1:7" x14ac:dyDescent="0.3">
      <c r="A578" s="228" t="e">
        <f t="shared" si="8"/>
        <v>#N/A</v>
      </c>
      <c r="B578" s="717" t="s">
        <v>3665</v>
      </c>
      <c r="C578" s="718"/>
      <c r="D578" s="718"/>
      <c r="E578" s="718"/>
      <c r="F578" s="718"/>
      <c r="G578" s="719"/>
    </row>
    <row r="579" spans="1:7" ht="37.5" x14ac:dyDescent="0.3">
      <c r="A579" s="228" t="e">
        <f t="shared" si="8"/>
        <v>#N/A</v>
      </c>
      <c r="B579" s="475" t="str" cm="1">
        <f t="array" ref="B579">IADNumber&amp; " Roof"</f>
        <v>IAD35 Roof</v>
      </c>
      <c r="C579" s="475" t="str">
        <f>zSelectedEquipment &amp; " MAU 2"</f>
        <v>G104-Gen-B MAU 2</v>
      </c>
      <c r="D579" s="195" t="s">
        <v>3666</v>
      </c>
      <c r="E579" s="388" t="s">
        <v>1529</v>
      </c>
      <c r="F579" s="193"/>
      <c r="G579" s="193" t="s">
        <v>1519</v>
      </c>
    </row>
    <row r="580" spans="1:7" ht="37.5" x14ac:dyDescent="0.3">
      <c r="A580" s="228" t="e">
        <f t="shared" si="8"/>
        <v>#N/A</v>
      </c>
      <c r="B580" s="475" t="str" cm="1">
        <f t="array" ref="B580">IADNumber&amp; " Roof"</f>
        <v>IAD35 Roof</v>
      </c>
      <c r="C580" s="475" t="str">
        <f>zSelectedEquipment &amp; " MAU 2"</f>
        <v>G104-Gen-B MAU 2</v>
      </c>
      <c r="D580" s="195" t="s">
        <v>3667</v>
      </c>
      <c r="E580" s="388" t="s">
        <v>1529</v>
      </c>
      <c r="F580" s="193"/>
      <c r="G580" s="193" t="s">
        <v>1519</v>
      </c>
    </row>
    <row r="581" spans="1:7" ht="37.5" x14ac:dyDescent="0.3">
      <c r="A581" s="228" t="e">
        <f t="shared" si="8"/>
        <v>#N/A</v>
      </c>
      <c r="B581" s="475" t="str" cm="1">
        <f t="array" ref="B581">IADNumber&amp; " Roof"</f>
        <v>IAD35 Roof</v>
      </c>
      <c r="C581" s="475" t="str">
        <f>zSelectedEquipment &amp; " MAU 2"</f>
        <v>G104-Gen-B MAU 2</v>
      </c>
      <c r="D581" s="195" t="s">
        <v>2251</v>
      </c>
      <c r="E581" s="388" t="s">
        <v>1529</v>
      </c>
      <c r="F581" s="193"/>
      <c r="G581" s="193" t="s">
        <v>1519</v>
      </c>
    </row>
    <row r="582" spans="1:7" ht="56.25" x14ac:dyDescent="0.3">
      <c r="A582" s="228" t="e">
        <f t="shared" si="8"/>
        <v>#N/A</v>
      </c>
      <c r="B582" s="475" t="str" cm="1">
        <f t="array" ref="B582">IADNumber&amp; " Roof"</f>
        <v>IAD35 Roof</v>
      </c>
      <c r="C582" s="475" t="str">
        <f>zSelectedEquipment &amp; " MAU 2"</f>
        <v>G104-Gen-B MAU 2</v>
      </c>
      <c r="D582" s="195" t="s">
        <v>3668</v>
      </c>
      <c r="E582" s="388" t="s">
        <v>1529</v>
      </c>
      <c r="F582" s="193"/>
      <c r="G582" s="193" t="s">
        <v>1519</v>
      </c>
    </row>
    <row r="583" spans="1:7" x14ac:dyDescent="0.3">
      <c r="A583" s="228" t="e">
        <f t="shared" si="8"/>
        <v>#N/A</v>
      </c>
      <c r="B583" s="717" t="s">
        <v>2253</v>
      </c>
      <c r="C583" s="718"/>
      <c r="D583" s="718"/>
      <c r="E583" s="718"/>
      <c r="F583" s="718"/>
      <c r="G583" s="719"/>
    </row>
    <row r="584" spans="1:7" ht="75" x14ac:dyDescent="0.3">
      <c r="A584" s="228" t="e">
        <f t="shared" ref="A584:A647" si="9">A583+1</f>
        <v>#N/A</v>
      </c>
      <c r="B584" s="475" t="str" cm="1">
        <f t="array" ref="B584">IADNumber&amp; " Roof"</f>
        <v>IAD35 Roof</v>
      </c>
      <c r="C584" s="475" t="str">
        <f>zSelectedEquipment &amp; " MAU 2"</f>
        <v>G104-Gen-B MAU 2</v>
      </c>
      <c r="D584" s="195" t="s">
        <v>3669</v>
      </c>
      <c r="E584" s="388" t="s">
        <v>1529</v>
      </c>
      <c r="F584" s="193"/>
      <c r="G584" s="193"/>
    </row>
    <row r="585" spans="1:7" ht="37.5" x14ac:dyDescent="0.3">
      <c r="A585" s="228" t="e">
        <f t="shared" si="9"/>
        <v>#N/A</v>
      </c>
      <c r="B585" s="475" t="str" cm="1">
        <f t="array" ref="B585">IADNumber&amp; " Roof"</f>
        <v>IAD35 Roof</v>
      </c>
      <c r="C585" s="475" t="str">
        <f>zSelectedEquipment &amp; " MAU 2"</f>
        <v>G104-Gen-B MAU 2</v>
      </c>
      <c r="D585" s="195" t="s">
        <v>2255</v>
      </c>
      <c r="E585" s="388" t="s">
        <v>1529</v>
      </c>
      <c r="F585" s="193"/>
      <c r="G585" s="193" t="s">
        <v>1519</v>
      </c>
    </row>
    <row r="586" spans="1:7" x14ac:dyDescent="0.3">
      <c r="A586" s="228" t="e">
        <f t="shared" si="9"/>
        <v>#N/A</v>
      </c>
      <c r="B586" s="717" t="s">
        <v>2366</v>
      </c>
      <c r="C586" s="718"/>
      <c r="D586" s="718"/>
      <c r="E586" s="718"/>
      <c r="F586" s="718"/>
      <c r="G586" s="719"/>
    </row>
    <row r="587" spans="1:7" ht="37.5" x14ac:dyDescent="0.3">
      <c r="A587" s="228" t="e">
        <f t="shared" si="9"/>
        <v>#N/A</v>
      </c>
      <c r="B587" s="475" t="str" cm="1">
        <f t="array" ref="B587">IADNumber&amp; " Roof"</f>
        <v>IAD35 Roof</v>
      </c>
      <c r="C587" s="475" t="str">
        <f>zSelectedEquipment &amp; " MAU 2"</f>
        <v>G104-Gen-B MAU 2</v>
      </c>
      <c r="D587" s="195" t="s">
        <v>2306</v>
      </c>
      <c r="E587" s="388" t="s">
        <v>1529</v>
      </c>
      <c r="F587" s="193"/>
      <c r="G587" s="193" t="s">
        <v>1519</v>
      </c>
    </row>
    <row r="588" spans="1:7" ht="37.5" x14ac:dyDescent="0.3">
      <c r="A588" s="228" t="e">
        <f t="shared" si="9"/>
        <v>#N/A</v>
      </c>
      <c r="B588" s="475" t="str" cm="1">
        <f t="array" ref="B588">IADNumber&amp; " Roof"</f>
        <v>IAD35 Roof</v>
      </c>
      <c r="C588" s="475" t="str">
        <f>zSelectedEquipment &amp; " MAU 2"</f>
        <v>G104-Gen-B MAU 2</v>
      </c>
      <c r="D588" s="195" t="s">
        <v>3670</v>
      </c>
      <c r="E588" s="388" t="s">
        <v>1529</v>
      </c>
      <c r="F588" s="193"/>
      <c r="G588" s="193" t="s">
        <v>1519</v>
      </c>
    </row>
    <row r="589" spans="1:7" ht="37.5" x14ac:dyDescent="0.3">
      <c r="A589" s="228" t="e">
        <f t="shared" si="9"/>
        <v>#N/A</v>
      </c>
      <c r="B589" s="475" t="str" cm="1">
        <f t="array" ref="B589">IADNumber&amp; " Roof"</f>
        <v>IAD35 Roof</v>
      </c>
      <c r="C589" s="475" t="str">
        <f>zSelectedEquipment &amp; " MAU 2"</f>
        <v>G104-Gen-B MAU 2</v>
      </c>
      <c r="D589" s="195" t="s">
        <v>2368</v>
      </c>
      <c r="E589" s="388" t="s">
        <v>1529</v>
      </c>
      <c r="F589" s="193"/>
      <c r="G589" s="193" t="s">
        <v>1519</v>
      </c>
    </row>
    <row r="590" spans="1:7" ht="37.5" x14ac:dyDescent="0.3">
      <c r="A590" s="228" t="e">
        <f t="shared" si="9"/>
        <v>#N/A</v>
      </c>
      <c r="B590" s="475" t="str" cm="1">
        <f t="array" ref="B590">IADNumber&amp; " Roof"</f>
        <v>IAD35 Roof</v>
      </c>
      <c r="C590" s="475" t="str">
        <f>zSelectedEquipment &amp; " MAU 2"</f>
        <v>G104-Gen-B MAU 2</v>
      </c>
      <c r="D590" s="195" t="s">
        <v>2309</v>
      </c>
      <c r="E590" s="388" t="s">
        <v>1529</v>
      </c>
      <c r="F590" s="193"/>
      <c r="G590" s="193" t="s">
        <v>1519</v>
      </c>
    </row>
    <row r="591" spans="1:7" ht="37.5" x14ac:dyDescent="0.3">
      <c r="A591" s="228" t="e">
        <f t="shared" si="9"/>
        <v>#N/A</v>
      </c>
      <c r="B591" s="475" t="str" cm="1">
        <f t="array" ref="B591">IADNumber&amp; " Roof"</f>
        <v>IAD35 Roof</v>
      </c>
      <c r="C591" s="475" t="str">
        <f>zSelectedEquipment &amp; " MAU 2"</f>
        <v>G104-Gen-B MAU 2</v>
      </c>
      <c r="D591" s="195" t="s">
        <v>2310</v>
      </c>
      <c r="E591" s="388" t="s">
        <v>1529</v>
      </c>
      <c r="F591" s="193"/>
      <c r="G591" s="193" t="s">
        <v>1519</v>
      </c>
    </row>
    <row r="592" spans="1:7" ht="37.5" x14ac:dyDescent="0.3">
      <c r="A592" s="228" t="e">
        <f t="shared" si="9"/>
        <v>#N/A</v>
      </c>
      <c r="B592" s="475" t="str" cm="1">
        <f t="array" ref="B592">IADNumber&amp; " Roof"</f>
        <v>IAD35 Roof</v>
      </c>
      <c r="C592" s="475" t="str">
        <f>zSelectedEquipment &amp; " MAU 2"</f>
        <v>G104-Gen-B MAU 2</v>
      </c>
      <c r="D592" s="195" t="s">
        <v>2311</v>
      </c>
      <c r="E592" s="388" t="s">
        <v>1529</v>
      </c>
      <c r="F592" s="193"/>
      <c r="G592" s="193" t="s">
        <v>1519</v>
      </c>
    </row>
    <row r="593" spans="1:7" x14ac:dyDescent="0.3">
      <c r="A593" s="228" t="e">
        <f t="shared" si="9"/>
        <v>#N/A</v>
      </c>
      <c r="B593" s="717" t="s">
        <v>2312</v>
      </c>
      <c r="C593" s="718"/>
      <c r="D593" s="718"/>
      <c r="E593" s="718"/>
      <c r="F593" s="718"/>
      <c r="G593" s="719"/>
    </row>
    <row r="594" spans="1:7" ht="37.5" x14ac:dyDescent="0.3">
      <c r="A594" s="228" t="e">
        <f t="shared" si="9"/>
        <v>#N/A</v>
      </c>
      <c r="B594" s="475" t="str" cm="1">
        <f t="array" ref="B594">IADNumber&amp; " Roof"</f>
        <v>IAD35 Roof</v>
      </c>
      <c r="C594" s="475" t="str">
        <f>zSelectedEquipment &amp; " MAU 2"</f>
        <v>G104-Gen-B MAU 2</v>
      </c>
      <c r="D594" s="195" t="s">
        <v>2369</v>
      </c>
      <c r="E594" s="388" t="s">
        <v>1529</v>
      </c>
      <c r="F594" s="189"/>
      <c r="G594" s="193" t="s">
        <v>1519</v>
      </c>
    </row>
    <row r="595" spans="1:7" ht="37.5" x14ac:dyDescent="0.3">
      <c r="A595" s="228" t="e">
        <f t="shared" si="9"/>
        <v>#N/A</v>
      </c>
      <c r="B595" s="475" t="str" cm="1">
        <f t="array" ref="B595">IADNumber&amp; " Roof"</f>
        <v>IAD35 Roof</v>
      </c>
      <c r="C595" s="475" t="str">
        <f>zSelectedEquipment &amp; " MAU 2"</f>
        <v>G104-Gen-B MAU 2</v>
      </c>
      <c r="D595" s="195" t="s">
        <v>3671</v>
      </c>
      <c r="E595" s="388" t="s">
        <v>1529</v>
      </c>
      <c r="F595" s="189"/>
      <c r="G595" s="193" t="s">
        <v>1519</v>
      </c>
    </row>
    <row r="596" spans="1:7" ht="37.5" x14ac:dyDescent="0.3">
      <c r="A596" s="228" t="e">
        <f t="shared" si="9"/>
        <v>#N/A</v>
      </c>
      <c r="B596" s="475" t="str" cm="1">
        <f t="array" ref="B596">IADNumber&amp; " Roof"</f>
        <v>IAD35 Roof</v>
      </c>
      <c r="C596" s="475" t="str">
        <f>zSelectedEquipment &amp; " MAU 2"</f>
        <v>G104-Gen-B MAU 2</v>
      </c>
      <c r="D596" s="195" t="s">
        <v>3672</v>
      </c>
      <c r="E596" s="388" t="s">
        <v>1529</v>
      </c>
      <c r="F596" s="189"/>
      <c r="G596" s="193" t="s">
        <v>1519</v>
      </c>
    </row>
    <row r="597" spans="1:7" ht="37.5" x14ac:dyDescent="0.3">
      <c r="A597" s="228" t="e">
        <f t="shared" si="9"/>
        <v>#N/A</v>
      </c>
      <c r="B597" s="475" t="str" cm="1">
        <f t="array" ref="B597">IADNumber&amp; " Roof"</f>
        <v>IAD35 Roof</v>
      </c>
      <c r="C597" s="475" t="str">
        <f>zSelectedEquipment &amp; " MAU 2"</f>
        <v>G104-Gen-B MAU 2</v>
      </c>
      <c r="D597" s="195" t="s">
        <v>2315</v>
      </c>
      <c r="E597" s="388" t="s">
        <v>1529</v>
      </c>
      <c r="F597" s="189"/>
      <c r="G597" s="193" t="s">
        <v>1519</v>
      </c>
    </row>
    <row r="598" spans="1:7" ht="37.5" x14ac:dyDescent="0.3">
      <c r="A598" s="228" t="e">
        <f t="shared" si="9"/>
        <v>#N/A</v>
      </c>
      <c r="B598" s="475" t="str" cm="1">
        <f t="array" ref="B598">IADNumber&amp; " Roof"</f>
        <v>IAD35 Roof</v>
      </c>
      <c r="C598" s="475" t="str">
        <f>zSelectedEquipment &amp; " MAU 2"</f>
        <v>G104-Gen-B MAU 2</v>
      </c>
      <c r="D598" s="195" t="s">
        <v>2373</v>
      </c>
      <c r="E598" s="388" t="s">
        <v>1529</v>
      </c>
      <c r="F598" s="189"/>
      <c r="G598" s="193" t="s">
        <v>1519</v>
      </c>
    </row>
    <row r="599" spans="1:7" ht="37.5" x14ac:dyDescent="0.3">
      <c r="A599" s="228" t="e">
        <f t="shared" si="9"/>
        <v>#N/A</v>
      </c>
      <c r="B599" s="475" t="str" cm="1">
        <f t="array" ref="B599">IADNumber&amp; " Roof"</f>
        <v>IAD35 Roof</v>
      </c>
      <c r="C599" s="475" t="str">
        <f>zSelectedEquipment &amp; " MAU 2"</f>
        <v>G104-Gen-B MAU 2</v>
      </c>
      <c r="D599" s="195" t="s">
        <v>3673</v>
      </c>
      <c r="E599" s="388" t="s">
        <v>1529</v>
      </c>
      <c r="F599" s="189"/>
      <c r="G599" s="193" t="s">
        <v>1519</v>
      </c>
    </row>
    <row r="600" spans="1:7" ht="37.5" x14ac:dyDescent="0.3">
      <c r="A600" s="228" t="e">
        <f t="shared" si="9"/>
        <v>#N/A</v>
      </c>
      <c r="B600" s="475" t="str" cm="1">
        <f t="array" ref="B600">IADNumber&amp; " Roof"</f>
        <v>IAD35 Roof</v>
      </c>
      <c r="C600" s="475" t="str">
        <f>zSelectedEquipment &amp; " MAU 2"</f>
        <v>G104-Gen-B MAU 2</v>
      </c>
      <c r="D600" s="195" t="s">
        <v>3674</v>
      </c>
      <c r="E600" s="388" t="s">
        <v>1529</v>
      </c>
      <c r="F600" s="189"/>
      <c r="G600" s="193" t="s">
        <v>1519</v>
      </c>
    </row>
    <row r="601" spans="1:7" ht="37.5" x14ac:dyDescent="0.3">
      <c r="A601" s="228" t="e">
        <f t="shared" si="9"/>
        <v>#N/A</v>
      </c>
      <c r="B601" s="475" t="str" cm="1">
        <f t="array" ref="B601">IADNumber&amp; " Roof"</f>
        <v>IAD35 Roof</v>
      </c>
      <c r="C601" s="475" t="str">
        <f>zSelectedEquipment &amp; " MAU 2"</f>
        <v>G104-Gen-B MAU 2</v>
      </c>
      <c r="D601" s="195" t="s">
        <v>3675</v>
      </c>
      <c r="E601" s="388" t="s">
        <v>1529</v>
      </c>
      <c r="F601" s="189"/>
      <c r="G601" s="193" t="s">
        <v>1519</v>
      </c>
    </row>
    <row r="602" spans="1:7" ht="37.5" x14ac:dyDescent="0.3">
      <c r="A602" s="228" t="e">
        <f t="shared" si="9"/>
        <v>#N/A</v>
      </c>
      <c r="B602" s="475" t="str" cm="1">
        <f t="array" ref="B602">IADNumber&amp; " Roof"</f>
        <v>IAD35 Roof</v>
      </c>
      <c r="C602" s="475" t="str">
        <f>zSelectedEquipment &amp; " MAU 2"</f>
        <v>G104-Gen-B MAU 2</v>
      </c>
      <c r="D602" s="195" t="s">
        <v>3676</v>
      </c>
      <c r="E602" s="388" t="s">
        <v>1529</v>
      </c>
      <c r="F602" s="189"/>
      <c r="G602" s="193" t="s">
        <v>1519</v>
      </c>
    </row>
    <row r="603" spans="1:7" ht="37.5" x14ac:dyDescent="0.3">
      <c r="A603" s="228" t="e">
        <f t="shared" si="9"/>
        <v>#N/A</v>
      </c>
      <c r="B603" s="475" t="str" cm="1">
        <f t="array" ref="B603">IADNumber&amp; " Roof"</f>
        <v>IAD35 Roof</v>
      </c>
      <c r="C603" s="475" t="str">
        <f>zSelectedEquipment &amp; " MAU 2"</f>
        <v>G104-Gen-B MAU 2</v>
      </c>
      <c r="D603" s="195" t="s">
        <v>3672</v>
      </c>
      <c r="E603" s="388" t="s">
        <v>1529</v>
      </c>
      <c r="F603" s="189"/>
      <c r="G603" s="193" t="s">
        <v>1519</v>
      </c>
    </row>
    <row r="604" spans="1:7" ht="37.5" x14ac:dyDescent="0.3">
      <c r="A604" s="228" t="e">
        <f t="shared" si="9"/>
        <v>#N/A</v>
      </c>
      <c r="B604" s="475" t="str" cm="1">
        <f t="array" ref="B604">IADNumber&amp; " Roof"</f>
        <v>IAD35 Roof</v>
      </c>
      <c r="C604" s="475" t="str">
        <f>zSelectedEquipment &amp; " MAU 2"</f>
        <v>G104-Gen-B MAU 2</v>
      </c>
      <c r="D604" s="494" t="s">
        <v>3677</v>
      </c>
      <c r="E604" s="388" t="s">
        <v>1529</v>
      </c>
      <c r="F604" s="189"/>
      <c r="G604" s="193" t="s">
        <v>1519</v>
      </c>
    </row>
    <row r="605" spans="1:7" ht="75" x14ac:dyDescent="0.3">
      <c r="A605" s="228" t="e">
        <f t="shared" si="9"/>
        <v>#N/A</v>
      </c>
      <c r="B605" s="475" t="str" cm="1">
        <f t="array" ref="B605">IADNumber&amp; " Roof"</f>
        <v>IAD35 Roof</v>
      </c>
      <c r="C605" s="475" t="str">
        <f>zSelectedEquipment &amp; " MAU 2"</f>
        <v>G104-Gen-B MAU 2</v>
      </c>
      <c r="D605" s="494" t="s">
        <v>3678</v>
      </c>
      <c r="E605" s="388" t="s">
        <v>1529</v>
      </c>
      <c r="F605" s="189"/>
      <c r="G605" s="193" t="s">
        <v>1519</v>
      </c>
    </row>
    <row r="606" spans="1:7" x14ac:dyDescent="0.3">
      <c r="A606" s="228" t="e">
        <f t="shared" si="9"/>
        <v>#N/A</v>
      </c>
      <c r="B606" s="717" t="s">
        <v>2379</v>
      </c>
      <c r="C606" s="718"/>
      <c r="D606" s="718"/>
      <c r="E606" s="718"/>
      <c r="F606" s="718"/>
      <c r="G606" s="719"/>
    </row>
    <row r="607" spans="1:7" ht="37.5" x14ac:dyDescent="0.3">
      <c r="A607" s="228" t="e">
        <f t="shared" si="9"/>
        <v>#N/A</v>
      </c>
      <c r="B607" s="475" t="str" cm="1">
        <f t="array" ref="B607">IADNumber&amp; " Roof"</f>
        <v>IAD35 Roof</v>
      </c>
      <c r="C607" s="475" t="str">
        <f>zSelectedEquipment &amp; " MAU 2"</f>
        <v>G104-Gen-B MAU 2</v>
      </c>
      <c r="D607" s="245" t="s">
        <v>2323</v>
      </c>
      <c r="E607" s="388" t="s">
        <v>1529</v>
      </c>
      <c r="F607" s="189"/>
      <c r="G607" s="189" t="s">
        <v>1519</v>
      </c>
    </row>
    <row r="608" spans="1:7" ht="37.5" x14ac:dyDescent="0.3">
      <c r="A608" s="228" t="e">
        <f t="shared" si="9"/>
        <v>#N/A</v>
      </c>
      <c r="B608" s="475" t="str" cm="1">
        <f t="array" ref="B608">IADNumber&amp; " Roof"</f>
        <v>IAD35 Roof</v>
      </c>
      <c r="C608" s="475" t="str">
        <f>zSelectedEquipment &amp; " MAU 2"</f>
        <v>G104-Gen-B MAU 2</v>
      </c>
      <c r="D608" s="245" t="s">
        <v>2324</v>
      </c>
      <c r="E608" s="388" t="s">
        <v>1529</v>
      </c>
      <c r="F608" s="189"/>
      <c r="G608" s="189" t="s">
        <v>1519</v>
      </c>
    </row>
    <row r="609" spans="1:7" ht="37.5" x14ac:dyDescent="0.3">
      <c r="A609" s="228" t="e">
        <f t="shared" si="9"/>
        <v>#N/A</v>
      </c>
      <c r="B609" s="475" t="str" cm="1">
        <f t="array" ref="B609">IADNumber&amp; " Roof"</f>
        <v>IAD35 Roof</v>
      </c>
      <c r="C609" s="475" t="str">
        <f>zSelectedEquipment &amp; " MAU 2"</f>
        <v>G104-Gen-B MAU 2</v>
      </c>
      <c r="D609" s="245" t="s">
        <v>2325</v>
      </c>
      <c r="E609" s="388" t="s">
        <v>1529</v>
      </c>
      <c r="F609" s="189"/>
      <c r="G609" s="189" t="s">
        <v>1519</v>
      </c>
    </row>
    <row r="610" spans="1:7" ht="37.5" x14ac:dyDescent="0.3">
      <c r="A610" s="228" t="e">
        <f t="shared" si="9"/>
        <v>#N/A</v>
      </c>
      <c r="B610" s="475" t="str" cm="1">
        <f t="array" ref="B610">IADNumber&amp; " Roof"</f>
        <v>IAD35 Roof</v>
      </c>
      <c r="C610" s="475" t="str">
        <f>zSelectedEquipment &amp; " MAU 2"</f>
        <v>G104-Gen-B MAU 2</v>
      </c>
      <c r="D610" s="245" t="s">
        <v>2326</v>
      </c>
      <c r="E610" s="388" t="s">
        <v>1529</v>
      </c>
      <c r="F610" s="189"/>
      <c r="G610" s="189" t="s">
        <v>1519</v>
      </c>
    </row>
    <row r="611" spans="1:7" ht="37.5" x14ac:dyDescent="0.3">
      <c r="A611" s="228" t="e">
        <f t="shared" si="9"/>
        <v>#N/A</v>
      </c>
      <c r="B611" s="475" t="str" cm="1">
        <f t="array" ref="B611">IADNumber&amp; " Roof"</f>
        <v>IAD35 Roof</v>
      </c>
      <c r="C611" s="475" t="str">
        <f>zSelectedEquipment &amp; " MAU 2"</f>
        <v>G104-Gen-B MAU 2</v>
      </c>
      <c r="D611" s="245" t="s">
        <v>2327</v>
      </c>
      <c r="E611" s="388" t="s">
        <v>1529</v>
      </c>
      <c r="F611" s="189"/>
      <c r="G611" s="189" t="s">
        <v>1519</v>
      </c>
    </row>
    <row r="612" spans="1:7" ht="37.5" x14ac:dyDescent="0.3">
      <c r="A612" s="228" t="e">
        <f t="shared" si="9"/>
        <v>#N/A</v>
      </c>
      <c r="B612" s="475" t="str" cm="1">
        <f t="array" ref="B612">IADNumber&amp; " Roof"</f>
        <v>IAD35 Roof</v>
      </c>
      <c r="C612" s="475" t="str">
        <f>zSelectedEquipment &amp; " MAU 2"</f>
        <v>G104-Gen-B MAU 2</v>
      </c>
      <c r="D612" s="245" t="s">
        <v>2328</v>
      </c>
      <c r="E612" s="388" t="s">
        <v>1529</v>
      </c>
      <c r="F612" s="189"/>
      <c r="G612" s="189" t="s">
        <v>1519</v>
      </c>
    </row>
    <row r="613" spans="1:7" x14ac:dyDescent="0.3">
      <c r="A613" s="228" t="e">
        <f t="shared" si="9"/>
        <v>#N/A</v>
      </c>
      <c r="B613" s="717" t="s">
        <v>2329</v>
      </c>
      <c r="C613" s="718"/>
      <c r="D613" s="718"/>
      <c r="E613" s="718"/>
      <c r="F613" s="718"/>
      <c r="G613" s="719"/>
    </row>
    <row r="614" spans="1:7" ht="37.5" x14ac:dyDescent="0.3">
      <c r="A614" s="228" t="e">
        <f t="shared" si="9"/>
        <v>#N/A</v>
      </c>
      <c r="B614" s="475" t="str" cm="1">
        <f t="array" ref="B614">IADNumber&amp; " Roof"</f>
        <v>IAD35 Roof</v>
      </c>
      <c r="C614" s="475" t="str">
        <f>zSelectedEquipment &amp; " MAU 2"</f>
        <v>G104-Gen-B MAU 2</v>
      </c>
      <c r="D614" s="245" t="s">
        <v>2331</v>
      </c>
      <c r="E614" s="388" t="s">
        <v>1529</v>
      </c>
      <c r="F614" s="189"/>
      <c r="G614" s="189" t="s">
        <v>1519</v>
      </c>
    </row>
    <row r="615" spans="1:7" ht="37.5" x14ac:dyDescent="0.3">
      <c r="A615" s="228" t="e">
        <f t="shared" si="9"/>
        <v>#N/A</v>
      </c>
      <c r="B615" s="475" t="str" cm="1">
        <f t="array" ref="B615">IADNumber&amp; " Roof"</f>
        <v>IAD35 Roof</v>
      </c>
      <c r="C615" s="475" t="str">
        <f>zSelectedEquipment &amp; " MAU 2"</f>
        <v>G104-Gen-B MAU 2</v>
      </c>
      <c r="D615" s="245" t="s">
        <v>2332</v>
      </c>
      <c r="E615" s="388" t="s">
        <v>1529</v>
      </c>
      <c r="F615" s="189"/>
      <c r="G615" s="189" t="s">
        <v>1519</v>
      </c>
    </row>
    <row r="616" spans="1:7" ht="37.5" x14ac:dyDescent="0.3">
      <c r="A616" s="228" t="e">
        <f t="shared" si="9"/>
        <v>#N/A</v>
      </c>
      <c r="B616" s="475" t="str" cm="1">
        <f t="array" ref="B616">IADNumber&amp; " Roof"</f>
        <v>IAD35 Roof</v>
      </c>
      <c r="C616" s="475" t="str">
        <f>zSelectedEquipment &amp; " MAU 2"</f>
        <v>G104-Gen-B MAU 2</v>
      </c>
      <c r="D616" s="245" t="s">
        <v>2333</v>
      </c>
      <c r="E616" s="388" t="s">
        <v>1529</v>
      </c>
      <c r="F616" s="189"/>
      <c r="G616" s="189" t="s">
        <v>1519</v>
      </c>
    </row>
    <row r="617" spans="1:7" ht="37.5" x14ac:dyDescent="0.3">
      <c r="A617" s="228" t="e">
        <f t="shared" si="9"/>
        <v>#N/A</v>
      </c>
      <c r="B617" s="475" t="str" cm="1">
        <f t="array" ref="B617">IADNumber&amp; " Roof"</f>
        <v>IAD35 Roof</v>
      </c>
      <c r="C617" s="475" t="str">
        <f>zSelectedEquipment &amp; " MAU 2"</f>
        <v>G104-Gen-B MAU 2</v>
      </c>
      <c r="D617" s="245" t="s">
        <v>2334</v>
      </c>
      <c r="E617" s="388" t="s">
        <v>1529</v>
      </c>
      <c r="F617" s="189"/>
      <c r="G617" s="189" t="s">
        <v>1519</v>
      </c>
    </row>
    <row r="618" spans="1:7" ht="37.5" x14ac:dyDescent="0.3">
      <c r="A618" s="228" t="e">
        <f t="shared" si="9"/>
        <v>#N/A</v>
      </c>
      <c r="B618" s="475" t="str" cm="1">
        <f t="array" ref="B618">IADNumber&amp; " Roof"</f>
        <v>IAD35 Roof</v>
      </c>
      <c r="C618" s="475" t="str">
        <f>zSelectedEquipment &amp; " MAU 2"</f>
        <v>G104-Gen-B MAU 2</v>
      </c>
      <c r="D618" s="245" t="s">
        <v>2335</v>
      </c>
      <c r="E618" s="388" t="s">
        <v>1529</v>
      </c>
      <c r="F618" s="189"/>
      <c r="G618" s="189" t="s">
        <v>1519</v>
      </c>
    </row>
    <row r="619" spans="1:7" ht="37.5" x14ac:dyDescent="0.3">
      <c r="A619" s="228" t="e">
        <f t="shared" si="9"/>
        <v>#N/A</v>
      </c>
      <c r="B619" s="475" t="str" cm="1">
        <f t="array" ref="B619">IADNumber&amp; " Roof"</f>
        <v>IAD35 Roof</v>
      </c>
      <c r="C619" s="475" t="str">
        <f>zSelectedEquipment &amp; " MAU 2"</f>
        <v>G104-Gen-B MAU 2</v>
      </c>
      <c r="D619" s="245" t="s">
        <v>2337</v>
      </c>
      <c r="E619" s="388" t="s">
        <v>1529</v>
      </c>
      <c r="F619" s="189"/>
      <c r="G619" s="189" t="s">
        <v>1519</v>
      </c>
    </row>
    <row r="620" spans="1:7" x14ac:dyDescent="0.3">
      <c r="A620" s="228" t="e">
        <f t="shared" si="9"/>
        <v>#N/A</v>
      </c>
      <c r="B620" s="717" t="s">
        <v>2383</v>
      </c>
      <c r="C620" s="718"/>
      <c r="D620" s="718"/>
      <c r="E620" s="718"/>
      <c r="F620" s="718"/>
      <c r="G620" s="719"/>
    </row>
    <row r="621" spans="1:7" ht="37.5" x14ac:dyDescent="0.3">
      <c r="A621" s="228" t="e">
        <f t="shared" si="9"/>
        <v>#N/A</v>
      </c>
      <c r="B621" s="475" t="str" cm="1">
        <f t="array" ref="B621">IADNumber&amp; " Roof"</f>
        <v>IAD35 Roof</v>
      </c>
      <c r="C621" s="475" t="str">
        <f>zSelectedEquipment &amp; " MAU 2"</f>
        <v>G104-Gen-B MAU 2</v>
      </c>
      <c r="D621" s="245" t="s">
        <v>2384</v>
      </c>
      <c r="E621" s="388" t="s">
        <v>1529</v>
      </c>
      <c r="F621" s="189"/>
      <c r="G621" s="189" t="s">
        <v>1519</v>
      </c>
    </row>
    <row r="622" spans="1:7" ht="37.5" x14ac:dyDescent="0.3">
      <c r="A622" s="228" t="e">
        <f t="shared" si="9"/>
        <v>#N/A</v>
      </c>
      <c r="B622" s="475" t="str" cm="1">
        <f t="array" ref="B622">IADNumber&amp; " Roof"</f>
        <v>IAD35 Roof</v>
      </c>
      <c r="C622" s="475" t="str">
        <f>zSelectedEquipment &amp; " MAU 2"</f>
        <v>G104-Gen-B MAU 2</v>
      </c>
      <c r="D622" s="245" t="s">
        <v>2318</v>
      </c>
      <c r="E622" s="388" t="s">
        <v>1529</v>
      </c>
      <c r="F622" s="189"/>
      <c r="G622" s="189" t="s">
        <v>1519</v>
      </c>
    </row>
    <row r="623" spans="1:7" ht="37.5" x14ac:dyDescent="0.3">
      <c r="A623" s="228" t="e">
        <f t="shared" si="9"/>
        <v>#N/A</v>
      </c>
      <c r="B623" s="475" t="str" cm="1">
        <f t="array" ref="B623">IADNumber&amp; " Roof"</f>
        <v>IAD35 Roof</v>
      </c>
      <c r="C623" s="475" t="str">
        <f>zSelectedEquipment &amp; " MAU 2"</f>
        <v>G104-Gen-B MAU 2</v>
      </c>
      <c r="D623" s="245" t="s">
        <v>2385</v>
      </c>
      <c r="E623" s="388" t="s">
        <v>1529</v>
      </c>
      <c r="F623" s="189"/>
      <c r="G623" s="189" t="s">
        <v>1519</v>
      </c>
    </row>
    <row r="624" spans="1:7" ht="37.5" x14ac:dyDescent="0.3">
      <c r="A624" s="228" t="e">
        <f t="shared" si="9"/>
        <v>#N/A</v>
      </c>
      <c r="B624" s="475" t="str" cm="1">
        <f t="array" ref="B624">IADNumber&amp; " Roof"</f>
        <v>IAD35 Roof</v>
      </c>
      <c r="C624" s="475" t="str">
        <f>zSelectedEquipment &amp; " MAU 2"</f>
        <v>G104-Gen-B MAU 2</v>
      </c>
      <c r="D624" s="245" t="s">
        <v>2320</v>
      </c>
      <c r="E624" s="388" t="s">
        <v>1529</v>
      </c>
      <c r="F624" s="189"/>
      <c r="G624" s="189" t="s">
        <v>1519</v>
      </c>
    </row>
    <row r="625" spans="1:8" ht="37.5" x14ac:dyDescent="0.3">
      <c r="A625" s="228" t="e">
        <f t="shared" si="9"/>
        <v>#N/A</v>
      </c>
      <c r="B625" s="475" t="str" cm="1">
        <f t="array" ref="B625">IADNumber&amp; " Roof"</f>
        <v>IAD35 Roof</v>
      </c>
      <c r="C625" s="475" t="str">
        <f>zSelectedEquipment &amp; " MAU 2"</f>
        <v>G104-Gen-B MAU 2</v>
      </c>
      <c r="D625" s="245" t="s">
        <v>2386</v>
      </c>
      <c r="E625" s="388" t="s">
        <v>1529</v>
      </c>
      <c r="F625" s="189"/>
      <c r="G625" s="189" t="s">
        <v>1519</v>
      </c>
    </row>
    <row r="626" spans="1:8" ht="37.5" x14ac:dyDescent="0.3">
      <c r="A626" s="228" t="e">
        <f t="shared" si="9"/>
        <v>#N/A</v>
      </c>
      <c r="B626" s="475" t="str" cm="1">
        <f t="array" ref="B626">IADNumber&amp; " Roof"</f>
        <v>IAD35 Roof</v>
      </c>
      <c r="C626" s="475" t="str">
        <f>zSelectedEquipment &amp; " MAU 2"</f>
        <v>G104-Gen-B MAU 2</v>
      </c>
      <c r="D626" s="245" t="s">
        <v>2387</v>
      </c>
      <c r="E626" s="388" t="s">
        <v>1529</v>
      </c>
      <c r="F626" s="189"/>
      <c r="G626" s="189" t="s">
        <v>1519</v>
      </c>
    </row>
    <row r="627" spans="1:8" ht="37.5" x14ac:dyDescent="0.3">
      <c r="A627" s="228" t="e">
        <f t="shared" si="9"/>
        <v>#N/A</v>
      </c>
      <c r="B627" s="475" t="str" cm="1">
        <f t="array" ref="B627">IADNumber&amp; " Roof"</f>
        <v>IAD35 Roof</v>
      </c>
      <c r="C627" s="475" t="str">
        <f>zSelectedEquipment &amp; " MAU 2"</f>
        <v>G104-Gen-B MAU 2</v>
      </c>
      <c r="D627" s="245" t="s">
        <v>3679</v>
      </c>
      <c r="E627" s="388" t="s">
        <v>1529</v>
      </c>
      <c r="F627" s="189"/>
      <c r="G627" s="189" t="s">
        <v>1519</v>
      </c>
    </row>
    <row r="628" spans="1:8" ht="37.5" x14ac:dyDescent="0.3">
      <c r="A628" s="228" t="e">
        <f t="shared" si="9"/>
        <v>#N/A</v>
      </c>
      <c r="B628" s="475" t="str" cm="1">
        <f t="array" ref="B628">IADNumber&amp; " Roof"</f>
        <v>IAD35 Roof</v>
      </c>
      <c r="C628" s="475" t="str">
        <f>zSelectedEquipment &amp; " MAU 2"</f>
        <v>G104-Gen-B MAU 2</v>
      </c>
      <c r="D628" s="245" t="s">
        <v>3680</v>
      </c>
      <c r="E628" s="388" t="s">
        <v>1529</v>
      </c>
      <c r="F628" s="189"/>
      <c r="G628" s="189" t="s">
        <v>1519</v>
      </c>
    </row>
    <row r="629" spans="1:8" x14ac:dyDescent="0.3">
      <c r="A629" s="228" t="e">
        <f t="shared" si="9"/>
        <v>#N/A</v>
      </c>
      <c r="B629" s="716" t="s">
        <v>3681</v>
      </c>
      <c r="C629" s="716"/>
      <c r="D629" s="716"/>
      <c r="E629" s="716"/>
      <c r="F629" s="716"/>
      <c r="G629" s="716"/>
    </row>
    <row r="630" spans="1:8" ht="37.5" x14ac:dyDescent="0.3">
      <c r="A630" s="228" t="e">
        <f t="shared" si="9"/>
        <v>#N/A</v>
      </c>
      <c r="B630" s="475" t="str" cm="1">
        <f t="array" ref="B630">IADNumber&amp; " Roof"</f>
        <v>IAD35 Roof</v>
      </c>
      <c r="C630" s="475" t="str">
        <f>zSelectedEquipment &amp; " MAU 2"</f>
        <v>G104-Gen-B MAU 2</v>
      </c>
      <c r="D630" s="195" t="s">
        <v>2274</v>
      </c>
      <c r="E630" s="388" t="s">
        <v>1529</v>
      </c>
      <c r="F630" s="198"/>
      <c r="G630" s="193" t="s">
        <v>1519</v>
      </c>
    </row>
    <row r="631" spans="1:8" ht="37.5" x14ac:dyDescent="0.3">
      <c r="A631" s="228" t="e">
        <f t="shared" si="9"/>
        <v>#N/A</v>
      </c>
      <c r="B631" s="475" t="str" cm="1">
        <f t="array" ref="B631">IADNumber&amp; " Roof"</f>
        <v>IAD35 Roof</v>
      </c>
      <c r="C631" s="475" t="str">
        <f>zSelectedEquipment &amp; " MAU 2"</f>
        <v>G104-Gen-B MAU 2</v>
      </c>
      <c r="D631" s="195" t="s">
        <v>2275</v>
      </c>
      <c r="E631" s="388" t="s">
        <v>1529</v>
      </c>
      <c r="F631" s="198"/>
      <c r="G631" s="193" t="s">
        <v>1519</v>
      </c>
      <c r="H631" s="497"/>
    </row>
    <row r="632" spans="1:8" ht="37.5" x14ac:dyDescent="0.3">
      <c r="A632" s="228" t="e">
        <f t="shared" si="9"/>
        <v>#N/A</v>
      </c>
      <c r="B632" s="475" t="str" cm="1">
        <f t="array" ref="B632">IADNumber&amp; " Roof"</f>
        <v>IAD35 Roof</v>
      </c>
      <c r="C632" s="475" t="str">
        <f>zSelectedEquipment &amp; " MAU 2"</f>
        <v>G104-Gen-B MAU 2</v>
      </c>
      <c r="D632" s="195" t="s">
        <v>3682</v>
      </c>
      <c r="E632" s="388" t="s">
        <v>1529</v>
      </c>
      <c r="F632" s="198"/>
      <c r="G632" s="193" t="s">
        <v>1519</v>
      </c>
      <c r="H632" s="497"/>
    </row>
    <row r="633" spans="1:8" ht="56.25" x14ac:dyDescent="0.3">
      <c r="A633" s="228" t="e">
        <f t="shared" si="9"/>
        <v>#N/A</v>
      </c>
      <c r="B633" s="475" t="str" cm="1">
        <f t="array" ref="B633">IADNumber&amp; " Roof"</f>
        <v>IAD35 Roof</v>
      </c>
      <c r="C633" s="475" t="str">
        <f>zSelectedEquipment &amp; " MAU 2"</f>
        <v>G104-Gen-B MAU 2</v>
      </c>
      <c r="D633" s="195" t="s">
        <v>3683</v>
      </c>
      <c r="E633" s="388" t="s">
        <v>1529</v>
      </c>
      <c r="F633" s="198"/>
      <c r="G633" s="193" t="s">
        <v>1519</v>
      </c>
      <c r="H633" s="497"/>
    </row>
    <row r="634" spans="1:8" ht="37.5" x14ac:dyDescent="0.3">
      <c r="A634" s="228" t="e">
        <f t="shared" si="9"/>
        <v>#N/A</v>
      </c>
      <c r="B634" s="475" t="str" cm="1">
        <f t="array" ref="B634">IADNumber&amp; " Roof"</f>
        <v>IAD35 Roof</v>
      </c>
      <c r="C634" s="475" t="str">
        <f>zSelectedEquipment &amp; " MAU 2"</f>
        <v>G104-Gen-B MAU 2</v>
      </c>
      <c r="D634" s="195" t="s">
        <v>3661</v>
      </c>
      <c r="E634" s="388" t="s">
        <v>1529</v>
      </c>
      <c r="F634" s="198"/>
      <c r="G634" s="193" t="s">
        <v>1519</v>
      </c>
      <c r="H634" s="497"/>
    </row>
    <row r="635" spans="1:8" ht="37.5" x14ac:dyDescent="0.3">
      <c r="A635" s="228" t="e">
        <f t="shared" si="9"/>
        <v>#N/A</v>
      </c>
      <c r="B635" s="475" t="str" cm="1">
        <f t="array" ref="B635">IADNumber&amp; " Roof"</f>
        <v>IAD35 Roof</v>
      </c>
      <c r="C635" s="475" t="str">
        <f>zSelectedEquipment &amp; " MAU 2"</f>
        <v>G104-Gen-B MAU 2</v>
      </c>
      <c r="D635" s="195" t="s">
        <v>3684</v>
      </c>
      <c r="E635" s="388" t="s">
        <v>1529</v>
      </c>
      <c r="F635" s="198"/>
      <c r="G635" s="193" t="s">
        <v>1519</v>
      </c>
      <c r="H635" s="497"/>
    </row>
    <row r="636" spans="1:8" ht="37.5" x14ac:dyDescent="0.3">
      <c r="A636" s="228" t="e">
        <f t="shared" si="9"/>
        <v>#N/A</v>
      </c>
      <c r="B636" s="475" t="str" cm="1">
        <f t="array" ref="B636">IADNumber&amp; " Roof"</f>
        <v>IAD35 Roof</v>
      </c>
      <c r="C636" s="475" t="str">
        <f>zSelectedEquipment &amp; " MAU 2"</f>
        <v>G104-Gen-B MAU 2</v>
      </c>
      <c r="D636" s="195" t="s">
        <v>2277</v>
      </c>
      <c r="E636" s="388" t="s">
        <v>1529</v>
      </c>
      <c r="F636" s="198"/>
      <c r="G636" s="193" t="s">
        <v>1519</v>
      </c>
      <c r="H636" s="497"/>
    </row>
    <row r="637" spans="1:8" ht="37.5" x14ac:dyDescent="0.3">
      <c r="A637" s="228" t="e">
        <f t="shared" si="9"/>
        <v>#N/A</v>
      </c>
      <c r="B637" s="475" t="str" cm="1">
        <f t="array" ref="B637">IADNumber&amp; " Roof"</f>
        <v>IAD35 Roof</v>
      </c>
      <c r="C637" s="475" t="str">
        <f>zSelectedEquipment &amp; " MAU 2"</f>
        <v>G104-Gen-B MAU 2</v>
      </c>
      <c r="D637" s="195" t="s">
        <v>2340</v>
      </c>
      <c r="E637" s="388" t="s">
        <v>1529</v>
      </c>
      <c r="F637" s="198"/>
      <c r="G637" s="193" t="s">
        <v>1519</v>
      </c>
      <c r="H637" s="497"/>
    </row>
    <row r="638" spans="1:8" ht="37.5" x14ac:dyDescent="0.3">
      <c r="A638" s="228" t="e">
        <f t="shared" si="9"/>
        <v>#N/A</v>
      </c>
      <c r="B638" s="475" t="str" cm="1">
        <f t="array" ref="B638">IADNumber&amp; " Roof"</f>
        <v>IAD35 Roof</v>
      </c>
      <c r="C638" s="475" t="str">
        <f>zSelectedEquipment &amp; " MAU 2"</f>
        <v>G104-Gen-B MAU 2</v>
      </c>
      <c r="D638" s="195" t="s">
        <v>3685</v>
      </c>
      <c r="E638" s="388" t="s">
        <v>1529</v>
      </c>
      <c r="F638" s="198"/>
      <c r="G638" s="193" t="s">
        <v>1519</v>
      </c>
      <c r="H638" s="497"/>
    </row>
    <row r="639" spans="1:8" ht="37.5" x14ac:dyDescent="0.3">
      <c r="A639" s="228" t="e">
        <f t="shared" si="9"/>
        <v>#N/A</v>
      </c>
      <c r="B639" s="475" t="str" cm="1">
        <f t="array" ref="B639">IADNumber&amp; " Roof"</f>
        <v>IAD35 Roof</v>
      </c>
      <c r="C639" s="475" t="str">
        <f>zSelectedEquipment &amp; " MAU 2"</f>
        <v>G104-Gen-B MAU 2</v>
      </c>
      <c r="D639" s="195" t="s">
        <v>3686</v>
      </c>
      <c r="E639" s="388" t="s">
        <v>1529</v>
      </c>
      <c r="F639" s="198"/>
      <c r="G639" s="193" t="s">
        <v>1519</v>
      </c>
      <c r="H639" s="497"/>
    </row>
    <row r="640" spans="1:8" ht="37.5" x14ac:dyDescent="0.3">
      <c r="A640" s="228" t="e">
        <f t="shared" si="9"/>
        <v>#N/A</v>
      </c>
      <c r="B640" s="475" t="str" cm="1">
        <f t="array" ref="B640">IADNumber&amp; " Roof"</f>
        <v>IAD35 Roof</v>
      </c>
      <c r="C640" s="475" t="str">
        <f>zSelectedEquipment &amp; " MAU 2"</f>
        <v>G104-Gen-B MAU 2</v>
      </c>
      <c r="D640" s="195" t="s">
        <v>3687</v>
      </c>
      <c r="E640" s="388" t="s">
        <v>1529</v>
      </c>
      <c r="F640" s="198"/>
      <c r="G640" s="193" t="s">
        <v>1519</v>
      </c>
      <c r="H640" s="497"/>
    </row>
    <row r="641" spans="1:8" ht="37.5" x14ac:dyDescent="0.3">
      <c r="A641" s="228" t="e">
        <f t="shared" si="9"/>
        <v>#N/A</v>
      </c>
      <c r="B641" s="475" t="str" cm="1">
        <f t="array" ref="B641">IADNumber&amp; " Roof"</f>
        <v>IAD35 Roof</v>
      </c>
      <c r="C641" s="475" t="str">
        <f>zSelectedEquipment &amp; " MAU 2"</f>
        <v>G104-Gen-B MAU 2</v>
      </c>
      <c r="D641" s="195" t="s">
        <v>3688</v>
      </c>
      <c r="E641" s="388" t="s">
        <v>1529</v>
      </c>
      <c r="F641" s="198"/>
      <c r="G641" s="193" t="s">
        <v>1519</v>
      </c>
      <c r="H641" s="497"/>
    </row>
    <row r="642" spans="1:8" ht="37.5" x14ac:dyDescent="0.3">
      <c r="A642" s="228" t="e">
        <f t="shared" si="9"/>
        <v>#N/A</v>
      </c>
      <c r="B642" s="475" t="str" cm="1">
        <f t="array" ref="B642">IADNumber&amp; " Roof"</f>
        <v>IAD35 Roof</v>
      </c>
      <c r="C642" s="475" t="str">
        <f>zSelectedEquipment &amp; " MAU 2"</f>
        <v>G104-Gen-B MAU 2</v>
      </c>
      <c r="D642" s="195" t="s">
        <v>2392</v>
      </c>
      <c r="E642" s="388" t="s">
        <v>1529</v>
      </c>
      <c r="F642" s="198"/>
      <c r="G642" s="193" t="s">
        <v>1519</v>
      </c>
      <c r="H642" s="497"/>
    </row>
    <row r="643" spans="1:8" ht="56.25" x14ac:dyDescent="0.3">
      <c r="A643" s="228" t="e">
        <f t="shared" si="9"/>
        <v>#N/A</v>
      </c>
      <c r="B643" s="475" t="str" cm="1">
        <f t="array" ref="B643">IADNumber&amp; " Roof"</f>
        <v>IAD35 Roof</v>
      </c>
      <c r="C643" s="475" t="str">
        <f>zSelectedEquipment &amp; " MAU 2"</f>
        <v>G104-Gen-B MAU 2</v>
      </c>
      <c r="D643" s="494" t="s">
        <v>3689</v>
      </c>
      <c r="E643" s="388" t="s">
        <v>1529</v>
      </c>
      <c r="F643" s="198"/>
      <c r="G643" s="193" t="s">
        <v>1519</v>
      </c>
      <c r="H643" s="497"/>
    </row>
    <row r="644" spans="1:8" ht="37.5" x14ac:dyDescent="0.3">
      <c r="A644" s="228" t="e">
        <f t="shared" si="9"/>
        <v>#N/A</v>
      </c>
      <c r="B644" s="475" t="str" cm="1">
        <f t="array" ref="B644">IADNumber&amp; " Roof"</f>
        <v>IAD35 Roof</v>
      </c>
      <c r="C644" s="475" t="str">
        <f>zSelectedEquipment &amp; " MAU 2"</f>
        <v>G104-Gen-B MAU 2</v>
      </c>
      <c r="D644" s="195" t="s">
        <v>2282</v>
      </c>
      <c r="E644" s="388" t="s">
        <v>1529</v>
      </c>
      <c r="F644" s="198"/>
      <c r="G644" s="193" t="s">
        <v>1519</v>
      </c>
      <c r="H644" s="497"/>
    </row>
    <row r="645" spans="1:8" ht="37.5" x14ac:dyDescent="0.3">
      <c r="A645" s="228" t="e">
        <f t="shared" si="9"/>
        <v>#N/A</v>
      </c>
      <c r="B645" s="475" t="str" cm="1">
        <f t="array" ref="B645">IADNumber&amp; " Roof"</f>
        <v>IAD35 Roof</v>
      </c>
      <c r="C645" s="475" t="str">
        <f>zSelectedEquipment &amp; " MAU 2"</f>
        <v>G104-Gen-B MAU 2</v>
      </c>
      <c r="D645" s="195" t="s">
        <v>3690</v>
      </c>
      <c r="E645" s="388" t="s">
        <v>1529</v>
      </c>
      <c r="F645" s="198"/>
      <c r="G645" s="193" t="s">
        <v>1519</v>
      </c>
      <c r="H645" s="497"/>
    </row>
    <row r="646" spans="1:8" ht="37.5" x14ac:dyDescent="0.3">
      <c r="A646" s="228" t="e">
        <f t="shared" si="9"/>
        <v>#N/A</v>
      </c>
      <c r="B646" s="475" t="s">
        <v>1462</v>
      </c>
      <c r="C646" s="475" t="str">
        <f>zSelectedEquipment &amp; " MAU 2"</f>
        <v>G104-Gen-B MAU 2</v>
      </c>
      <c r="D646" s="195" t="s">
        <v>2283</v>
      </c>
      <c r="E646" s="388" t="s">
        <v>1529</v>
      </c>
      <c r="F646" s="495"/>
      <c r="G646" s="193" t="s">
        <v>1519</v>
      </c>
      <c r="H646" s="497"/>
    </row>
    <row r="647" spans="1:8" ht="37.5" x14ac:dyDescent="0.3">
      <c r="A647" s="228" t="e">
        <f t="shared" si="9"/>
        <v>#N/A</v>
      </c>
      <c r="B647" s="475" t="str" cm="1">
        <f t="array" ref="B647">IADNumber&amp; " Roof"</f>
        <v>IAD35 Roof</v>
      </c>
      <c r="C647" s="475" t="str">
        <f>zSelectedEquipment &amp; " MAU 2"</f>
        <v>G104-Gen-B MAU 2</v>
      </c>
      <c r="D647" s="195" t="s">
        <v>2284</v>
      </c>
      <c r="E647" s="388" t="s">
        <v>1529</v>
      </c>
      <c r="F647" s="495"/>
      <c r="G647" s="193" t="s">
        <v>1519</v>
      </c>
      <c r="H647" s="497"/>
    </row>
    <row r="648" spans="1:8" x14ac:dyDescent="0.3">
      <c r="A648" s="228" t="e" cm="1">
        <f t="array" ref="A648">IF(NumberofRTUs=6,A487+1,A647+1)</f>
        <v>#N/A</v>
      </c>
      <c r="B648" s="717" t="s">
        <v>2285</v>
      </c>
      <c r="C648" s="718"/>
      <c r="D648" s="718"/>
      <c r="E648" s="718"/>
      <c r="F648" s="718"/>
      <c r="G648" s="719"/>
    </row>
    <row r="649" spans="1:8" ht="37.5" x14ac:dyDescent="0.3">
      <c r="A649" s="228" t="e">
        <f t="shared" ref="A649:A657" si="10">A648+1</f>
        <v>#N/A</v>
      </c>
      <c r="B649" s="475" t="str" cm="1">
        <f t="array" ref="B649">IADNumber&amp; " Roof"</f>
        <v>IAD35 Roof</v>
      </c>
      <c r="C649" s="475" t="str">
        <f>zSelectedEquipment &amp; " RTUs"</f>
        <v>G104-Gen-B RTUs</v>
      </c>
      <c r="D649" s="190" t="s">
        <v>2286</v>
      </c>
      <c r="E649" s="388" t="s">
        <v>1529</v>
      </c>
      <c r="F649" s="189"/>
      <c r="G649" s="193" t="s">
        <v>1519</v>
      </c>
    </row>
    <row r="650" spans="1:8" ht="37.5" x14ac:dyDescent="0.3">
      <c r="A650" s="228" t="e">
        <f t="shared" si="10"/>
        <v>#N/A</v>
      </c>
      <c r="B650" s="475" t="str" cm="1">
        <f t="array" ref="B650">IADNumber&amp; " Roof"</f>
        <v>IAD35 Roof</v>
      </c>
      <c r="C650" s="475" t="str">
        <f>zSelectedEquipment &amp; " RTUs"</f>
        <v>G104-Gen-B RTUs</v>
      </c>
      <c r="D650" s="190" t="s">
        <v>2287</v>
      </c>
      <c r="E650" s="388" t="s">
        <v>1529</v>
      </c>
      <c r="F650" s="189"/>
      <c r="G650" s="193" t="s">
        <v>1519</v>
      </c>
    </row>
    <row r="651" spans="1:8" ht="37.5" x14ac:dyDescent="0.3">
      <c r="A651" s="228" t="e">
        <f t="shared" si="10"/>
        <v>#N/A</v>
      </c>
      <c r="B651" s="475" t="str" cm="1">
        <f t="array" ref="B651">IADNumber&amp; " Roof"</f>
        <v>IAD35 Roof</v>
      </c>
      <c r="C651" s="475" t="str">
        <f>zSelectedEquipment &amp; " RTUs"</f>
        <v>G104-Gen-B RTUs</v>
      </c>
      <c r="D651" s="191" t="s">
        <v>2503</v>
      </c>
      <c r="E651" s="388" t="s">
        <v>3654</v>
      </c>
      <c r="F651" s="197"/>
      <c r="G651" s="193" t="s">
        <v>1519</v>
      </c>
      <c r="H651" s="497"/>
    </row>
    <row r="652" spans="1:8" ht="37.5" x14ac:dyDescent="0.3">
      <c r="A652" s="228" t="e">
        <f t="shared" si="10"/>
        <v>#N/A</v>
      </c>
      <c r="B652" s="475" t="str" cm="1">
        <f t="array" ref="B652">IADNumber&amp; " Roof"</f>
        <v>IAD35 Roof</v>
      </c>
      <c r="C652" s="475" t="str">
        <f>zSelectedEquipment &amp; " RTUs"</f>
        <v>G104-Gen-B RTUs</v>
      </c>
      <c r="D652" s="191" t="s">
        <v>3691</v>
      </c>
      <c r="E652" s="388" t="s">
        <v>3654</v>
      </c>
      <c r="F652" s="197"/>
      <c r="G652" s="193" t="s">
        <v>1519</v>
      </c>
    </row>
    <row r="653" spans="1:8" ht="37.5" x14ac:dyDescent="0.3">
      <c r="A653" s="228" t="e">
        <f t="shared" si="10"/>
        <v>#N/A</v>
      </c>
      <c r="B653" s="475" t="str" cm="1">
        <f t="array" ref="B653">IADNumber&amp; " Roof"</f>
        <v>IAD35 Roof</v>
      </c>
      <c r="C653" s="475" t="str">
        <f>zSelectedEquipment &amp; " RTUs"</f>
        <v>G104-Gen-B RTUs</v>
      </c>
      <c r="D653" s="191" t="s">
        <v>3692</v>
      </c>
      <c r="E653" s="388" t="s">
        <v>3654</v>
      </c>
      <c r="F653" s="197"/>
      <c r="G653" s="193" t="s">
        <v>1519</v>
      </c>
    </row>
    <row r="654" spans="1:8" x14ac:dyDescent="0.3">
      <c r="A654" s="228" t="e">
        <f t="shared" si="10"/>
        <v>#N/A</v>
      </c>
      <c r="B654" s="717" t="s">
        <v>3693</v>
      </c>
      <c r="C654" s="718"/>
      <c r="D654" s="718"/>
      <c r="E654" s="718"/>
      <c r="F654" s="718"/>
      <c r="G654" s="719"/>
    </row>
    <row r="655" spans="1:8" ht="37.5" x14ac:dyDescent="0.3">
      <c r="A655" s="228" t="e">
        <f t="shared" si="10"/>
        <v>#N/A</v>
      </c>
      <c r="B655" s="388" t="s">
        <v>1462</v>
      </c>
      <c r="C655" s="388" t="s">
        <v>84</v>
      </c>
      <c r="D655" s="190" t="s">
        <v>3694</v>
      </c>
      <c r="E655" s="388" t="s">
        <v>3654</v>
      </c>
      <c r="F655" s="189"/>
      <c r="G655" s="193" t="s">
        <v>1519</v>
      </c>
    </row>
    <row r="656" spans="1:8" ht="37.5" x14ac:dyDescent="0.3">
      <c r="A656" s="228" t="e">
        <f t="shared" si="10"/>
        <v>#N/A</v>
      </c>
      <c r="B656" s="388" t="s">
        <v>1462</v>
      </c>
      <c r="C656" s="388" t="s">
        <v>84</v>
      </c>
      <c r="D656" s="190" t="s">
        <v>3695</v>
      </c>
      <c r="E656" s="388" t="s">
        <v>3654</v>
      </c>
      <c r="F656" s="189"/>
      <c r="G656" s="193" t="s">
        <v>1519</v>
      </c>
    </row>
    <row r="657" spans="1:7" ht="37.5" x14ac:dyDescent="0.3">
      <c r="A657" s="228" t="e">
        <f t="shared" si="10"/>
        <v>#N/A</v>
      </c>
      <c r="B657" s="388" t="s">
        <v>1462</v>
      </c>
      <c r="C657" s="388" t="s">
        <v>84</v>
      </c>
      <c r="D657" s="190" t="s">
        <v>3696</v>
      </c>
      <c r="E657" s="388" t="s">
        <v>3654</v>
      </c>
      <c r="F657" s="197"/>
      <c r="G657" s="193" t="s">
        <v>1519</v>
      </c>
    </row>
  </sheetData>
  <mergeCells count="80">
    <mergeCell ref="B46:G46"/>
    <mergeCell ref="A2:B2"/>
    <mergeCell ref="C2:G2"/>
    <mergeCell ref="A3:B3"/>
    <mergeCell ref="C3:D3"/>
    <mergeCell ref="A4:C4"/>
    <mergeCell ref="B6:G6"/>
    <mergeCell ref="B8:G8"/>
    <mergeCell ref="B18:G18"/>
    <mergeCell ref="B23:G23"/>
    <mergeCell ref="B26:G26"/>
    <mergeCell ref="B33:G33"/>
    <mergeCell ref="B613:G613"/>
    <mergeCell ref="B620:G620"/>
    <mergeCell ref="B53:G53"/>
    <mergeCell ref="B60:G60"/>
    <mergeCell ref="B69:G69"/>
    <mergeCell ref="B568:G568"/>
    <mergeCell ref="B578:G578"/>
    <mergeCell ref="B88:G88"/>
    <mergeCell ref="B98:G98"/>
    <mergeCell ref="B103:G103"/>
    <mergeCell ref="B106:G106"/>
    <mergeCell ref="B549:G549"/>
    <mergeCell ref="B583:G583"/>
    <mergeCell ref="B586:G586"/>
    <mergeCell ref="B593:G593"/>
    <mergeCell ref="B606:G606"/>
    <mergeCell ref="B213:G213"/>
    <mergeCell ref="B113:G113"/>
    <mergeCell ref="B126:G126"/>
    <mergeCell ref="B133:G133"/>
    <mergeCell ref="B140:G140"/>
    <mergeCell ref="B149:G149"/>
    <mergeCell ref="B168:G168"/>
    <mergeCell ref="B178:G178"/>
    <mergeCell ref="B183:G183"/>
    <mergeCell ref="B186:G186"/>
    <mergeCell ref="B193:G193"/>
    <mergeCell ref="B206:G206"/>
    <mergeCell ref="B328:G328"/>
    <mergeCell ref="B220:G220"/>
    <mergeCell ref="B229:G229"/>
    <mergeCell ref="B248:G248"/>
    <mergeCell ref="B258:G258"/>
    <mergeCell ref="B263:G263"/>
    <mergeCell ref="B266:G266"/>
    <mergeCell ref="B273:G273"/>
    <mergeCell ref="B286:G286"/>
    <mergeCell ref="B293:G293"/>
    <mergeCell ref="B300:G300"/>
    <mergeCell ref="B309:G309"/>
    <mergeCell ref="B426:G426"/>
    <mergeCell ref="B338:G338"/>
    <mergeCell ref="B343:G343"/>
    <mergeCell ref="B346:G346"/>
    <mergeCell ref="B353:G353"/>
    <mergeCell ref="B366:G366"/>
    <mergeCell ref="B373:G373"/>
    <mergeCell ref="B380:G380"/>
    <mergeCell ref="B389:G389"/>
    <mergeCell ref="B408:G408"/>
    <mergeCell ref="B418:G418"/>
    <mergeCell ref="B423:G423"/>
    <mergeCell ref="B654:G654"/>
    <mergeCell ref="B433:G433"/>
    <mergeCell ref="B446:G446"/>
    <mergeCell ref="B453:G453"/>
    <mergeCell ref="B460:G460"/>
    <mergeCell ref="B469:G469"/>
    <mergeCell ref="B648:G648"/>
    <mergeCell ref="B629:G629"/>
    <mergeCell ref="B488:G488"/>
    <mergeCell ref="B498:G498"/>
    <mergeCell ref="B503:G503"/>
    <mergeCell ref="B506:G506"/>
    <mergeCell ref="B513:G513"/>
    <mergeCell ref="B526:G526"/>
    <mergeCell ref="B533:G533"/>
    <mergeCell ref="B540:G540"/>
  </mergeCell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3EE6-C23B-43B5-9964-533148D9BB54}">
  <sheetPr codeName="RTU_Recording_Table"/>
  <dimension ref="A1:O10"/>
  <sheetViews>
    <sheetView workbookViewId="0">
      <selection activeCell="H17" sqref="H17"/>
    </sheetView>
  </sheetViews>
  <sheetFormatPr defaultRowHeight="15" x14ac:dyDescent="0.25"/>
  <cols>
    <col min="1" max="1" width="7.7109375" bestFit="1" customWidth="1"/>
    <col min="2" max="2" width="8.5703125" bestFit="1" customWidth="1"/>
    <col min="3" max="3" width="7.5703125" bestFit="1" customWidth="1"/>
    <col min="4" max="4" width="7.28515625" bestFit="1" customWidth="1"/>
    <col min="5" max="5" width="7.85546875" bestFit="1" customWidth="1"/>
    <col min="6" max="6" width="11" customWidth="1"/>
    <col min="7" max="7" width="11" bestFit="1" customWidth="1"/>
    <col min="8" max="11" width="10.5703125" bestFit="1" customWidth="1"/>
    <col min="12" max="12" width="7.85546875" bestFit="1" customWidth="1"/>
    <col min="13" max="13" width="11.85546875" bestFit="1" customWidth="1"/>
    <col min="14" max="14" width="7.28515625" bestFit="1" customWidth="1"/>
    <col min="15" max="15" width="8.7109375" bestFit="1" customWidth="1"/>
  </cols>
  <sheetData>
    <row r="1" spans="1:15" ht="18.75" x14ac:dyDescent="0.3">
      <c r="A1" s="796" t="s">
        <v>3548</v>
      </c>
      <c r="B1" s="797"/>
      <c r="C1" s="797"/>
      <c r="D1" s="797"/>
      <c r="E1" s="797"/>
      <c r="F1" s="797"/>
      <c r="G1" s="797"/>
      <c r="H1" s="797"/>
      <c r="I1" s="797"/>
      <c r="J1" s="797"/>
      <c r="K1" s="797"/>
      <c r="L1" s="797"/>
      <c r="M1" s="797"/>
      <c r="N1" s="797"/>
      <c r="O1" s="798"/>
    </row>
    <row r="2" spans="1:15" ht="60" x14ac:dyDescent="0.25">
      <c r="A2" s="477" t="s">
        <v>3697</v>
      </c>
      <c r="B2" s="93" t="s">
        <v>3550</v>
      </c>
      <c r="C2" s="93" t="s">
        <v>3698</v>
      </c>
      <c r="D2" s="93" t="s">
        <v>3699</v>
      </c>
      <c r="E2" s="93" t="s">
        <v>3574</v>
      </c>
      <c r="F2" s="93" t="s">
        <v>3700</v>
      </c>
      <c r="G2" s="93" t="s">
        <v>3701</v>
      </c>
      <c r="H2" s="93" t="s">
        <v>3556</v>
      </c>
      <c r="I2" s="93" t="s">
        <v>3557</v>
      </c>
      <c r="J2" s="93" t="s">
        <v>3558</v>
      </c>
      <c r="K2" s="93" t="s">
        <v>3559</v>
      </c>
      <c r="L2" s="93" t="s">
        <v>3570</v>
      </c>
      <c r="M2" s="93" t="s">
        <v>3560</v>
      </c>
      <c r="N2" s="93" t="s">
        <v>3561</v>
      </c>
      <c r="O2" s="478" t="s">
        <v>3562</v>
      </c>
    </row>
    <row r="3" spans="1:15" ht="15.75" x14ac:dyDescent="0.25">
      <c r="A3" s="479" t="s">
        <v>3702</v>
      </c>
      <c r="B3" s="91"/>
      <c r="C3" s="91"/>
      <c r="D3" s="91"/>
      <c r="E3" s="91"/>
      <c r="F3" s="91"/>
      <c r="G3" s="91"/>
      <c r="H3" s="91"/>
      <c r="I3" s="91"/>
      <c r="J3" s="91"/>
      <c r="K3" s="91"/>
      <c r="L3" s="91"/>
      <c r="M3" s="480"/>
      <c r="N3" s="91"/>
      <c r="O3" s="481"/>
    </row>
    <row r="4" spans="1:15" ht="15.75" x14ac:dyDescent="0.25">
      <c r="A4" s="479" t="s">
        <v>3703</v>
      </c>
      <c r="B4" s="96"/>
      <c r="C4" s="96"/>
      <c r="D4" s="96"/>
      <c r="E4" s="96"/>
      <c r="F4" s="96"/>
      <c r="G4" s="96"/>
      <c r="H4" s="96"/>
      <c r="I4" s="96"/>
      <c r="J4" s="96"/>
      <c r="K4" s="96"/>
      <c r="L4" s="96"/>
      <c r="M4" s="480"/>
      <c r="N4" s="96"/>
      <c r="O4" s="481"/>
    </row>
    <row r="5" spans="1:15" ht="15.75" x14ac:dyDescent="0.25">
      <c r="A5" s="479" t="s">
        <v>3704</v>
      </c>
      <c r="B5" s="91"/>
      <c r="C5" s="91"/>
      <c r="D5" s="91"/>
      <c r="E5" s="91"/>
      <c r="F5" s="91"/>
      <c r="G5" s="91"/>
      <c r="H5" s="91"/>
      <c r="I5" s="91"/>
      <c r="J5" s="91"/>
      <c r="K5" s="91"/>
      <c r="L5" s="91"/>
      <c r="M5" s="480"/>
      <c r="N5" s="91"/>
      <c r="O5" s="481"/>
    </row>
    <row r="6" spans="1:15" ht="15.75" x14ac:dyDescent="0.25">
      <c r="A6" s="479" t="s">
        <v>3705</v>
      </c>
      <c r="B6" s="482"/>
      <c r="C6" s="482"/>
      <c r="D6" s="482"/>
      <c r="E6" s="482"/>
      <c r="F6" s="482"/>
      <c r="G6" s="482"/>
      <c r="H6" s="482"/>
      <c r="I6" s="482"/>
      <c r="J6" s="482"/>
      <c r="K6" s="482"/>
      <c r="L6" s="482"/>
      <c r="M6" s="483"/>
      <c r="N6" s="482"/>
      <c r="O6" s="484"/>
    </row>
    <row r="7" spans="1:15" ht="15.75" x14ac:dyDescent="0.25">
      <c r="A7" s="479" t="s">
        <v>3706</v>
      </c>
      <c r="B7" s="482"/>
      <c r="C7" s="482"/>
      <c r="D7" s="482"/>
      <c r="E7" s="482"/>
      <c r="F7" s="482"/>
      <c r="G7" s="482"/>
      <c r="H7" s="482"/>
      <c r="I7" s="482"/>
      <c r="J7" s="482"/>
      <c r="K7" s="482"/>
      <c r="L7" s="482"/>
      <c r="M7" s="483"/>
      <c r="N7" s="482"/>
      <c r="O7" s="484"/>
    </row>
    <row r="8" spans="1:15" ht="15.75" x14ac:dyDescent="0.25">
      <c r="A8" s="479" t="s">
        <v>3707</v>
      </c>
      <c r="B8" s="482"/>
      <c r="C8" s="482"/>
      <c r="D8" s="482"/>
      <c r="E8" s="482"/>
      <c r="F8" s="482"/>
      <c r="G8" s="482"/>
      <c r="H8" s="482"/>
      <c r="I8" s="482"/>
      <c r="J8" s="482"/>
      <c r="K8" s="482"/>
      <c r="L8" s="482"/>
      <c r="M8" s="483"/>
      <c r="N8" s="482"/>
      <c r="O8" s="484"/>
    </row>
    <row r="9" spans="1:15" ht="30" x14ac:dyDescent="0.25">
      <c r="A9" s="479" t="s">
        <v>3708</v>
      </c>
      <c r="B9" s="482"/>
      <c r="C9" s="482"/>
      <c r="D9" s="482"/>
      <c r="E9" s="482"/>
      <c r="F9" s="482"/>
      <c r="G9" s="482"/>
      <c r="H9" s="482"/>
      <c r="I9" s="482"/>
      <c r="J9" s="482"/>
      <c r="K9" s="482"/>
      <c r="L9" s="482"/>
      <c r="M9" s="483"/>
      <c r="N9" s="482"/>
      <c r="O9" s="484"/>
    </row>
    <row r="10" spans="1:15" ht="30.75" thickBot="1" x14ac:dyDescent="0.3">
      <c r="A10" s="479" t="s">
        <v>3709</v>
      </c>
      <c r="B10" s="485"/>
      <c r="C10" s="485"/>
      <c r="D10" s="485"/>
      <c r="E10" s="485"/>
      <c r="F10" s="485"/>
      <c r="G10" s="485"/>
      <c r="H10" s="485"/>
      <c r="I10" s="485"/>
      <c r="J10" s="485"/>
      <c r="K10" s="485"/>
      <c r="L10" s="485"/>
      <c r="M10" s="486"/>
      <c r="N10" s="485"/>
      <c r="O10" s="487"/>
    </row>
  </sheetData>
  <mergeCells count="1">
    <mergeCell ref="A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1B74D-9B63-4A96-BADE-67938C09DBFF}">
  <sheetPr codeName="Fire_Watch_Log">
    <pageSetUpPr autoPageBreaks="0" fitToPage="1"/>
  </sheetPr>
  <dimension ref="A1:E38"/>
  <sheetViews>
    <sheetView view="pageBreakPreview" zoomScale="90" zoomScaleNormal="100" zoomScaleSheetLayoutView="90" workbookViewId="0">
      <selection activeCell="K12" sqref="K12"/>
    </sheetView>
  </sheetViews>
  <sheetFormatPr defaultRowHeight="15" x14ac:dyDescent="0.25"/>
  <cols>
    <col min="1" max="1" width="8.7109375" customWidth="1"/>
    <col min="2" max="2" width="9.7109375" customWidth="1"/>
    <col min="3" max="3" width="8.7109375" customWidth="1"/>
    <col min="4" max="4" width="56.28515625" customWidth="1"/>
    <col min="5" max="5" width="12.7109375" customWidth="1"/>
    <col min="6" max="59" width="8.7109375" customWidth="1"/>
  </cols>
  <sheetData>
    <row r="1" spans="1:5" ht="18.75" x14ac:dyDescent="0.25">
      <c r="A1" s="799" t="s">
        <v>3805</v>
      </c>
      <c r="B1" s="800"/>
      <c r="C1" s="800"/>
      <c r="D1" s="800"/>
      <c r="E1" s="801"/>
    </row>
    <row r="2" spans="1:5" ht="14.65" customHeight="1" x14ac:dyDescent="0.25">
      <c r="A2" s="118" t="s">
        <v>3806</v>
      </c>
      <c r="B2" s="117"/>
      <c r="C2" s="117"/>
      <c r="E2" s="119" t="s">
        <v>3807</v>
      </c>
    </row>
    <row r="3" spans="1:5" ht="14.65" customHeight="1" x14ac:dyDescent="0.25">
      <c r="A3" s="120"/>
      <c r="B3" s="117"/>
      <c r="C3" s="117"/>
      <c r="E3" s="121"/>
    </row>
    <row r="4" spans="1:5" ht="14.65" customHeight="1" x14ac:dyDescent="0.25">
      <c r="A4" s="118" t="s">
        <v>3808</v>
      </c>
      <c r="B4" s="117"/>
      <c r="C4" s="117"/>
      <c r="E4" s="119" t="s">
        <v>3809</v>
      </c>
    </row>
    <row r="5" spans="1:5" ht="14.65" customHeight="1" x14ac:dyDescent="0.25">
      <c r="A5" s="125"/>
      <c r="B5" s="126"/>
      <c r="C5" s="126"/>
      <c r="D5" s="123"/>
      <c r="E5" s="127"/>
    </row>
    <row r="6" spans="1:5" ht="14.65" customHeight="1" x14ac:dyDescent="0.25">
      <c r="A6" s="802" t="s">
        <v>3810</v>
      </c>
      <c r="B6" s="803"/>
      <c r="C6" s="803"/>
      <c r="D6" s="803"/>
      <c r="E6" s="804"/>
    </row>
    <row r="7" spans="1:5" ht="82.15" customHeight="1" x14ac:dyDescent="0.25">
      <c r="A7" s="805" t="s">
        <v>3811</v>
      </c>
      <c r="B7" s="806"/>
      <c r="C7" s="806"/>
      <c r="D7" s="806"/>
      <c r="E7" s="807"/>
    </row>
    <row r="8" spans="1:5" ht="24" customHeight="1" x14ac:dyDescent="0.25">
      <c r="A8" s="808" t="s">
        <v>3812</v>
      </c>
      <c r="B8" s="808"/>
      <c r="C8" s="808"/>
      <c r="D8" s="808"/>
      <c r="E8" s="808"/>
    </row>
    <row r="9" spans="1:5" ht="22.9" customHeight="1" x14ac:dyDescent="0.25">
      <c r="A9" s="166" t="s">
        <v>3794</v>
      </c>
      <c r="B9" s="166" t="s">
        <v>3813</v>
      </c>
      <c r="C9" s="166" t="s">
        <v>3814</v>
      </c>
      <c r="D9" s="166" t="s">
        <v>3815</v>
      </c>
      <c r="E9" s="166" t="s">
        <v>1460</v>
      </c>
    </row>
    <row r="10" spans="1:5" ht="14.65" customHeight="1" x14ac:dyDescent="0.25">
      <c r="A10" s="128"/>
      <c r="B10" s="128"/>
      <c r="C10" s="128"/>
      <c r="D10" s="129"/>
      <c r="E10" s="129"/>
    </row>
    <row r="11" spans="1:5" ht="14.65" customHeight="1" x14ac:dyDescent="0.25">
      <c r="A11" s="130" t="s">
        <v>3816</v>
      </c>
      <c r="B11" s="130"/>
      <c r="C11" s="130"/>
      <c r="D11" s="129"/>
      <c r="E11" s="129"/>
    </row>
    <row r="12" spans="1:5" ht="14.65" customHeight="1" x14ac:dyDescent="0.25">
      <c r="A12" s="130"/>
      <c r="B12" s="130"/>
      <c r="C12" s="130"/>
      <c r="D12" s="129"/>
      <c r="E12" s="130"/>
    </row>
    <row r="13" spans="1:5" ht="14.65" customHeight="1" x14ac:dyDescent="0.25">
      <c r="A13" s="130"/>
      <c r="B13" s="130"/>
      <c r="C13" s="130"/>
      <c r="D13" s="129"/>
      <c r="E13" s="130"/>
    </row>
    <row r="14" spans="1:5" ht="14.65" customHeight="1" x14ac:dyDescent="0.25">
      <c r="A14" s="122"/>
      <c r="B14" s="122"/>
      <c r="C14" s="122"/>
      <c r="D14" s="44"/>
      <c r="E14" s="122"/>
    </row>
    <row r="15" spans="1:5" ht="14.65" customHeight="1" x14ac:dyDescent="0.25">
      <c r="A15" s="122"/>
      <c r="B15" s="122"/>
      <c r="C15" s="122"/>
      <c r="D15" s="44"/>
      <c r="E15" s="122"/>
    </row>
    <row r="16" spans="1:5" ht="14.65" customHeight="1" x14ac:dyDescent="0.25">
      <c r="A16" s="122"/>
      <c r="B16" s="122"/>
      <c r="C16" s="122"/>
      <c r="D16" s="44"/>
      <c r="E16" s="122"/>
    </row>
    <row r="17" spans="1:5" ht="14.65" customHeight="1" x14ac:dyDescent="0.25">
      <c r="A17" s="122"/>
      <c r="B17" s="122"/>
      <c r="C17" s="122"/>
      <c r="D17" s="44"/>
      <c r="E17" s="122"/>
    </row>
    <row r="18" spans="1:5" ht="14.65" customHeight="1" x14ac:dyDescent="0.25">
      <c r="A18" s="122"/>
      <c r="B18" s="122"/>
      <c r="C18" s="122"/>
      <c r="D18" s="44"/>
      <c r="E18" s="122"/>
    </row>
    <row r="19" spans="1:5" ht="14.65" customHeight="1" x14ac:dyDescent="0.25">
      <c r="A19" s="122"/>
      <c r="B19" s="122"/>
      <c r="C19" s="122"/>
      <c r="D19" s="44"/>
      <c r="E19" s="122"/>
    </row>
    <row r="20" spans="1:5" ht="14.65" customHeight="1" x14ac:dyDescent="0.25">
      <c r="A20" s="122"/>
      <c r="B20" s="122"/>
      <c r="C20" s="122"/>
      <c r="D20" s="44"/>
      <c r="E20" s="122"/>
    </row>
    <row r="21" spans="1:5" ht="14.65" customHeight="1" x14ac:dyDescent="0.25">
      <c r="A21" s="122"/>
      <c r="B21" s="122"/>
      <c r="C21" s="122"/>
      <c r="D21" s="44"/>
      <c r="E21" s="122"/>
    </row>
    <row r="22" spans="1:5" ht="14.65" customHeight="1" x14ac:dyDescent="0.25">
      <c r="A22" s="122"/>
      <c r="B22" s="122"/>
      <c r="C22" s="122"/>
      <c r="D22" s="44"/>
      <c r="E22" s="122"/>
    </row>
    <row r="23" spans="1:5" ht="14.65" customHeight="1" x14ac:dyDescent="0.25">
      <c r="A23" s="122"/>
      <c r="B23" s="122"/>
      <c r="C23" s="122"/>
      <c r="D23" s="44"/>
      <c r="E23" s="122"/>
    </row>
    <row r="24" spans="1:5" ht="14.65" customHeight="1" x14ac:dyDescent="0.25">
      <c r="A24" s="122"/>
      <c r="B24" s="122"/>
      <c r="C24" s="122"/>
      <c r="D24" s="44"/>
      <c r="E24" s="122"/>
    </row>
    <row r="25" spans="1:5" ht="14.65" customHeight="1" x14ac:dyDescent="0.25">
      <c r="A25" s="122"/>
      <c r="B25" s="122"/>
      <c r="C25" s="122"/>
      <c r="D25" s="44"/>
      <c r="E25" s="122"/>
    </row>
    <row r="26" spans="1:5" ht="14.65" customHeight="1" x14ac:dyDescent="0.25">
      <c r="A26" s="122"/>
      <c r="B26" s="122"/>
      <c r="C26" s="122"/>
      <c r="D26" s="44"/>
      <c r="E26" s="122"/>
    </row>
    <row r="27" spans="1:5" ht="14.65" customHeight="1" x14ac:dyDescent="0.25">
      <c r="A27" s="122"/>
      <c r="B27" s="122"/>
      <c r="C27" s="122"/>
      <c r="D27" s="44"/>
      <c r="E27" s="122"/>
    </row>
    <row r="28" spans="1:5" ht="14.65" customHeight="1" x14ac:dyDescent="0.25">
      <c r="A28" s="122"/>
      <c r="B28" s="122"/>
      <c r="C28" s="122"/>
      <c r="D28" s="44"/>
      <c r="E28" s="122"/>
    </row>
    <row r="29" spans="1:5" ht="14.65" customHeight="1" x14ac:dyDescent="0.25">
      <c r="A29" s="122"/>
      <c r="B29" s="122"/>
      <c r="C29" s="122"/>
      <c r="D29" s="44"/>
      <c r="E29" s="122"/>
    </row>
    <row r="30" spans="1:5" ht="14.65" customHeight="1" x14ac:dyDescent="0.25">
      <c r="A30" s="122"/>
      <c r="B30" s="122"/>
      <c r="C30" s="122"/>
      <c r="D30" s="44"/>
      <c r="E30" s="122"/>
    </row>
    <row r="31" spans="1:5" ht="14.65" customHeight="1" x14ac:dyDescent="0.25">
      <c r="A31" s="122"/>
      <c r="B31" s="122"/>
      <c r="C31" s="122"/>
      <c r="D31" s="44"/>
      <c r="E31" s="122"/>
    </row>
    <row r="32" spans="1:5" ht="14.65" customHeight="1" x14ac:dyDescent="0.25">
      <c r="A32" s="122"/>
      <c r="B32" s="122"/>
      <c r="C32" s="122"/>
      <c r="D32" s="44"/>
      <c r="E32" s="122"/>
    </row>
    <row r="33" spans="1:5" x14ac:dyDescent="0.25">
      <c r="A33" s="122"/>
      <c r="B33" s="122"/>
      <c r="C33" s="122"/>
      <c r="D33" s="44"/>
      <c r="E33" s="122"/>
    </row>
    <row r="34" spans="1:5" x14ac:dyDescent="0.25">
      <c r="A34" s="122"/>
      <c r="B34" s="122"/>
      <c r="C34" s="122"/>
      <c r="D34" s="44"/>
      <c r="E34" s="122"/>
    </row>
    <row r="35" spans="1:5" x14ac:dyDescent="0.25">
      <c r="A35" s="122"/>
      <c r="B35" s="122"/>
      <c r="C35" s="122"/>
      <c r="D35" s="44"/>
      <c r="E35" s="122"/>
    </row>
    <row r="36" spans="1:5" x14ac:dyDescent="0.25">
      <c r="A36" s="122"/>
      <c r="B36" s="122"/>
      <c r="C36" s="122"/>
      <c r="D36" s="44"/>
      <c r="E36" s="122"/>
    </row>
    <row r="37" spans="1:5" x14ac:dyDescent="0.25">
      <c r="A37" s="122"/>
      <c r="B37" s="122"/>
      <c r="C37" s="122"/>
      <c r="D37" s="44"/>
      <c r="E37" s="122"/>
    </row>
    <row r="38" spans="1:5" x14ac:dyDescent="0.25">
      <c r="A38" s="122"/>
      <c r="B38" s="122"/>
      <c r="C38" s="122"/>
      <c r="D38" s="44"/>
      <c r="E38" s="122"/>
    </row>
  </sheetData>
  <sheetProtection formatCells="0" formatRows="0" insertRows="0" insertHyperlinks="0" deleteRows="0" sort="0" autoFilter="0"/>
  <mergeCells count="4">
    <mergeCell ref="A1:E1"/>
    <mergeCell ref="A6:E6"/>
    <mergeCell ref="A7:E7"/>
    <mergeCell ref="A8:E8"/>
  </mergeCells>
  <printOptions horizontalCentered="1"/>
  <pageMargins left="0.2" right="0.2" top="0.45" bottom="0.25" header="0.05" footer="0.05"/>
  <pageSetup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247C-4BF6-475C-A248-E7F691BEC429}">
  <sheetPr codeName="AAPost_Work"/>
  <dimension ref="A1:AA92"/>
  <sheetViews>
    <sheetView view="pageBreakPreview" zoomScale="90" zoomScaleNormal="100" zoomScaleSheetLayoutView="90" workbookViewId="0">
      <selection activeCell="H27" sqref="H27"/>
    </sheetView>
  </sheetViews>
  <sheetFormatPr defaultColWidth="2.42578125" defaultRowHeight="15" x14ac:dyDescent="0.25"/>
  <cols>
    <col min="1" max="8" width="5.7109375" customWidth="1"/>
    <col min="9" max="9" width="14.42578125" customWidth="1"/>
    <col min="10" max="11" width="5.7109375" customWidth="1"/>
    <col min="12" max="12" width="28.5703125" customWidth="1"/>
    <col min="13" max="13" width="11.5703125" bestFit="1" customWidth="1"/>
    <col min="14" max="14" width="11.28515625" customWidth="1"/>
    <col min="15" max="15" width="5.7109375" customWidth="1"/>
    <col min="16" max="16" width="6.42578125" customWidth="1"/>
    <col min="17" max="17" width="6.140625" customWidth="1"/>
    <col min="18" max="18" width="5.7109375" customWidth="1"/>
    <col min="19" max="24" width="6.28515625" customWidth="1"/>
    <col min="25" max="25" width="12.5703125" customWidth="1"/>
    <col min="26" max="26" width="12.140625" customWidth="1"/>
    <col min="27" max="27" width="4.28515625" customWidth="1"/>
  </cols>
  <sheetData>
    <row r="1" spans="1:26" ht="26.25" customHeight="1" x14ac:dyDescent="0.35">
      <c r="A1" s="312" t="s">
        <v>3710</v>
      </c>
    </row>
    <row r="2" spans="1:26" s="1" customFormat="1" ht="25.5" customHeight="1" thickBot="1" x14ac:dyDescent="0.35">
      <c r="A2" s="809" t="s">
        <v>83</v>
      </c>
      <c r="B2" s="809"/>
      <c r="C2" s="809"/>
      <c r="D2" s="809"/>
      <c r="E2" s="809"/>
      <c r="F2" s="809"/>
      <c r="G2" s="809"/>
      <c r="H2" s="809"/>
      <c r="I2" s="809"/>
      <c r="J2" s="809"/>
      <c r="K2" s="809"/>
      <c r="L2" s="809"/>
      <c r="M2" s="809"/>
      <c r="N2" s="809"/>
      <c r="O2" s="809"/>
      <c r="P2" s="809"/>
      <c r="Q2" s="809"/>
      <c r="R2" s="809"/>
      <c r="S2" s="809"/>
      <c r="T2" s="809"/>
      <c r="U2" s="809"/>
      <c r="V2" s="809"/>
      <c r="W2" s="809"/>
      <c r="X2" s="809"/>
      <c r="Y2" s="809"/>
      <c r="Z2" s="809"/>
    </row>
    <row r="3" spans="1:26" s="1" customFormat="1" ht="21" customHeight="1" x14ac:dyDescent="0.2">
      <c r="A3" s="810" t="s">
        <v>49</v>
      </c>
      <c r="B3" s="811"/>
      <c r="C3" s="811"/>
      <c r="D3" s="811"/>
      <c r="E3" s="811"/>
      <c r="F3" s="811"/>
      <c r="G3" s="811"/>
      <c r="H3" s="811"/>
      <c r="I3" s="811"/>
      <c r="J3" s="811"/>
      <c r="K3" s="811"/>
      <c r="L3" s="811"/>
      <c r="M3" s="811"/>
      <c r="N3" s="811"/>
      <c r="O3" s="811"/>
      <c r="P3" s="466" t="s">
        <v>50</v>
      </c>
      <c r="Q3" s="466" t="s">
        <v>51</v>
      </c>
      <c r="R3" s="466" t="s">
        <v>84</v>
      </c>
      <c r="S3" s="811" t="s">
        <v>52</v>
      </c>
      <c r="T3" s="811"/>
      <c r="U3" s="811"/>
      <c r="V3" s="811"/>
      <c r="W3" s="811"/>
      <c r="X3" s="811"/>
      <c r="Y3" s="811"/>
      <c r="Z3" s="289" t="s">
        <v>53</v>
      </c>
    </row>
    <row r="4" spans="1:26" s="1" customFormat="1" ht="19.899999999999999" customHeight="1" x14ac:dyDescent="0.2">
      <c r="A4" s="646" t="s">
        <v>3711</v>
      </c>
      <c r="B4" s="647"/>
      <c r="C4" s="647"/>
      <c r="D4" s="647"/>
      <c r="E4" s="647"/>
      <c r="F4" s="647"/>
      <c r="G4" s="647"/>
      <c r="H4" s="647"/>
      <c r="I4" s="647"/>
      <c r="J4" s="647"/>
      <c r="K4" s="647"/>
      <c r="L4" s="647"/>
      <c r="M4" s="647"/>
      <c r="N4" s="647"/>
      <c r="O4" s="816"/>
      <c r="P4" s="304" t="s">
        <v>55</v>
      </c>
      <c r="Q4" s="304" t="s">
        <v>55</v>
      </c>
      <c r="R4" s="304" t="s">
        <v>55</v>
      </c>
      <c r="S4" s="814"/>
      <c r="T4" s="814"/>
      <c r="U4" s="814"/>
      <c r="V4" s="814"/>
      <c r="W4" s="814"/>
      <c r="X4" s="814"/>
      <c r="Y4" s="814"/>
      <c r="Z4" s="333"/>
    </row>
    <row r="5" spans="1:26" s="1" customFormat="1" ht="19.899999999999999" customHeight="1" x14ac:dyDescent="0.2">
      <c r="A5" s="646" t="s">
        <v>3712</v>
      </c>
      <c r="B5" s="647"/>
      <c r="C5" s="647"/>
      <c r="D5" s="647"/>
      <c r="E5" s="647"/>
      <c r="F5" s="647"/>
      <c r="G5" s="647"/>
      <c r="H5" s="647"/>
      <c r="I5" s="647"/>
      <c r="J5" s="647"/>
      <c r="K5" s="647"/>
      <c r="L5" s="647"/>
      <c r="M5" s="647"/>
      <c r="N5" s="647"/>
      <c r="O5" s="816"/>
      <c r="P5" s="304" t="s">
        <v>55</v>
      </c>
      <c r="Q5" s="304" t="s">
        <v>55</v>
      </c>
      <c r="R5" s="304" t="s">
        <v>55</v>
      </c>
      <c r="S5" s="814"/>
      <c r="T5" s="814"/>
      <c r="U5" s="814"/>
      <c r="V5" s="814"/>
      <c r="W5" s="814"/>
      <c r="X5" s="814"/>
      <c r="Y5" s="814"/>
      <c r="Z5" s="333"/>
    </row>
    <row r="6" spans="1:26" s="1" customFormat="1" ht="19.899999999999999" customHeight="1" x14ac:dyDescent="0.2">
      <c r="A6" s="646" t="s">
        <v>3713</v>
      </c>
      <c r="B6" s="647"/>
      <c r="C6" s="647"/>
      <c r="D6" s="647"/>
      <c r="E6" s="647"/>
      <c r="F6" s="647"/>
      <c r="G6" s="647"/>
      <c r="H6" s="647"/>
      <c r="I6" s="647"/>
      <c r="J6" s="647"/>
      <c r="K6" s="647"/>
      <c r="L6" s="647"/>
      <c r="M6" s="647"/>
      <c r="N6" s="647"/>
      <c r="O6" s="816"/>
      <c r="P6" s="304" t="s">
        <v>55</v>
      </c>
      <c r="Q6" s="304" t="s">
        <v>55</v>
      </c>
      <c r="R6" s="304" t="s">
        <v>55</v>
      </c>
      <c r="S6" s="814"/>
      <c r="T6" s="814"/>
      <c r="U6" s="814"/>
      <c r="V6" s="814"/>
      <c r="W6" s="814"/>
      <c r="X6" s="814"/>
      <c r="Y6" s="814"/>
      <c r="Z6" s="333"/>
    </row>
    <row r="7" spans="1:26" s="1" customFormat="1" ht="19.899999999999999" customHeight="1" thickBot="1" x14ac:dyDescent="0.25">
      <c r="A7" s="628" t="s">
        <v>3714</v>
      </c>
      <c r="B7" s="629"/>
      <c r="C7" s="629"/>
      <c r="D7" s="629"/>
      <c r="E7" s="629"/>
      <c r="F7" s="629"/>
      <c r="G7" s="629"/>
      <c r="H7" s="629"/>
      <c r="I7" s="629"/>
      <c r="J7" s="629"/>
      <c r="K7" s="629"/>
      <c r="L7" s="629"/>
      <c r="M7" s="629"/>
      <c r="N7" s="629"/>
      <c r="O7" s="817"/>
      <c r="P7" s="313" t="s">
        <v>55</v>
      </c>
      <c r="Q7" s="313" t="s">
        <v>55</v>
      </c>
      <c r="R7" s="313" t="s">
        <v>55</v>
      </c>
      <c r="S7" s="815"/>
      <c r="T7" s="815"/>
      <c r="U7" s="815"/>
      <c r="V7" s="815"/>
      <c r="W7" s="815"/>
      <c r="X7" s="815"/>
      <c r="Y7" s="815"/>
      <c r="Z7" s="334"/>
    </row>
    <row r="8" spans="1:26" s="1" customFormat="1" ht="18" customHeight="1" thickBot="1" x14ac:dyDescent="0.3">
      <c r="A8" s="658" t="s">
        <v>88</v>
      </c>
      <c r="B8" s="658"/>
      <c r="C8" s="658"/>
      <c r="D8" s="658"/>
      <c r="E8" s="658"/>
      <c r="F8" s="301"/>
      <c r="G8" s="301"/>
      <c r="H8" s="301"/>
      <c r="I8" s="301"/>
      <c r="J8" s="301"/>
      <c r="K8" s="301"/>
      <c r="L8" s="818" t="s">
        <v>99</v>
      </c>
      <c r="M8" s="818"/>
      <c r="N8" s="468"/>
      <c r="O8" s="468"/>
      <c r="S8" s="467"/>
      <c r="T8" s="467"/>
      <c r="U8" s="467"/>
      <c r="V8" s="467"/>
      <c r="W8" s="467"/>
      <c r="X8" s="467"/>
      <c r="Y8" s="467"/>
      <c r="Z8" s="467"/>
    </row>
    <row r="9" spans="1:26" s="1" customFormat="1" ht="39" customHeight="1" x14ac:dyDescent="0.2">
      <c r="A9" s="819" t="s">
        <v>90</v>
      </c>
      <c r="B9" s="820"/>
      <c r="C9" s="820"/>
      <c r="D9" s="821" t="s">
        <v>91</v>
      </c>
      <c r="E9" s="821"/>
      <c r="F9" s="820" t="s">
        <v>1453</v>
      </c>
      <c r="G9" s="820"/>
      <c r="H9" s="822"/>
      <c r="I9" s="822"/>
      <c r="J9" s="823"/>
      <c r="K9" s="314"/>
      <c r="L9" s="328" t="s">
        <v>100</v>
      </c>
      <c r="M9" s="450" t="s">
        <v>101</v>
      </c>
      <c r="N9" s="329" t="s">
        <v>102</v>
      </c>
      <c r="O9" s="813" t="s">
        <v>52</v>
      </c>
      <c r="P9" s="813"/>
      <c r="Q9" s="813"/>
      <c r="R9" s="813"/>
      <c r="S9" s="813"/>
      <c r="T9" s="813"/>
      <c r="U9" s="813"/>
      <c r="V9" s="813"/>
      <c r="W9" s="813"/>
      <c r="X9" s="813"/>
      <c r="Y9" s="470" t="s">
        <v>103</v>
      </c>
      <c r="Z9" s="470" t="s">
        <v>53</v>
      </c>
    </row>
    <row r="10" spans="1:26" s="1" customFormat="1" ht="15.75" x14ac:dyDescent="0.25">
      <c r="A10" s="685" t="str">
        <f>'Pre-Work'!A45</f>
        <v>G104-Gen-B</v>
      </c>
      <c r="B10" s="686"/>
      <c r="C10" s="687"/>
      <c r="D10" s="694" t="str">
        <f>'Pre-Work'!B45</f>
        <v>4000 gal</v>
      </c>
      <c r="E10" s="687"/>
      <c r="F10" s="694"/>
      <c r="G10" s="686"/>
      <c r="H10" s="686"/>
      <c r="I10" s="686"/>
      <c r="J10" s="812"/>
      <c r="L10" s="330" t="str">
        <f>'Pre-Work'!A60</f>
        <v>See Gen Pre/Post-Checks Sheet</v>
      </c>
      <c r="M10" s="472"/>
      <c r="N10" s="327" t="str">
        <f>'Pre-Work'!C60</f>
        <v xml:space="preserve"> </v>
      </c>
      <c r="O10" s="671" t="str">
        <f>'Pre-Work'!D60</f>
        <v xml:space="preserve"> </v>
      </c>
      <c r="P10" s="671"/>
      <c r="Q10" s="671"/>
      <c r="R10" s="671"/>
      <c r="S10" s="671"/>
      <c r="T10" s="671"/>
      <c r="U10" s="671"/>
      <c r="V10" s="671"/>
      <c r="W10" s="671"/>
      <c r="X10" s="671"/>
      <c r="Y10" s="448"/>
      <c r="Z10" s="448"/>
    </row>
    <row r="11" spans="1:26" s="1" customFormat="1" ht="15.75" x14ac:dyDescent="0.25">
      <c r="A11" s="685"/>
      <c r="B11" s="686"/>
      <c r="C11" s="687"/>
      <c r="D11" s="694"/>
      <c r="E11" s="687"/>
      <c r="F11" s="694"/>
      <c r="G11" s="686"/>
      <c r="H11" s="686"/>
      <c r="I11" s="686"/>
      <c r="J11" s="812"/>
      <c r="L11" s="330" t="str">
        <f>'Pre-Work'!A61</f>
        <v xml:space="preserve"> </v>
      </c>
      <c r="M11" s="472"/>
      <c r="N11" s="327" t="str">
        <f>'Pre-Work'!C61</f>
        <v xml:space="preserve"> </v>
      </c>
      <c r="O11" s="671" t="str">
        <f>'Pre-Work'!D61</f>
        <v xml:space="preserve"> </v>
      </c>
      <c r="P11" s="671"/>
      <c r="Q11" s="671"/>
      <c r="R11" s="671"/>
      <c r="S11" s="671"/>
      <c r="T11" s="671"/>
      <c r="U11" s="671"/>
      <c r="V11" s="671"/>
      <c r="W11" s="671"/>
      <c r="X11" s="671"/>
      <c r="Y11" s="448"/>
      <c r="Z11" s="448"/>
    </row>
    <row r="12" spans="1:26" s="1" customFormat="1" ht="15.75" x14ac:dyDescent="0.25">
      <c r="A12" s="685"/>
      <c r="B12" s="686"/>
      <c r="C12" s="687"/>
      <c r="D12" s="694"/>
      <c r="E12" s="687"/>
      <c r="F12" s="694"/>
      <c r="G12" s="686"/>
      <c r="H12" s="686"/>
      <c r="I12" s="686"/>
      <c r="J12" s="812"/>
      <c r="L12" s="330" t="str">
        <f>'Pre-Work'!A62</f>
        <v xml:space="preserve"> </v>
      </c>
      <c r="M12" s="472"/>
      <c r="N12" s="327" t="str">
        <f>'Pre-Work'!C62</f>
        <v xml:space="preserve"> </v>
      </c>
      <c r="O12" s="671" t="str">
        <f>'Pre-Work'!D62</f>
        <v xml:space="preserve"> </v>
      </c>
      <c r="P12" s="671"/>
      <c r="Q12" s="671"/>
      <c r="R12" s="671"/>
      <c r="S12" s="671"/>
      <c r="T12" s="671"/>
      <c r="U12" s="671"/>
      <c r="V12" s="671"/>
      <c r="W12" s="671"/>
      <c r="X12" s="671"/>
      <c r="Y12" s="448"/>
      <c r="Z12" s="448"/>
    </row>
    <row r="13" spans="1:26" s="1" customFormat="1" ht="15.75" x14ac:dyDescent="0.25">
      <c r="A13" s="685"/>
      <c r="B13" s="686"/>
      <c r="C13" s="687"/>
      <c r="D13" s="694"/>
      <c r="E13" s="687"/>
      <c r="F13" s="694"/>
      <c r="G13" s="686"/>
      <c r="H13" s="686"/>
      <c r="I13" s="686"/>
      <c r="J13" s="812"/>
      <c r="L13" s="330" t="str">
        <f>'Pre-Work'!A63</f>
        <v xml:space="preserve"> </v>
      </c>
      <c r="M13" s="472"/>
      <c r="N13" s="327" t="str">
        <f>'Pre-Work'!C63</f>
        <v xml:space="preserve"> </v>
      </c>
      <c r="O13" s="671" t="str">
        <f>'Pre-Work'!D63</f>
        <v xml:space="preserve"> </v>
      </c>
      <c r="P13" s="671"/>
      <c r="Q13" s="671"/>
      <c r="R13" s="671"/>
      <c r="S13" s="671"/>
      <c r="T13" s="671"/>
      <c r="U13" s="671"/>
      <c r="V13" s="671"/>
      <c r="W13" s="671"/>
      <c r="X13" s="671"/>
      <c r="Y13" s="448"/>
      <c r="Z13" s="448"/>
    </row>
    <row r="14" spans="1:26" s="1" customFormat="1" ht="15.75" x14ac:dyDescent="0.25">
      <c r="A14" s="685"/>
      <c r="B14" s="686"/>
      <c r="C14" s="687"/>
      <c r="D14" s="694"/>
      <c r="E14" s="687"/>
      <c r="F14" s="694"/>
      <c r="G14" s="686"/>
      <c r="H14" s="686"/>
      <c r="I14" s="686"/>
      <c r="J14" s="812"/>
      <c r="L14" s="330" t="str">
        <f>'Pre-Work'!A64</f>
        <v xml:space="preserve"> </v>
      </c>
      <c r="M14" s="472"/>
      <c r="N14" s="327" t="str">
        <f>'Pre-Work'!C64</f>
        <v xml:space="preserve"> </v>
      </c>
      <c r="O14" s="671" t="str">
        <f>'Pre-Work'!D64</f>
        <v xml:space="preserve"> </v>
      </c>
      <c r="P14" s="671"/>
      <c r="Q14" s="671"/>
      <c r="R14" s="671"/>
      <c r="S14" s="671"/>
      <c r="T14" s="671"/>
      <c r="U14" s="671"/>
      <c r="V14" s="671"/>
      <c r="W14" s="671"/>
      <c r="X14" s="671"/>
      <c r="Y14" s="448"/>
      <c r="Z14" s="448"/>
    </row>
    <row r="15" spans="1:26" s="1" customFormat="1" ht="15.75" x14ac:dyDescent="0.25">
      <c r="A15" s="685"/>
      <c r="B15" s="686"/>
      <c r="C15" s="687"/>
      <c r="D15" s="694"/>
      <c r="E15" s="687"/>
      <c r="F15" s="694"/>
      <c r="G15" s="686"/>
      <c r="H15" s="686"/>
      <c r="I15" s="686"/>
      <c r="J15" s="812"/>
      <c r="K15"/>
      <c r="L15" s="330" t="str">
        <f>'Pre-Work'!A65</f>
        <v xml:space="preserve"> </v>
      </c>
      <c r="M15" s="472"/>
      <c r="N15" s="327" t="str">
        <f>'Pre-Work'!C65</f>
        <v xml:space="preserve"> </v>
      </c>
      <c r="O15" s="671" t="str">
        <f>'Pre-Work'!D65</f>
        <v xml:space="preserve"> </v>
      </c>
      <c r="P15" s="671"/>
      <c r="Q15" s="671"/>
      <c r="R15" s="671"/>
      <c r="S15" s="671"/>
      <c r="T15" s="671"/>
      <c r="U15" s="671"/>
      <c r="V15" s="671"/>
      <c r="W15" s="671"/>
      <c r="X15" s="671"/>
      <c r="Y15" s="448"/>
      <c r="Z15" s="448"/>
    </row>
    <row r="16" spans="1:26" s="1" customFormat="1" ht="15.75" x14ac:dyDescent="0.25">
      <c r="A16" s="685"/>
      <c r="B16" s="686"/>
      <c r="C16" s="687"/>
      <c r="D16" s="694"/>
      <c r="E16" s="687"/>
      <c r="F16" s="694"/>
      <c r="G16" s="686"/>
      <c r="H16" s="686"/>
      <c r="I16" s="686"/>
      <c r="J16" s="812"/>
      <c r="L16" s="330" t="str">
        <f>'Pre-Work'!A66</f>
        <v xml:space="preserve"> </v>
      </c>
      <c r="M16" s="472"/>
      <c r="N16" s="327" t="str">
        <f>'Pre-Work'!C66</f>
        <v xml:space="preserve"> </v>
      </c>
      <c r="O16" s="671" t="str">
        <f>'Pre-Work'!D66</f>
        <v xml:space="preserve"> </v>
      </c>
      <c r="P16" s="671"/>
      <c r="Q16" s="671"/>
      <c r="R16" s="671"/>
      <c r="S16" s="671"/>
      <c r="T16" s="671"/>
      <c r="U16" s="671"/>
      <c r="V16" s="671"/>
      <c r="W16" s="671"/>
      <c r="X16" s="671"/>
      <c r="Y16" s="448"/>
      <c r="Z16" s="448"/>
    </row>
    <row r="17" spans="1:26" s="1" customFormat="1" ht="15.75" x14ac:dyDescent="0.25">
      <c r="A17" s="685"/>
      <c r="B17" s="686"/>
      <c r="C17" s="687"/>
      <c r="D17" s="694"/>
      <c r="E17" s="687"/>
      <c r="F17" s="694"/>
      <c r="G17" s="686"/>
      <c r="H17" s="686"/>
      <c r="I17" s="686"/>
      <c r="J17" s="812"/>
      <c r="K17"/>
      <c r="L17" s="330" t="str">
        <f>'Pre-Work'!A67</f>
        <v xml:space="preserve"> </v>
      </c>
      <c r="M17" s="472"/>
      <c r="N17" s="327" t="str">
        <f>'Pre-Work'!C67</f>
        <v xml:space="preserve"> </v>
      </c>
      <c r="O17" s="671" t="str">
        <f>'Pre-Work'!D67</f>
        <v xml:space="preserve"> </v>
      </c>
      <c r="P17" s="671"/>
      <c r="Q17" s="671"/>
      <c r="R17" s="671"/>
      <c r="S17" s="671"/>
      <c r="T17" s="671"/>
      <c r="U17" s="671"/>
      <c r="V17" s="671"/>
      <c r="W17" s="671"/>
      <c r="X17" s="671"/>
      <c r="Y17" s="448"/>
      <c r="Z17" s="448"/>
    </row>
    <row r="18" spans="1:26" s="1" customFormat="1" ht="15.75" x14ac:dyDescent="0.25">
      <c r="A18" s="685"/>
      <c r="B18" s="686"/>
      <c r="C18" s="687"/>
      <c r="D18" s="694"/>
      <c r="E18" s="687"/>
      <c r="F18" s="694"/>
      <c r="G18" s="686"/>
      <c r="H18" s="686"/>
      <c r="I18" s="686"/>
      <c r="J18" s="812"/>
      <c r="K18"/>
      <c r="L18" s="330" t="str">
        <f>'Pre-Work'!A68</f>
        <v xml:space="preserve"> </v>
      </c>
      <c r="M18" s="472"/>
      <c r="N18" s="327" t="str">
        <f>'Pre-Work'!C68</f>
        <v xml:space="preserve"> </v>
      </c>
      <c r="O18" s="671" t="str">
        <f>'Pre-Work'!D68</f>
        <v xml:space="preserve"> </v>
      </c>
      <c r="P18" s="671"/>
      <c r="Q18" s="671"/>
      <c r="R18" s="671"/>
      <c r="S18" s="671"/>
      <c r="T18" s="671"/>
      <c r="U18" s="671"/>
      <c r="V18" s="671"/>
      <c r="W18" s="671"/>
      <c r="X18" s="671"/>
      <c r="Y18" s="448"/>
      <c r="Z18" s="448"/>
    </row>
    <row r="19" spans="1:26" s="1" customFormat="1" ht="15.75" x14ac:dyDescent="0.25">
      <c r="A19" s="685"/>
      <c r="B19" s="686"/>
      <c r="C19" s="687"/>
      <c r="D19" s="694"/>
      <c r="E19" s="687"/>
      <c r="F19" s="694"/>
      <c r="G19" s="686"/>
      <c r="H19" s="686"/>
      <c r="I19" s="686"/>
      <c r="J19" s="812"/>
      <c r="K19"/>
      <c r="L19" s="330" t="str">
        <f>'Pre-Work'!A69</f>
        <v xml:space="preserve"> </v>
      </c>
      <c r="M19" s="472"/>
      <c r="N19" s="327" t="str">
        <f>'Pre-Work'!C69</f>
        <v xml:space="preserve"> </v>
      </c>
      <c r="O19" s="671" t="str">
        <f>'Pre-Work'!D69</f>
        <v xml:space="preserve"> </v>
      </c>
      <c r="P19" s="671"/>
      <c r="Q19" s="671"/>
      <c r="R19" s="671"/>
      <c r="S19" s="671"/>
      <c r="T19" s="671"/>
      <c r="U19" s="671"/>
      <c r="V19" s="671"/>
      <c r="W19" s="671"/>
      <c r="X19" s="671"/>
      <c r="Y19" s="448"/>
      <c r="Z19" s="448"/>
    </row>
    <row r="20" spans="1:26" s="1" customFormat="1" ht="15.75" x14ac:dyDescent="0.25">
      <c r="A20" s="685"/>
      <c r="B20" s="686"/>
      <c r="C20" s="687"/>
      <c r="D20" s="694"/>
      <c r="E20" s="687"/>
      <c r="F20" s="694"/>
      <c r="G20" s="686"/>
      <c r="H20" s="686"/>
      <c r="I20" s="686"/>
      <c r="J20" s="812"/>
      <c r="K20"/>
      <c r="L20" s="330"/>
      <c r="M20" s="472"/>
      <c r="N20" s="327"/>
      <c r="O20" s="671"/>
      <c r="P20" s="671"/>
      <c r="Q20" s="671"/>
      <c r="R20" s="671"/>
      <c r="S20" s="671"/>
      <c r="T20" s="671"/>
      <c r="U20" s="671"/>
      <c r="V20" s="671"/>
      <c r="W20" s="671"/>
      <c r="X20" s="671"/>
      <c r="Y20" s="448"/>
      <c r="Z20" s="448"/>
    </row>
    <row r="21" spans="1:26" s="1" customFormat="1" ht="15.75" x14ac:dyDescent="0.25">
      <c r="A21" s="685"/>
      <c r="B21" s="686"/>
      <c r="C21" s="687"/>
      <c r="D21" s="694"/>
      <c r="E21" s="687"/>
      <c r="F21" s="694"/>
      <c r="G21" s="686"/>
      <c r="H21" s="686"/>
      <c r="I21" s="686"/>
      <c r="J21" s="812"/>
      <c r="K21"/>
      <c r="L21" s="330"/>
      <c r="M21" s="472"/>
      <c r="N21" s="327"/>
      <c r="O21" s="671"/>
      <c r="P21" s="671"/>
      <c r="Q21" s="671"/>
      <c r="R21" s="671"/>
      <c r="S21" s="671"/>
      <c r="T21" s="671"/>
      <c r="U21" s="671"/>
      <c r="V21" s="671"/>
      <c r="W21" s="671"/>
      <c r="X21" s="671"/>
      <c r="Y21" s="448"/>
      <c r="Z21" s="448"/>
    </row>
    <row r="22" spans="1:26" s="1" customFormat="1" ht="16.5" thickBot="1" x14ac:dyDescent="0.3">
      <c r="A22" s="700"/>
      <c r="B22" s="696"/>
      <c r="C22" s="701"/>
      <c r="D22" s="695"/>
      <c r="E22" s="701"/>
      <c r="F22" s="695"/>
      <c r="G22" s="696"/>
      <c r="H22" s="696"/>
      <c r="I22" s="696"/>
      <c r="J22" s="826"/>
      <c r="K22"/>
      <c r="L22" s="330"/>
      <c r="M22" s="472"/>
      <c r="N22" s="327"/>
      <c r="O22" s="671"/>
      <c r="P22" s="671"/>
      <c r="Q22" s="671"/>
      <c r="R22" s="671"/>
      <c r="S22" s="671"/>
      <c r="T22" s="671"/>
      <c r="U22" s="671"/>
      <c r="V22" s="671"/>
      <c r="W22" s="671"/>
      <c r="X22" s="671"/>
      <c r="Y22" s="448"/>
      <c r="Z22" s="448"/>
    </row>
    <row r="23" spans="1:26" s="1" customFormat="1" ht="18" customHeight="1" x14ac:dyDescent="0.25">
      <c r="D23" s="824"/>
      <c r="E23" s="824"/>
      <c r="F23" s="824"/>
      <c r="G23" s="824"/>
      <c r="H23" s="467"/>
      <c r="I23" s="467"/>
      <c r="K23"/>
      <c r="L23" s="330"/>
      <c r="M23" s="472"/>
      <c r="N23" s="327"/>
      <c r="O23" s="671"/>
      <c r="P23" s="671"/>
      <c r="Q23" s="671"/>
      <c r="R23" s="671"/>
      <c r="S23" s="671"/>
      <c r="T23" s="671"/>
      <c r="U23" s="671"/>
      <c r="V23" s="671"/>
      <c r="W23" s="671"/>
      <c r="X23" s="671"/>
      <c r="Y23" s="448"/>
      <c r="Z23" s="448"/>
    </row>
    <row r="24" spans="1:26" s="1" customFormat="1" ht="18" customHeight="1" x14ac:dyDescent="0.25">
      <c r="D24" s="824"/>
      <c r="E24" s="824"/>
      <c r="F24" s="824"/>
      <c r="G24" s="824"/>
      <c r="H24" s="467"/>
      <c r="I24" s="467"/>
      <c r="K24"/>
      <c r="L24" s="330"/>
      <c r="M24" s="472"/>
      <c r="N24" s="327"/>
      <c r="O24" s="671"/>
      <c r="P24" s="671"/>
      <c r="Q24" s="671"/>
      <c r="R24" s="671"/>
      <c r="S24" s="671"/>
      <c r="T24" s="671"/>
      <c r="U24" s="671"/>
      <c r="V24" s="671"/>
      <c r="W24" s="671"/>
      <c r="X24" s="671"/>
      <c r="Y24" s="448"/>
      <c r="Z24" s="448"/>
    </row>
    <row r="25" spans="1:26" s="1" customFormat="1" ht="18" customHeight="1" x14ac:dyDescent="0.25">
      <c r="D25" s="824"/>
      <c r="E25" s="824"/>
      <c r="F25" s="824"/>
      <c r="G25" s="824"/>
      <c r="H25" s="467"/>
      <c r="I25" s="467"/>
      <c r="K25"/>
      <c r="L25" s="330"/>
      <c r="M25" s="472"/>
      <c r="N25" s="327"/>
      <c r="O25" s="671"/>
      <c r="P25" s="671"/>
      <c r="Q25" s="671"/>
      <c r="R25" s="671"/>
      <c r="S25" s="671"/>
      <c r="T25" s="671"/>
      <c r="U25" s="671"/>
      <c r="V25" s="671"/>
      <c r="W25" s="671"/>
      <c r="X25" s="671"/>
      <c r="Y25" s="448"/>
      <c r="Z25" s="448"/>
    </row>
    <row r="26" spans="1:26" s="1" customFormat="1" ht="18" customHeight="1" thickBot="1" x14ac:dyDescent="0.3">
      <c r="D26" s="824"/>
      <c r="E26" s="824"/>
      <c r="F26" s="824"/>
      <c r="G26" s="824"/>
      <c r="H26" s="467"/>
      <c r="I26" s="467"/>
      <c r="K26"/>
      <c r="L26" s="331"/>
      <c r="M26" s="471"/>
      <c r="N26" s="332"/>
      <c r="O26" s="825"/>
      <c r="P26" s="825"/>
      <c r="Q26" s="825"/>
      <c r="R26" s="825"/>
      <c r="S26" s="825"/>
      <c r="T26" s="825"/>
      <c r="U26" s="825"/>
      <c r="V26" s="825"/>
      <c r="W26" s="825"/>
      <c r="X26" s="825"/>
      <c r="Y26" s="449"/>
      <c r="Z26" s="449"/>
    </row>
    <row r="27" spans="1:26" s="1" customFormat="1" x14ac:dyDescent="0.25">
      <c r="A27"/>
      <c r="B27"/>
      <c r="C27"/>
      <c r="D27"/>
      <c r="E27"/>
      <c r="F27"/>
      <c r="G27"/>
      <c r="H27"/>
      <c r="I27"/>
      <c r="J27"/>
      <c r="K27"/>
      <c r="L27"/>
      <c r="M27"/>
      <c r="N27"/>
    </row>
    <row r="29" spans="1:26" s="1" customFormat="1" ht="16.5" customHeight="1" thickBot="1" x14ac:dyDescent="0.3">
      <c r="A29" s="688" t="s">
        <v>95</v>
      </c>
      <c r="B29" s="688"/>
      <c r="C29" s="688"/>
      <c r="D29" s="688"/>
      <c r="E29" s="688"/>
      <c r="F29" s="688"/>
      <c r="G29" s="688"/>
      <c r="H29" s="688"/>
      <c r="I29" s="688"/>
      <c r="J29" s="688"/>
      <c r="K29"/>
      <c r="L29" s="659" t="s">
        <v>89</v>
      </c>
      <c r="M29" s="659"/>
      <c r="N29" s="659"/>
      <c r="O29" s="659"/>
      <c r="P29" s="301"/>
      <c r="Q29" s="301"/>
      <c r="R29" s="301"/>
      <c r="S29" s="301"/>
      <c r="T29" s="301"/>
      <c r="U29" s="301"/>
      <c r="V29" s="301"/>
      <c r="W29" s="301"/>
      <c r="X29" s="301"/>
      <c r="Y29" s="301"/>
      <c r="Z29" s="301"/>
    </row>
    <row r="30" spans="1:26" s="1" customFormat="1" ht="28.5" customHeight="1" x14ac:dyDescent="0.25">
      <c r="A30" s="603" t="s">
        <v>96</v>
      </c>
      <c r="B30" s="604"/>
      <c r="C30" s="605"/>
      <c r="D30" s="660" t="s">
        <v>97</v>
      </c>
      <c r="E30" s="660"/>
      <c r="F30" s="660"/>
      <c r="G30" s="660"/>
      <c r="H30" s="440"/>
      <c r="I30" s="440"/>
      <c r="J30" s="291" t="s">
        <v>98</v>
      </c>
      <c r="K30"/>
      <c r="L30" s="661" t="s">
        <v>93</v>
      </c>
      <c r="M30" s="662"/>
      <c r="N30" s="662"/>
      <c r="O30" s="662"/>
      <c r="P30" s="648" t="s">
        <v>94</v>
      </c>
      <c r="Q30" s="648"/>
      <c r="R30" s="648"/>
      <c r="S30" s="649" t="s">
        <v>52</v>
      </c>
      <c r="T30" s="650"/>
      <c r="U30" s="650"/>
      <c r="V30" s="650"/>
      <c r="W30" s="650"/>
      <c r="X30" s="650"/>
      <c r="Y30" s="650"/>
      <c r="Z30" s="811" t="s">
        <v>53</v>
      </c>
    </row>
    <row r="31" spans="1:26" s="1" customFormat="1" ht="17.25" customHeight="1" x14ac:dyDescent="0.25">
      <c r="A31" s="685"/>
      <c r="B31" s="686"/>
      <c r="C31" s="687"/>
      <c r="D31" s="671"/>
      <c r="E31" s="671"/>
      <c r="F31" s="671"/>
      <c r="G31" s="671"/>
      <c r="H31" s="441"/>
      <c r="I31" s="441"/>
      <c r="J31" s="306"/>
      <c r="K31"/>
      <c r="L31" s="663"/>
      <c r="M31" s="664"/>
      <c r="N31" s="664"/>
      <c r="O31" s="664"/>
      <c r="P31" s="451" t="s">
        <v>50</v>
      </c>
      <c r="Q31" s="451" t="s">
        <v>51</v>
      </c>
      <c r="R31" s="451" t="s">
        <v>84</v>
      </c>
      <c r="S31" s="652"/>
      <c r="T31" s="653"/>
      <c r="U31" s="653"/>
      <c r="V31" s="653"/>
      <c r="W31" s="653"/>
      <c r="X31" s="653"/>
      <c r="Y31" s="653"/>
      <c r="Z31" s="827"/>
    </row>
    <row r="32" spans="1:26" s="1" customFormat="1" ht="17.25" x14ac:dyDescent="0.25">
      <c r="A32" s="685"/>
      <c r="B32" s="686"/>
      <c r="C32" s="687"/>
      <c r="D32" s="671"/>
      <c r="E32" s="671"/>
      <c r="F32" s="671"/>
      <c r="G32" s="671"/>
      <c r="H32" s="441"/>
      <c r="I32" s="441"/>
      <c r="J32" s="306"/>
      <c r="K32"/>
      <c r="L32" s="670"/>
      <c r="M32" s="671"/>
      <c r="N32" s="671"/>
      <c r="O32" s="671"/>
      <c r="P32" s="303" t="s">
        <v>55</v>
      </c>
      <c r="Q32" s="303" t="s">
        <v>55</v>
      </c>
      <c r="R32" s="303" t="s">
        <v>55</v>
      </c>
      <c r="S32" s="672"/>
      <c r="T32" s="673"/>
      <c r="U32" s="673"/>
      <c r="V32" s="673"/>
      <c r="W32" s="673"/>
      <c r="X32" s="673"/>
      <c r="Y32" s="673"/>
      <c r="Z32" s="448"/>
    </row>
    <row r="33" spans="1:26" s="1" customFormat="1" ht="17.25" x14ac:dyDescent="0.25">
      <c r="A33" s="685"/>
      <c r="B33" s="686"/>
      <c r="C33" s="687"/>
      <c r="D33" s="671"/>
      <c r="E33" s="671"/>
      <c r="F33" s="671"/>
      <c r="G33" s="671"/>
      <c r="H33" s="441"/>
      <c r="I33" s="441"/>
      <c r="J33" s="306"/>
      <c r="K33"/>
      <c r="L33" s="670"/>
      <c r="M33" s="671"/>
      <c r="N33" s="671"/>
      <c r="O33" s="671"/>
      <c r="P33" s="304" t="s">
        <v>55</v>
      </c>
      <c r="Q33" s="304" t="s">
        <v>55</v>
      </c>
      <c r="R33" s="304" t="s">
        <v>55</v>
      </c>
      <c r="S33" s="672"/>
      <c r="T33" s="673"/>
      <c r="U33" s="673"/>
      <c r="V33" s="673"/>
      <c r="W33" s="673"/>
      <c r="X33" s="673"/>
      <c r="Y33" s="673"/>
      <c r="Z33" s="448"/>
    </row>
    <row r="34" spans="1:26" s="1" customFormat="1" ht="18" thickBot="1" x14ac:dyDescent="0.3">
      <c r="A34" s="700"/>
      <c r="B34" s="696"/>
      <c r="C34" s="701"/>
      <c r="D34" s="676"/>
      <c r="E34" s="676"/>
      <c r="F34" s="676"/>
      <c r="G34" s="676"/>
      <c r="H34" s="442"/>
      <c r="I34" s="442"/>
      <c r="J34" s="307"/>
      <c r="K34"/>
      <c r="L34" s="670"/>
      <c r="M34" s="671"/>
      <c r="N34" s="671"/>
      <c r="O34" s="671"/>
      <c r="P34" s="304" t="s">
        <v>55</v>
      </c>
      <c r="Q34" s="304" t="s">
        <v>55</v>
      </c>
      <c r="R34" s="304" t="s">
        <v>55</v>
      </c>
      <c r="S34" s="672"/>
      <c r="T34" s="673"/>
      <c r="U34" s="673"/>
      <c r="V34" s="673"/>
      <c r="W34" s="673"/>
      <c r="X34" s="673"/>
      <c r="Y34" s="673"/>
      <c r="Z34" s="448"/>
    </row>
    <row r="35" spans="1:26" s="1" customFormat="1" ht="18" thickBot="1" x14ac:dyDescent="0.3">
      <c r="A35"/>
      <c r="B35"/>
      <c r="C35"/>
      <c r="D35"/>
      <c r="E35"/>
      <c r="F35"/>
      <c r="G35"/>
      <c r="H35"/>
      <c r="I35"/>
      <c r="J35"/>
      <c r="K35"/>
      <c r="L35" s="675"/>
      <c r="M35" s="676"/>
      <c r="N35" s="676"/>
      <c r="O35" s="676"/>
      <c r="P35" s="305" t="s">
        <v>55</v>
      </c>
      <c r="Q35" s="305" t="s">
        <v>55</v>
      </c>
      <c r="R35" s="305" t="s">
        <v>55</v>
      </c>
      <c r="S35" s="677"/>
      <c r="T35" s="678"/>
      <c r="U35" s="678"/>
      <c r="V35" s="678"/>
      <c r="W35" s="678"/>
      <c r="X35" s="678"/>
      <c r="Y35" s="678"/>
      <c r="Z35" s="449"/>
    </row>
    <row r="36" spans="1:26" s="1" customFormat="1" x14ac:dyDescent="0.25">
      <c r="A36" s="2"/>
      <c r="B36" s="2"/>
      <c r="C36" s="2"/>
      <c r="D36" s="2"/>
      <c r="E36" s="2"/>
      <c r="F36" s="2"/>
      <c r="G36" s="2"/>
      <c r="H36" s="2"/>
      <c r="I36" s="2"/>
      <c r="J36" s="2"/>
      <c r="K36"/>
      <c r="L36" s="2"/>
      <c r="M36" s="2"/>
      <c r="N36" s="2"/>
    </row>
    <row r="37" spans="1:26" s="1" customFormat="1" ht="14.25" x14ac:dyDescent="0.2">
      <c r="A37" s="2"/>
      <c r="B37" s="2"/>
      <c r="C37" s="2"/>
      <c r="D37" s="2"/>
      <c r="E37" s="2"/>
      <c r="F37" s="2"/>
      <c r="G37" s="2"/>
      <c r="H37" s="2"/>
      <c r="I37" s="2"/>
      <c r="J37" s="2"/>
      <c r="K37" s="2"/>
      <c r="L37" s="2"/>
      <c r="M37" s="2"/>
      <c r="N37" s="2"/>
    </row>
    <row r="38" spans="1:26" s="1" customFormat="1" ht="14.25" x14ac:dyDescent="0.2">
      <c r="A38" s="2"/>
      <c r="B38" s="2"/>
      <c r="C38" s="2"/>
      <c r="D38" s="2"/>
      <c r="E38" s="2"/>
      <c r="F38" s="2"/>
      <c r="G38" s="2"/>
      <c r="H38" s="2"/>
      <c r="I38" s="2"/>
      <c r="J38" s="2"/>
      <c r="K38" s="2"/>
      <c r="L38" s="2"/>
      <c r="M38" s="2"/>
      <c r="N38" s="2"/>
    </row>
    <row r="39" spans="1:26" s="1" customFormat="1" ht="14.25" x14ac:dyDescent="0.2">
      <c r="A39" s="2"/>
      <c r="B39" s="2"/>
      <c r="C39" s="2"/>
      <c r="D39" s="2"/>
      <c r="E39" s="2"/>
      <c r="F39" s="2"/>
      <c r="G39" s="2"/>
      <c r="H39" s="2"/>
      <c r="I39" s="2"/>
      <c r="J39" s="2"/>
      <c r="K39" s="2"/>
      <c r="L39" s="2"/>
      <c r="M39" s="2"/>
      <c r="N39" s="2"/>
    </row>
    <row r="40" spans="1:26" s="1" customFormat="1" ht="14.25" x14ac:dyDescent="0.2">
      <c r="A40" s="2"/>
      <c r="B40" s="2"/>
      <c r="C40" s="2"/>
      <c r="D40" s="2"/>
      <c r="E40" s="2"/>
      <c r="F40" s="2"/>
      <c r="G40" s="2"/>
      <c r="H40" s="2"/>
      <c r="I40" s="2"/>
      <c r="J40" s="2"/>
      <c r="K40" s="2"/>
      <c r="L40" s="2"/>
      <c r="M40" s="2"/>
      <c r="N40" s="2"/>
    </row>
    <row r="41" spans="1:26" s="1" customFormat="1" ht="14.25" x14ac:dyDescent="0.2">
      <c r="A41" s="2"/>
      <c r="B41" s="2"/>
      <c r="C41" s="2"/>
      <c r="D41" s="2"/>
      <c r="E41" s="2"/>
      <c r="F41" s="2"/>
      <c r="G41" s="2"/>
      <c r="H41" s="2"/>
      <c r="I41" s="2"/>
      <c r="J41" s="2"/>
      <c r="K41" s="2"/>
      <c r="L41" s="2"/>
      <c r="M41" s="2"/>
      <c r="N41" s="2"/>
    </row>
    <row r="42" spans="1:26" s="1" customFormat="1" ht="14.25" x14ac:dyDescent="0.2">
      <c r="A42" s="2"/>
      <c r="B42" s="2"/>
      <c r="C42" s="2"/>
      <c r="D42" s="2"/>
      <c r="E42" s="2"/>
      <c r="F42" s="2"/>
      <c r="G42" s="2"/>
      <c r="H42" s="2"/>
      <c r="I42" s="2"/>
      <c r="J42" s="2"/>
      <c r="K42" s="2"/>
      <c r="L42" s="2"/>
      <c r="M42" s="2"/>
      <c r="N42" s="2"/>
    </row>
    <row r="43" spans="1:26" s="1" customFormat="1" ht="14.25" x14ac:dyDescent="0.2">
      <c r="A43" s="2"/>
      <c r="B43" s="2"/>
      <c r="C43" s="2"/>
      <c r="D43" s="2"/>
      <c r="E43" s="2"/>
      <c r="F43" s="2"/>
      <c r="G43" s="2"/>
      <c r="H43" s="2"/>
      <c r="I43" s="2"/>
      <c r="J43" s="2"/>
      <c r="K43" s="2"/>
      <c r="L43" s="2"/>
      <c r="M43" s="2"/>
      <c r="N43" s="2"/>
    </row>
    <row r="44" spans="1:26" s="1" customFormat="1" ht="14.25" x14ac:dyDescent="0.2">
      <c r="A44" s="2"/>
      <c r="B44" s="2"/>
      <c r="C44" s="2"/>
      <c r="D44" s="2"/>
      <c r="E44" s="2"/>
      <c r="F44" s="2"/>
      <c r="G44" s="2"/>
      <c r="H44" s="2"/>
      <c r="I44" s="2"/>
      <c r="J44" s="2"/>
      <c r="K44" s="2"/>
      <c r="L44" s="2"/>
      <c r="M44" s="2"/>
      <c r="N44" s="2"/>
    </row>
    <row r="45" spans="1:26" s="1" customFormat="1" ht="14.25" x14ac:dyDescent="0.2">
      <c r="A45" s="2"/>
      <c r="B45" s="2"/>
      <c r="C45" s="2"/>
      <c r="D45" s="2"/>
      <c r="E45" s="2"/>
      <c r="F45" s="2"/>
      <c r="G45" s="2"/>
      <c r="H45" s="2"/>
      <c r="I45" s="2"/>
      <c r="J45" s="2"/>
      <c r="K45" s="2"/>
      <c r="L45" s="2"/>
      <c r="M45" s="2"/>
      <c r="N45" s="2"/>
    </row>
    <row r="46" spans="1:26" s="1" customFormat="1" ht="14.25" x14ac:dyDescent="0.2">
      <c r="A46" s="2"/>
      <c r="B46" s="2"/>
      <c r="C46" s="2"/>
      <c r="D46" s="2"/>
      <c r="E46" s="2"/>
      <c r="F46" s="2"/>
      <c r="G46" s="2"/>
      <c r="H46" s="2"/>
      <c r="I46" s="2"/>
      <c r="J46" s="2"/>
      <c r="K46" s="2"/>
      <c r="L46" s="2"/>
      <c r="M46" s="2"/>
      <c r="N46" s="2"/>
    </row>
    <row r="47" spans="1:26" s="1" customFormat="1" ht="14.25" x14ac:dyDescent="0.2">
      <c r="A47" s="2"/>
      <c r="B47" s="2"/>
      <c r="C47" s="2"/>
      <c r="D47" s="2"/>
      <c r="E47" s="2"/>
      <c r="F47" s="2"/>
      <c r="G47" s="2"/>
      <c r="H47" s="2"/>
      <c r="I47" s="2"/>
      <c r="J47" s="2"/>
      <c r="K47" s="2"/>
      <c r="L47" s="2"/>
      <c r="M47" s="2"/>
      <c r="N47" s="2"/>
    </row>
    <row r="48" spans="1:26" s="1" customFormat="1" ht="14.25" x14ac:dyDescent="0.2">
      <c r="A48" s="2"/>
      <c r="B48" s="2"/>
      <c r="C48" s="2"/>
      <c r="D48" s="2"/>
      <c r="E48" s="2"/>
      <c r="F48" s="2"/>
      <c r="G48" s="2"/>
      <c r="H48" s="2"/>
      <c r="I48" s="2"/>
      <c r="J48" s="2"/>
      <c r="K48" s="2"/>
      <c r="L48" s="2"/>
      <c r="M48" s="2"/>
      <c r="N48" s="2"/>
    </row>
    <row r="49" spans="1:23" s="1" customFormat="1" ht="14.25" x14ac:dyDescent="0.2">
      <c r="A49" s="2"/>
      <c r="B49" s="2"/>
      <c r="C49" s="2"/>
      <c r="D49" s="2"/>
      <c r="E49" s="2"/>
      <c r="F49" s="2"/>
      <c r="G49" s="2"/>
      <c r="H49" s="2"/>
      <c r="I49" s="2"/>
      <c r="J49" s="2"/>
      <c r="K49" s="2"/>
      <c r="L49" s="2"/>
      <c r="M49" s="2"/>
      <c r="N49" s="2"/>
    </row>
    <row r="50" spans="1:23" s="1" customFormat="1" ht="14.25" x14ac:dyDescent="0.2">
      <c r="A50" s="2"/>
      <c r="B50" s="2"/>
      <c r="C50" s="2"/>
      <c r="D50" s="2"/>
      <c r="E50" s="2"/>
      <c r="F50" s="2"/>
      <c r="G50" s="2"/>
      <c r="H50" s="2"/>
      <c r="I50" s="2"/>
      <c r="J50" s="2"/>
      <c r="K50" s="2"/>
      <c r="L50" s="2"/>
      <c r="M50" s="2"/>
      <c r="N50" s="2"/>
    </row>
    <row r="51" spans="1:23" s="1" customFormat="1" ht="14.25" x14ac:dyDescent="0.2">
      <c r="A51" s="2"/>
      <c r="B51" s="2"/>
      <c r="C51" s="2"/>
      <c r="D51" s="2"/>
      <c r="E51" s="2"/>
      <c r="F51" s="2"/>
      <c r="G51" s="2"/>
      <c r="H51" s="2"/>
      <c r="I51" s="2"/>
      <c r="J51" s="2"/>
      <c r="K51" s="2"/>
      <c r="L51" s="2"/>
      <c r="M51" s="2"/>
      <c r="N51" s="2"/>
    </row>
    <row r="52" spans="1:23" s="1" customFormat="1" ht="14.25" x14ac:dyDescent="0.2">
      <c r="A52" s="2"/>
      <c r="B52" s="2"/>
      <c r="C52" s="2"/>
      <c r="D52" s="2"/>
      <c r="E52" s="2"/>
      <c r="F52" s="2"/>
      <c r="G52" s="2"/>
      <c r="H52" s="2"/>
      <c r="I52" s="2"/>
      <c r="J52" s="2"/>
      <c r="K52" s="2"/>
      <c r="L52" s="2"/>
      <c r="M52" s="2"/>
      <c r="N52" s="2"/>
    </row>
    <row r="53" spans="1:23" s="1" customFormat="1" ht="14.25" x14ac:dyDescent="0.2">
      <c r="A53" s="2"/>
      <c r="B53" s="2"/>
      <c r="C53" s="2"/>
      <c r="D53" s="2"/>
      <c r="E53" s="2"/>
      <c r="F53" s="2"/>
      <c r="G53" s="2"/>
      <c r="H53" s="2"/>
      <c r="I53" s="2"/>
      <c r="J53" s="2"/>
      <c r="K53" s="2"/>
      <c r="L53" s="2"/>
      <c r="M53" s="2"/>
      <c r="N53" s="2"/>
    </row>
    <row r="54" spans="1:23" s="1" customFormat="1" ht="14.25" x14ac:dyDescent="0.2">
      <c r="A54" s="2"/>
      <c r="B54" s="2"/>
      <c r="C54" s="2"/>
      <c r="D54" s="2"/>
      <c r="E54" s="2"/>
      <c r="F54" s="2"/>
      <c r="G54" s="2"/>
      <c r="H54" s="2"/>
      <c r="I54" s="2"/>
      <c r="J54" s="2"/>
      <c r="K54" s="2"/>
      <c r="L54" s="2"/>
      <c r="M54" s="2"/>
      <c r="N54" s="2"/>
    </row>
    <row r="55" spans="1:23" s="1" customFormat="1" ht="14.25" x14ac:dyDescent="0.2">
      <c r="A55" s="2"/>
      <c r="B55" s="2"/>
      <c r="C55" s="2"/>
      <c r="D55" s="2"/>
      <c r="E55" s="2"/>
      <c r="F55" s="2"/>
      <c r="G55" s="2"/>
      <c r="H55" s="2"/>
      <c r="I55" s="2"/>
      <c r="J55" s="2"/>
      <c r="K55" s="2"/>
      <c r="L55" s="2"/>
      <c r="M55" s="2"/>
      <c r="N55" s="2"/>
    </row>
    <row r="56" spans="1:23" s="1" customFormat="1" ht="14.25" x14ac:dyDescent="0.2">
      <c r="A56" s="2"/>
      <c r="B56" s="2"/>
      <c r="C56" s="2"/>
      <c r="D56" s="2"/>
      <c r="E56" s="2"/>
      <c r="F56" s="2"/>
      <c r="G56" s="2"/>
      <c r="H56" s="2"/>
      <c r="I56" s="2"/>
      <c r="J56" s="2"/>
      <c r="K56" s="2"/>
      <c r="L56" s="2"/>
      <c r="M56" s="2"/>
      <c r="N56" s="2"/>
    </row>
    <row r="57" spans="1:23" s="1" customFormat="1" ht="14.25" x14ac:dyDescent="0.2">
      <c r="A57" s="2"/>
      <c r="B57" s="2"/>
      <c r="C57" s="2"/>
      <c r="D57" s="2"/>
      <c r="E57" s="2"/>
      <c r="F57" s="2"/>
      <c r="G57" s="2"/>
      <c r="H57" s="2"/>
      <c r="I57" s="2"/>
      <c r="J57" s="2"/>
      <c r="K57" s="2"/>
      <c r="L57" s="2"/>
      <c r="M57" s="2"/>
      <c r="N57" s="2"/>
    </row>
    <row r="58" spans="1:23" s="1" customFormat="1" ht="14.25" x14ac:dyDescent="0.2">
      <c r="A58" s="2"/>
      <c r="B58" s="2"/>
      <c r="C58" s="2"/>
      <c r="D58" s="2"/>
      <c r="E58" s="2"/>
      <c r="F58" s="2"/>
      <c r="G58" s="2"/>
      <c r="H58" s="2"/>
      <c r="I58" s="2"/>
      <c r="J58" s="2"/>
      <c r="K58" s="2"/>
      <c r="L58" s="2"/>
      <c r="M58" s="2"/>
      <c r="N58" s="2"/>
    </row>
    <row r="59" spans="1:23" s="1" customFormat="1" ht="14.25" x14ac:dyDescent="0.2">
      <c r="A59" s="2"/>
      <c r="B59" s="2"/>
      <c r="C59" s="2"/>
      <c r="D59" s="2"/>
      <c r="E59" s="2"/>
      <c r="F59" s="2"/>
      <c r="G59" s="2"/>
      <c r="H59" s="2"/>
      <c r="I59" s="2"/>
      <c r="J59" s="2"/>
      <c r="K59" s="2"/>
      <c r="L59" s="2"/>
      <c r="M59" s="2"/>
      <c r="N59" s="2"/>
    </row>
    <row r="60" spans="1:23" s="1" customFormat="1" x14ac:dyDescent="0.25">
      <c r="A60" s="2"/>
      <c r="B60" s="2"/>
      <c r="C60" s="2"/>
      <c r="D60" s="2"/>
      <c r="E60" s="2"/>
      <c r="F60" s="2"/>
      <c r="G60" s="2"/>
      <c r="H60" s="2"/>
      <c r="I60" s="2"/>
      <c r="J60" s="2"/>
      <c r="K60" s="2"/>
      <c r="L60" s="2"/>
      <c r="M60"/>
      <c r="N60"/>
    </row>
    <row r="61" spans="1:23" s="1" customFormat="1" x14ac:dyDescent="0.25">
      <c r="A61" s="2"/>
      <c r="B61" s="2"/>
      <c r="C61" s="2"/>
      <c r="D61" s="2"/>
      <c r="E61" s="2"/>
      <c r="F61" s="2"/>
      <c r="G61" s="2"/>
      <c r="H61" s="2"/>
      <c r="I61" s="2"/>
      <c r="J61" s="2"/>
      <c r="K61" s="2"/>
      <c r="L61" s="2"/>
      <c r="M61"/>
      <c r="N61"/>
      <c r="O61"/>
      <c r="P61"/>
      <c r="Q61"/>
      <c r="R61"/>
      <c r="S61"/>
      <c r="T61"/>
      <c r="U61"/>
      <c r="V61"/>
      <c r="W61"/>
    </row>
    <row r="62" spans="1:23" s="1" customFormat="1" x14ac:dyDescent="0.25">
      <c r="A62" s="2"/>
      <c r="B62" s="2"/>
      <c r="C62" s="2"/>
      <c r="D62" s="2"/>
      <c r="E62" s="2"/>
      <c r="F62" s="2"/>
      <c r="G62" s="2"/>
      <c r="H62" s="2"/>
      <c r="I62" s="2"/>
      <c r="J62" s="2"/>
      <c r="K62" s="2"/>
      <c r="L62" s="2"/>
      <c r="M62"/>
      <c r="N62"/>
      <c r="O62"/>
      <c r="P62"/>
      <c r="Q62"/>
      <c r="R62"/>
      <c r="S62"/>
      <c r="T62"/>
      <c r="U62"/>
      <c r="V62"/>
      <c r="W62"/>
    </row>
    <row r="63" spans="1:23" s="1" customFormat="1" x14ac:dyDescent="0.25">
      <c r="A63" s="2"/>
      <c r="B63" s="2"/>
      <c r="C63" s="2"/>
      <c r="D63" s="2"/>
      <c r="E63" s="2"/>
      <c r="F63" s="2"/>
      <c r="G63" s="2"/>
      <c r="H63" s="2"/>
      <c r="I63" s="2"/>
      <c r="J63" s="2"/>
      <c r="K63" s="2"/>
      <c r="L63" s="2"/>
      <c r="M63"/>
      <c r="N63"/>
      <c r="O63"/>
      <c r="P63"/>
      <c r="Q63"/>
      <c r="R63"/>
      <c r="S63"/>
      <c r="T63"/>
      <c r="U63"/>
      <c r="V63"/>
      <c r="W63"/>
    </row>
    <row r="64" spans="1:23" s="1" customFormat="1" x14ac:dyDescent="0.25">
      <c r="A64" s="2"/>
      <c r="B64" s="2"/>
      <c r="C64" s="2"/>
      <c r="D64" s="2"/>
      <c r="E64" s="2"/>
      <c r="F64" s="2"/>
      <c r="G64" s="2"/>
      <c r="H64" s="2"/>
      <c r="I64" s="2"/>
      <c r="J64" s="2"/>
      <c r="K64" s="2"/>
      <c r="L64" s="2"/>
      <c r="M64"/>
      <c r="N64"/>
      <c r="O64"/>
      <c r="P64"/>
      <c r="Q64"/>
      <c r="R64"/>
      <c r="S64"/>
      <c r="T64"/>
      <c r="U64"/>
      <c r="V64"/>
      <c r="W64"/>
    </row>
    <row r="65" spans="1:26" s="1" customFormat="1" x14ac:dyDescent="0.25">
      <c r="A65" s="2"/>
      <c r="B65" s="2"/>
      <c r="C65" s="2"/>
      <c r="D65" s="2"/>
      <c r="E65" s="2"/>
      <c r="F65" s="2"/>
      <c r="G65" s="2"/>
      <c r="H65" s="2"/>
      <c r="I65" s="2"/>
      <c r="J65" s="2"/>
      <c r="K65" s="2"/>
      <c r="L65" s="2"/>
      <c r="M65"/>
      <c r="N65"/>
      <c r="O65"/>
      <c r="P65"/>
      <c r="Q65"/>
      <c r="R65"/>
      <c r="S65"/>
      <c r="T65"/>
      <c r="U65"/>
      <c r="V65"/>
      <c r="W65"/>
    </row>
    <row r="66" spans="1:26" s="1" customFormat="1" x14ac:dyDescent="0.25">
      <c r="A66" s="2"/>
      <c r="B66" s="2"/>
      <c r="C66" s="2"/>
      <c r="D66" s="2"/>
      <c r="E66" s="2"/>
      <c r="F66" s="2"/>
      <c r="G66" s="2"/>
      <c r="H66" s="2"/>
      <c r="I66" s="2"/>
      <c r="J66" s="2"/>
      <c r="K66" s="2"/>
      <c r="L66" s="2"/>
      <c r="M66"/>
      <c r="N66"/>
      <c r="O66"/>
      <c r="P66"/>
      <c r="Q66"/>
      <c r="R66"/>
      <c r="S66"/>
      <c r="T66"/>
      <c r="U66"/>
      <c r="V66"/>
      <c r="W66"/>
    </row>
    <row r="67" spans="1:26" s="1" customFormat="1" x14ac:dyDescent="0.25">
      <c r="A67" s="2"/>
      <c r="B67" s="2"/>
      <c r="C67" s="2"/>
      <c r="D67" s="2"/>
      <c r="E67" s="2"/>
      <c r="F67" s="2"/>
      <c r="G67" s="2"/>
      <c r="H67" s="2"/>
      <c r="I67" s="2"/>
      <c r="J67" s="2"/>
      <c r="K67" s="2"/>
      <c r="L67"/>
      <c r="M67"/>
      <c r="N67"/>
      <c r="O67"/>
      <c r="P67"/>
      <c r="Q67"/>
      <c r="R67"/>
      <c r="S67"/>
      <c r="T67"/>
      <c r="U67"/>
      <c r="V67"/>
      <c r="W67"/>
    </row>
    <row r="68" spans="1:26" s="1" customFormat="1" x14ac:dyDescent="0.25">
      <c r="A68"/>
      <c r="B68"/>
      <c r="C68"/>
      <c r="D68"/>
      <c r="E68"/>
      <c r="F68"/>
      <c r="G68"/>
      <c r="H68"/>
      <c r="I68"/>
      <c r="J68"/>
      <c r="K68" s="2"/>
      <c r="L68"/>
      <c r="M68"/>
      <c r="N68"/>
      <c r="O68"/>
      <c r="P68"/>
      <c r="Q68"/>
      <c r="R68"/>
      <c r="S68"/>
      <c r="T68"/>
      <c r="U68"/>
      <c r="V68"/>
      <c r="W68"/>
    </row>
    <row r="69" spans="1:26" s="1" customFormat="1" x14ac:dyDescent="0.25">
      <c r="A69"/>
      <c r="B69"/>
      <c r="C69"/>
      <c r="D69"/>
      <c r="E69"/>
      <c r="F69"/>
      <c r="G69"/>
      <c r="H69"/>
      <c r="I69"/>
      <c r="J69"/>
      <c r="K69"/>
      <c r="L69"/>
      <c r="M69"/>
      <c r="N69"/>
      <c r="O69"/>
      <c r="P69"/>
      <c r="Q69"/>
      <c r="R69"/>
      <c r="S69"/>
      <c r="T69"/>
      <c r="U69"/>
      <c r="V69"/>
      <c r="W69"/>
    </row>
    <row r="70" spans="1:26" s="1" customFormat="1" x14ac:dyDescent="0.25">
      <c r="A70"/>
      <c r="B70"/>
      <c r="C70"/>
      <c r="D70"/>
      <c r="E70"/>
      <c r="F70"/>
      <c r="G70"/>
      <c r="H70"/>
      <c r="I70"/>
      <c r="J70"/>
      <c r="K70"/>
      <c r="L70"/>
      <c r="M70"/>
      <c r="N70"/>
      <c r="O70"/>
      <c r="P70"/>
      <c r="Q70"/>
      <c r="R70"/>
      <c r="S70"/>
      <c r="T70"/>
      <c r="U70"/>
      <c r="V70"/>
      <c r="W70"/>
    </row>
    <row r="71" spans="1:26" s="1" customFormat="1" x14ac:dyDescent="0.25">
      <c r="A71"/>
      <c r="B71"/>
      <c r="C71"/>
      <c r="D71"/>
      <c r="E71"/>
      <c r="F71"/>
      <c r="G71"/>
      <c r="H71"/>
      <c r="I71"/>
      <c r="J71"/>
      <c r="K71"/>
      <c r="L71"/>
      <c r="M71"/>
      <c r="N71"/>
      <c r="O71"/>
      <c r="P71"/>
      <c r="Q71"/>
      <c r="R71"/>
      <c r="S71"/>
      <c r="T71"/>
      <c r="U71"/>
      <c r="V71"/>
      <c r="W71"/>
    </row>
    <row r="72" spans="1:26" s="1" customFormat="1" x14ac:dyDescent="0.25">
      <c r="A72"/>
      <c r="B72"/>
      <c r="C72"/>
      <c r="D72"/>
      <c r="E72"/>
      <c r="F72"/>
      <c r="G72"/>
      <c r="H72"/>
      <c r="I72"/>
      <c r="J72"/>
      <c r="K72"/>
      <c r="L72"/>
      <c r="M72"/>
      <c r="N72"/>
      <c r="O72"/>
      <c r="P72"/>
      <c r="Q72"/>
      <c r="R72"/>
      <c r="S72"/>
      <c r="T72"/>
      <c r="U72"/>
      <c r="V72"/>
      <c r="W72"/>
    </row>
    <row r="73" spans="1:26" s="1" customFormat="1" x14ac:dyDescent="0.25">
      <c r="A73"/>
      <c r="B73"/>
      <c r="C73"/>
      <c r="D73"/>
      <c r="E73"/>
      <c r="F73"/>
      <c r="G73"/>
      <c r="H73"/>
      <c r="I73"/>
      <c r="J73"/>
      <c r="K73"/>
      <c r="L73"/>
      <c r="M73"/>
      <c r="N73"/>
      <c r="O73"/>
      <c r="P73"/>
      <c r="Q73"/>
      <c r="R73"/>
      <c r="S73"/>
      <c r="T73"/>
      <c r="U73"/>
      <c r="V73"/>
      <c r="W73"/>
    </row>
    <row r="74" spans="1:26" s="1" customFormat="1" x14ac:dyDescent="0.25">
      <c r="A74"/>
      <c r="B74"/>
      <c r="C74"/>
      <c r="D74"/>
      <c r="E74"/>
      <c r="F74"/>
      <c r="G74"/>
      <c r="H74"/>
      <c r="I74"/>
      <c r="J74"/>
      <c r="K74"/>
      <c r="L74"/>
      <c r="M74"/>
      <c r="N74"/>
      <c r="O74"/>
      <c r="P74"/>
      <c r="Q74"/>
      <c r="R74"/>
      <c r="S74"/>
      <c r="T74"/>
      <c r="U74"/>
      <c r="V74"/>
      <c r="W74"/>
    </row>
    <row r="75" spans="1:26" s="1" customFormat="1" x14ac:dyDescent="0.25">
      <c r="A75"/>
      <c r="B75"/>
      <c r="C75"/>
      <c r="D75"/>
      <c r="E75"/>
      <c r="F75"/>
      <c r="G75"/>
      <c r="H75"/>
      <c r="I75"/>
      <c r="J75"/>
      <c r="K75"/>
      <c r="L75"/>
      <c r="M75"/>
      <c r="N75"/>
      <c r="O75"/>
      <c r="P75"/>
      <c r="Q75"/>
      <c r="R75"/>
      <c r="S75"/>
      <c r="T75"/>
      <c r="U75"/>
      <c r="V75"/>
      <c r="W75"/>
      <c r="X75"/>
    </row>
    <row r="76" spans="1:26" s="1" customFormat="1" x14ac:dyDescent="0.25">
      <c r="A76"/>
      <c r="B76"/>
      <c r="C76"/>
      <c r="D76"/>
      <c r="E76"/>
      <c r="F76"/>
      <c r="G76"/>
      <c r="H76"/>
      <c r="I76"/>
      <c r="J76"/>
      <c r="K76"/>
      <c r="L76"/>
      <c r="M76"/>
      <c r="N76"/>
      <c r="O76"/>
      <c r="P76"/>
      <c r="Q76"/>
      <c r="R76"/>
      <c r="S76"/>
      <c r="T76"/>
      <c r="U76"/>
      <c r="V76"/>
      <c r="W76"/>
      <c r="X76"/>
      <c r="Y76"/>
      <c r="Z76"/>
    </row>
    <row r="77" spans="1:26" s="1" customFormat="1" x14ac:dyDescent="0.25">
      <c r="A77"/>
      <c r="B77"/>
      <c r="C77"/>
      <c r="D77"/>
      <c r="E77"/>
      <c r="F77"/>
      <c r="G77"/>
      <c r="H77"/>
      <c r="I77"/>
      <c r="J77"/>
      <c r="K77"/>
      <c r="L77"/>
      <c r="M77"/>
      <c r="N77"/>
      <c r="O77"/>
      <c r="P77"/>
      <c r="Q77"/>
      <c r="R77"/>
      <c r="S77"/>
      <c r="T77"/>
      <c r="U77"/>
      <c r="V77"/>
      <c r="W77"/>
      <c r="X77"/>
      <c r="Y77"/>
      <c r="Z77"/>
    </row>
    <row r="78" spans="1:26" s="1" customFormat="1" x14ac:dyDescent="0.25">
      <c r="A78"/>
      <c r="B78"/>
      <c r="C78"/>
      <c r="D78"/>
      <c r="E78"/>
      <c r="F78"/>
      <c r="G78"/>
      <c r="H78"/>
      <c r="I78"/>
      <c r="J78"/>
      <c r="K78"/>
      <c r="L78"/>
      <c r="M78"/>
      <c r="N78"/>
      <c r="O78"/>
      <c r="P78"/>
      <c r="Q78"/>
      <c r="R78"/>
      <c r="S78"/>
      <c r="T78"/>
      <c r="U78"/>
      <c r="V78"/>
      <c r="W78"/>
      <c r="X78"/>
      <c r="Y78"/>
      <c r="Z78"/>
    </row>
    <row r="79" spans="1:26" s="1" customFormat="1" x14ac:dyDescent="0.25">
      <c r="A79"/>
      <c r="B79"/>
      <c r="C79"/>
      <c r="D79"/>
      <c r="E79"/>
      <c r="F79"/>
      <c r="G79"/>
      <c r="H79"/>
      <c r="I79"/>
      <c r="J79"/>
      <c r="K79"/>
      <c r="L79"/>
      <c r="M79"/>
      <c r="N79"/>
      <c r="O79"/>
      <c r="P79"/>
      <c r="Q79"/>
      <c r="R79"/>
      <c r="S79"/>
      <c r="T79"/>
      <c r="U79"/>
      <c r="V79"/>
      <c r="W79"/>
      <c r="X79"/>
      <c r="Y79"/>
      <c r="Z79"/>
    </row>
    <row r="80" spans="1:26" s="1" customFormat="1" x14ac:dyDescent="0.25">
      <c r="A80"/>
      <c r="B80"/>
      <c r="C80"/>
      <c r="D80"/>
      <c r="E80"/>
      <c r="F80"/>
      <c r="G80"/>
      <c r="H80"/>
      <c r="I80"/>
      <c r="J80"/>
      <c r="K80"/>
      <c r="L80"/>
      <c r="M80"/>
      <c r="N80"/>
      <c r="O80"/>
      <c r="P80"/>
      <c r="Q80"/>
      <c r="R80"/>
      <c r="S80"/>
      <c r="T80"/>
      <c r="U80"/>
      <c r="V80"/>
      <c r="W80"/>
      <c r="X80"/>
      <c r="Y80"/>
      <c r="Z80"/>
    </row>
    <row r="81" spans="1:27" s="1" customFormat="1" x14ac:dyDescent="0.25">
      <c r="A81"/>
      <c r="B81"/>
      <c r="C81"/>
      <c r="D81"/>
      <c r="E81"/>
      <c r="F81"/>
      <c r="G81"/>
      <c r="H81"/>
      <c r="I81"/>
      <c r="J81"/>
      <c r="K81"/>
      <c r="L81"/>
      <c r="M81"/>
      <c r="N81"/>
      <c r="O81"/>
      <c r="P81"/>
      <c r="Q81"/>
      <c r="R81"/>
      <c r="S81"/>
      <c r="T81"/>
      <c r="U81"/>
      <c r="V81"/>
      <c r="W81"/>
      <c r="X81"/>
      <c r="Y81"/>
      <c r="Z81"/>
    </row>
    <row r="82" spans="1:27" s="1" customFormat="1" x14ac:dyDescent="0.25">
      <c r="A82"/>
      <c r="B82"/>
      <c r="C82"/>
      <c r="D82"/>
      <c r="E82"/>
      <c r="F82"/>
      <c r="G82"/>
      <c r="H82"/>
      <c r="I82"/>
      <c r="J82"/>
      <c r="K82"/>
      <c r="L82"/>
      <c r="M82"/>
      <c r="N82"/>
      <c r="O82"/>
      <c r="P82"/>
      <c r="Q82"/>
      <c r="R82"/>
      <c r="S82"/>
      <c r="T82"/>
      <c r="U82"/>
      <c r="V82"/>
      <c r="W82"/>
      <c r="X82"/>
      <c r="Y82"/>
      <c r="Z82"/>
    </row>
    <row r="83" spans="1:27" s="1" customFormat="1" x14ac:dyDescent="0.25">
      <c r="A83"/>
      <c r="B83"/>
      <c r="C83"/>
      <c r="D83"/>
      <c r="E83"/>
      <c r="F83"/>
      <c r="G83"/>
      <c r="H83"/>
      <c r="I83"/>
      <c r="J83"/>
      <c r="K83"/>
      <c r="L83"/>
      <c r="M83"/>
      <c r="N83"/>
      <c r="O83"/>
      <c r="P83"/>
      <c r="Q83"/>
      <c r="R83"/>
      <c r="S83"/>
      <c r="T83"/>
      <c r="U83"/>
      <c r="V83"/>
      <c r="W83"/>
      <c r="X83"/>
      <c r="Y83"/>
      <c r="Z83"/>
      <c r="AA83"/>
    </row>
    <row r="84" spans="1:27" s="1" customFormat="1" x14ac:dyDescent="0.25">
      <c r="A84"/>
      <c r="B84"/>
      <c r="C84"/>
      <c r="D84"/>
      <c r="E84"/>
      <c r="F84"/>
      <c r="G84"/>
      <c r="H84"/>
      <c r="I84"/>
      <c r="J84"/>
      <c r="K84"/>
      <c r="L84"/>
      <c r="M84"/>
      <c r="N84"/>
      <c r="O84"/>
      <c r="P84"/>
      <c r="Q84"/>
      <c r="R84"/>
      <c r="S84"/>
      <c r="T84"/>
      <c r="U84"/>
      <c r="V84"/>
      <c r="W84"/>
      <c r="X84"/>
      <c r="Y84"/>
      <c r="Z84"/>
      <c r="AA84"/>
    </row>
    <row r="85" spans="1:27" s="1" customFormat="1" x14ac:dyDescent="0.25">
      <c r="A85"/>
      <c r="B85"/>
      <c r="C85"/>
      <c r="D85"/>
      <c r="E85"/>
      <c r="F85"/>
      <c r="G85"/>
      <c r="H85"/>
      <c r="I85"/>
      <c r="J85"/>
      <c r="K85"/>
      <c r="L85"/>
      <c r="M85"/>
      <c r="N85"/>
      <c r="O85"/>
      <c r="P85"/>
      <c r="Q85"/>
      <c r="R85"/>
      <c r="S85"/>
      <c r="T85"/>
      <c r="U85"/>
      <c r="V85"/>
      <c r="W85"/>
      <c r="X85"/>
      <c r="Y85"/>
      <c r="Z85"/>
      <c r="AA85"/>
    </row>
    <row r="86" spans="1:27" s="1" customFormat="1" x14ac:dyDescent="0.25">
      <c r="A86"/>
      <c r="B86"/>
      <c r="C86"/>
      <c r="D86"/>
      <c r="E86"/>
      <c r="F86"/>
      <c r="G86"/>
      <c r="H86"/>
      <c r="I86"/>
      <c r="J86"/>
      <c r="K86"/>
      <c r="L86"/>
      <c r="M86"/>
      <c r="N86"/>
      <c r="O86"/>
      <c r="P86"/>
      <c r="Q86"/>
      <c r="R86"/>
      <c r="S86"/>
      <c r="T86"/>
      <c r="U86"/>
      <c r="V86"/>
      <c r="W86"/>
      <c r="X86"/>
      <c r="Y86"/>
      <c r="Z86"/>
      <c r="AA86"/>
    </row>
    <row r="87" spans="1:27" s="1" customFormat="1" x14ac:dyDescent="0.25">
      <c r="A87"/>
      <c r="B87"/>
      <c r="C87"/>
      <c r="D87"/>
      <c r="E87"/>
      <c r="F87"/>
      <c r="G87"/>
      <c r="H87"/>
      <c r="I87"/>
      <c r="J87"/>
      <c r="K87"/>
      <c r="L87"/>
      <c r="M87"/>
      <c r="N87"/>
      <c r="O87"/>
      <c r="P87"/>
      <c r="Q87"/>
      <c r="R87"/>
      <c r="S87"/>
      <c r="T87"/>
      <c r="U87"/>
      <c r="V87"/>
      <c r="W87"/>
      <c r="X87"/>
      <c r="Y87"/>
      <c r="Z87"/>
      <c r="AA87"/>
    </row>
    <row r="88" spans="1:27" s="1" customFormat="1" x14ac:dyDescent="0.25">
      <c r="A88"/>
      <c r="B88"/>
      <c r="C88"/>
      <c r="D88"/>
      <c r="E88"/>
      <c r="F88"/>
      <c r="G88"/>
      <c r="H88"/>
      <c r="I88"/>
      <c r="J88"/>
      <c r="K88"/>
      <c r="L88"/>
      <c r="M88"/>
      <c r="N88"/>
      <c r="O88"/>
      <c r="P88"/>
      <c r="Q88"/>
      <c r="R88"/>
      <c r="S88"/>
      <c r="T88"/>
      <c r="U88"/>
      <c r="V88"/>
      <c r="W88"/>
      <c r="X88"/>
      <c r="Y88"/>
      <c r="Z88"/>
      <c r="AA88"/>
    </row>
    <row r="89" spans="1:27" s="1" customFormat="1" x14ac:dyDescent="0.25">
      <c r="A89"/>
      <c r="B89"/>
      <c r="C89"/>
      <c r="D89"/>
      <c r="E89"/>
      <c r="F89"/>
      <c r="G89"/>
      <c r="H89"/>
      <c r="I89"/>
      <c r="J89"/>
      <c r="K89"/>
      <c r="L89"/>
      <c r="M89"/>
      <c r="N89"/>
      <c r="O89"/>
      <c r="P89"/>
      <c r="Q89"/>
      <c r="R89"/>
      <c r="S89"/>
      <c r="T89"/>
      <c r="U89"/>
      <c r="V89"/>
      <c r="W89"/>
      <c r="X89"/>
      <c r="Y89"/>
      <c r="Z89"/>
      <c r="AA89"/>
    </row>
    <row r="90" spans="1:27" s="1" customFormat="1" x14ac:dyDescent="0.25">
      <c r="A90"/>
      <c r="B90"/>
      <c r="C90"/>
      <c r="D90"/>
      <c r="E90"/>
      <c r="F90"/>
      <c r="G90"/>
      <c r="H90"/>
      <c r="I90"/>
      <c r="J90"/>
      <c r="K90"/>
      <c r="L90"/>
      <c r="M90"/>
      <c r="N90"/>
      <c r="O90"/>
      <c r="P90"/>
      <c r="Q90"/>
      <c r="R90"/>
      <c r="S90"/>
      <c r="T90"/>
      <c r="U90"/>
      <c r="V90"/>
      <c r="W90"/>
      <c r="X90"/>
      <c r="Y90"/>
      <c r="Z90"/>
      <c r="AA90"/>
    </row>
    <row r="91" spans="1:27" s="1" customFormat="1" x14ac:dyDescent="0.25">
      <c r="A91"/>
      <c r="B91"/>
      <c r="C91"/>
      <c r="D91"/>
      <c r="E91"/>
      <c r="F91"/>
      <c r="G91"/>
      <c r="H91"/>
      <c r="I91"/>
      <c r="J91"/>
      <c r="K91"/>
      <c r="L91"/>
      <c r="M91"/>
      <c r="N91"/>
      <c r="O91"/>
      <c r="P91"/>
      <c r="Q91"/>
      <c r="R91"/>
      <c r="S91"/>
      <c r="T91"/>
      <c r="U91"/>
      <c r="V91"/>
      <c r="W91"/>
      <c r="X91"/>
      <c r="Y91"/>
      <c r="Z91"/>
      <c r="AA91"/>
    </row>
    <row r="92" spans="1:27" s="1" customFormat="1" x14ac:dyDescent="0.25">
      <c r="A92"/>
      <c r="B92"/>
      <c r="C92"/>
      <c r="D92"/>
      <c r="E92"/>
      <c r="F92"/>
      <c r="G92"/>
      <c r="H92"/>
      <c r="I92"/>
      <c r="J92"/>
      <c r="K92"/>
      <c r="L92"/>
      <c r="M92"/>
      <c r="N92"/>
      <c r="O92"/>
      <c r="P92"/>
      <c r="Q92"/>
      <c r="R92"/>
      <c r="S92"/>
      <c r="T92"/>
      <c r="U92"/>
      <c r="V92"/>
      <c r="W92"/>
      <c r="X92"/>
      <c r="Y92"/>
      <c r="Z92"/>
      <c r="AA92"/>
    </row>
  </sheetData>
  <mergeCells count="101">
    <mergeCell ref="A18:C18"/>
    <mergeCell ref="D18:E18"/>
    <mergeCell ref="F18:J18"/>
    <mergeCell ref="O18:X18"/>
    <mergeCell ref="A17:C17"/>
    <mergeCell ref="D17:E17"/>
    <mergeCell ref="A21:C21"/>
    <mergeCell ref="D21:E21"/>
    <mergeCell ref="F21:J21"/>
    <mergeCell ref="O21:X21"/>
    <mergeCell ref="A20:C20"/>
    <mergeCell ref="D20:E20"/>
    <mergeCell ref="F20:J20"/>
    <mergeCell ref="O20:X20"/>
    <mergeCell ref="A19:C19"/>
    <mergeCell ref="D19:E19"/>
    <mergeCell ref="F19:J19"/>
    <mergeCell ref="O19:X19"/>
    <mergeCell ref="F17:J17"/>
    <mergeCell ref="O17:X17"/>
    <mergeCell ref="A34:C34"/>
    <mergeCell ref="D34:G34"/>
    <mergeCell ref="L34:O34"/>
    <mergeCell ref="S34:Y34"/>
    <mergeCell ref="L35:O35"/>
    <mergeCell ref="S35:Y35"/>
    <mergeCell ref="D31:G31"/>
    <mergeCell ref="A32:C32"/>
    <mergeCell ref="D32:G32"/>
    <mergeCell ref="L32:O32"/>
    <mergeCell ref="S32:Y32"/>
    <mergeCell ref="A33:C33"/>
    <mergeCell ref="D33:G33"/>
    <mergeCell ref="L33:O33"/>
    <mergeCell ref="S33:Y33"/>
    <mergeCell ref="A29:J29"/>
    <mergeCell ref="L29:O29"/>
    <mergeCell ref="A30:C30"/>
    <mergeCell ref="D30:G30"/>
    <mergeCell ref="L30:O31"/>
    <mergeCell ref="P30:R30"/>
    <mergeCell ref="S30:Y31"/>
    <mergeCell ref="Z30:Z31"/>
    <mergeCell ref="A31:C31"/>
    <mergeCell ref="D26:G26"/>
    <mergeCell ref="O26:X26"/>
    <mergeCell ref="D23:G23"/>
    <mergeCell ref="D24:G24"/>
    <mergeCell ref="O23:X23"/>
    <mergeCell ref="O24:X24"/>
    <mergeCell ref="A22:C22"/>
    <mergeCell ref="D22:E22"/>
    <mergeCell ref="F22:J22"/>
    <mergeCell ref="O22:X22"/>
    <mergeCell ref="O25:X25"/>
    <mergeCell ref="D25:G25"/>
    <mergeCell ref="A16:C16"/>
    <mergeCell ref="D16:E16"/>
    <mergeCell ref="F16:J16"/>
    <mergeCell ref="O16:X16"/>
    <mergeCell ref="A15:C15"/>
    <mergeCell ref="D15:E15"/>
    <mergeCell ref="F15:J15"/>
    <mergeCell ref="O15:X15"/>
    <mergeCell ref="A14:C14"/>
    <mergeCell ref="D14:E14"/>
    <mergeCell ref="F14:J14"/>
    <mergeCell ref="O14:X14"/>
    <mergeCell ref="A13:C13"/>
    <mergeCell ref="D13:E13"/>
    <mergeCell ref="F13:J13"/>
    <mergeCell ref="O13:X13"/>
    <mergeCell ref="A8:E8"/>
    <mergeCell ref="L8:M8"/>
    <mergeCell ref="A9:C9"/>
    <mergeCell ref="D9:E9"/>
    <mergeCell ref="F9:J9"/>
    <mergeCell ref="A2:Z2"/>
    <mergeCell ref="A3:O3"/>
    <mergeCell ref="A12:C12"/>
    <mergeCell ref="D12:E12"/>
    <mergeCell ref="F12:J12"/>
    <mergeCell ref="O12:X12"/>
    <mergeCell ref="A11:C11"/>
    <mergeCell ref="D11:E11"/>
    <mergeCell ref="F11:J11"/>
    <mergeCell ref="O11:X11"/>
    <mergeCell ref="O9:X9"/>
    <mergeCell ref="A10:C10"/>
    <mergeCell ref="D10:E10"/>
    <mergeCell ref="F10:J10"/>
    <mergeCell ref="O10:X10"/>
    <mergeCell ref="S3:Y3"/>
    <mergeCell ref="S4:Y4"/>
    <mergeCell ref="S5:Y5"/>
    <mergeCell ref="S6:Y6"/>
    <mergeCell ref="S7:Y7"/>
    <mergeCell ref="A4:O4"/>
    <mergeCell ref="A6:O6"/>
    <mergeCell ref="A5:O5"/>
    <mergeCell ref="A7:O7"/>
  </mergeCells>
  <dataValidations disablePrompts="1" count="1">
    <dataValidation showInputMessage="1" showErrorMessage="1" sqref="N10:N26" xr:uid="{5F9A24F2-D3AE-40F5-8928-C777D4DE7B0C}"/>
  </dataValidations>
  <printOptions horizontalCentered="1"/>
  <pageMargins left="0.30249999999999999" right="0.5" top="0.51249999999999996" bottom="0.34558823529411797" header="0.3" footer="7.3529411764705899E-2"/>
  <pageSetup scale="60" orientation="landscape" r:id="rId1"/>
  <headerFooter>
    <oddHeader>&amp;L&amp;"-,Bold"&amp;8Digital Realty Operations&amp;C&amp;"-,Bold"&amp;10METHOD OF PROCEDURE&amp;R&amp;G</oddHeader>
    <oddFooter>&amp;C&amp;8Page &amp;P of &amp;N</oddFooter>
  </headerFooter>
  <colBreaks count="1" manualBreakCount="1">
    <brk id="26" max="32" man="1"/>
  </colBreaks>
  <legacyDrawingHF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8C62D-B079-4F20-A26B-C0D380F04180}">
  <sheetPr codeName="CHW_Pump_SAPM">
    <pageSetUpPr fitToPage="1"/>
  </sheetPr>
  <dimension ref="A1:I219"/>
  <sheetViews>
    <sheetView workbookViewId="0"/>
  </sheetViews>
  <sheetFormatPr defaultColWidth="8.7109375" defaultRowHeight="18.75" x14ac:dyDescent="0.3"/>
  <cols>
    <col min="1" max="1" width="6.85546875" style="185" customWidth="1"/>
    <col min="2" max="2" width="19.5703125" style="185" customWidth="1"/>
    <col min="3" max="3" width="15.42578125" style="185" customWidth="1"/>
    <col min="4" max="4" width="87.42578125" style="185" customWidth="1"/>
    <col min="5" max="5" width="22.140625" style="185" bestFit="1" customWidth="1"/>
    <col min="6" max="6" width="13.85546875" style="185" bestFit="1" customWidth="1"/>
    <col min="7" max="7" width="10.42578125" style="185" customWidth="1"/>
    <col min="8" max="8" width="12.140625" customWidth="1"/>
    <col min="9" max="9" width="10.7109375" customWidth="1"/>
    <col min="10" max="10" width="9.140625" customWidth="1"/>
    <col min="11" max="11" width="9.85546875" customWidth="1"/>
  </cols>
  <sheetData>
    <row r="1" spans="1:9" x14ac:dyDescent="0.25">
      <c r="A1" s="172" t="s">
        <v>1454</v>
      </c>
      <c r="B1" s="172"/>
      <c r="C1" s="173"/>
      <c r="D1" s="173"/>
      <c r="E1" s="173"/>
      <c r="F1" s="173"/>
      <c r="G1" s="173"/>
    </row>
    <row r="2" spans="1:9" ht="18.75" customHeight="1" x14ac:dyDescent="0.25">
      <c r="A2" s="705" t="s">
        <v>42</v>
      </c>
      <c r="B2" s="705"/>
      <c r="C2" s="708" t="str">
        <f>zTaskName</f>
        <v>Routine Generator run with no load transfer</v>
      </c>
      <c r="D2" s="709"/>
      <c r="E2" s="709"/>
      <c r="F2" s="709"/>
      <c r="G2" s="710"/>
    </row>
    <row r="3" spans="1:9" ht="9.9499999999999993" customHeight="1" x14ac:dyDescent="0.25">
      <c r="A3" s="488"/>
      <c r="B3" s="489"/>
      <c r="C3" s="456"/>
      <c r="D3" s="456"/>
      <c r="E3" s="456"/>
      <c r="F3" s="456"/>
      <c r="G3" s="457"/>
    </row>
    <row r="4" spans="1:9" ht="9.9499999999999993" customHeight="1" x14ac:dyDescent="0.25">
      <c r="A4" s="794"/>
      <c r="B4" s="795"/>
      <c r="C4" s="795"/>
      <c r="D4" s="419"/>
      <c r="E4" s="419"/>
      <c r="F4" s="419"/>
      <c r="G4" s="420"/>
      <c r="H4" s="3"/>
      <c r="I4" s="3"/>
    </row>
    <row r="5" spans="1:9" ht="37.5" x14ac:dyDescent="0.25">
      <c r="A5" s="421" t="s">
        <v>1455</v>
      </c>
      <c r="B5" s="458" t="s">
        <v>8</v>
      </c>
      <c r="C5" s="458" t="s">
        <v>1456</v>
      </c>
      <c r="D5" s="421" t="s">
        <v>1457</v>
      </c>
      <c r="E5" s="458" t="s">
        <v>1458</v>
      </c>
      <c r="F5" s="458" t="s">
        <v>1459</v>
      </c>
      <c r="G5" s="421" t="s">
        <v>1460</v>
      </c>
    </row>
    <row r="6" spans="1:9" x14ac:dyDescent="0.25">
      <c r="A6" s="228">
        <v>1</v>
      </c>
      <c r="B6" s="753" t="s">
        <v>1461</v>
      </c>
      <c r="C6" s="754"/>
      <c r="D6" s="754"/>
      <c r="E6" s="754"/>
      <c r="F6" s="754"/>
      <c r="G6" s="755"/>
    </row>
    <row r="7" spans="1:9" s="185" customFormat="1" ht="37.5" x14ac:dyDescent="0.3">
      <c r="A7" s="228">
        <v>2</v>
      </c>
      <c r="B7" s="388" t="s">
        <v>1462</v>
      </c>
      <c r="C7" s="388" t="s">
        <v>84</v>
      </c>
      <c r="D7" s="194" t="s">
        <v>3715</v>
      </c>
      <c r="E7" s="388" t="s">
        <v>3654</v>
      </c>
      <c r="F7" s="189" t="s">
        <v>1519</v>
      </c>
      <c r="G7" s="189"/>
    </row>
    <row r="8" spans="1:9" x14ac:dyDescent="0.25">
      <c r="A8" s="228">
        <v>3</v>
      </c>
      <c r="B8" s="753" t="str" cm="1">
        <f t="array" ref="B8">"Perform SAPM On Primary Pump " &amp; Chiller1</f>
        <v>Perform SAPM On Primary Pump ERROR</v>
      </c>
      <c r="C8" s="754"/>
      <c r="D8" s="754"/>
      <c r="E8" s="754"/>
      <c r="F8" s="754"/>
      <c r="G8" s="755"/>
    </row>
    <row r="9" spans="1:9" s="185" customFormat="1" ht="56.25" x14ac:dyDescent="0.3">
      <c r="A9" s="228">
        <v>4</v>
      </c>
      <c r="B9" s="422" t="s">
        <v>723</v>
      </c>
      <c r="C9" s="422" t="str" cm="1">
        <f t="array" ref="C9">"Primary Pump " &amp; Chiller1</f>
        <v>Primary Pump ERROR</v>
      </c>
      <c r="D9" s="423" t="s">
        <v>3716</v>
      </c>
      <c r="E9" s="424" t="s">
        <v>1529</v>
      </c>
      <c r="F9" s="189"/>
      <c r="G9" s="189" t="s">
        <v>1519</v>
      </c>
    </row>
    <row r="10" spans="1:9" s="185" customFormat="1" ht="56.25" x14ac:dyDescent="0.3">
      <c r="A10" s="228">
        <v>5</v>
      </c>
      <c r="B10" s="422" t="s">
        <v>723</v>
      </c>
      <c r="C10" s="422" t="str" cm="1">
        <f t="array" ref="C10">"Primary Pump " &amp; Chiller1</f>
        <v>Primary Pump ERROR</v>
      </c>
      <c r="D10" s="423" t="s">
        <v>3717</v>
      </c>
      <c r="E10" s="424" t="s">
        <v>1529</v>
      </c>
      <c r="F10" s="189"/>
      <c r="G10" s="189" t="s">
        <v>1519</v>
      </c>
    </row>
    <row r="11" spans="1:9" s="185" customFormat="1" ht="56.25" x14ac:dyDescent="0.3">
      <c r="A11" s="228">
        <v>6</v>
      </c>
      <c r="B11" s="422" t="s">
        <v>723</v>
      </c>
      <c r="C11" s="422" t="str" cm="1">
        <f t="array" ref="C11">"Primary Pump " &amp; Chiller1</f>
        <v>Primary Pump ERROR</v>
      </c>
      <c r="D11" s="423" t="s">
        <v>3718</v>
      </c>
      <c r="E11" s="424" t="s">
        <v>1529</v>
      </c>
      <c r="F11" s="189"/>
      <c r="G11" s="189" t="s">
        <v>1519</v>
      </c>
    </row>
    <row r="12" spans="1:9" s="185" customFormat="1" ht="56.25" x14ac:dyDescent="0.3">
      <c r="A12" s="228">
        <v>7</v>
      </c>
      <c r="B12" s="422" t="s">
        <v>723</v>
      </c>
      <c r="C12" s="422" t="str" cm="1">
        <f t="array" ref="C12">"Primary Pump " &amp; Chiller1</f>
        <v>Primary Pump ERROR</v>
      </c>
      <c r="D12" s="423" t="s">
        <v>3719</v>
      </c>
      <c r="E12" s="424" t="s">
        <v>1529</v>
      </c>
      <c r="F12" s="189"/>
      <c r="G12" s="189" t="s">
        <v>1519</v>
      </c>
    </row>
    <row r="13" spans="1:9" s="185" customFormat="1" ht="56.25" x14ac:dyDescent="0.3">
      <c r="A13" s="228">
        <v>8</v>
      </c>
      <c r="B13" s="422" t="s">
        <v>723</v>
      </c>
      <c r="C13" s="422" t="str" cm="1">
        <f t="array" ref="C13">"Primary Pump " &amp; Chiller1</f>
        <v>Primary Pump ERROR</v>
      </c>
      <c r="D13" s="423" t="s">
        <v>3720</v>
      </c>
      <c r="E13" s="424" t="s">
        <v>1529</v>
      </c>
      <c r="F13" s="189"/>
      <c r="G13" s="189" t="s">
        <v>1519</v>
      </c>
    </row>
    <row r="14" spans="1:9" s="185" customFormat="1" ht="56.25" x14ac:dyDescent="0.3">
      <c r="A14" s="228">
        <v>9</v>
      </c>
      <c r="B14" s="422" t="s">
        <v>723</v>
      </c>
      <c r="C14" s="422" t="str" cm="1">
        <f t="array" ref="C14">"Primary Pump " &amp; Chiller1</f>
        <v>Primary Pump ERROR</v>
      </c>
      <c r="D14" s="423" t="s">
        <v>3721</v>
      </c>
      <c r="E14" s="424" t="s">
        <v>1529</v>
      </c>
      <c r="F14" s="189"/>
      <c r="G14" s="189" t="s">
        <v>1519</v>
      </c>
    </row>
    <row r="15" spans="1:9" s="185" customFormat="1" ht="18" customHeight="1" x14ac:dyDescent="0.3">
      <c r="A15" s="228">
        <v>10</v>
      </c>
      <c r="B15" s="828" t="s">
        <v>3722</v>
      </c>
      <c r="C15" s="829"/>
      <c r="D15" s="829"/>
      <c r="E15" s="829"/>
      <c r="F15" s="829"/>
      <c r="G15" s="830"/>
    </row>
    <row r="16" spans="1:9" s="185" customFormat="1" ht="56.25" x14ac:dyDescent="0.3">
      <c r="A16" s="228">
        <v>11</v>
      </c>
      <c r="B16" s="422" t="s">
        <v>723</v>
      </c>
      <c r="C16" s="422" t="str" cm="1">
        <f t="array" ref="C16">"Primary Pump " &amp; Chiller1</f>
        <v>Primary Pump ERROR</v>
      </c>
      <c r="D16" s="423" t="s">
        <v>3723</v>
      </c>
      <c r="E16" s="424" t="s">
        <v>1529</v>
      </c>
      <c r="F16" s="189"/>
      <c r="G16" s="189" t="s">
        <v>1519</v>
      </c>
    </row>
    <row r="17" spans="1:7" s="185" customFormat="1" ht="56.25" x14ac:dyDescent="0.3">
      <c r="A17" s="228">
        <v>12</v>
      </c>
      <c r="B17" s="422" t="s">
        <v>723</v>
      </c>
      <c r="C17" s="422" t="str" cm="1">
        <f t="array" ref="C17">"Primary Pump " &amp; Chiller1</f>
        <v>Primary Pump ERROR</v>
      </c>
      <c r="D17" s="423" t="s">
        <v>3724</v>
      </c>
      <c r="E17" s="424" t="s">
        <v>1529</v>
      </c>
      <c r="F17" s="189"/>
      <c r="G17" s="189" t="s">
        <v>1519</v>
      </c>
    </row>
    <row r="18" spans="1:7" s="185" customFormat="1" ht="56.25" x14ac:dyDescent="0.3">
      <c r="A18" s="228">
        <v>13</v>
      </c>
      <c r="B18" s="422" t="s">
        <v>723</v>
      </c>
      <c r="C18" s="422" t="str" cm="1">
        <f t="array" ref="C18">"Primary Pump " &amp; Chiller1</f>
        <v>Primary Pump ERROR</v>
      </c>
      <c r="D18" s="423" t="s">
        <v>3725</v>
      </c>
      <c r="E18" s="424" t="s">
        <v>1529</v>
      </c>
      <c r="F18" s="189"/>
      <c r="G18" s="189" t="s">
        <v>1519</v>
      </c>
    </row>
    <row r="19" spans="1:7" s="185" customFormat="1" ht="56.25" x14ac:dyDescent="0.3">
      <c r="A19" s="228">
        <v>14</v>
      </c>
      <c r="B19" s="422" t="s">
        <v>723</v>
      </c>
      <c r="C19" s="422" t="str" cm="1">
        <f t="array" ref="C19">"Primary Pump " &amp; Chiller1</f>
        <v>Primary Pump ERROR</v>
      </c>
      <c r="D19" s="423" t="s">
        <v>3726</v>
      </c>
      <c r="E19" s="424" t="s">
        <v>1529</v>
      </c>
      <c r="F19" s="189"/>
      <c r="G19" s="189" t="s">
        <v>1519</v>
      </c>
    </row>
    <row r="20" spans="1:7" s="185" customFormat="1" ht="56.25" x14ac:dyDescent="0.3">
      <c r="A20" s="228">
        <v>15</v>
      </c>
      <c r="B20" s="422" t="s">
        <v>723</v>
      </c>
      <c r="C20" s="422" t="str" cm="1">
        <f t="array" ref="C20">"Primary Pump " &amp; Chiller1</f>
        <v>Primary Pump ERROR</v>
      </c>
      <c r="D20" s="423" t="s">
        <v>3727</v>
      </c>
      <c r="E20" s="424" t="s">
        <v>1529</v>
      </c>
      <c r="F20" s="189"/>
      <c r="G20" s="189" t="s">
        <v>1519</v>
      </c>
    </row>
    <row r="21" spans="1:7" s="185" customFormat="1" ht="18" customHeight="1" x14ac:dyDescent="0.3">
      <c r="A21" s="228">
        <v>16</v>
      </c>
      <c r="B21" s="828" t="s">
        <v>3728</v>
      </c>
      <c r="C21" s="829"/>
      <c r="D21" s="829"/>
      <c r="E21" s="829"/>
      <c r="F21" s="829"/>
      <c r="G21" s="830"/>
    </row>
    <row r="22" spans="1:7" s="185" customFormat="1" ht="56.25" x14ac:dyDescent="0.3">
      <c r="A22" s="228">
        <v>17</v>
      </c>
      <c r="B22" s="422" t="s">
        <v>723</v>
      </c>
      <c r="C22" s="422" t="str" cm="1">
        <f t="array" ref="C22">"Primary Pump " &amp; Chiller1</f>
        <v>Primary Pump ERROR</v>
      </c>
      <c r="D22" s="423" t="s">
        <v>3729</v>
      </c>
      <c r="E22" s="424" t="s">
        <v>1529</v>
      </c>
      <c r="F22" s="189"/>
      <c r="G22" s="189" t="s">
        <v>1519</v>
      </c>
    </row>
    <row r="23" spans="1:7" s="185" customFormat="1" ht="56.25" x14ac:dyDescent="0.3">
      <c r="A23" s="228">
        <v>18</v>
      </c>
      <c r="B23" s="422" t="s">
        <v>723</v>
      </c>
      <c r="C23" s="422" t="str" cm="1">
        <f t="array" ref="C23">"Primary Pump " &amp; Chiller1</f>
        <v>Primary Pump ERROR</v>
      </c>
      <c r="D23" s="423" t="s">
        <v>3730</v>
      </c>
      <c r="E23" s="424" t="s">
        <v>1529</v>
      </c>
      <c r="F23" s="189"/>
      <c r="G23" s="189" t="s">
        <v>1519</v>
      </c>
    </row>
    <row r="24" spans="1:7" s="185" customFormat="1" ht="56.25" x14ac:dyDescent="0.3">
      <c r="A24" s="228">
        <v>19</v>
      </c>
      <c r="B24" s="422" t="s">
        <v>723</v>
      </c>
      <c r="C24" s="422" t="str" cm="1">
        <f t="array" ref="C24">"Primary Pump " &amp; Chiller1</f>
        <v>Primary Pump ERROR</v>
      </c>
      <c r="D24" s="425" t="s">
        <v>3731</v>
      </c>
      <c r="E24" s="424" t="s">
        <v>1529</v>
      </c>
      <c r="F24" s="189"/>
      <c r="G24" s="189" t="s">
        <v>1519</v>
      </c>
    </row>
    <row r="25" spans="1:7" s="185" customFormat="1" ht="56.25" x14ac:dyDescent="0.3">
      <c r="A25" s="228">
        <v>20</v>
      </c>
      <c r="B25" s="422" t="s">
        <v>723</v>
      </c>
      <c r="C25" s="422" t="str" cm="1">
        <f t="array" ref="C25">"Primary Pump " &amp; Chiller1</f>
        <v>Primary Pump ERROR</v>
      </c>
      <c r="D25" s="423" t="s">
        <v>3732</v>
      </c>
      <c r="E25" s="424" t="s">
        <v>1529</v>
      </c>
      <c r="F25" s="189"/>
      <c r="G25" s="189" t="s">
        <v>1519</v>
      </c>
    </row>
    <row r="26" spans="1:7" s="185" customFormat="1" ht="56.25" x14ac:dyDescent="0.3">
      <c r="A26" s="228">
        <v>21</v>
      </c>
      <c r="B26" s="422" t="s">
        <v>723</v>
      </c>
      <c r="C26" s="422" t="str" cm="1">
        <f t="array" ref="C26">"Primary Pump " &amp; Chiller1</f>
        <v>Primary Pump ERROR</v>
      </c>
      <c r="D26" s="423" t="s">
        <v>3733</v>
      </c>
      <c r="E26" s="424" t="s">
        <v>1529</v>
      </c>
      <c r="F26" s="189"/>
      <c r="G26" s="189" t="s">
        <v>1519</v>
      </c>
    </row>
    <row r="27" spans="1:7" s="185" customFormat="1" ht="56.25" x14ac:dyDescent="0.3">
      <c r="A27" s="228">
        <v>22</v>
      </c>
      <c r="B27" s="422" t="s">
        <v>723</v>
      </c>
      <c r="C27" s="422" t="str" cm="1">
        <f t="array" ref="C27">"Primary Pump " &amp; Chiller1</f>
        <v>Primary Pump ERROR</v>
      </c>
      <c r="D27" s="423" t="s">
        <v>3734</v>
      </c>
      <c r="E27" s="424" t="s">
        <v>1529</v>
      </c>
      <c r="F27" s="189"/>
      <c r="G27" s="189" t="s">
        <v>1519</v>
      </c>
    </row>
    <row r="28" spans="1:7" s="185" customFormat="1" ht="56.25" x14ac:dyDescent="0.3">
      <c r="A28" s="228">
        <v>23</v>
      </c>
      <c r="B28" s="422" t="s">
        <v>723</v>
      </c>
      <c r="C28" s="422" t="str" cm="1">
        <f t="array" ref="C28">"Primary Pump " &amp; Chiller1</f>
        <v>Primary Pump ERROR</v>
      </c>
      <c r="D28" s="423" t="s">
        <v>3735</v>
      </c>
      <c r="E28" s="424" t="s">
        <v>1529</v>
      </c>
      <c r="F28" s="189"/>
      <c r="G28" s="189" t="s">
        <v>1519</v>
      </c>
    </row>
    <row r="29" spans="1:7" s="185" customFormat="1" ht="18" customHeight="1" x14ac:dyDescent="0.3">
      <c r="A29" s="228">
        <v>24</v>
      </c>
      <c r="B29" s="828" t="s">
        <v>3736</v>
      </c>
      <c r="C29" s="829"/>
      <c r="D29" s="829"/>
      <c r="E29" s="829"/>
      <c r="F29" s="829"/>
      <c r="G29" s="830"/>
    </row>
    <row r="30" spans="1:7" s="185" customFormat="1" ht="56.25" x14ac:dyDescent="0.3">
      <c r="A30" s="228">
        <v>25</v>
      </c>
      <c r="B30" s="422" t="s">
        <v>723</v>
      </c>
      <c r="C30" s="422" t="str" cm="1">
        <f t="array" ref="C30">"Primary Pump " &amp; Chiller1</f>
        <v>Primary Pump ERROR</v>
      </c>
      <c r="D30" s="423" t="s">
        <v>3737</v>
      </c>
      <c r="E30" s="424" t="s">
        <v>1529</v>
      </c>
      <c r="F30" s="189"/>
      <c r="G30" s="189" t="s">
        <v>1519</v>
      </c>
    </row>
    <row r="31" spans="1:7" s="185" customFormat="1" ht="56.25" x14ac:dyDescent="0.3">
      <c r="A31" s="228">
        <v>26</v>
      </c>
      <c r="B31" s="422" t="s">
        <v>723</v>
      </c>
      <c r="C31" s="422" t="str" cm="1">
        <f t="array" ref="C31">"Primary Pump " &amp; Chiller1</f>
        <v>Primary Pump ERROR</v>
      </c>
      <c r="D31" s="423" t="s">
        <v>3738</v>
      </c>
      <c r="E31" s="424" t="s">
        <v>1529</v>
      </c>
      <c r="F31" s="189"/>
      <c r="G31" s="189" t="s">
        <v>1519</v>
      </c>
    </row>
    <row r="32" spans="1:7" s="185" customFormat="1" ht="56.25" x14ac:dyDescent="0.3">
      <c r="A32" s="228">
        <v>27</v>
      </c>
      <c r="B32" s="422" t="s">
        <v>723</v>
      </c>
      <c r="C32" s="422" t="str" cm="1">
        <f t="array" ref="C32">"Primary Pump " &amp; Chiller1</f>
        <v>Primary Pump ERROR</v>
      </c>
      <c r="D32" s="423" t="s">
        <v>3739</v>
      </c>
      <c r="E32" s="424" t="s">
        <v>1529</v>
      </c>
      <c r="F32" s="189"/>
      <c r="G32" s="189" t="s">
        <v>1519</v>
      </c>
    </row>
    <row r="33" spans="1:7" s="185" customFormat="1" ht="56.25" x14ac:dyDescent="0.3">
      <c r="A33" s="228">
        <v>28</v>
      </c>
      <c r="B33" s="422" t="s">
        <v>723</v>
      </c>
      <c r="C33" s="422" t="str" cm="1">
        <f t="array" ref="C33">"Primary Pump " &amp; Chiller1</f>
        <v>Primary Pump ERROR</v>
      </c>
      <c r="D33" s="423" t="s">
        <v>3740</v>
      </c>
      <c r="E33" s="424" t="s">
        <v>1529</v>
      </c>
      <c r="F33" s="189"/>
      <c r="G33" s="189" t="s">
        <v>1519</v>
      </c>
    </row>
    <row r="34" spans="1:7" s="185" customFormat="1" ht="18" customHeight="1" x14ac:dyDescent="0.3">
      <c r="A34" s="228">
        <v>29</v>
      </c>
      <c r="B34" s="828" t="s">
        <v>3741</v>
      </c>
      <c r="C34" s="829"/>
      <c r="D34" s="829"/>
      <c r="E34" s="829"/>
      <c r="F34" s="829"/>
      <c r="G34" s="830"/>
    </row>
    <row r="35" spans="1:7" s="185" customFormat="1" ht="56.25" x14ac:dyDescent="0.3">
      <c r="A35" s="228">
        <v>30</v>
      </c>
      <c r="B35" s="422" t="s">
        <v>723</v>
      </c>
      <c r="C35" s="422" t="str" cm="1">
        <f t="array" ref="C35">"Primary Pump " &amp; Chiller1</f>
        <v>Primary Pump ERROR</v>
      </c>
      <c r="D35" s="423" t="s">
        <v>3742</v>
      </c>
      <c r="E35" s="424" t="s">
        <v>1529</v>
      </c>
      <c r="F35" s="189"/>
      <c r="G35" s="189" t="s">
        <v>1519</v>
      </c>
    </row>
    <row r="36" spans="1:7" s="185" customFormat="1" ht="56.25" x14ac:dyDescent="0.3">
      <c r="A36" s="228">
        <v>31</v>
      </c>
      <c r="B36" s="422" t="s">
        <v>723</v>
      </c>
      <c r="C36" s="422" t="str" cm="1">
        <f t="array" ref="C36">"Primary Pump " &amp; Chiller1</f>
        <v>Primary Pump ERROR</v>
      </c>
      <c r="D36" s="423" t="s">
        <v>3743</v>
      </c>
      <c r="E36" s="424" t="s">
        <v>1529</v>
      </c>
      <c r="F36" s="189"/>
      <c r="G36" s="189" t="s">
        <v>1519</v>
      </c>
    </row>
    <row r="37" spans="1:7" s="185" customFormat="1" ht="56.25" x14ac:dyDescent="0.3">
      <c r="A37" s="228">
        <v>32</v>
      </c>
      <c r="B37" s="422" t="s">
        <v>723</v>
      </c>
      <c r="C37" s="422" t="str" cm="1">
        <f t="array" ref="C37">"Primary Pump " &amp; Chiller1</f>
        <v>Primary Pump ERROR</v>
      </c>
      <c r="D37" s="423" t="s">
        <v>3744</v>
      </c>
      <c r="E37" s="424" t="s">
        <v>1529</v>
      </c>
      <c r="F37" s="189"/>
      <c r="G37" s="189" t="s">
        <v>1519</v>
      </c>
    </row>
    <row r="38" spans="1:7" s="185" customFormat="1" ht="56.25" x14ac:dyDescent="0.3">
      <c r="A38" s="228">
        <v>33</v>
      </c>
      <c r="B38" s="422" t="s">
        <v>723</v>
      </c>
      <c r="C38" s="422" t="str" cm="1">
        <f t="array" ref="C38">"Primary Pump " &amp; Chiller1</f>
        <v>Primary Pump ERROR</v>
      </c>
      <c r="D38" s="423" t="s">
        <v>3745</v>
      </c>
      <c r="E38" s="424" t="s">
        <v>1529</v>
      </c>
      <c r="F38" s="189"/>
      <c r="G38" s="189" t="s">
        <v>1519</v>
      </c>
    </row>
    <row r="39" spans="1:7" s="185" customFormat="1" ht="56.25" x14ac:dyDescent="0.3">
      <c r="A39" s="228">
        <v>34</v>
      </c>
      <c r="B39" s="422" t="s">
        <v>723</v>
      </c>
      <c r="C39" s="422" t="str" cm="1">
        <f t="array" ref="C39">"Primary Pump " &amp; Chiller1</f>
        <v>Primary Pump ERROR</v>
      </c>
      <c r="D39" s="423" t="s">
        <v>3746</v>
      </c>
      <c r="E39" s="424" t="s">
        <v>1529</v>
      </c>
      <c r="F39" s="189"/>
      <c r="G39" s="189" t="s">
        <v>1519</v>
      </c>
    </row>
    <row r="40" spans="1:7" s="185" customFormat="1" ht="56.25" x14ac:dyDescent="0.3">
      <c r="A40" s="228">
        <v>35</v>
      </c>
      <c r="B40" s="422" t="s">
        <v>723</v>
      </c>
      <c r="C40" s="422" t="str" cm="1">
        <f t="array" ref="C40">"Primary Pump " &amp; Chiller1</f>
        <v>Primary Pump ERROR</v>
      </c>
      <c r="D40" s="423" t="s">
        <v>3747</v>
      </c>
      <c r="E40" s="424" t="s">
        <v>1529</v>
      </c>
      <c r="F40" s="189"/>
      <c r="G40" s="189" t="s">
        <v>1519</v>
      </c>
    </row>
    <row r="41" spans="1:7" s="185" customFormat="1" ht="56.25" x14ac:dyDescent="0.3">
      <c r="A41" s="228">
        <v>36</v>
      </c>
      <c r="B41" s="422" t="s">
        <v>723</v>
      </c>
      <c r="C41" s="422" t="str" cm="1">
        <f t="array" ref="C41">"Primary Pump " &amp; Chiller1</f>
        <v>Primary Pump ERROR</v>
      </c>
      <c r="D41" s="423" t="s">
        <v>3748</v>
      </c>
      <c r="E41" s="424" t="s">
        <v>1529</v>
      </c>
      <c r="F41" s="189"/>
      <c r="G41" s="189" t="s">
        <v>1519</v>
      </c>
    </row>
    <row r="42" spans="1:7" x14ac:dyDescent="0.25">
      <c r="A42" s="228">
        <v>37</v>
      </c>
      <c r="B42" s="753" t="str" cm="1">
        <f t="array" ref="B42">"Perform SAPM On Primary Pump " &amp; Chiller2</f>
        <v>Perform SAPM On Primary Pump ERROR</v>
      </c>
      <c r="C42" s="754"/>
      <c r="D42" s="754"/>
      <c r="E42" s="754"/>
      <c r="F42" s="754"/>
      <c r="G42" s="755"/>
    </row>
    <row r="43" spans="1:7" s="185" customFormat="1" ht="56.25" x14ac:dyDescent="0.3">
      <c r="A43" s="228">
        <v>38</v>
      </c>
      <c r="B43" s="422" t="s">
        <v>723</v>
      </c>
      <c r="C43" s="422" t="str" cm="1">
        <f t="array" ref="C43">"Primary Pump " &amp; Chiller2</f>
        <v>Primary Pump ERROR</v>
      </c>
      <c r="D43" s="423" t="s">
        <v>3716</v>
      </c>
      <c r="E43" s="424" t="s">
        <v>1529</v>
      </c>
      <c r="F43" s="189"/>
      <c r="G43" s="189" t="s">
        <v>1519</v>
      </c>
    </row>
    <row r="44" spans="1:7" s="185" customFormat="1" ht="56.25" x14ac:dyDescent="0.3">
      <c r="A44" s="228">
        <v>39</v>
      </c>
      <c r="B44" s="422" t="s">
        <v>723</v>
      </c>
      <c r="C44" s="422" t="str" cm="1">
        <f t="array" ref="C44">"Primary Pump " &amp; Chiller2</f>
        <v>Primary Pump ERROR</v>
      </c>
      <c r="D44" s="423" t="s">
        <v>3717</v>
      </c>
      <c r="E44" s="424" t="s">
        <v>1529</v>
      </c>
      <c r="F44" s="189"/>
      <c r="G44" s="189" t="s">
        <v>1519</v>
      </c>
    </row>
    <row r="45" spans="1:7" s="185" customFormat="1" ht="56.25" x14ac:dyDescent="0.3">
      <c r="A45" s="228">
        <v>40</v>
      </c>
      <c r="B45" s="422" t="s">
        <v>723</v>
      </c>
      <c r="C45" s="422" t="str" cm="1">
        <f t="array" ref="C45">"Primary Pump " &amp; Chiller2</f>
        <v>Primary Pump ERROR</v>
      </c>
      <c r="D45" s="423" t="s">
        <v>3718</v>
      </c>
      <c r="E45" s="424" t="s">
        <v>1529</v>
      </c>
      <c r="F45" s="189"/>
      <c r="G45" s="189" t="s">
        <v>1519</v>
      </c>
    </row>
    <row r="46" spans="1:7" s="185" customFormat="1" ht="56.25" x14ac:dyDescent="0.3">
      <c r="A46" s="228">
        <v>41</v>
      </c>
      <c r="B46" s="422" t="s">
        <v>723</v>
      </c>
      <c r="C46" s="422" t="str" cm="1">
        <f t="array" ref="C46">"Primary Pump " &amp; Chiller2</f>
        <v>Primary Pump ERROR</v>
      </c>
      <c r="D46" s="423" t="s">
        <v>3719</v>
      </c>
      <c r="E46" s="424" t="s">
        <v>1529</v>
      </c>
      <c r="F46" s="189"/>
      <c r="G46" s="189" t="s">
        <v>1519</v>
      </c>
    </row>
    <row r="47" spans="1:7" s="185" customFormat="1" ht="56.25" x14ac:dyDescent="0.3">
      <c r="A47" s="228">
        <v>42</v>
      </c>
      <c r="B47" s="422" t="s">
        <v>723</v>
      </c>
      <c r="C47" s="422" t="str" cm="1">
        <f t="array" ref="C47">"Primary Pump " &amp; Chiller2</f>
        <v>Primary Pump ERROR</v>
      </c>
      <c r="D47" s="423" t="s">
        <v>3749</v>
      </c>
      <c r="E47" s="424" t="s">
        <v>1529</v>
      </c>
      <c r="F47" s="189"/>
      <c r="G47" s="189" t="s">
        <v>1519</v>
      </c>
    </row>
    <row r="48" spans="1:7" s="185" customFormat="1" ht="56.25" x14ac:dyDescent="0.3">
      <c r="A48" s="228">
        <v>43</v>
      </c>
      <c r="B48" s="422" t="s">
        <v>723</v>
      </c>
      <c r="C48" s="422" t="str" cm="1">
        <f t="array" ref="C48">"Primary Pump " &amp; Chiller2</f>
        <v>Primary Pump ERROR</v>
      </c>
      <c r="D48" s="423" t="s">
        <v>3721</v>
      </c>
      <c r="E48" s="424" t="s">
        <v>1529</v>
      </c>
      <c r="F48" s="189"/>
      <c r="G48" s="189" t="s">
        <v>1519</v>
      </c>
    </row>
    <row r="49" spans="1:7" s="185" customFormat="1" ht="18" customHeight="1" x14ac:dyDescent="0.3">
      <c r="A49" s="228">
        <v>44</v>
      </c>
      <c r="B49" s="828" t="s">
        <v>3722</v>
      </c>
      <c r="C49" s="829"/>
      <c r="D49" s="829"/>
      <c r="E49" s="829"/>
      <c r="F49" s="829"/>
      <c r="G49" s="830"/>
    </row>
    <row r="50" spans="1:7" s="185" customFormat="1" ht="56.25" x14ac:dyDescent="0.3">
      <c r="A50" s="228">
        <v>45</v>
      </c>
      <c r="B50" s="422" t="s">
        <v>723</v>
      </c>
      <c r="C50" s="422" t="str" cm="1">
        <f t="array" ref="C50">"Primary Pump " &amp; Chiller2</f>
        <v>Primary Pump ERROR</v>
      </c>
      <c r="D50" s="423" t="s">
        <v>3723</v>
      </c>
      <c r="E50" s="424" t="s">
        <v>1529</v>
      </c>
      <c r="F50" s="189"/>
      <c r="G50" s="189" t="s">
        <v>1519</v>
      </c>
    </row>
    <row r="51" spans="1:7" s="185" customFormat="1" ht="56.25" x14ac:dyDescent="0.3">
      <c r="A51" s="228">
        <v>46</v>
      </c>
      <c r="B51" s="422" t="s">
        <v>723</v>
      </c>
      <c r="C51" s="422" t="str" cm="1">
        <f t="array" ref="C51">"Primary Pump " &amp; Chiller2</f>
        <v>Primary Pump ERROR</v>
      </c>
      <c r="D51" s="423" t="s">
        <v>3724</v>
      </c>
      <c r="E51" s="424" t="s">
        <v>1529</v>
      </c>
      <c r="F51" s="189"/>
      <c r="G51" s="189" t="s">
        <v>1519</v>
      </c>
    </row>
    <row r="52" spans="1:7" s="185" customFormat="1" ht="56.25" x14ac:dyDescent="0.3">
      <c r="A52" s="228">
        <v>47</v>
      </c>
      <c r="B52" s="422" t="s">
        <v>723</v>
      </c>
      <c r="C52" s="422" t="str" cm="1">
        <f t="array" ref="C52">"Primary Pump " &amp; Chiller2</f>
        <v>Primary Pump ERROR</v>
      </c>
      <c r="D52" s="423" t="s">
        <v>3725</v>
      </c>
      <c r="E52" s="424" t="s">
        <v>1529</v>
      </c>
      <c r="F52" s="189"/>
      <c r="G52" s="189" t="s">
        <v>1519</v>
      </c>
    </row>
    <row r="53" spans="1:7" s="185" customFormat="1" ht="56.25" x14ac:dyDescent="0.3">
      <c r="A53" s="228">
        <v>48</v>
      </c>
      <c r="B53" s="422" t="s">
        <v>723</v>
      </c>
      <c r="C53" s="422" t="str" cm="1">
        <f t="array" ref="C53">"Primary Pump " &amp; Chiller2</f>
        <v>Primary Pump ERROR</v>
      </c>
      <c r="D53" s="423" t="s">
        <v>3726</v>
      </c>
      <c r="E53" s="424" t="s">
        <v>1529</v>
      </c>
      <c r="F53" s="189"/>
      <c r="G53" s="189" t="s">
        <v>1519</v>
      </c>
    </row>
    <row r="54" spans="1:7" s="185" customFormat="1" ht="56.25" x14ac:dyDescent="0.3">
      <c r="A54" s="228">
        <v>49</v>
      </c>
      <c r="B54" s="422" t="s">
        <v>723</v>
      </c>
      <c r="C54" s="422" t="str" cm="1">
        <f t="array" ref="C54">"Primary Pump " &amp; Chiller2</f>
        <v>Primary Pump ERROR</v>
      </c>
      <c r="D54" s="423" t="s">
        <v>3727</v>
      </c>
      <c r="E54" s="424" t="s">
        <v>1529</v>
      </c>
      <c r="F54" s="189"/>
      <c r="G54" s="189" t="s">
        <v>1519</v>
      </c>
    </row>
    <row r="55" spans="1:7" s="185" customFormat="1" ht="18" customHeight="1" x14ac:dyDescent="0.3">
      <c r="A55" s="228">
        <v>50</v>
      </c>
      <c r="B55" s="828" t="s">
        <v>3728</v>
      </c>
      <c r="C55" s="829"/>
      <c r="D55" s="829"/>
      <c r="E55" s="829"/>
      <c r="F55" s="829"/>
      <c r="G55" s="830"/>
    </row>
    <row r="56" spans="1:7" s="185" customFormat="1" ht="56.25" x14ac:dyDescent="0.3">
      <c r="A56" s="228">
        <v>51</v>
      </c>
      <c r="B56" s="422" t="s">
        <v>723</v>
      </c>
      <c r="C56" s="422" t="str" cm="1">
        <f t="array" ref="C56">"Primary Pump " &amp; Chiller2</f>
        <v>Primary Pump ERROR</v>
      </c>
      <c r="D56" s="423" t="s">
        <v>3729</v>
      </c>
      <c r="E56" s="424" t="s">
        <v>1529</v>
      </c>
      <c r="F56" s="189"/>
      <c r="G56" s="189" t="s">
        <v>1519</v>
      </c>
    </row>
    <row r="57" spans="1:7" s="185" customFormat="1" ht="56.25" x14ac:dyDescent="0.3">
      <c r="A57" s="228">
        <v>52</v>
      </c>
      <c r="B57" s="422" t="s">
        <v>723</v>
      </c>
      <c r="C57" s="422" t="str" cm="1">
        <f t="array" ref="C57">"Primary Pump " &amp; Chiller2</f>
        <v>Primary Pump ERROR</v>
      </c>
      <c r="D57" s="423" t="s">
        <v>3730</v>
      </c>
      <c r="E57" s="424" t="s">
        <v>1529</v>
      </c>
      <c r="F57" s="189"/>
      <c r="G57" s="189" t="s">
        <v>1519</v>
      </c>
    </row>
    <row r="58" spans="1:7" s="185" customFormat="1" ht="56.25" x14ac:dyDescent="0.3">
      <c r="A58" s="228">
        <v>53</v>
      </c>
      <c r="B58" s="422" t="s">
        <v>723</v>
      </c>
      <c r="C58" s="422" t="str" cm="1">
        <f t="array" ref="C58">"Primary Pump " &amp; Chiller2</f>
        <v>Primary Pump ERROR</v>
      </c>
      <c r="D58" s="425" t="s">
        <v>3731</v>
      </c>
      <c r="E58" s="424" t="s">
        <v>1529</v>
      </c>
      <c r="F58" s="189"/>
      <c r="G58" s="189" t="s">
        <v>1519</v>
      </c>
    </row>
    <row r="59" spans="1:7" s="185" customFormat="1" ht="56.25" x14ac:dyDescent="0.3">
      <c r="A59" s="228">
        <v>54</v>
      </c>
      <c r="B59" s="422" t="s">
        <v>723</v>
      </c>
      <c r="C59" s="422" t="str" cm="1">
        <f t="array" ref="C59">"Primary Pump " &amp; Chiller2</f>
        <v>Primary Pump ERROR</v>
      </c>
      <c r="D59" s="423" t="s">
        <v>3732</v>
      </c>
      <c r="E59" s="424" t="s">
        <v>1529</v>
      </c>
      <c r="F59" s="189"/>
      <c r="G59" s="189" t="s">
        <v>1519</v>
      </c>
    </row>
    <row r="60" spans="1:7" s="185" customFormat="1" ht="56.25" x14ac:dyDescent="0.3">
      <c r="A60" s="228">
        <v>55</v>
      </c>
      <c r="B60" s="422" t="s">
        <v>723</v>
      </c>
      <c r="C60" s="422" t="str" cm="1">
        <f t="array" ref="C60">"Primary Pump " &amp; Chiller2</f>
        <v>Primary Pump ERROR</v>
      </c>
      <c r="D60" s="423" t="s">
        <v>3733</v>
      </c>
      <c r="E60" s="424" t="s">
        <v>1529</v>
      </c>
      <c r="F60" s="189"/>
      <c r="G60" s="189" t="s">
        <v>1519</v>
      </c>
    </row>
    <row r="61" spans="1:7" s="185" customFormat="1" ht="56.25" x14ac:dyDescent="0.3">
      <c r="A61" s="228">
        <v>56</v>
      </c>
      <c r="B61" s="422" t="s">
        <v>723</v>
      </c>
      <c r="C61" s="422" t="str" cm="1">
        <f t="array" ref="C61">"Primary Pump " &amp; Chiller2</f>
        <v>Primary Pump ERROR</v>
      </c>
      <c r="D61" s="423" t="s">
        <v>3734</v>
      </c>
      <c r="E61" s="424" t="s">
        <v>1529</v>
      </c>
      <c r="F61" s="189"/>
      <c r="G61" s="189" t="s">
        <v>1519</v>
      </c>
    </row>
    <row r="62" spans="1:7" s="185" customFormat="1" ht="56.25" x14ac:dyDescent="0.3">
      <c r="A62" s="228">
        <v>57</v>
      </c>
      <c r="B62" s="422" t="s">
        <v>723</v>
      </c>
      <c r="C62" s="422" t="str" cm="1">
        <f t="array" ref="C62">"Primary Pump " &amp; Chiller2</f>
        <v>Primary Pump ERROR</v>
      </c>
      <c r="D62" s="423" t="s">
        <v>3735</v>
      </c>
      <c r="E62" s="424" t="s">
        <v>1529</v>
      </c>
      <c r="F62" s="189"/>
      <c r="G62" s="189" t="s">
        <v>1519</v>
      </c>
    </row>
    <row r="63" spans="1:7" s="185" customFormat="1" ht="18" customHeight="1" x14ac:dyDescent="0.3">
      <c r="A63" s="228">
        <v>58</v>
      </c>
      <c r="B63" s="828" t="s">
        <v>3736</v>
      </c>
      <c r="C63" s="829"/>
      <c r="D63" s="829"/>
      <c r="E63" s="829"/>
      <c r="F63" s="829"/>
      <c r="G63" s="830"/>
    </row>
    <row r="64" spans="1:7" s="185" customFormat="1" ht="56.25" x14ac:dyDescent="0.3">
      <c r="A64" s="228">
        <v>59</v>
      </c>
      <c r="B64" s="422" t="s">
        <v>723</v>
      </c>
      <c r="C64" s="422" t="str" cm="1">
        <f t="array" ref="C64">"Primary Pump " &amp; Chiller2</f>
        <v>Primary Pump ERROR</v>
      </c>
      <c r="D64" s="423" t="s">
        <v>3737</v>
      </c>
      <c r="E64" s="424" t="s">
        <v>1529</v>
      </c>
      <c r="F64" s="189"/>
      <c r="G64" s="189" t="s">
        <v>1519</v>
      </c>
    </row>
    <row r="65" spans="1:7" s="185" customFormat="1" ht="56.25" x14ac:dyDescent="0.3">
      <c r="A65" s="228">
        <v>60</v>
      </c>
      <c r="B65" s="422" t="s">
        <v>723</v>
      </c>
      <c r="C65" s="422" t="str" cm="1">
        <f t="array" ref="C65">"Primary Pump " &amp; Chiller2</f>
        <v>Primary Pump ERROR</v>
      </c>
      <c r="D65" s="423" t="s">
        <v>3738</v>
      </c>
      <c r="E65" s="424" t="s">
        <v>1529</v>
      </c>
      <c r="F65" s="189"/>
      <c r="G65" s="189" t="s">
        <v>1519</v>
      </c>
    </row>
    <row r="66" spans="1:7" s="185" customFormat="1" ht="56.25" x14ac:dyDescent="0.3">
      <c r="A66" s="228">
        <v>61</v>
      </c>
      <c r="B66" s="422" t="s">
        <v>723</v>
      </c>
      <c r="C66" s="422" t="str" cm="1">
        <f t="array" ref="C66">"Primary Pump " &amp; Chiller2</f>
        <v>Primary Pump ERROR</v>
      </c>
      <c r="D66" s="423" t="s">
        <v>3739</v>
      </c>
      <c r="E66" s="424" t="s">
        <v>1529</v>
      </c>
      <c r="F66" s="189"/>
      <c r="G66" s="189" t="s">
        <v>1519</v>
      </c>
    </row>
    <row r="67" spans="1:7" s="185" customFormat="1" ht="56.25" x14ac:dyDescent="0.3">
      <c r="A67" s="228">
        <v>62</v>
      </c>
      <c r="B67" s="422" t="s">
        <v>723</v>
      </c>
      <c r="C67" s="422" t="str" cm="1">
        <f t="array" ref="C67">"Primary Pump " &amp; Chiller2</f>
        <v>Primary Pump ERROR</v>
      </c>
      <c r="D67" s="423" t="s">
        <v>3740</v>
      </c>
      <c r="E67" s="424" t="s">
        <v>1529</v>
      </c>
      <c r="F67" s="189"/>
      <c r="G67" s="189" t="s">
        <v>1519</v>
      </c>
    </row>
    <row r="68" spans="1:7" s="185" customFormat="1" ht="18" customHeight="1" x14ac:dyDescent="0.3">
      <c r="A68" s="228">
        <v>63</v>
      </c>
      <c r="B68" s="828" t="s">
        <v>3741</v>
      </c>
      <c r="C68" s="829"/>
      <c r="D68" s="829"/>
      <c r="E68" s="829"/>
      <c r="F68" s="829"/>
      <c r="G68" s="830"/>
    </row>
    <row r="69" spans="1:7" s="185" customFormat="1" ht="56.25" x14ac:dyDescent="0.3">
      <c r="A69" s="228">
        <v>64</v>
      </c>
      <c r="B69" s="422" t="s">
        <v>723</v>
      </c>
      <c r="C69" s="422" t="str" cm="1">
        <f t="array" ref="C69">"Primary Pump " &amp; Chiller2</f>
        <v>Primary Pump ERROR</v>
      </c>
      <c r="D69" s="423" t="s">
        <v>3742</v>
      </c>
      <c r="E69" s="424" t="s">
        <v>1529</v>
      </c>
      <c r="F69" s="189"/>
      <c r="G69" s="189" t="s">
        <v>1519</v>
      </c>
    </row>
    <row r="70" spans="1:7" s="185" customFormat="1" ht="56.25" x14ac:dyDescent="0.3">
      <c r="A70" s="228">
        <v>65</v>
      </c>
      <c r="B70" s="422" t="s">
        <v>723</v>
      </c>
      <c r="C70" s="422" t="str" cm="1">
        <f t="array" ref="C70">"Primary Pump " &amp; Chiller2</f>
        <v>Primary Pump ERROR</v>
      </c>
      <c r="D70" s="423" t="s">
        <v>3743</v>
      </c>
      <c r="E70" s="424" t="s">
        <v>1529</v>
      </c>
      <c r="F70" s="189"/>
      <c r="G70" s="189" t="s">
        <v>1519</v>
      </c>
    </row>
    <row r="71" spans="1:7" s="185" customFormat="1" ht="56.25" x14ac:dyDescent="0.3">
      <c r="A71" s="228">
        <v>66</v>
      </c>
      <c r="B71" s="422" t="s">
        <v>723</v>
      </c>
      <c r="C71" s="422" t="str" cm="1">
        <f t="array" ref="C71">"Primary Pump " &amp; Chiller2</f>
        <v>Primary Pump ERROR</v>
      </c>
      <c r="D71" s="423" t="s">
        <v>3744</v>
      </c>
      <c r="E71" s="424" t="s">
        <v>1529</v>
      </c>
      <c r="F71" s="189"/>
      <c r="G71" s="189" t="s">
        <v>1519</v>
      </c>
    </row>
    <row r="72" spans="1:7" s="185" customFormat="1" ht="56.25" x14ac:dyDescent="0.3">
      <c r="A72" s="228">
        <v>67</v>
      </c>
      <c r="B72" s="422" t="s">
        <v>723</v>
      </c>
      <c r="C72" s="422" t="str" cm="1">
        <f t="array" ref="C72">"Primary Pump " &amp; Chiller2</f>
        <v>Primary Pump ERROR</v>
      </c>
      <c r="D72" s="423" t="s">
        <v>3745</v>
      </c>
      <c r="E72" s="424" t="s">
        <v>1529</v>
      </c>
      <c r="F72" s="189"/>
      <c r="G72" s="189" t="s">
        <v>1519</v>
      </c>
    </row>
    <row r="73" spans="1:7" s="185" customFormat="1" ht="56.25" x14ac:dyDescent="0.3">
      <c r="A73" s="228">
        <v>68</v>
      </c>
      <c r="B73" s="422" t="s">
        <v>723</v>
      </c>
      <c r="C73" s="422" t="str" cm="1">
        <f t="array" ref="C73">"Primary Pump " &amp; Chiller2</f>
        <v>Primary Pump ERROR</v>
      </c>
      <c r="D73" s="423" t="s">
        <v>3746</v>
      </c>
      <c r="E73" s="424" t="s">
        <v>1529</v>
      </c>
      <c r="F73" s="189"/>
      <c r="G73" s="189" t="s">
        <v>1519</v>
      </c>
    </row>
    <row r="74" spans="1:7" s="185" customFormat="1" ht="56.25" x14ac:dyDescent="0.3">
      <c r="A74" s="228">
        <v>69</v>
      </c>
      <c r="B74" s="422" t="s">
        <v>723</v>
      </c>
      <c r="C74" s="422" t="str" cm="1">
        <f t="array" ref="C74">"Primary Pump " &amp; Chiller2</f>
        <v>Primary Pump ERROR</v>
      </c>
      <c r="D74" s="423" t="s">
        <v>3747</v>
      </c>
      <c r="E74" s="424" t="s">
        <v>1529</v>
      </c>
      <c r="F74" s="189"/>
      <c r="G74" s="189" t="s">
        <v>1519</v>
      </c>
    </row>
    <row r="75" spans="1:7" s="185" customFormat="1" ht="56.25" x14ac:dyDescent="0.3">
      <c r="A75" s="228">
        <v>70</v>
      </c>
      <c r="B75" s="422" t="s">
        <v>723</v>
      </c>
      <c r="C75" s="422" t="str" cm="1">
        <f t="array" ref="C75">"Primary Pump " &amp; Chiller2</f>
        <v>Primary Pump ERROR</v>
      </c>
      <c r="D75" s="423" t="s">
        <v>3748</v>
      </c>
      <c r="E75" s="424" t="s">
        <v>1529</v>
      </c>
      <c r="F75" s="189"/>
      <c r="G75" s="189" t="s">
        <v>1519</v>
      </c>
    </row>
    <row r="76" spans="1:7" x14ac:dyDescent="0.25">
      <c r="A76" s="228">
        <v>71</v>
      </c>
      <c r="B76" s="753" t="str" cm="1">
        <f t="array" ref="B76">"Perform SAPM On Primary Pump " &amp; Chiller3</f>
        <v>Perform SAPM On Primary Pump ERROR</v>
      </c>
      <c r="C76" s="754"/>
      <c r="D76" s="754"/>
      <c r="E76" s="754"/>
      <c r="F76" s="754"/>
      <c r="G76" s="755"/>
    </row>
    <row r="77" spans="1:7" s="185" customFormat="1" ht="56.25" x14ac:dyDescent="0.3">
      <c r="A77" s="228">
        <v>72</v>
      </c>
      <c r="B77" s="422" t="s">
        <v>723</v>
      </c>
      <c r="C77" s="422" t="str" cm="1">
        <f t="array" ref="C77">"Primary Pump " &amp; Chiller3</f>
        <v>Primary Pump ERROR</v>
      </c>
      <c r="D77" s="423" t="s">
        <v>3716</v>
      </c>
      <c r="E77" s="424" t="s">
        <v>1529</v>
      </c>
      <c r="F77" s="189"/>
      <c r="G77" s="189" t="s">
        <v>1519</v>
      </c>
    </row>
    <row r="78" spans="1:7" s="185" customFormat="1" ht="56.25" x14ac:dyDescent="0.3">
      <c r="A78" s="228">
        <v>73</v>
      </c>
      <c r="B78" s="422" t="s">
        <v>723</v>
      </c>
      <c r="C78" s="422" t="str" cm="1">
        <f t="array" ref="C78">"Primary Pump " &amp; Chiller3</f>
        <v>Primary Pump ERROR</v>
      </c>
      <c r="D78" s="423" t="s">
        <v>3717</v>
      </c>
      <c r="E78" s="424" t="s">
        <v>1529</v>
      </c>
      <c r="F78" s="189"/>
      <c r="G78" s="189" t="s">
        <v>1519</v>
      </c>
    </row>
    <row r="79" spans="1:7" s="185" customFormat="1" ht="56.25" x14ac:dyDescent="0.3">
      <c r="A79" s="228">
        <v>74</v>
      </c>
      <c r="B79" s="422" t="s">
        <v>723</v>
      </c>
      <c r="C79" s="422" t="str" cm="1">
        <f t="array" ref="C79">"Primary Pump " &amp; Chiller3</f>
        <v>Primary Pump ERROR</v>
      </c>
      <c r="D79" s="423" t="s">
        <v>3718</v>
      </c>
      <c r="E79" s="424" t="s">
        <v>1529</v>
      </c>
      <c r="F79" s="189"/>
      <c r="G79" s="189" t="s">
        <v>1519</v>
      </c>
    </row>
    <row r="80" spans="1:7" s="185" customFormat="1" ht="56.25" x14ac:dyDescent="0.3">
      <c r="A80" s="228">
        <v>75</v>
      </c>
      <c r="B80" s="422" t="s">
        <v>723</v>
      </c>
      <c r="C80" s="422" t="str" cm="1">
        <f t="array" ref="C80">"Primary Pump " &amp; Chiller3</f>
        <v>Primary Pump ERROR</v>
      </c>
      <c r="D80" s="423" t="s">
        <v>3719</v>
      </c>
      <c r="E80" s="424" t="s">
        <v>1529</v>
      </c>
      <c r="F80" s="189"/>
      <c r="G80" s="189" t="s">
        <v>1519</v>
      </c>
    </row>
    <row r="81" spans="1:7" s="185" customFormat="1" ht="56.25" x14ac:dyDescent="0.3">
      <c r="A81" s="228">
        <v>76</v>
      </c>
      <c r="B81" s="422" t="s">
        <v>723</v>
      </c>
      <c r="C81" s="422" t="str" cm="1">
        <f t="array" ref="C81">"Primary Pump " &amp; Chiller3</f>
        <v>Primary Pump ERROR</v>
      </c>
      <c r="D81" s="423" t="s">
        <v>3750</v>
      </c>
      <c r="E81" s="424" t="s">
        <v>1529</v>
      </c>
      <c r="F81" s="189"/>
      <c r="G81" s="189" t="s">
        <v>1519</v>
      </c>
    </row>
    <row r="82" spans="1:7" s="185" customFormat="1" ht="56.25" x14ac:dyDescent="0.3">
      <c r="A82" s="228">
        <v>77</v>
      </c>
      <c r="B82" s="422" t="s">
        <v>723</v>
      </c>
      <c r="C82" s="422" t="str" cm="1">
        <f t="array" ref="C82">"Primary Pump " &amp; Chiller3</f>
        <v>Primary Pump ERROR</v>
      </c>
      <c r="D82" s="423" t="s">
        <v>3721</v>
      </c>
      <c r="E82" s="424" t="s">
        <v>1529</v>
      </c>
      <c r="F82" s="189"/>
      <c r="G82" s="189" t="s">
        <v>1519</v>
      </c>
    </row>
    <row r="83" spans="1:7" s="185" customFormat="1" ht="18" customHeight="1" x14ac:dyDescent="0.3">
      <c r="A83" s="228">
        <v>78</v>
      </c>
      <c r="B83" s="828" t="s">
        <v>3722</v>
      </c>
      <c r="C83" s="829"/>
      <c r="D83" s="829"/>
      <c r="E83" s="829"/>
      <c r="F83" s="829"/>
      <c r="G83" s="830"/>
    </row>
    <row r="84" spans="1:7" s="185" customFormat="1" ht="56.25" x14ac:dyDescent="0.3">
      <c r="A84" s="228">
        <v>79</v>
      </c>
      <c r="B84" s="422" t="s">
        <v>723</v>
      </c>
      <c r="C84" s="422" t="str" cm="1">
        <f t="array" ref="C84">"Primary Pump " &amp; Chiller3</f>
        <v>Primary Pump ERROR</v>
      </c>
      <c r="D84" s="423" t="s">
        <v>3723</v>
      </c>
      <c r="E84" s="424" t="s">
        <v>1529</v>
      </c>
      <c r="F84" s="189"/>
      <c r="G84" s="189" t="s">
        <v>1519</v>
      </c>
    </row>
    <row r="85" spans="1:7" s="185" customFormat="1" ht="56.25" x14ac:dyDescent="0.3">
      <c r="A85" s="228">
        <v>80</v>
      </c>
      <c r="B85" s="422" t="s">
        <v>723</v>
      </c>
      <c r="C85" s="422" t="str" cm="1">
        <f t="array" ref="C85">"Primary Pump " &amp; Chiller3</f>
        <v>Primary Pump ERROR</v>
      </c>
      <c r="D85" s="423" t="s">
        <v>3724</v>
      </c>
      <c r="E85" s="424" t="s">
        <v>1529</v>
      </c>
      <c r="F85" s="189"/>
      <c r="G85" s="189" t="s">
        <v>1519</v>
      </c>
    </row>
    <row r="86" spans="1:7" s="185" customFormat="1" ht="56.25" x14ac:dyDescent="0.3">
      <c r="A86" s="228">
        <v>81</v>
      </c>
      <c r="B86" s="422" t="s">
        <v>723</v>
      </c>
      <c r="C86" s="422" t="str" cm="1">
        <f t="array" ref="C86">"Primary Pump " &amp; Chiller3</f>
        <v>Primary Pump ERROR</v>
      </c>
      <c r="D86" s="423" t="s">
        <v>3725</v>
      </c>
      <c r="E86" s="424" t="s">
        <v>1529</v>
      </c>
      <c r="F86" s="189"/>
      <c r="G86" s="189" t="s">
        <v>1519</v>
      </c>
    </row>
    <row r="87" spans="1:7" s="185" customFormat="1" ht="56.25" x14ac:dyDescent="0.3">
      <c r="A87" s="228">
        <v>82</v>
      </c>
      <c r="B87" s="422" t="s">
        <v>723</v>
      </c>
      <c r="C87" s="422" t="str" cm="1">
        <f t="array" ref="C87">"Primary Pump " &amp; Chiller3</f>
        <v>Primary Pump ERROR</v>
      </c>
      <c r="D87" s="423" t="s">
        <v>3726</v>
      </c>
      <c r="E87" s="424" t="s">
        <v>1529</v>
      </c>
      <c r="F87" s="189"/>
      <c r="G87" s="189" t="s">
        <v>1519</v>
      </c>
    </row>
    <row r="88" spans="1:7" s="185" customFormat="1" ht="56.25" x14ac:dyDescent="0.3">
      <c r="A88" s="228">
        <v>83</v>
      </c>
      <c r="B88" s="422" t="s">
        <v>723</v>
      </c>
      <c r="C88" s="422" t="str" cm="1">
        <f t="array" ref="C88">"Primary Pump " &amp; Chiller3</f>
        <v>Primary Pump ERROR</v>
      </c>
      <c r="D88" s="423" t="s">
        <v>3727</v>
      </c>
      <c r="E88" s="424" t="s">
        <v>1529</v>
      </c>
      <c r="F88" s="189"/>
      <c r="G88" s="189" t="s">
        <v>1519</v>
      </c>
    </row>
    <row r="89" spans="1:7" s="185" customFormat="1" ht="18" customHeight="1" x14ac:dyDescent="0.3">
      <c r="A89" s="228">
        <v>84</v>
      </c>
      <c r="B89" s="828" t="s">
        <v>3728</v>
      </c>
      <c r="C89" s="829"/>
      <c r="D89" s="829"/>
      <c r="E89" s="829"/>
      <c r="F89" s="829"/>
      <c r="G89" s="830"/>
    </row>
    <row r="90" spans="1:7" s="185" customFormat="1" ht="56.25" x14ac:dyDescent="0.3">
      <c r="A90" s="228">
        <v>85</v>
      </c>
      <c r="B90" s="422" t="s">
        <v>723</v>
      </c>
      <c r="C90" s="422" t="str" cm="1">
        <f t="array" ref="C90">"Primary Pump " &amp; Chiller3</f>
        <v>Primary Pump ERROR</v>
      </c>
      <c r="D90" s="423" t="s">
        <v>3729</v>
      </c>
      <c r="E90" s="424" t="s">
        <v>1529</v>
      </c>
      <c r="F90" s="189"/>
      <c r="G90" s="189" t="s">
        <v>1519</v>
      </c>
    </row>
    <row r="91" spans="1:7" s="185" customFormat="1" ht="56.25" x14ac:dyDescent="0.3">
      <c r="A91" s="228">
        <v>86</v>
      </c>
      <c r="B91" s="422" t="s">
        <v>723</v>
      </c>
      <c r="C91" s="422" t="str" cm="1">
        <f t="array" ref="C91">"Primary Pump " &amp; Chiller3</f>
        <v>Primary Pump ERROR</v>
      </c>
      <c r="D91" s="423" t="s">
        <v>3730</v>
      </c>
      <c r="E91" s="424" t="s">
        <v>1529</v>
      </c>
      <c r="F91" s="189"/>
      <c r="G91" s="189" t="s">
        <v>1519</v>
      </c>
    </row>
    <row r="92" spans="1:7" s="185" customFormat="1" ht="56.25" x14ac:dyDescent="0.3">
      <c r="A92" s="228">
        <v>87</v>
      </c>
      <c r="B92" s="422" t="s">
        <v>723</v>
      </c>
      <c r="C92" s="422" t="str" cm="1">
        <f t="array" ref="C92">"Primary Pump " &amp; Chiller3</f>
        <v>Primary Pump ERROR</v>
      </c>
      <c r="D92" s="425" t="s">
        <v>3731</v>
      </c>
      <c r="E92" s="424" t="s">
        <v>1529</v>
      </c>
      <c r="F92" s="189"/>
      <c r="G92" s="189" t="s">
        <v>1519</v>
      </c>
    </row>
    <row r="93" spans="1:7" s="185" customFormat="1" ht="56.25" x14ac:dyDescent="0.3">
      <c r="A93" s="228">
        <v>88</v>
      </c>
      <c r="B93" s="422" t="s">
        <v>723</v>
      </c>
      <c r="C93" s="422" t="str" cm="1">
        <f t="array" ref="C93">"Primary Pump " &amp; Chiller3</f>
        <v>Primary Pump ERROR</v>
      </c>
      <c r="D93" s="423" t="s">
        <v>3732</v>
      </c>
      <c r="E93" s="424" t="s">
        <v>1529</v>
      </c>
      <c r="F93" s="189"/>
      <c r="G93" s="189" t="s">
        <v>1519</v>
      </c>
    </row>
    <row r="94" spans="1:7" s="185" customFormat="1" ht="56.25" x14ac:dyDescent="0.3">
      <c r="A94" s="228">
        <v>89</v>
      </c>
      <c r="B94" s="422" t="s">
        <v>723</v>
      </c>
      <c r="C94" s="422" t="str" cm="1">
        <f t="array" ref="C94">"Primary Pump " &amp; Chiller3</f>
        <v>Primary Pump ERROR</v>
      </c>
      <c r="D94" s="423" t="s">
        <v>3733</v>
      </c>
      <c r="E94" s="424" t="s">
        <v>1529</v>
      </c>
      <c r="F94" s="189"/>
      <c r="G94" s="189" t="s">
        <v>1519</v>
      </c>
    </row>
    <row r="95" spans="1:7" s="185" customFormat="1" ht="56.25" x14ac:dyDescent="0.3">
      <c r="A95" s="228">
        <v>90</v>
      </c>
      <c r="B95" s="422" t="s">
        <v>723</v>
      </c>
      <c r="C95" s="422" t="str" cm="1">
        <f t="array" ref="C95">"Primary Pump " &amp; Chiller3</f>
        <v>Primary Pump ERROR</v>
      </c>
      <c r="D95" s="423" t="s">
        <v>3734</v>
      </c>
      <c r="E95" s="424" t="s">
        <v>1529</v>
      </c>
      <c r="F95" s="189"/>
      <c r="G95" s="189" t="s">
        <v>1519</v>
      </c>
    </row>
    <row r="96" spans="1:7" s="185" customFormat="1" ht="56.25" x14ac:dyDescent="0.3">
      <c r="A96" s="228">
        <v>91</v>
      </c>
      <c r="B96" s="422" t="s">
        <v>723</v>
      </c>
      <c r="C96" s="422" t="str" cm="1">
        <f t="array" ref="C96">"Primary Pump " &amp; Chiller3</f>
        <v>Primary Pump ERROR</v>
      </c>
      <c r="D96" s="423" t="s">
        <v>3735</v>
      </c>
      <c r="E96" s="424" t="s">
        <v>1529</v>
      </c>
      <c r="F96" s="189"/>
      <c r="G96" s="189" t="s">
        <v>1519</v>
      </c>
    </row>
    <row r="97" spans="1:7" s="185" customFormat="1" ht="18" customHeight="1" x14ac:dyDescent="0.3">
      <c r="A97" s="228">
        <v>92</v>
      </c>
      <c r="B97" s="828" t="s">
        <v>3736</v>
      </c>
      <c r="C97" s="829"/>
      <c r="D97" s="829"/>
      <c r="E97" s="829"/>
      <c r="F97" s="829"/>
      <c r="G97" s="830"/>
    </row>
    <row r="98" spans="1:7" s="185" customFormat="1" ht="56.25" x14ac:dyDescent="0.3">
      <c r="A98" s="228">
        <v>93</v>
      </c>
      <c r="B98" s="422" t="s">
        <v>723</v>
      </c>
      <c r="C98" s="422" t="str" cm="1">
        <f t="array" ref="C98">"Primary Pump " &amp; Chiller3</f>
        <v>Primary Pump ERROR</v>
      </c>
      <c r="D98" s="423" t="s">
        <v>3737</v>
      </c>
      <c r="E98" s="424" t="s">
        <v>1529</v>
      </c>
      <c r="F98" s="189"/>
      <c r="G98" s="189" t="s">
        <v>1519</v>
      </c>
    </row>
    <row r="99" spans="1:7" s="185" customFormat="1" ht="56.25" x14ac:dyDescent="0.3">
      <c r="A99" s="228">
        <v>94</v>
      </c>
      <c r="B99" s="422" t="s">
        <v>723</v>
      </c>
      <c r="C99" s="422" t="str" cm="1">
        <f t="array" ref="C99">"Primary Pump " &amp; Chiller3</f>
        <v>Primary Pump ERROR</v>
      </c>
      <c r="D99" s="423" t="s">
        <v>3738</v>
      </c>
      <c r="E99" s="424" t="s">
        <v>1529</v>
      </c>
      <c r="F99" s="189"/>
      <c r="G99" s="189" t="s">
        <v>1519</v>
      </c>
    </row>
    <row r="100" spans="1:7" s="185" customFormat="1" ht="56.25" x14ac:dyDescent="0.3">
      <c r="A100" s="228">
        <v>95</v>
      </c>
      <c r="B100" s="422" t="s">
        <v>723</v>
      </c>
      <c r="C100" s="422" t="str" cm="1">
        <f t="array" ref="C100">"Primary Pump " &amp; Chiller3</f>
        <v>Primary Pump ERROR</v>
      </c>
      <c r="D100" s="423" t="s">
        <v>3739</v>
      </c>
      <c r="E100" s="424" t="s">
        <v>1529</v>
      </c>
      <c r="F100" s="189"/>
      <c r="G100" s="189" t="s">
        <v>1519</v>
      </c>
    </row>
    <row r="101" spans="1:7" s="185" customFormat="1" ht="56.25" x14ac:dyDescent="0.3">
      <c r="A101" s="228">
        <v>96</v>
      </c>
      <c r="B101" s="422" t="s">
        <v>723</v>
      </c>
      <c r="C101" s="422" t="str" cm="1">
        <f t="array" ref="C101">"Primary Pump " &amp; Chiller3</f>
        <v>Primary Pump ERROR</v>
      </c>
      <c r="D101" s="423" t="s">
        <v>3740</v>
      </c>
      <c r="E101" s="424" t="s">
        <v>1529</v>
      </c>
      <c r="F101" s="189"/>
      <c r="G101" s="189" t="s">
        <v>1519</v>
      </c>
    </row>
    <row r="102" spans="1:7" s="185" customFormat="1" ht="18" customHeight="1" x14ac:dyDescent="0.3">
      <c r="A102" s="228">
        <v>97</v>
      </c>
      <c r="B102" s="828" t="s">
        <v>3741</v>
      </c>
      <c r="C102" s="829"/>
      <c r="D102" s="829"/>
      <c r="E102" s="829"/>
      <c r="F102" s="829"/>
      <c r="G102" s="830"/>
    </row>
    <row r="103" spans="1:7" s="185" customFormat="1" ht="56.25" x14ac:dyDescent="0.3">
      <c r="A103" s="228">
        <v>98</v>
      </c>
      <c r="B103" s="422" t="s">
        <v>723</v>
      </c>
      <c r="C103" s="422" t="str" cm="1">
        <f t="array" ref="C103">"Primary Pump " &amp; Chiller3</f>
        <v>Primary Pump ERROR</v>
      </c>
      <c r="D103" s="423" t="s">
        <v>3742</v>
      </c>
      <c r="E103" s="424" t="s">
        <v>1529</v>
      </c>
      <c r="F103" s="189"/>
      <c r="G103" s="189" t="s">
        <v>1519</v>
      </c>
    </row>
    <row r="104" spans="1:7" s="185" customFormat="1" ht="56.25" x14ac:dyDescent="0.3">
      <c r="A104" s="228">
        <v>99</v>
      </c>
      <c r="B104" s="422" t="s">
        <v>723</v>
      </c>
      <c r="C104" s="422" t="str" cm="1">
        <f t="array" ref="C104">"Primary Pump " &amp; Chiller3</f>
        <v>Primary Pump ERROR</v>
      </c>
      <c r="D104" s="423" t="s">
        <v>3743</v>
      </c>
      <c r="E104" s="424" t="s">
        <v>1529</v>
      </c>
      <c r="F104" s="189"/>
      <c r="G104" s="189" t="s">
        <v>1519</v>
      </c>
    </row>
    <row r="105" spans="1:7" s="185" customFormat="1" ht="56.25" x14ac:dyDescent="0.3">
      <c r="A105" s="228">
        <v>100</v>
      </c>
      <c r="B105" s="422" t="s">
        <v>723</v>
      </c>
      <c r="C105" s="422" t="str" cm="1">
        <f t="array" ref="C105">"Primary Pump " &amp; Chiller3</f>
        <v>Primary Pump ERROR</v>
      </c>
      <c r="D105" s="423" t="s">
        <v>3744</v>
      </c>
      <c r="E105" s="424" t="s">
        <v>1529</v>
      </c>
      <c r="F105" s="189"/>
      <c r="G105" s="189" t="s">
        <v>1519</v>
      </c>
    </row>
    <row r="106" spans="1:7" s="185" customFormat="1" ht="56.25" x14ac:dyDescent="0.3">
      <c r="A106" s="228">
        <v>101</v>
      </c>
      <c r="B106" s="422" t="s">
        <v>723</v>
      </c>
      <c r="C106" s="422" t="str" cm="1">
        <f t="array" ref="C106">"Primary Pump " &amp; Chiller3</f>
        <v>Primary Pump ERROR</v>
      </c>
      <c r="D106" s="423" t="s">
        <v>3745</v>
      </c>
      <c r="E106" s="424" t="s">
        <v>1529</v>
      </c>
      <c r="F106" s="189"/>
      <c r="G106" s="189" t="s">
        <v>1519</v>
      </c>
    </row>
    <row r="107" spans="1:7" s="185" customFormat="1" ht="56.25" x14ac:dyDescent="0.3">
      <c r="A107" s="228">
        <v>102</v>
      </c>
      <c r="B107" s="422" t="s">
        <v>723</v>
      </c>
      <c r="C107" s="422" t="str" cm="1">
        <f t="array" ref="C107">"Primary Pump " &amp; Chiller3</f>
        <v>Primary Pump ERROR</v>
      </c>
      <c r="D107" s="423" t="s">
        <v>3746</v>
      </c>
      <c r="E107" s="424" t="s">
        <v>1529</v>
      </c>
      <c r="F107" s="189"/>
      <c r="G107" s="189" t="s">
        <v>1519</v>
      </c>
    </row>
    <row r="108" spans="1:7" s="185" customFormat="1" ht="56.25" x14ac:dyDescent="0.3">
      <c r="A108" s="228">
        <v>103</v>
      </c>
      <c r="B108" s="422" t="s">
        <v>723</v>
      </c>
      <c r="C108" s="422" t="str" cm="1">
        <f t="array" ref="C108">"Primary Pump " &amp; Chiller3</f>
        <v>Primary Pump ERROR</v>
      </c>
      <c r="D108" s="423" t="s">
        <v>3747</v>
      </c>
      <c r="E108" s="424" t="s">
        <v>1529</v>
      </c>
      <c r="F108" s="189"/>
      <c r="G108" s="189" t="s">
        <v>1519</v>
      </c>
    </row>
    <row r="109" spans="1:7" s="185" customFormat="1" ht="56.25" x14ac:dyDescent="0.3">
      <c r="A109" s="228">
        <v>104</v>
      </c>
      <c r="B109" s="422" t="s">
        <v>723</v>
      </c>
      <c r="C109" s="422" t="str" cm="1">
        <f t="array" ref="C109">"Primary Pump " &amp; Chiller3</f>
        <v>Primary Pump ERROR</v>
      </c>
      <c r="D109" s="423" t="s">
        <v>3748</v>
      </c>
      <c r="E109" s="424" t="s">
        <v>1529</v>
      </c>
      <c r="F109" s="189"/>
      <c r="G109" s="189" t="s">
        <v>1519</v>
      </c>
    </row>
    <row r="110" spans="1:7" s="185" customFormat="1" ht="18" customHeight="1" x14ac:dyDescent="0.3">
      <c r="A110" s="228">
        <v>105</v>
      </c>
      <c r="B110" s="828" t="s">
        <v>3751</v>
      </c>
      <c r="C110" s="829"/>
      <c r="D110" s="829"/>
      <c r="E110" s="829"/>
      <c r="F110" s="829"/>
      <c r="G110" s="830"/>
    </row>
    <row r="111" spans="1:7" s="185" customFormat="1" ht="37.5" x14ac:dyDescent="0.3">
      <c r="A111" s="228">
        <v>106</v>
      </c>
      <c r="B111" s="422" t="s">
        <v>723</v>
      </c>
      <c r="C111" s="422" t="s">
        <v>3752</v>
      </c>
      <c r="D111" s="425" t="s">
        <v>3716</v>
      </c>
      <c r="E111" s="424" t="s">
        <v>1529</v>
      </c>
      <c r="F111" s="189"/>
      <c r="G111" s="189" t="s">
        <v>1519</v>
      </c>
    </row>
    <row r="112" spans="1:7" s="185" customFormat="1" ht="37.5" x14ac:dyDescent="0.3">
      <c r="A112" s="228">
        <v>107</v>
      </c>
      <c r="B112" s="422" t="s">
        <v>723</v>
      </c>
      <c r="C112" s="422" t="s">
        <v>3752</v>
      </c>
      <c r="D112" s="425" t="s">
        <v>3717</v>
      </c>
      <c r="E112" s="424" t="s">
        <v>1529</v>
      </c>
      <c r="F112" s="189"/>
      <c r="G112" s="189" t="s">
        <v>1519</v>
      </c>
    </row>
    <row r="113" spans="1:7" s="185" customFormat="1" ht="37.5" x14ac:dyDescent="0.3">
      <c r="A113" s="228">
        <v>108</v>
      </c>
      <c r="B113" s="422" t="s">
        <v>723</v>
      </c>
      <c r="C113" s="422" t="s">
        <v>3752</v>
      </c>
      <c r="D113" s="425" t="s">
        <v>3718</v>
      </c>
      <c r="E113" s="424" t="s">
        <v>1529</v>
      </c>
      <c r="F113" s="189"/>
      <c r="G113" s="189" t="s">
        <v>1519</v>
      </c>
    </row>
    <row r="114" spans="1:7" s="185" customFormat="1" ht="37.5" x14ac:dyDescent="0.3">
      <c r="A114" s="228">
        <v>109</v>
      </c>
      <c r="B114" s="422" t="s">
        <v>723</v>
      </c>
      <c r="C114" s="422" t="s">
        <v>3752</v>
      </c>
      <c r="D114" s="425" t="s">
        <v>3719</v>
      </c>
      <c r="E114" s="424" t="s">
        <v>1529</v>
      </c>
      <c r="F114" s="189"/>
      <c r="G114" s="189" t="s">
        <v>1519</v>
      </c>
    </row>
    <row r="115" spans="1:7" s="185" customFormat="1" ht="37.5" x14ac:dyDescent="0.3">
      <c r="A115" s="228">
        <v>110</v>
      </c>
      <c r="B115" s="422" t="s">
        <v>723</v>
      </c>
      <c r="C115" s="422" t="s">
        <v>3752</v>
      </c>
      <c r="D115" s="425" t="s">
        <v>3753</v>
      </c>
      <c r="E115" s="424" t="s">
        <v>1529</v>
      </c>
      <c r="F115" s="189"/>
      <c r="G115" s="189" t="s">
        <v>1519</v>
      </c>
    </row>
    <row r="116" spans="1:7" s="185" customFormat="1" ht="37.5" x14ac:dyDescent="0.3">
      <c r="A116" s="228">
        <v>111</v>
      </c>
      <c r="B116" s="422" t="s">
        <v>723</v>
      </c>
      <c r="C116" s="422" t="s">
        <v>3752</v>
      </c>
      <c r="D116" s="425" t="s">
        <v>3754</v>
      </c>
      <c r="E116" s="424" t="s">
        <v>1529</v>
      </c>
      <c r="F116" s="189"/>
      <c r="G116" s="189" t="s">
        <v>1519</v>
      </c>
    </row>
    <row r="117" spans="1:7" s="185" customFormat="1" ht="37.5" x14ac:dyDescent="0.3">
      <c r="A117" s="228">
        <v>112</v>
      </c>
      <c r="B117" s="422" t="s">
        <v>723</v>
      </c>
      <c r="C117" s="422" t="s">
        <v>3752</v>
      </c>
      <c r="D117" s="425" t="s">
        <v>3721</v>
      </c>
      <c r="E117" s="424" t="s">
        <v>1529</v>
      </c>
      <c r="F117" s="189"/>
      <c r="G117" s="189" t="s">
        <v>1519</v>
      </c>
    </row>
    <row r="118" spans="1:7" s="185" customFormat="1" ht="18" customHeight="1" x14ac:dyDescent="0.3">
      <c r="A118" s="228">
        <v>113</v>
      </c>
      <c r="B118" s="828" t="s">
        <v>3722</v>
      </c>
      <c r="C118" s="829"/>
      <c r="D118" s="829"/>
      <c r="E118" s="829"/>
      <c r="F118" s="829"/>
      <c r="G118" s="830"/>
    </row>
    <row r="119" spans="1:7" s="185" customFormat="1" ht="37.5" x14ac:dyDescent="0.3">
      <c r="A119" s="228">
        <v>114</v>
      </c>
      <c r="B119" s="422" t="s">
        <v>723</v>
      </c>
      <c r="C119" s="422" t="s">
        <v>3752</v>
      </c>
      <c r="D119" s="425" t="s">
        <v>3723</v>
      </c>
      <c r="E119" s="424" t="s">
        <v>1529</v>
      </c>
      <c r="F119" s="189"/>
      <c r="G119" s="189" t="s">
        <v>1519</v>
      </c>
    </row>
    <row r="120" spans="1:7" s="185" customFormat="1" ht="37.5" x14ac:dyDescent="0.3">
      <c r="A120" s="228">
        <v>115</v>
      </c>
      <c r="B120" s="422" t="s">
        <v>723</v>
      </c>
      <c r="C120" s="422" t="s">
        <v>3752</v>
      </c>
      <c r="D120" s="425" t="s">
        <v>3724</v>
      </c>
      <c r="E120" s="424" t="s">
        <v>1529</v>
      </c>
      <c r="F120" s="189"/>
      <c r="G120" s="189" t="s">
        <v>1519</v>
      </c>
    </row>
    <row r="121" spans="1:7" s="185" customFormat="1" ht="37.5" x14ac:dyDescent="0.3">
      <c r="A121" s="228">
        <v>116</v>
      </c>
      <c r="B121" s="422" t="s">
        <v>723</v>
      </c>
      <c r="C121" s="422" t="s">
        <v>3752</v>
      </c>
      <c r="D121" s="425" t="s">
        <v>3725</v>
      </c>
      <c r="E121" s="424" t="s">
        <v>1529</v>
      </c>
      <c r="F121" s="189"/>
      <c r="G121" s="189" t="s">
        <v>1519</v>
      </c>
    </row>
    <row r="122" spans="1:7" s="185" customFormat="1" ht="37.5" x14ac:dyDescent="0.3">
      <c r="A122" s="228">
        <v>117</v>
      </c>
      <c r="B122" s="422" t="s">
        <v>723</v>
      </c>
      <c r="C122" s="422" t="s">
        <v>3752</v>
      </c>
      <c r="D122" s="425" t="s">
        <v>3726</v>
      </c>
      <c r="E122" s="424" t="s">
        <v>1529</v>
      </c>
      <c r="F122" s="189"/>
      <c r="G122" s="189" t="s">
        <v>1519</v>
      </c>
    </row>
    <row r="123" spans="1:7" s="185" customFormat="1" ht="37.5" x14ac:dyDescent="0.3">
      <c r="A123" s="228">
        <v>118</v>
      </c>
      <c r="B123" s="422" t="s">
        <v>723</v>
      </c>
      <c r="C123" s="422" t="s">
        <v>3752</v>
      </c>
      <c r="D123" s="425" t="s">
        <v>3727</v>
      </c>
      <c r="E123" s="424" t="s">
        <v>1529</v>
      </c>
      <c r="F123" s="189"/>
      <c r="G123" s="189" t="s">
        <v>1519</v>
      </c>
    </row>
    <row r="124" spans="1:7" s="185" customFormat="1" ht="18" customHeight="1" x14ac:dyDescent="0.3">
      <c r="A124" s="228">
        <v>119</v>
      </c>
      <c r="B124" s="828" t="s">
        <v>3728</v>
      </c>
      <c r="C124" s="829"/>
      <c r="D124" s="829"/>
      <c r="E124" s="829"/>
      <c r="F124" s="829"/>
      <c r="G124" s="830"/>
    </row>
    <row r="125" spans="1:7" s="185" customFormat="1" ht="37.5" x14ac:dyDescent="0.3">
      <c r="A125" s="228">
        <v>120</v>
      </c>
      <c r="B125" s="422" t="s">
        <v>723</v>
      </c>
      <c r="C125" s="422" t="s">
        <v>3752</v>
      </c>
      <c r="D125" s="425" t="s">
        <v>3729</v>
      </c>
      <c r="E125" s="424" t="s">
        <v>1529</v>
      </c>
      <c r="F125" s="189"/>
      <c r="G125" s="189" t="s">
        <v>1519</v>
      </c>
    </row>
    <row r="126" spans="1:7" s="185" customFormat="1" ht="37.5" x14ac:dyDescent="0.3">
      <c r="A126" s="228">
        <v>121</v>
      </c>
      <c r="B126" s="422" t="s">
        <v>723</v>
      </c>
      <c r="C126" s="422" t="s">
        <v>3752</v>
      </c>
      <c r="D126" s="425" t="s">
        <v>3730</v>
      </c>
      <c r="E126" s="424" t="s">
        <v>1529</v>
      </c>
      <c r="F126" s="189"/>
      <c r="G126" s="189" t="s">
        <v>1519</v>
      </c>
    </row>
    <row r="127" spans="1:7" s="185" customFormat="1" ht="37.5" x14ac:dyDescent="0.3">
      <c r="A127" s="228">
        <v>122</v>
      </c>
      <c r="B127" s="422" t="s">
        <v>723</v>
      </c>
      <c r="C127" s="422" t="s">
        <v>3752</v>
      </c>
      <c r="D127" s="425" t="s">
        <v>3731</v>
      </c>
      <c r="E127" s="424" t="s">
        <v>1529</v>
      </c>
      <c r="F127" s="189"/>
      <c r="G127" s="189" t="s">
        <v>1519</v>
      </c>
    </row>
    <row r="128" spans="1:7" s="185" customFormat="1" ht="37.5" x14ac:dyDescent="0.3">
      <c r="A128" s="228">
        <v>123</v>
      </c>
      <c r="B128" s="422" t="s">
        <v>723</v>
      </c>
      <c r="C128" s="422" t="s">
        <v>3752</v>
      </c>
      <c r="D128" s="425" t="s">
        <v>3732</v>
      </c>
      <c r="E128" s="424" t="s">
        <v>1529</v>
      </c>
      <c r="F128" s="189"/>
      <c r="G128" s="189" t="s">
        <v>1519</v>
      </c>
    </row>
    <row r="129" spans="1:7" s="185" customFormat="1" ht="37.5" x14ac:dyDescent="0.3">
      <c r="A129" s="228">
        <v>124</v>
      </c>
      <c r="B129" s="422" t="s">
        <v>723</v>
      </c>
      <c r="C129" s="422" t="s">
        <v>3752</v>
      </c>
      <c r="D129" s="425" t="s">
        <v>3733</v>
      </c>
      <c r="E129" s="424" t="s">
        <v>1529</v>
      </c>
      <c r="F129" s="189"/>
      <c r="G129" s="189" t="s">
        <v>1519</v>
      </c>
    </row>
    <row r="130" spans="1:7" s="185" customFormat="1" ht="37.5" x14ac:dyDescent="0.3">
      <c r="A130" s="228">
        <v>125</v>
      </c>
      <c r="B130" s="422" t="s">
        <v>723</v>
      </c>
      <c r="C130" s="422" t="s">
        <v>3752</v>
      </c>
      <c r="D130" s="425" t="s">
        <v>3734</v>
      </c>
      <c r="E130" s="424" t="s">
        <v>1529</v>
      </c>
      <c r="F130" s="189"/>
      <c r="G130" s="189" t="s">
        <v>1519</v>
      </c>
    </row>
    <row r="131" spans="1:7" s="185" customFormat="1" ht="37.5" x14ac:dyDescent="0.3">
      <c r="A131" s="228">
        <v>126</v>
      </c>
      <c r="B131" s="422" t="s">
        <v>723</v>
      </c>
      <c r="C131" s="422" t="s">
        <v>3752</v>
      </c>
      <c r="D131" s="425" t="s">
        <v>3735</v>
      </c>
      <c r="E131" s="424" t="s">
        <v>1529</v>
      </c>
      <c r="F131" s="189"/>
      <c r="G131" s="189" t="s">
        <v>1519</v>
      </c>
    </row>
    <row r="132" spans="1:7" s="185" customFormat="1" ht="18" customHeight="1" x14ac:dyDescent="0.3">
      <c r="A132" s="228">
        <v>127</v>
      </c>
      <c r="B132" s="828" t="s">
        <v>3755</v>
      </c>
      <c r="C132" s="829"/>
      <c r="D132" s="829"/>
      <c r="E132" s="829"/>
      <c r="F132" s="829"/>
      <c r="G132" s="830"/>
    </row>
    <row r="133" spans="1:7" s="185" customFormat="1" ht="37.5" x14ac:dyDescent="0.3">
      <c r="A133" s="228">
        <v>128</v>
      </c>
      <c r="B133" s="422" t="s">
        <v>723</v>
      </c>
      <c r="C133" s="422" t="s">
        <v>3752</v>
      </c>
      <c r="D133" s="425" t="s">
        <v>3756</v>
      </c>
      <c r="E133" s="424" t="s">
        <v>1529</v>
      </c>
      <c r="F133" s="189"/>
      <c r="G133" s="189" t="s">
        <v>1519</v>
      </c>
    </row>
    <row r="134" spans="1:7" s="185" customFormat="1" ht="37.5" x14ac:dyDescent="0.3">
      <c r="A134" s="228">
        <v>129</v>
      </c>
      <c r="B134" s="422" t="s">
        <v>723</v>
      </c>
      <c r="C134" s="422" t="s">
        <v>3752</v>
      </c>
      <c r="D134" s="425" t="s">
        <v>3757</v>
      </c>
      <c r="E134" s="424" t="s">
        <v>1529</v>
      </c>
      <c r="F134" s="189"/>
      <c r="G134" s="189" t="s">
        <v>1519</v>
      </c>
    </row>
    <row r="135" spans="1:7" s="185" customFormat="1" ht="37.5" x14ac:dyDescent="0.3">
      <c r="A135" s="228">
        <v>130</v>
      </c>
      <c r="B135" s="422" t="s">
        <v>723</v>
      </c>
      <c r="C135" s="422" t="s">
        <v>3752</v>
      </c>
      <c r="D135" s="425" t="s">
        <v>3758</v>
      </c>
      <c r="E135" s="424" t="s">
        <v>1529</v>
      </c>
      <c r="F135" s="189"/>
      <c r="G135" s="189" t="s">
        <v>1519</v>
      </c>
    </row>
    <row r="136" spans="1:7" s="185" customFormat="1" ht="37.5" x14ac:dyDescent="0.3">
      <c r="A136" s="228">
        <v>131</v>
      </c>
      <c r="B136" s="422" t="s">
        <v>723</v>
      </c>
      <c r="C136" s="422" t="s">
        <v>3752</v>
      </c>
      <c r="D136" s="425" t="s">
        <v>3759</v>
      </c>
      <c r="E136" s="424" t="s">
        <v>1529</v>
      </c>
      <c r="F136" s="189"/>
      <c r="G136" s="189" t="s">
        <v>1519</v>
      </c>
    </row>
    <row r="137" spans="1:7" s="185" customFormat="1" ht="37.5" x14ac:dyDescent="0.3">
      <c r="A137" s="228">
        <v>132</v>
      </c>
      <c r="B137" s="422" t="s">
        <v>723</v>
      </c>
      <c r="C137" s="422" t="s">
        <v>3752</v>
      </c>
      <c r="D137" s="425" t="s">
        <v>3760</v>
      </c>
      <c r="E137" s="424" t="s">
        <v>1529</v>
      </c>
      <c r="F137" s="189"/>
      <c r="G137" s="189" t="s">
        <v>1519</v>
      </c>
    </row>
    <row r="138" spans="1:7" s="185" customFormat="1" ht="18" customHeight="1" x14ac:dyDescent="0.3">
      <c r="A138" s="228">
        <v>133</v>
      </c>
      <c r="B138" s="828" t="s">
        <v>3741</v>
      </c>
      <c r="C138" s="829"/>
      <c r="D138" s="829"/>
      <c r="E138" s="829"/>
      <c r="F138" s="829"/>
      <c r="G138" s="830"/>
    </row>
    <row r="139" spans="1:7" s="185" customFormat="1" ht="37.5" x14ac:dyDescent="0.3">
      <c r="A139" s="228">
        <v>134</v>
      </c>
      <c r="B139" s="422" t="s">
        <v>723</v>
      </c>
      <c r="C139" s="422" t="s">
        <v>3752</v>
      </c>
      <c r="D139" s="425" t="s">
        <v>3742</v>
      </c>
      <c r="E139" s="424" t="s">
        <v>1529</v>
      </c>
      <c r="F139" s="189"/>
      <c r="G139" s="189" t="s">
        <v>1519</v>
      </c>
    </row>
    <row r="140" spans="1:7" s="185" customFormat="1" ht="37.5" x14ac:dyDescent="0.3">
      <c r="A140" s="228">
        <v>135</v>
      </c>
      <c r="B140" s="422" t="s">
        <v>723</v>
      </c>
      <c r="C140" s="422" t="s">
        <v>3752</v>
      </c>
      <c r="D140" s="425" t="s">
        <v>3761</v>
      </c>
      <c r="E140" s="424" t="s">
        <v>1529</v>
      </c>
      <c r="F140" s="189"/>
      <c r="G140" s="189" t="s">
        <v>1519</v>
      </c>
    </row>
    <row r="141" spans="1:7" s="185" customFormat="1" ht="37.5" x14ac:dyDescent="0.3">
      <c r="A141" s="228">
        <v>136</v>
      </c>
      <c r="B141" s="422" t="s">
        <v>723</v>
      </c>
      <c r="C141" s="422" t="s">
        <v>3752</v>
      </c>
      <c r="D141" s="425" t="s">
        <v>3762</v>
      </c>
      <c r="E141" s="424" t="s">
        <v>1529</v>
      </c>
      <c r="F141" s="189"/>
      <c r="G141" s="189" t="s">
        <v>1519</v>
      </c>
    </row>
    <row r="142" spans="1:7" s="185" customFormat="1" ht="37.5" x14ac:dyDescent="0.3">
      <c r="A142" s="228">
        <v>137</v>
      </c>
      <c r="B142" s="422" t="s">
        <v>723</v>
      </c>
      <c r="C142" s="422" t="s">
        <v>3752</v>
      </c>
      <c r="D142" s="425" t="s">
        <v>3744</v>
      </c>
      <c r="E142" s="424" t="s">
        <v>1529</v>
      </c>
      <c r="F142" s="189"/>
      <c r="G142" s="189" t="s">
        <v>1519</v>
      </c>
    </row>
    <row r="143" spans="1:7" s="185" customFormat="1" ht="37.5" x14ac:dyDescent="0.3">
      <c r="A143" s="228">
        <v>138</v>
      </c>
      <c r="B143" s="422" t="s">
        <v>723</v>
      </c>
      <c r="C143" s="422" t="s">
        <v>3752</v>
      </c>
      <c r="D143" s="425" t="s">
        <v>3745</v>
      </c>
      <c r="E143" s="424" t="s">
        <v>1529</v>
      </c>
      <c r="F143" s="189"/>
      <c r="G143" s="189" t="s">
        <v>1519</v>
      </c>
    </row>
    <row r="144" spans="1:7" s="185" customFormat="1" ht="37.5" x14ac:dyDescent="0.3">
      <c r="A144" s="228">
        <v>139</v>
      </c>
      <c r="B144" s="422" t="s">
        <v>723</v>
      </c>
      <c r="C144" s="422" t="s">
        <v>3752</v>
      </c>
      <c r="D144" s="425" t="s">
        <v>3746</v>
      </c>
      <c r="E144" s="424" t="s">
        <v>1529</v>
      </c>
      <c r="F144" s="189"/>
      <c r="G144" s="189" t="s">
        <v>1519</v>
      </c>
    </row>
    <row r="145" spans="1:7" s="185" customFormat="1" ht="37.5" x14ac:dyDescent="0.3">
      <c r="A145" s="228">
        <v>140</v>
      </c>
      <c r="B145" s="422" t="s">
        <v>723</v>
      </c>
      <c r="C145" s="422" t="s">
        <v>3752</v>
      </c>
      <c r="D145" s="425" t="s">
        <v>3763</v>
      </c>
      <c r="E145" s="424" t="s">
        <v>1529</v>
      </c>
      <c r="F145" s="189"/>
      <c r="G145" s="189" t="s">
        <v>1519</v>
      </c>
    </row>
    <row r="146" spans="1:7" s="185" customFormat="1" ht="37.5" x14ac:dyDescent="0.3">
      <c r="A146" s="228">
        <v>141</v>
      </c>
      <c r="B146" s="422" t="s">
        <v>723</v>
      </c>
      <c r="C146" s="422" t="s">
        <v>3752</v>
      </c>
      <c r="D146" s="425" t="s">
        <v>3748</v>
      </c>
      <c r="E146" s="424" t="s">
        <v>1529</v>
      </c>
      <c r="F146" s="189"/>
      <c r="G146" s="189" t="s">
        <v>1519</v>
      </c>
    </row>
    <row r="147" spans="1:7" s="185" customFormat="1" ht="18" customHeight="1" x14ac:dyDescent="0.3">
      <c r="A147" s="228">
        <v>142</v>
      </c>
      <c r="B147" s="828" t="s">
        <v>3764</v>
      </c>
      <c r="C147" s="829"/>
      <c r="D147" s="829"/>
      <c r="E147" s="829"/>
      <c r="F147" s="829"/>
      <c r="G147" s="830"/>
    </row>
    <row r="148" spans="1:7" s="185" customFormat="1" ht="37.5" x14ac:dyDescent="0.3">
      <c r="A148" s="228">
        <v>143</v>
      </c>
      <c r="B148" s="422" t="s">
        <v>723</v>
      </c>
      <c r="C148" s="422" t="s">
        <v>3765</v>
      </c>
      <c r="D148" s="425" t="s">
        <v>3716</v>
      </c>
      <c r="E148" s="424" t="s">
        <v>1529</v>
      </c>
      <c r="F148" s="189"/>
      <c r="G148" s="189" t="s">
        <v>1519</v>
      </c>
    </row>
    <row r="149" spans="1:7" s="185" customFormat="1" ht="37.5" x14ac:dyDescent="0.3">
      <c r="A149" s="228">
        <v>144</v>
      </c>
      <c r="B149" s="422" t="s">
        <v>723</v>
      </c>
      <c r="C149" s="422" t="s">
        <v>3765</v>
      </c>
      <c r="D149" s="425" t="s">
        <v>3717</v>
      </c>
      <c r="E149" s="424" t="s">
        <v>1529</v>
      </c>
      <c r="F149" s="189"/>
      <c r="G149" s="189" t="s">
        <v>1519</v>
      </c>
    </row>
    <row r="150" spans="1:7" s="185" customFormat="1" ht="37.5" x14ac:dyDescent="0.3">
      <c r="A150" s="228">
        <v>145</v>
      </c>
      <c r="B150" s="422" t="s">
        <v>723</v>
      </c>
      <c r="C150" s="422" t="s">
        <v>3765</v>
      </c>
      <c r="D150" s="425" t="s">
        <v>3718</v>
      </c>
      <c r="E150" s="424" t="s">
        <v>1529</v>
      </c>
      <c r="F150" s="189"/>
      <c r="G150" s="189" t="s">
        <v>1519</v>
      </c>
    </row>
    <row r="151" spans="1:7" s="185" customFormat="1" ht="37.5" x14ac:dyDescent="0.3">
      <c r="A151" s="228">
        <v>146</v>
      </c>
      <c r="B151" s="422" t="s">
        <v>723</v>
      </c>
      <c r="C151" s="422" t="s">
        <v>3765</v>
      </c>
      <c r="D151" s="425" t="s">
        <v>3719</v>
      </c>
      <c r="E151" s="424" t="s">
        <v>1529</v>
      </c>
      <c r="F151" s="189"/>
      <c r="G151" s="189" t="s">
        <v>1519</v>
      </c>
    </row>
    <row r="152" spans="1:7" s="185" customFormat="1" ht="37.5" x14ac:dyDescent="0.3">
      <c r="A152" s="228">
        <v>147</v>
      </c>
      <c r="B152" s="422" t="s">
        <v>723</v>
      </c>
      <c r="C152" s="422" t="s">
        <v>3765</v>
      </c>
      <c r="D152" s="425" t="s">
        <v>3753</v>
      </c>
      <c r="E152" s="424" t="s">
        <v>1529</v>
      </c>
      <c r="F152" s="189"/>
      <c r="G152" s="189" t="s">
        <v>1519</v>
      </c>
    </row>
    <row r="153" spans="1:7" s="185" customFormat="1" ht="37.5" x14ac:dyDescent="0.3">
      <c r="A153" s="228">
        <v>148</v>
      </c>
      <c r="B153" s="422" t="s">
        <v>723</v>
      </c>
      <c r="C153" s="422" t="s">
        <v>3765</v>
      </c>
      <c r="D153" s="425" t="s">
        <v>3754</v>
      </c>
      <c r="E153" s="424" t="s">
        <v>1529</v>
      </c>
      <c r="F153" s="189"/>
      <c r="G153" s="189" t="s">
        <v>1519</v>
      </c>
    </row>
    <row r="154" spans="1:7" s="185" customFormat="1" ht="37.5" x14ac:dyDescent="0.3">
      <c r="A154" s="228">
        <v>149</v>
      </c>
      <c r="B154" s="422" t="s">
        <v>723</v>
      </c>
      <c r="C154" s="422" t="s">
        <v>3765</v>
      </c>
      <c r="D154" s="425" t="s">
        <v>3721</v>
      </c>
      <c r="E154" s="424" t="s">
        <v>1529</v>
      </c>
      <c r="F154" s="189"/>
      <c r="G154" s="189" t="s">
        <v>1519</v>
      </c>
    </row>
    <row r="155" spans="1:7" s="185" customFormat="1" ht="18" customHeight="1" x14ac:dyDescent="0.3">
      <c r="A155" s="228">
        <v>150</v>
      </c>
      <c r="B155" s="828" t="s">
        <v>3722</v>
      </c>
      <c r="C155" s="829"/>
      <c r="D155" s="829"/>
      <c r="E155" s="829"/>
      <c r="F155" s="829"/>
      <c r="G155" s="830"/>
    </row>
    <row r="156" spans="1:7" s="185" customFormat="1" ht="37.5" x14ac:dyDescent="0.3">
      <c r="A156" s="228">
        <v>151</v>
      </c>
      <c r="B156" s="422" t="s">
        <v>723</v>
      </c>
      <c r="C156" s="422" t="s">
        <v>3765</v>
      </c>
      <c r="D156" s="425" t="s">
        <v>3723</v>
      </c>
      <c r="E156" s="424" t="s">
        <v>1529</v>
      </c>
      <c r="F156" s="189"/>
      <c r="G156" s="189" t="s">
        <v>1519</v>
      </c>
    </row>
    <row r="157" spans="1:7" s="185" customFormat="1" ht="37.5" x14ac:dyDescent="0.3">
      <c r="A157" s="228">
        <v>152</v>
      </c>
      <c r="B157" s="422" t="s">
        <v>723</v>
      </c>
      <c r="C157" s="422" t="s">
        <v>3765</v>
      </c>
      <c r="D157" s="425" t="s">
        <v>3724</v>
      </c>
      <c r="E157" s="424" t="s">
        <v>1529</v>
      </c>
      <c r="F157" s="189"/>
      <c r="G157" s="189" t="s">
        <v>1519</v>
      </c>
    </row>
    <row r="158" spans="1:7" s="185" customFormat="1" ht="37.5" x14ac:dyDescent="0.3">
      <c r="A158" s="228">
        <v>153</v>
      </c>
      <c r="B158" s="422" t="s">
        <v>723</v>
      </c>
      <c r="C158" s="422" t="s">
        <v>3765</v>
      </c>
      <c r="D158" s="425" t="s">
        <v>3725</v>
      </c>
      <c r="E158" s="424" t="s">
        <v>1529</v>
      </c>
      <c r="F158" s="189"/>
      <c r="G158" s="189" t="s">
        <v>1519</v>
      </c>
    </row>
    <row r="159" spans="1:7" s="185" customFormat="1" ht="37.5" x14ac:dyDescent="0.3">
      <c r="A159" s="228">
        <v>154</v>
      </c>
      <c r="B159" s="422" t="s">
        <v>723</v>
      </c>
      <c r="C159" s="422" t="s">
        <v>3765</v>
      </c>
      <c r="D159" s="425" t="s">
        <v>3726</v>
      </c>
      <c r="E159" s="424" t="s">
        <v>1529</v>
      </c>
      <c r="F159" s="189"/>
      <c r="G159" s="189" t="s">
        <v>1519</v>
      </c>
    </row>
    <row r="160" spans="1:7" s="185" customFormat="1" ht="37.5" x14ac:dyDescent="0.3">
      <c r="A160" s="228">
        <v>155</v>
      </c>
      <c r="B160" s="422" t="s">
        <v>723</v>
      </c>
      <c r="C160" s="422" t="s">
        <v>3765</v>
      </c>
      <c r="D160" s="425" t="s">
        <v>3727</v>
      </c>
      <c r="E160" s="424" t="s">
        <v>1529</v>
      </c>
      <c r="F160" s="189"/>
      <c r="G160" s="189" t="s">
        <v>1519</v>
      </c>
    </row>
    <row r="161" spans="1:7" s="185" customFormat="1" ht="18" customHeight="1" x14ac:dyDescent="0.3">
      <c r="A161" s="228">
        <v>156</v>
      </c>
      <c r="B161" s="828" t="s">
        <v>3728</v>
      </c>
      <c r="C161" s="829"/>
      <c r="D161" s="829"/>
      <c r="E161" s="829"/>
      <c r="F161" s="829"/>
      <c r="G161" s="830"/>
    </row>
    <row r="162" spans="1:7" s="185" customFormat="1" ht="37.5" x14ac:dyDescent="0.3">
      <c r="A162" s="228">
        <v>157</v>
      </c>
      <c r="B162" s="422" t="s">
        <v>723</v>
      </c>
      <c r="C162" s="422" t="s">
        <v>3765</v>
      </c>
      <c r="D162" s="425" t="s">
        <v>3729</v>
      </c>
      <c r="E162" s="424" t="s">
        <v>1529</v>
      </c>
      <c r="F162" s="189"/>
      <c r="G162" s="189" t="s">
        <v>1519</v>
      </c>
    </row>
    <row r="163" spans="1:7" s="185" customFormat="1" ht="37.5" x14ac:dyDescent="0.3">
      <c r="A163" s="228">
        <v>158</v>
      </c>
      <c r="B163" s="422" t="s">
        <v>723</v>
      </c>
      <c r="C163" s="422" t="s">
        <v>3765</v>
      </c>
      <c r="D163" s="425" t="s">
        <v>3730</v>
      </c>
      <c r="E163" s="424" t="s">
        <v>1529</v>
      </c>
      <c r="F163" s="189"/>
      <c r="G163" s="189" t="s">
        <v>1519</v>
      </c>
    </row>
    <row r="164" spans="1:7" s="185" customFormat="1" ht="37.5" x14ac:dyDescent="0.3">
      <c r="A164" s="228">
        <v>159</v>
      </c>
      <c r="B164" s="422" t="s">
        <v>723</v>
      </c>
      <c r="C164" s="422" t="s">
        <v>3765</v>
      </c>
      <c r="D164" s="425" t="s">
        <v>3731</v>
      </c>
      <c r="E164" s="424" t="s">
        <v>1529</v>
      </c>
      <c r="F164" s="189"/>
      <c r="G164" s="189" t="s">
        <v>1519</v>
      </c>
    </row>
    <row r="165" spans="1:7" s="185" customFormat="1" ht="37.5" x14ac:dyDescent="0.3">
      <c r="A165" s="228">
        <v>160</v>
      </c>
      <c r="B165" s="422" t="s">
        <v>723</v>
      </c>
      <c r="C165" s="422" t="s">
        <v>3765</v>
      </c>
      <c r="D165" s="425" t="s">
        <v>3732</v>
      </c>
      <c r="E165" s="424" t="s">
        <v>1529</v>
      </c>
      <c r="F165" s="189"/>
      <c r="G165" s="189" t="s">
        <v>1519</v>
      </c>
    </row>
    <row r="166" spans="1:7" s="185" customFormat="1" ht="37.5" x14ac:dyDescent="0.3">
      <c r="A166" s="228">
        <v>161</v>
      </c>
      <c r="B166" s="422" t="s">
        <v>723</v>
      </c>
      <c r="C166" s="422" t="s">
        <v>3765</v>
      </c>
      <c r="D166" s="425" t="s">
        <v>3733</v>
      </c>
      <c r="E166" s="424" t="s">
        <v>1529</v>
      </c>
      <c r="F166" s="189"/>
      <c r="G166" s="189" t="s">
        <v>1519</v>
      </c>
    </row>
    <row r="167" spans="1:7" s="185" customFormat="1" ht="37.5" x14ac:dyDescent="0.3">
      <c r="A167" s="228">
        <v>162</v>
      </c>
      <c r="B167" s="422" t="s">
        <v>723</v>
      </c>
      <c r="C167" s="422" t="s">
        <v>3765</v>
      </c>
      <c r="D167" s="425" t="s">
        <v>3734</v>
      </c>
      <c r="E167" s="424" t="s">
        <v>1529</v>
      </c>
      <c r="F167" s="189"/>
      <c r="G167" s="189" t="s">
        <v>1519</v>
      </c>
    </row>
    <row r="168" spans="1:7" s="185" customFormat="1" ht="37.5" x14ac:dyDescent="0.3">
      <c r="A168" s="228">
        <v>163</v>
      </c>
      <c r="B168" s="422" t="s">
        <v>723</v>
      </c>
      <c r="C168" s="422" t="s">
        <v>3765</v>
      </c>
      <c r="D168" s="425" t="s">
        <v>3735</v>
      </c>
      <c r="E168" s="424" t="s">
        <v>1529</v>
      </c>
      <c r="F168" s="189"/>
      <c r="G168" s="189" t="s">
        <v>1519</v>
      </c>
    </row>
    <row r="169" spans="1:7" s="185" customFormat="1" ht="18" customHeight="1" x14ac:dyDescent="0.3">
      <c r="A169" s="228">
        <v>164</v>
      </c>
      <c r="B169" s="828" t="s">
        <v>3755</v>
      </c>
      <c r="C169" s="829"/>
      <c r="D169" s="829"/>
      <c r="E169" s="829"/>
      <c r="F169" s="829"/>
      <c r="G169" s="830"/>
    </row>
    <row r="170" spans="1:7" s="185" customFormat="1" ht="37.5" x14ac:dyDescent="0.3">
      <c r="A170" s="228">
        <v>165</v>
      </c>
      <c r="B170" s="422" t="s">
        <v>723</v>
      </c>
      <c r="C170" s="422" t="s">
        <v>3765</v>
      </c>
      <c r="D170" s="425" t="s">
        <v>3756</v>
      </c>
      <c r="E170" s="424" t="s">
        <v>1529</v>
      </c>
      <c r="F170" s="189"/>
      <c r="G170" s="189" t="s">
        <v>1519</v>
      </c>
    </row>
    <row r="171" spans="1:7" s="185" customFormat="1" ht="37.5" x14ac:dyDescent="0.3">
      <c r="A171" s="228">
        <v>166</v>
      </c>
      <c r="B171" s="422" t="s">
        <v>723</v>
      </c>
      <c r="C171" s="422" t="s">
        <v>3765</v>
      </c>
      <c r="D171" s="425" t="s">
        <v>3757</v>
      </c>
      <c r="E171" s="424" t="s">
        <v>1529</v>
      </c>
      <c r="F171" s="189"/>
      <c r="G171" s="189" t="s">
        <v>1519</v>
      </c>
    </row>
    <row r="172" spans="1:7" s="185" customFormat="1" ht="37.5" x14ac:dyDescent="0.3">
      <c r="A172" s="228">
        <v>167</v>
      </c>
      <c r="B172" s="422" t="s">
        <v>723</v>
      </c>
      <c r="C172" s="422" t="s">
        <v>3765</v>
      </c>
      <c r="D172" s="425" t="s">
        <v>3758</v>
      </c>
      <c r="E172" s="424" t="s">
        <v>1529</v>
      </c>
      <c r="F172" s="189"/>
      <c r="G172" s="189" t="s">
        <v>1519</v>
      </c>
    </row>
    <row r="173" spans="1:7" s="185" customFormat="1" ht="37.5" x14ac:dyDescent="0.3">
      <c r="A173" s="228">
        <v>168</v>
      </c>
      <c r="B173" s="422" t="s">
        <v>723</v>
      </c>
      <c r="C173" s="422" t="s">
        <v>3765</v>
      </c>
      <c r="D173" s="425" t="s">
        <v>3759</v>
      </c>
      <c r="E173" s="424" t="s">
        <v>1529</v>
      </c>
      <c r="F173" s="189"/>
      <c r="G173" s="189" t="s">
        <v>1519</v>
      </c>
    </row>
    <row r="174" spans="1:7" s="185" customFormat="1" ht="37.5" x14ac:dyDescent="0.3">
      <c r="A174" s="228">
        <v>169</v>
      </c>
      <c r="B174" s="422" t="s">
        <v>723</v>
      </c>
      <c r="C174" s="422" t="s">
        <v>3765</v>
      </c>
      <c r="D174" s="425" t="s">
        <v>3760</v>
      </c>
      <c r="E174" s="424" t="s">
        <v>1529</v>
      </c>
      <c r="F174" s="189"/>
      <c r="G174" s="189" t="s">
        <v>1519</v>
      </c>
    </row>
    <row r="175" spans="1:7" s="185" customFormat="1" ht="18" customHeight="1" x14ac:dyDescent="0.3">
      <c r="A175" s="228">
        <v>170</v>
      </c>
      <c r="B175" s="828" t="s">
        <v>3741</v>
      </c>
      <c r="C175" s="829"/>
      <c r="D175" s="829"/>
      <c r="E175" s="829"/>
      <c r="F175" s="829"/>
      <c r="G175" s="830"/>
    </row>
    <row r="176" spans="1:7" s="185" customFormat="1" ht="37.5" x14ac:dyDescent="0.3">
      <c r="A176" s="228">
        <v>171</v>
      </c>
      <c r="B176" s="422" t="s">
        <v>723</v>
      </c>
      <c r="C176" s="422" t="s">
        <v>3765</v>
      </c>
      <c r="D176" s="425" t="s">
        <v>3742</v>
      </c>
      <c r="E176" s="424" t="s">
        <v>1529</v>
      </c>
      <c r="F176" s="189"/>
      <c r="G176" s="189" t="s">
        <v>1519</v>
      </c>
    </row>
    <row r="177" spans="1:7" s="185" customFormat="1" ht="37.5" x14ac:dyDescent="0.3">
      <c r="A177" s="228">
        <v>172</v>
      </c>
      <c r="B177" s="422" t="s">
        <v>723</v>
      </c>
      <c r="C177" s="422" t="s">
        <v>3765</v>
      </c>
      <c r="D177" s="425" t="s">
        <v>3761</v>
      </c>
      <c r="E177" s="424" t="s">
        <v>1529</v>
      </c>
      <c r="F177" s="189"/>
      <c r="G177" s="189" t="s">
        <v>1519</v>
      </c>
    </row>
    <row r="178" spans="1:7" s="185" customFormat="1" ht="37.5" x14ac:dyDescent="0.3">
      <c r="A178" s="228">
        <v>173</v>
      </c>
      <c r="B178" s="422" t="s">
        <v>723</v>
      </c>
      <c r="C178" s="422" t="s">
        <v>3765</v>
      </c>
      <c r="D178" s="425" t="s">
        <v>3762</v>
      </c>
      <c r="E178" s="424" t="s">
        <v>1529</v>
      </c>
      <c r="F178" s="189"/>
      <c r="G178" s="189" t="s">
        <v>1519</v>
      </c>
    </row>
    <row r="179" spans="1:7" s="185" customFormat="1" ht="37.5" x14ac:dyDescent="0.3">
      <c r="A179" s="228">
        <v>174</v>
      </c>
      <c r="B179" s="422" t="s">
        <v>723</v>
      </c>
      <c r="C179" s="422" t="s">
        <v>3765</v>
      </c>
      <c r="D179" s="425" t="s">
        <v>3744</v>
      </c>
      <c r="E179" s="424" t="s">
        <v>1529</v>
      </c>
      <c r="F179" s="189"/>
      <c r="G179" s="189" t="s">
        <v>1519</v>
      </c>
    </row>
    <row r="180" spans="1:7" s="185" customFormat="1" ht="37.5" x14ac:dyDescent="0.3">
      <c r="A180" s="228">
        <v>175</v>
      </c>
      <c r="B180" s="422" t="s">
        <v>723</v>
      </c>
      <c r="C180" s="422" t="s">
        <v>3765</v>
      </c>
      <c r="D180" s="425" t="s">
        <v>3745</v>
      </c>
      <c r="E180" s="424" t="s">
        <v>1529</v>
      </c>
      <c r="F180" s="189"/>
      <c r="G180" s="189" t="s">
        <v>1519</v>
      </c>
    </row>
    <row r="181" spans="1:7" s="185" customFormat="1" ht="37.5" x14ac:dyDescent="0.3">
      <c r="A181" s="228">
        <v>176</v>
      </c>
      <c r="B181" s="422" t="s">
        <v>723</v>
      </c>
      <c r="C181" s="422" t="s">
        <v>3765</v>
      </c>
      <c r="D181" s="425" t="s">
        <v>3746</v>
      </c>
      <c r="E181" s="424" t="s">
        <v>1529</v>
      </c>
      <c r="F181" s="189"/>
      <c r="G181" s="189" t="s">
        <v>1519</v>
      </c>
    </row>
    <row r="182" spans="1:7" s="185" customFormat="1" ht="37.5" x14ac:dyDescent="0.3">
      <c r="A182" s="228">
        <v>177</v>
      </c>
      <c r="B182" s="422" t="s">
        <v>723</v>
      </c>
      <c r="C182" s="422" t="s">
        <v>3765</v>
      </c>
      <c r="D182" s="425" t="s">
        <v>3763</v>
      </c>
      <c r="E182" s="424" t="s">
        <v>1529</v>
      </c>
      <c r="F182" s="189"/>
      <c r="G182" s="189" t="s">
        <v>1519</v>
      </c>
    </row>
    <row r="183" spans="1:7" s="185" customFormat="1" ht="37.5" x14ac:dyDescent="0.3">
      <c r="A183" s="228">
        <v>178</v>
      </c>
      <c r="B183" s="422" t="s">
        <v>723</v>
      </c>
      <c r="C183" s="422" t="s">
        <v>3765</v>
      </c>
      <c r="D183" s="425" t="s">
        <v>3748</v>
      </c>
      <c r="E183" s="424" t="s">
        <v>1529</v>
      </c>
      <c r="F183" s="189"/>
      <c r="G183" s="189" t="s">
        <v>1519</v>
      </c>
    </row>
    <row r="184" spans="1:7" s="185" customFormat="1" ht="18" customHeight="1" x14ac:dyDescent="0.3">
      <c r="A184" s="228">
        <v>179</v>
      </c>
      <c r="B184" s="828" t="s">
        <v>3766</v>
      </c>
      <c r="C184" s="829"/>
      <c r="D184" s="829"/>
      <c r="E184" s="829"/>
      <c r="F184" s="829"/>
      <c r="G184" s="830"/>
    </row>
    <row r="185" spans="1:7" s="185" customFormat="1" ht="37.5" x14ac:dyDescent="0.3">
      <c r="A185" s="228">
        <v>180</v>
      </c>
      <c r="B185" s="422" t="s">
        <v>723</v>
      </c>
      <c r="C185" s="422" t="s">
        <v>3767</v>
      </c>
      <c r="D185" s="423" t="s">
        <v>3716</v>
      </c>
      <c r="E185" s="424" t="s">
        <v>1529</v>
      </c>
      <c r="F185" s="189"/>
      <c r="G185" s="189" t="s">
        <v>1519</v>
      </c>
    </row>
    <row r="186" spans="1:7" s="185" customFormat="1" ht="37.5" x14ac:dyDescent="0.3">
      <c r="A186" s="228">
        <v>181</v>
      </c>
      <c r="B186" s="422" t="s">
        <v>723</v>
      </c>
      <c r="C186" s="422" t="s">
        <v>3767</v>
      </c>
      <c r="D186" s="423" t="s">
        <v>3768</v>
      </c>
      <c r="E186" s="424" t="s">
        <v>1529</v>
      </c>
      <c r="F186" s="189"/>
      <c r="G186" s="189" t="s">
        <v>1519</v>
      </c>
    </row>
    <row r="187" spans="1:7" s="185" customFormat="1" ht="37.5" x14ac:dyDescent="0.3">
      <c r="A187" s="228">
        <v>182</v>
      </c>
      <c r="B187" s="422" t="s">
        <v>723</v>
      </c>
      <c r="C187" s="422" t="s">
        <v>3767</v>
      </c>
      <c r="D187" s="423" t="s">
        <v>3769</v>
      </c>
      <c r="E187" s="424" t="s">
        <v>1529</v>
      </c>
      <c r="F187" s="189"/>
      <c r="G187" s="189" t="s">
        <v>1519</v>
      </c>
    </row>
    <row r="188" spans="1:7" s="185" customFormat="1" ht="37.5" x14ac:dyDescent="0.3">
      <c r="A188" s="228">
        <v>183</v>
      </c>
      <c r="B188" s="422" t="s">
        <v>723</v>
      </c>
      <c r="C188" s="422" t="s">
        <v>3767</v>
      </c>
      <c r="D188" s="423" t="s">
        <v>3770</v>
      </c>
      <c r="E188" s="424" t="s">
        <v>1529</v>
      </c>
      <c r="F188" s="189"/>
      <c r="G188" s="189" t="s">
        <v>1519</v>
      </c>
    </row>
    <row r="189" spans="1:7" s="185" customFormat="1" ht="37.5" x14ac:dyDescent="0.3">
      <c r="A189" s="228">
        <v>184</v>
      </c>
      <c r="B189" s="422" t="s">
        <v>723</v>
      </c>
      <c r="C189" s="422" t="s">
        <v>3767</v>
      </c>
      <c r="D189" s="425" t="s">
        <v>3771</v>
      </c>
      <c r="E189" s="424" t="s">
        <v>1529</v>
      </c>
      <c r="F189" s="189"/>
      <c r="G189" s="189" t="s">
        <v>1519</v>
      </c>
    </row>
    <row r="190" spans="1:7" s="185" customFormat="1" ht="37.5" x14ac:dyDescent="0.3">
      <c r="A190" s="228">
        <v>185</v>
      </c>
      <c r="B190" s="422" t="s">
        <v>723</v>
      </c>
      <c r="C190" s="422" t="s">
        <v>3767</v>
      </c>
      <c r="D190" s="423" t="s">
        <v>3772</v>
      </c>
      <c r="E190" s="424" t="s">
        <v>1529</v>
      </c>
      <c r="F190" s="189"/>
      <c r="G190" s="189" t="s">
        <v>1519</v>
      </c>
    </row>
    <row r="191" spans="1:7" s="185" customFormat="1" ht="37.5" x14ac:dyDescent="0.3">
      <c r="A191" s="228">
        <v>186</v>
      </c>
      <c r="B191" s="422" t="s">
        <v>723</v>
      </c>
      <c r="C191" s="422" t="s">
        <v>3767</v>
      </c>
      <c r="D191" s="423" t="s">
        <v>3773</v>
      </c>
      <c r="E191" s="424" t="s">
        <v>1529</v>
      </c>
      <c r="F191" s="189"/>
      <c r="G191" s="189" t="s">
        <v>1519</v>
      </c>
    </row>
    <row r="192" spans="1:7" s="185" customFormat="1" ht="37.5" x14ac:dyDescent="0.3">
      <c r="A192" s="228">
        <v>187</v>
      </c>
      <c r="B192" s="422" t="s">
        <v>723</v>
      </c>
      <c r="C192" s="422" t="s">
        <v>3767</v>
      </c>
      <c r="D192" s="423" t="s">
        <v>3774</v>
      </c>
      <c r="E192" s="424" t="s">
        <v>1529</v>
      </c>
      <c r="F192" s="189"/>
      <c r="G192" s="189" t="s">
        <v>1519</v>
      </c>
    </row>
    <row r="193" spans="1:7" s="185" customFormat="1" ht="37.5" x14ac:dyDescent="0.3">
      <c r="A193" s="228">
        <v>188</v>
      </c>
      <c r="B193" s="422" t="s">
        <v>723</v>
      </c>
      <c r="C193" s="422" t="s">
        <v>3767</v>
      </c>
      <c r="D193" s="423" t="s">
        <v>3775</v>
      </c>
      <c r="E193" s="424" t="s">
        <v>1529</v>
      </c>
      <c r="F193" s="189"/>
      <c r="G193" s="189" t="s">
        <v>1519</v>
      </c>
    </row>
    <row r="194" spans="1:7" s="185" customFormat="1" ht="75" x14ac:dyDescent="0.3">
      <c r="A194" s="228">
        <v>189</v>
      </c>
      <c r="B194" s="422" t="s">
        <v>723</v>
      </c>
      <c r="C194" s="422" t="s">
        <v>3767</v>
      </c>
      <c r="D194" s="423" t="s">
        <v>3776</v>
      </c>
      <c r="E194" s="424" t="s">
        <v>1529</v>
      </c>
      <c r="F194" s="189"/>
      <c r="G194" s="189" t="s">
        <v>1519</v>
      </c>
    </row>
    <row r="195" spans="1:7" s="185" customFormat="1" ht="37.5" x14ac:dyDescent="0.3">
      <c r="A195" s="228">
        <v>190</v>
      </c>
      <c r="B195" s="422" t="s">
        <v>723</v>
      </c>
      <c r="C195" s="422" t="s">
        <v>3767</v>
      </c>
      <c r="D195" s="423" t="s">
        <v>3777</v>
      </c>
      <c r="E195" s="424" t="s">
        <v>1529</v>
      </c>
      <c r="F195" s="189"/>
      <c r="G195" s="189" t="s">
        <v>1519</v>
      </c>
    </row>
    <row r="196" spans="1:7" s="185" customFormat="1" ht="37.5" x14ac:dyDescent="0.3">
      <c r="A196" s="228">
        <v>191</v>
      </c>
      <c r="B196" s="422" t="s">
        <v>723</v>
      </c>
      <c r="C196" s="422" t="s">
        <v>3767</v>
      </c>
      <c r="D196" s="423" t="s">
        <v>3778</v>
      </c>
      <c r="E196" s="424" t="s">
        <v>1529</v>
      </c>
      <c r="F196" s="189"/>
      <c r="G196" s="189" t="s">
        <v>1519</v>
      </c>
    </row>
    <row r="197" spans="1:7" s="185" customFormat="1" ht="37.5" x14ac:dyDescent="0.3">
      <c r="A197" s="228">
        <v>192</v>
      </c>
      <c r="B197" s="422" t="s">
        <v>723</v>
      </c>
      <c r="C197" s="422" t="s">
        <v>3767</v>
      </c>
      <c r="D197" s="423" t="s">
        <v>3779</v>
      </c>
      <c r="E197" s="424" t="s">
        <v>1529</v>
      </c>
      <c r="F197" s="189"/>
      <c r="G197" s="189" t="s">
        <v>1519</v>
      </c>
    </row>
    <row r="198" spans="1:7" s="185" customFormat="1" ht="56.25" x14ac:dyDescent="0.3">
      <c r="A198" s="228">
        <v>193</v>
      </c>
      <c r="B198" s="422" t="s">
        <v>723</v>
      </c>
      <c r="C198" s="422" t="s">
        <v>3767</v>
      </c>
      <c r="D198" s="423" t="s">
        <v>3780</v>
      </c>
      <c r="E198" s="424" t="s">
        <v>1529</v>
      </c>
      <c r="F198" s="189"/>
      <c r="G198" s="189" t="s">
        <v>1519</v>
      </c>
    </row>
    <row r="199" spans="1:7" s="185" customFormat="1" ht="37.5" x14ac:dyDescent="0.3">
      <c r="A199" s="228">
        <v>194</v>
      </c>
      <c r="B199" s="422" t="s">
        <v>723</v>
      </c>
      <c r="C199" s="422" t="s">
        <v>3767</v>
      </c>
      <c r="D199" s="423" t="s">
        <v>3781</v>
      </c>
      <c r="E199" s="424" t="s">
        <v>1529</v>
      </c>
      <c r="F199" s="189"/>
      <c r="G199" s="189" t="s">
        <v>1519</v>
      </c>
    </row>
    <row r="200" spans="1:7" s="185" customFormat="1" ht="37.5" x14ac:dyDescent="0.3">
      <c r="A200" s="228">
        <v>195</v>
      </c>
      <c r="B200" s="422" t="s">
        <v>723</v>
      </c>
      <c r="C200" s="422" t="s">
        <v>3767</v>
      </c>
      <c r="D200" s="423" t="s">
        <v>3782</v>
      </c>
      <c r="E200" s="424" t="s">
        <v>1529</v>
      </c>
      <c r="F200" s="189"/>
      <c r="G200" s="189" t="s">
        <v>1519</v>
      </c>
    </row>
    <row r="201" spans="1:7" s="185" customFormat="1" ht="37.5" x14ac:dyDescent="0.3">
      <c r="A201" s="228">
        <v>196</v>
      </c>
      <c r="B201" s="422" t="s">
        <v>723</v>
      </c>
      <c r="C201" s="422" t="s">
        <v>3767</v>
      </c>
      <c r="D201" s="423" t="s">
        <v>3783</v>
      </c>
      <c r="E201" s="424" t="s">
        <v>1529</v>
      </c>
      <c r="F201" s="189"/>
      <c r="G201" s="189" t="s">
        <v>1519</v>
      </c>
    </row>
    <row r="202" spans="1:7" s="185" customFormat="1" ht="18" customHeight="1" x14ac:dyDescent="0.3">
      <c r="A202" s="228">
        <v>197</v>
      </c>
      <c r="B202" s="828" t="s">
        <v>3784</v>
      </c>
      <c r="C202" s="829"/>
      <c r="D202" s="829"/>
      <c r="E202" s="829"/>
      <c r="F202" s="829"/>
      <c r="G202" s="830"/>
    </row>
    <row r="203" spans="1:7" s="185" customFormat="1" ht="37.5" x14ac:dyDescent="0.3">
      <c r="A203" s="228">
        <v>198</v>
      </c>
      <c r="B203" s="422" t="s">
        <v>723</v>
      </c>
      <c r="C203" s="422" t="s">
        <v>3767</v>
      </c>
      <c r="D203" s="423" t="s">
        <v>3785</v>
      </c>
      <c r="E203" s="424" t="s">
        <v>1529</v>
      </c>
      <c r="F203" s="189"/>
      <c r="G203" s="189" t="s">
        <v>1519</v>
      </c>
    </row>
    <row r="204" spans="1:7" s="185" customFormat="1" ht="37.5" x14ac:dyDescent="0.3">
      <c r="A204" s="228">
        <v>199</v>
      </c>
      <c r="B204" s="422" t="s">
        <v>723</v>
      </c>
      <c r="C204" s="422" t="s">
        <v>3767</v>
      </c>
      <c r="D204" s="423" t="s">
        <v>3786</v>
      </c>
      <c r="E204" s="424" t="s">
        <v>1529</v>
      </c>
      <c r="F204" s="189"/>
      <c r="G204" s="189" t="s">
        <v>1519</v>
      </c>
    </row>
    <row r="205" spans="1:7" s="185" customFormat="1" ht="37.5" x14ac:dyDescent="0.3">
      <c r="A205" s="228">
        <v>200</v>
      </c>
      <c r="B205" s="422" t="s">
        <v>723</v>
      </c>
      <c r="C205" s="422" t="s">
        <v>3767</v>
      </c>
      <c r="D205" s="423" t="s">
        <v>3787</v>
      </c>
      <c r="E205" s="424" t="s">
        <v>1529</v>
      </c>
      <c r="F205" s="189"/>
      <c r="G205" s="189" t="s">
        <v>1519</v>
      </c>
    </row>
    <row r="206" spans="1:7" s="185" customFormat="1" ht="37.5" x14ac:dyDescent="0.3">
      <c r="A206" s="228">
        <v>201</v>
      </c>
      <c r="B206" s="422" t="s">
        <v>723</v>
      </c>
      <c r="C206" s="422" t="s">
        <v>3767</v>
      </c>
      <c r="D206" s="423" t="s">
        <v>3788</v>
      </c>
      <c r="E206" s="424" t="s">
        <v>1529</v>
      </c>
      <c r="F206" s="189"/>
      <c r="G206" s="189" t="s">
        <v>1519</v>
      </c>
    </row>
    <row r="207" spans="1:7" x14ac:dyDescent="0.25">
      <c r="A207" s="228">
        <v>202</v>
      </c>
      <c r="B207" s="717" t="s">
        <v>3693</v>
      </c>
      <c r="C207" s="718"/>
      <c r="D207" s="718"/>
      <c r="E207" s="718"/>
      <c r="F207" s="718"/>
      <c r="G207" s="719"/>
    </row>
    <row r="208" spans="1:7" ht="37.5" x14ac:dyDescent="0.25">
      <c r="A208" s="228">
        <v>203</v>
      </c>
      <c r="B208" s="388" t="s">
        <v>1462</v>
      </c>
      <c r="C208" s="388" t="s">
        <v>84</v>
      </c>
      <c r="D208" s="423" t="s">
        <v>3789</v>
      </c>
      <c r="E208" s="388" t="s">
        <v>3654</v>
      </c>
      <c r="F208" s="189"/>
      <c r="G208" s="189" t="s">
        <v>1519</v>
      </c>
    </row>
    <row r="209" spans="1:9" ht="37.5" x14ac:dyDescent="0.25">
      <c r="A209" s="228">
        <v>204</v>
      </c>
      <c r="B209" s="388" t="s">
        <v>1462</v>
      </c>
      <c r="C209" s="388" t="s">
        <v>84</v>
      </c>
      <c r="D209" s="426" t="s">
        <v>3790</v>
      </c>
      <c r="E209" s="388" t="s">
        <v>3654</v>
      </c>
      <c r="F209" s="189"/>
      <c r="G209" s="189"/>
    </row>
    <row r="210" spans="1:9" x14ac:dyDescent="0.3">
      <c r="A210" s="229"/>
    </row>
    <row r="211" spans="1:9" s="185" customFormat="1" x14ac:dyDescent="0.3">
      <c r="A211" s="192"/>
      <c r="H211"/>
      <c r="I211"/>
    </row>
    <row r="212" spans="1:9" s="185" customFormat="1" x14ac:dyDescent="0.3">
      <c r="A212" s="192"/>
      <c r="H212"/>
      <c r="I212"/>
    </row>
    <row r="213" spans="1:9" s="185" customFormat="1" x14ac:dyDescent="0.3">
      <c r="A213" s="192"/>
      <c r="H213"/>
      <c r="I213"/>
    </row>
    <row r="214" spans="1:9" s="185" customFormat="1" x14ac:dyDescent="0.3">
      <c r="A214" s="192"/>
      <c r="H214"/>
      <c r="I214"/>
    </row>
    <row r="215" spans="1:9" s="185" customFormat="1" x14ac:dyDescent="0.3">
      <c r="A215" s="192"/>
      <c r="H215"/>
      <c r="I215"/>
    </row>
    <row r="216" spans="1:9" s="185" customFormat="1" x14ac:dyDescent="0.3">
      <c r="A216" s="192"/>
      <c r="H216"/>
      <c r="I216"/>
    </row>
    <row r="217" spans="1:9" s="185" customFormat="1" x14ac:dyDescent="0.3">
      <c r="A217" s="192"/>
      <c r="H217"/>
      <c r="I217"/>
    </row>
    <row r="218" spans="1:9" s="185" customFormat="1" x14ac:dyDescent="0.3">
      <c r="A218" s="192"/>
      <c r="H218"/>
      <c r="I218"/>
    </row>
    <row r="219" spans="1:9" s="185" customFormat="1" x14ac:dyDescent="0.3">
      <c r="A219" s="192"/>
      <c r="H219"/>
      <c r="I219"/>
    </row>
  </sheetData>
  <sheetProtection formatCells="0" formatColumns="0" formatRows="0" insertRows="0" deleteRows="0" sort="0" autoFilter="0"/>
  <mergeCells count="32">
    <mergeCell ref="B55:G55"/>
    <mergeCell ref="A2:B2"/>
    <mergeCell ref="C2:G2"/>
    <mergeCell ref="A4:C4"/>
    <mergeCell ref="B6:G6"/>
    <mergeCell ref="B8:G8"/>
    <mergeCell ref="B15:G15"/>
    <mergeCell ref="B21:G21"/>
    <mergeCell ref="B29:G29"/>
    <mergeCell ref="B34:G34"/>
    <mergeCell ref="B42:G42"/>
    <mergeCell ref="B49:G49"/>
    <mergeCell ref="B138:G138"/>
    <mergeCell ref="B63:G63"/>
    <mergeCell ref="B68:G68"/>
    <mergeCell ref="B76:G76"/>
    <mergeCell ref="B83:G83"/>
    <mergeCell ref="B89:G89"/>
    <mergeCell ref="B97:G97"/>
    <mergeCell ref="B102:G102"/>
    <mergeCell ref="B110:G110"/>
    <mergeCell ref="B118:G118"/>
    <mergeCell ref="B124:G124"/>
    <mergeCell ref="B132:G132"/>
    <mergeCell ref="B202:G202"/>
    <mergeCell ref="B207:G207"/>
    <mergeCell ref="B147:G147"/>
    <mergeCell ref="B155:G155"/>
    <mergeCell ref="B161:G161"/>
    <mergeCell ref="B169:G169"/>
    <mergeCell ref="B175:G175"/>
    <mergeCell ref="B184:G184"/>
  </mergeCells>
  <printOptions horizontalCentered="1"/>
  <pageMargins left="0.2" right="0.2" top="0.45" bottom="0.25" header="0.05" footer="0.05"/>
  <pageSetup scale="58" fitToHeight="0" orientation="portrait" r:id="rId1"/>
  <headerFooter scaleWithDoc="0">
    <oddHeader>&amp;L&amp;"-,Bold"&amp;8Digital Realty Operations&amp;C&amp;"-,Bold"&amp;10Method Of Procedure&amp;R&amp;G</oddHeader>
    <oddFooter>&amp;C&amp;8Page &amp;P of &amp;N</oddFooter>
  </headerFooter>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C007-6BD7-4918-9D3D-0C6009B101C9}">
  <sheetPr codeName="AALessons_Learned"/>
  <dimension ref="A1:L25"/>
  <sheetViews>
    <sheetView view="pageBreakPreview" zoomScale="90" zoomScaleNormal="100" zoomScaleSheetLayoutView="90" workbookViewId="0">
      <selection activeCell="A12" sqref="A12:L12"/>
    </sheetView>
  </sheetViews>
  <sheetFormatPr defaultColWidth="8.7109375" defaultRowHeight="15" x14ac:dyDescent="0.25"/>
  <cols>
    <col min="6" max="7" width="13.140625" customWidth="1"/>
  </cols>
  <sheetData>
    <row r="1" spans="1:12" ht="15.75" thickBot="1" x14ac:dyDescent="0.3"/>
    <row r="2" spans="1:12" ht="18" customHeight="1" thickBot="1" x14ac:dyDescent="0.3">
      <c r="A2" s="831" t="s">
        <v>3791</v>
      </c>
      <c r="B2" s="832"/>
      <c r="C2" s="832"/>
      <c r="D2" s="832"/>
      <c r="E2" s="832"/>
      <c r="F2" s="832"/>
      <c r="G2" s="832"/>
      <c r="H2" s="832"/>
      <c r="I2" s="832"/>
      <c r="J2" s="832"/>
      <c r="K2" s="832"/>
      <c r="L2" s="833"/>
    </row>
    <row r="3" spans="1:12" ht="39" thickBot="1" x14ac:dyDescent="0.3">
      <c r="A3" s="834" t="s">
        <v>3792</v>
      </c>
      <c r="B3" s="835"/>
      <c r="C3" s="835"/>
      <c r="D3" s="836"/>
      <c r="E3" s="840" t="s">
        <v>3496</v>
      </c>
      <c r="F3" s="841"/>
      <c r="G3" s="336" t="s">
        <v>3793</v>
      </c>
      <c r="H3" s="840" t="s">
        <v>3794</v>
      </c>
      <c r="I3" s="841"/>
      <c r="J3" s="840" t="s">
        <v>11</v>
      </c>
      <c r="K3" s="842"/>
      <c r="L3" s="841"/>
    </row>
    <row r="4" spans="1:12" ht="15.75" thickBot="1" x14ac:dyDescent="0.3">
      <c r="A4" s="837"/>
      <c r="B4" s="838"/>
      <c r="C4" s="838"/>
      <c r="D4" s="839"/>
      <c r="E4" s="843" t="str" cm="1">
        <f t="array" ref="E4">IADNumber</f>
        <v>IAD35</v>
      </c>
      <c r="F4" s="844"/>
      <c r="G4" s="337" t="str">
        <f>WOorCHG</f>
        <v>WO9999999</v>
      </c>
      <c r="H4" s="843"/>
      <c r="I4" s="844"/>
      <c r="J4" s="843" t="str" cm="1">
        <f t="array" ref="J4">Author</f>
        <v>Dan Vanderplas</v>
      </c>
      <c r="K4" s="845"/>
      <c r="L4" s="844"/>
    </row>
    <row r="5" spans="1:12" x14ac:dyDescent="0.25">
      <c r="A5" s="849"/>
      <c r="B5" s="849"/>
      <c r="C5" s="849"/>
      <c r="D5" s="849"/>
      <c r="E5" s="849"/>
      <c r="F5" s="849"/>
      <c r="G5" s="849"/>
      <c r="H5" s="849"/>
      <c r="I5" s="849"/>
      <c r="J5" s="849"/>
      <c r="K5" s="849"/>
      <c r="L5" s="849"/>
    </row>
    <row r="6" spans="1:12" x14ac:dyDescent="0.25">
      <c r="A6" s="315"/>
      <c r="B6" s="315"/>
      <c r="C6" s="315"/>
      <c r="D6" s="315"/>
      <c r="E6" s="315"/>
      <c r="F6" s="315"/>
      <c r="G6" s="315"/>
      <c r="H6" s="315"/>
      <c r="I6" s="315"/>
      <c r="J6" s="315"/>
      <c r="K6" s="315"/>
      <c r="L6" s="315"/>
    </row>
    <row r="7" spans="1:12" ht="15.75" customHeight="1" thickBot="1" x14ac:dyDescent="0.3">
      <c r="A7" s="850" t="s">
        <v>3795</v>
      </c>
      <c r="B7" s="850"/>
      <c r="C7" s="850"/>
      <c r="D7" s="850"/>
      <c r="E7" s="850"/>
      <c r="F7" s="850"/>
      <c r="G7" s="850"/>
      <c r="H7" s="850"/>
      <c r="I7" s="850"/>
      <c r="J7" s="850"/>
      <c r="K7" s="850"/>
      <c r="L7" s="850"/>
    </row>
    <row r="8" spans="1:12" ht="15.75" thickBot="1" x14ac:dyDescent="0.3">
      <c r="A8" s="846" t="s">
        <v>3796</v>
      </c>
      <c r="B8" s="847"/>
      <c r="C8" s="847"/>
      <c r="D8" s="847"/>
      <c r="E8" s="847"/>
      <c r="F8" s="847"/>
      <c r="G8" s="847"/>
      <c r="H8" s="847"/>
      <c r="I8" s="847"/>
      <c r="J8" s="847"/>
      <c r="K8" s="847"/>
      <c r="L8" s="848"/>
    </row>
    <row r="9" spans="1:12" ht="48.75" customHeight="1" thickBot="1" x14ac:dyDescent="0.3">
      <c r="A9" s="851"/>
      <c r="B9" s="852"/>
      <c r="C9" s="852"/>
      <c r="D9" s="852"/>
      <c r="E9" s="852"/>
      <c r="F9" s="852"/>
      <c r="G9" s="852"/>
      <c r="H9" s="852"/>
      <c r="I9" s="852"/>
      <c r="J9" s="852"/>
      <c r="K9" s="852"/>
      <c r="L9" s="853"/>
    </row>
    <row r="10" spans="1:12" ht="15.75" customHeight="1" thickBot="1" x14ac:dyDescent="0.3">
      <c r="A10" s="846" t="s">
        <v>3797</v>
      </c>
      <c r="B10" s="847"/>
      <c r="C10" s="847"/>
      <c r="D10" s="847"/>
      <c r="E10" s="847"/>
      <c r="F10" s="847"/>
      <c r="G10" s="847"/>
      <c r="H10" s="847"/>
      <c r="I10" s="847"/>
      <c r="J10" s="847"/>
      <c r="K10" s="847"/>
      <c r="L10" s="848"/>
    </row>
    <row r="11" spans="1:12" ht="49.9" customHeight="1" thickBot="1" x14ac:dyDescent="0.3">
      <c r="A11" s="316"/>
      <c r="B11" s="317"/>
      <c r="C11" s="317"/>
      <c r="D11" s="317"/>
      <c r="E11" s="317"/>
      <c r="F11" s="317"/>
      <c r="G11" s="317"/>
      <c r="H11" s="317"/>
      <c r="I11" s="317"/>
      <c r="J11" s="317"/>
      <c r="K11" s="317"/>
      <c r="L11" s="318"/>
    </row>
    <row r="12" spans="1:12" ht="15.75" customHeight="1" thickBot="1" x14ac:dyDescent="0.3">
      <c r="A12" s="846" t="s">
        <v>3798</v>
      </c>
      <c r="B12" s="847"/>
      <c r="C12" s="847"/>
      <c r="D12" s="847"/>
      <c r="E12" s="847"/>
      <c r="F12" s="847"/>
      <c r="G12" s="847"/>
      <c r="H12" s="847"/>
      <c r="I12" s="847"/>
      <c r="J12" s="847"/>
      <c r="K12" s="847"/>
      <c r="L12" s="848"/>
    </row>
    <row r="13" spans="1:12" ht="48.75" customHeight="1" thickBot="1" x14ac:dyDescent="0.3">
      <c r="A13" s="854"/>
      <c r="B13" s="855"/>
      <c r="C13" s="855"/>
      <c r="D13" s="855"/>
      <c r="E13" s="855"/>
      <c r="F13" s="855"/>
      <c r="G13" s="855"/>
      <c r="H13" s="855"/>
      <c r="I13" s="855"/>
      <c r="J13" s="855"/>
      <c r="K13" s="855"/>
      <c r="L13" s="856"/>
    </row>
    <row r="14" spans="1:12" ht="15.75" customHeight="1" thickBot="1" x14ac:dyDescent="0.3">
      <c r="A14" s="846" t="s">
        <v>3799</v>
      </c>
      <c r="B14" s="847"/>
      <c r="C14" s="847"/>
      <c r="D14" s="847"/>
      <c r="E14" s="847"/>
      <c r="F14" s="847"/>
      <c r="G14" s="847"/>
      <c r="H14" s="847"/>
      <c r="I14" s="847"/>
      <c r="J14" s="847"/>
      <c r="K14" s="847"/>
      <c r="L14" s="848"/>
    </row>
    <row r="15" spans="1:12" ht="48.75" customHeight="1" thickBot="1" x14ac:dyDescent="0.3">
      <c r="A15" s="857"/>
      <c r="B15" s="858"/>
      <c r="C15" s="858"/>
      <c r="D15" s="858"/>
      <c r="E15" s="858"/>
      <c r="F15" s="858"/>
      <c r="G15" s="858"/>
      <c r="H15" s="858"/>
      <c r="I15" s="858"/>
      <c r="J15" s="858"/>
      <c r="K15" s="858"/>
      <c r="L15" s="859"/>
    </row>
    <row r="16" spans="1:12" ht="15.75" customHeight="1" thickBot="1" x14ac:dyDescent="0.3">
      <c r="A16" s="846" t="s">
        <v>3800</v>
      </c>
      <c r="B16" s="847"/>
      <c r="C16" s="847"/>
      <c r="D16" s="847"/>
      <c r="E16" s="847"/>
      <c r="F16" s="847"/>
      <c r="G16" s="847"/>
      <c r="H16" s="847"/>
      <c r="I16" s="847"/>
      <c r="J16" s="847"/>
      <c r="K16" s="847"/>
      <c r="L16" s="848"/>
    </row>
    <row r="17" spans="1:12" ht="48.75" customHeight="1" thickBot="1" x14ac:dyDescent="0.3">
      <c r="A17" s="857"/>
      <c r="B17" s="858"/>
      <c r="C17" s="858"/>
      <c r="D17" s="858"/>
      <c r="E17" s="858"/>
      <c r="F17" s="858"/>
      <c r="G17" s="858"/>
      <c r="H17" s="858"/>
      <c r="I17" s="858"/>
      <c r="J17" s="858"/>
      <c r="K17" s="858"/>
      <c r="L17" s="859"/>
    </row>
    <row r="18" spans="1:12" ht="15.75" customHeight="1" thickBot="1" x14ac:dyDescent="0.3">
      <c r="A18" s="846" t="s">
        <v>3801</v>
      </c>
      <c r="B18" s="847"/>
      <c r="C18" s="847"/>
      <c r="D18" s="847"/>
      <c r="E18" s="847"/>
      <c r="F18" s="847"/>
      <c r="G18" s="847"/>
      <c r="H18" s="847"/>
      <c r="I18" s="847"/>
      <c r="J18" s="847"/>
      <c r="K18" s="847"/>
      <c r="L18" s="848"/>
    </row>
    <row r="19" spans="1:12" ht="48.75" customHeight="1" thickBot="1" x14ac:dyDescent="0.3">
      <c r="A19" s="857"/>
      <c r="B19" s="858"/>
      <c r="C19" s="858"/>
      <c r="D19" s="858"/>
      <c r="E19" s="858"/>
      <c r="F19" s="858"/>
      <c r="G19" s="858"/>
      <c r="H19" s="858"/>
      <c r="I19" s="858"/>
      <c r="J19" s="858"/>
      <c r="K19" s="858"/>
      <c r="L19" s="859"/>
    </row>
    <row r="20" spans="1:12" ht="15.75" thickBot="1" x14ac:dyDescent="0.3"/>
    <row r="21" spans="1:12" ht="18.75" thickBot="1" x14ac:dyDescent="0.3">
      <c r="A21" s="865" t="s">
        <v>3802</v>
      </c>
      <c r="B21" s="866"/>
      <c r="C21" s="866"/>
      <c r="D21" s="866"/>
      <c r="E21" s="866"/>
      <c r="F21" s="866"/>
      <c r="G21" s="866"/>
      <c r="H21" s="866"/>
      <c r="I21" s="866"/>
      <c r="J21" s="866"/>
      <c r="K21" s="866"/>
      <c r="L21" s="867"/>
    </row>
    <row r="22" spans="1:12" x14ac:dyDescent="0.25">
      <c r="A22" s="384"/>
      <c r="B22" s="4"/>
      <c r="C22" s="4"/>
      <c r="D22" s="4"/>
      <c r="E22" s="4"/>
      <c r="F22" s="4"/>
      <c r="G22" s="4"/>
      <c r="H22" s="4"/>
      <c r="I22" s="4"/>
      <c r="J22" s="4"/>
      <c r="K22" s="4"/>
      <c r="L22" s="385"/>
    </row>
    <row r="23" spans="1:12" x14ac:dyDescent="0.25">
      <c r="A23" s="868" t="s">
        <v>39</v>
      </c>
      <c r="B23" s="869"/>
      <c r="C23" s="869"/>
      <c r="D23" s="869"/>
      <c r="E23" s="319" t="s">
        <v>17</v>
      </c>
      <c r="F23" s="870" t="str" cm="1">
        <f t="array" ref="F23">VLOOKUP(IADNumber, 'Site List'!$A$1:$O$44, 10, FALSE)</f>
        <v>Renzo Giovannini</v>
      </c>
      <c r="G23" s="870"/>
      <c r="H23" s="870"/>
      <c r="I23" s="870"/>
      <c r="J23" s="319" t="s">
        <v>3794</v>
      </c>
      <c r="K23" s="871"/>
      <c r="L23" s="872"/>
    </row>
    <row r="24" spans="1:12" x14ac:dyDescent="0.25">
      <c r="A24" s="868" t="s">
        <v>3803</v>
      </c>
      <c r="B24" s="869"/>
      <c r="C24" s="869"/>
      <c r="D24" s="869"/>
      <c r="E24" s="319" t="s">
        <v>17</v>
      </c>
      <c r="F24" s="870" t="str" cm="1">
        <f t="array" ref="F24">VLOOKUP(IADNumber, 'Site List'!$A$1:$O$44, 7, FALSE)</f>
        <v>Cristinel Ion</v>
      </c>
      <c r="G24" s="870"/>
      <c r="H24" s="870"/>
      <c r="I24" s="870"/>
      <c r="J24" s="319" t="s">
        <v>3794</v>
      </c>
      <c r="K24" s="871"/>
      <c r="L24" s="872"/>
    </row>
    <row r="25" spans="1:12" ht="15.75" thickBot="1" x14ac:dyDescent="0.3">
      <c r="A25" s="860" t="s">
        <v>3804</v>
      </c>
      <c r="B25" s="861"/>
      <c r="C25" s="861"/>
      <c r="D25" s="861"/>
      <c r="E25" s="386" t="s">
        <v>17</v>
      </c>
      <c r="F25" s="862" t="str" cm="1">
        <f t="array" ref="F25">VLOOKUP(IADNumber, 'Site List'!$A$1:$O$44, 4, FALSE)</f>
        <v>Ryan Young</v>
      </c>
      <c r="G25" s="862"/>
      <c r="H25" s="862"/>
      <c r="I25" s="862"/>
      <c r="J25" s="386" t="s">
        <v>3794</v>
      </c>
      <c r="K25" s="863"/>
      <c r="L25" s="864"/>
    </row>
  </sheetData>
  <mergeCells count="31">
    <mergeCell ref="A25:D25"/>
    <mergeCell ref="F25:I25"/>
    <mergeCell ref="K25:L25"/>
    <mergeCell ref="A19:L19"/>
    <mergeCell ref="A21:L21"/>
    <mergeCell ref="A23:D23"/>
    <mergeCell ref="F23:I23"/>
    <mergeCell ref="K23:L23"/>
    <mergeCell ref="A24:D24"/>
    <mergeCell ref="F24:I24"/>
    <mergeCell ref="K24:L24"/>
    <mergeCell ref="A18:L18"/>
    <mergeCell ref="A5:L5"/>
    <mergeCell ref="A7:L7"/>
    <mergeCell ref="A8:L8"/>
    <mergeCell ref="A9:L9"/>
    <mergeCell ref="A10:L10"/>
    <mergeCell ref="A12:L12"/>
    <mergeCell ref="A13:L13"/>
    <mergeCell ref="A14:L14"/>
    <mergeCell ref="A15:L15"/>
    <mergeCell ref="A16:L16"/>
    <mergeCell ref="A17:L17"/>
    <mergeCell ref="A2:L2"/>
    <mergeCell ref="A3:D4"/>
    <mergeCell ref="E3:F3"/>
    <mergeCell ref="H3:I3"/>
    <mergeCell ref="J3:L3"/>
    <mergeCell ref="E4:F4"/>
    <mergeCell ref="H4:I4"/>
    <mergeCell ref="J4:L4"/>
  </mergeCells>
  <pageMargins left="0.30249999999999999" right="0.5" top="0.51249999999999996" bottom="0.34558823529411797" header="0.3" footer="7.3529411764705899E-2"/>
  <pageSetup scale="80" orientation="portrait" r:id="rId1"/>
  <headerFooter>
    <oddHeader>&amp;L&amp;"-,Bold"&amp;8Digital Realty Operations&amp;C&amp;"-,Bold"&amp;10Method Of Procedure&amp;R&amp;G</oddHeader>
    <oddFooter>&amp;C&amp;8Page &amp;P of &amp;N</oddFooter>
  </headerFooter>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B3231-456F-4C7D-8C44-521C00A27244}">
  <sheetPr codeName="Site_List" filterMode="1"/>
  <dimension ref="A1:O56"/>
  <sheetViews>
    <sheetView workbookViewId="0"/>
  </sheetViews>
  <sheetFormatPr defaultColWidth="8.7109375" defaultRowHeight="15" x14ac:dyDescent="0.25"/>
  <cols>
    <col min="1" max="1" width="11.7109375" bestFit="1" customWidth="1"/>
    <col min="2" max="2" width="52.28515625" bestFit="1" customWidth="1"/>
    <col min="3" max="3" width="9.42578125" bestFit="1" customWidth="1"/>
    <col min="4" max="4" width="12.42578125" customWidth="1"/>
    <col min="5" max="5" width="24.42578125" customWidth="1"/>
    <col min="6" max="6" width="14.5703125" customWidth="1"/>
    <col min="7" max="7" width="21.42578125" customWidth="1"/>
    <col min="8" max="8" width="26.5703125" customWidth="1"/>
    <col min="9" max="9" width="14.28515625" customWidth="1"/>
    <col min="10" max="10" width="25.28515625" bestFit="1" customWidth="1"/>
    <col min="11" max="11" width="26.5703125" bestFit="1" customWidth="1"/>
    <col min="12" max="12" width="16.7109375" bestFit="1" customWidth="1"/>
    <col min="13" max="13" width="33.5703125" bestFit="1" customWidth="1"/>
    <col min="14" max="14" width="29" customWidth="1"/>
    <col min="15" max="15" width="14.28515625" bestFit="1" customWidth="1"/>
  </cols>
  <sheetData>
    <row r="1" spans="1:15" x14ac:dyDescent="0.25">
      <c r="A1" t="s">
        <v>3817</v>
      </c>
      <c r="B1" t="s">
        <v>3818</v>
      </c>
      <c r="C1" t="s">
        <v>3819</v>
      </c>
      <c r="D1" t="s">
        <v>3820</v>
      </c>
      <c r="E1" t="s">
        <v>3821</v>
      </c>
      <c r="F1" t="s">
        <v>3822</v>
      </c>
      <c r="G1" t="s">
        <v>3823</v>
      </c>
      <c r="H1" t="s">
        <v>3824</v>
      </c>
      <c r="I1" t="s">
        <v>3825</v>
      </c>
      <c r="J1" t="s">
        <v>3826</v>
      </c>
      <c r="K1" t="s">
        <v>3827</v>
      </c>
      <c r="L1" t="s">
        <v>3828</v>
      </c>
      <c r="M1" t="s">
        <v>3829</v>
      </c>
      <c r="N1" t="s">
        <v>3830</v>
      </c>
      <c r="O1" t="s">
        <v>3831</v>
      </c>
    </row>
    <row r="2" spans="1:15" hidden="1" x14ac:dyDescent="0.25">
      <c r="A2" t="s">
        <v>3832</v>
      </c>
      <c r="B2" t="s">
        <v>3833</v>
      </c>
      <c r="C2" t="s">
        <v>3834</v>
      </c>
      <c r="D2" t="s">
        <v>3835</v>
      </c>
      <c r="E2" s="7" t="s">
        <v>3836</v>
      </c>
      <c r="F2" t="s">
        <v>3837</v>
      </c>
      <c r="G2" t="s">
        <v>3838</v>
      </c>
      <c r="H2" s="7" t="s">
        <v>3839</v>
      </c>
      <c r="I2" t="s">
        <v>3840</v>
      </c>
      <c r="J2" t="s">
        <v>40</v>
      </c>
      <c r="K2" t="s">
        <v>40</v>
      </c>
      <c r="L2" t="s">
        <v>40</v>
      </c>
      <c r="M2" t="s">
        <v>40</v>
      </c>
      <c r="N2" t="s">
        <v>40</v>
      </c>
      <c r="O2" t="s">
        <v>40</v>
      </c>
    </row>
    <row r="3" spans="1:15" hidden="1" x14ac:dyDescent="0.25">
      <c r="A3" t="s">
        <v>3841</v>
      </c>
      <c r="B3" t="s">
        <v>3842</v>
      </c>
      <c r="C3" t="s">
        <v>3834</v>
      </c>
      <c r="D3" t="s">
        <v>3835</v>
      </c>
      <c r="E3" s="7" t="s">
        <v>3836</v>
      </c>
      <c r="F3" t="s">
        <v>3837</v>
      </c>
      <c r="G3" t="s">
        <v>3838</v>
      </c>
      <c r="H3" s="7" t="s">
        <v>3839</v>
      </c>
      <c r="I3" t="s">
        <v>3840</v>
      </c>
      <c r="J3" t="s">
        <v>40</v>
      </c>
      <c r="K3" t="s">
        <v>40</v>
      </c>
      <c r="L3" t="s">
        <v>40</v>
      </c>
      <c r="M3" t="s">
        <v>40</v>
      </c>
      <c r="N3" t="s">
        <v>40</v>
      </c>
      <c r="O3" t="s">
        <v>40</v>
      </c>
    </row>
    <row r="4" spans="1:15" hidden="1" x14ac:dyDescent="0.25">
      <c r="A4" t="s">
        <v>3843</v>
      </c>
      <c r="B4" t="s">
        <v>3844</v>
      </c>
      <c r="C4" t="s">
        <v>3834</v>
      </c>
      <c r="D4" t="s">
        <v>3835</v>
      </c>
      <c r="E4" s="7" t="s">
        <v>3836</v>
      </c>
      <c r="F4" t="s">
        <v>3837</v>
      </c>
      <c r="G4" t="s">
        <v>3838</v>
      </c>
      <c r="H4" s="7" t="s">
        <v>3839</v>
      </c>
      <c r="I4" t="s">
        <v>3840</v>
      </c>
      <c r="J4" t="s">
        <v>40</v>
      </c>
      <c r="K4" t="s">
        <v>40</v>
      </c>
      <c r="L4" t="s">
        <v>40</v>
      </c>
      <c r="M4" t="s">
        <v>40</v>
      </c>
      <c r="N4" t="s">
        <v>40</v>
      </c>
      <c r="O4" t="s">
        <v>40</v>
      </c>
    </row>
    <row r="5" spans="1:15" hidden="1" x14ac:dyDescent="0.25">
      <c r="A5" t="s">
        <v>3845</v>
      </c>
      <c r="B5" t="s">
        <v>3846</v>
      </c>
      <c r="C5" t="s">
        <v>3834</v>
      </c>
      <c r="D5" t="s">
        <v>3835</v>
      </c>
      <c r="E5" s="7" t="s">
        <v>3836</v>
      </c>
      <c r="F5" t="s">
        <v>3837</v>
      </c>
      <c r="G5" t="s">
        <v>3838</v>
      </c>
      <c r="H5" s="7" t="s">
        <v>3839</v>
      </c>
      <c r="I5" t="s">
        <v>3840</v>
      </c>
      <c r="J5" t="s">
        <v>3847</v>
      </c>
      <c r="K5" s="7" t="s">
        <v>3848</v>
      </c>
      <c r="M5" t="s">
        <v>3849</v>
      </c>
    </row>
    <row r="6" spans="1:15" hidden="1" x14ac:dyDescent="0.25">
      <c r="A6" t="s">
        <v>3850</v>
      </c>
      <c r="B6" t="s">
        <v>3851</v>
      </c>
      <c r="C6" t="s">
        <v>3834</v>
      </c>
      <c r="D6" t="s">
        <v>3835</v>
      </c>
      <c r="E6" s="7" t="s">
        <v>3836</v>
      </c>
      <c r="F6" t="s">
        <v>3837</v>
      </c>
      <c r="G6" t="s">
        <v>3838</v>
      </c>
      <c r="H6" s="7" t="s">
        <v>3839</v>
      </c>
      <c r="I6" t="s">
        <v>3840</v>
      </c>
      <c r="J6" t="s">
        <v>3852</v>
      </c>
      <c r="K6" s="7" t="s">
        <v>3853</v>
      </c>
      <c r="M6" t="s">
        <v>3854</v>
      </c>
      <c r="N6" s="7" t="s">
        <v>3855</v>
      </c>
      <c r="O6" t="s">
        <v>3856</v>
      </c>
    </row>
    <row r="7" spans="1:15" hidden="1" x14ac:dyDescent="0.25">
      <c r="A7" t="s">
        <v>3857</v>
      </c>
      <c r="B7" t="s">
        <v>3858</v>
      </c>
      <c r="C7" t="s">
        <v>3834</v>
      </c>
      <c r="D7" t="s">
        <v>3835</v>
      </c>
      <c r="E7" s="7" t="s">
        <v>3836</v>
      </c>
      <c r="F7" t="s">
        <v>3837</v>
      </c>
      <c r="G7" t="s">
        <v>3838</v>
      </c>
      <c r="H7" s="7" t="s">
        <v>3839</v>
      </c>
      <c r="I7" t="s">
        <v>3840</v>
      </c>
      <c r="J7" t="s">
        <v>3852</v>
      </c>
      <c r="K7" s="7" t="s">
        <v>3853</v>
      </c>
      <c r="M7" t="s">
        <v>3854</v>
      </c>
      <c r="N7" s="7" t="s">
        <v>3855</v>
      </c>
      <c r="O7" t="s">
        <v>3856</v>
      </c>
    </row>
    <row r="8" spans="1:15" hidden="1" x14ac:dyDescent="0.25">
      <c r="A8" t="s">
        <v>3859</v>
      </c>
      <c r="B8" t="s">
        <v>3860</v>
      </c>
      <c r="C8" t="s">
        <v>3834</v>
      </c>
      <c r="D8" t="s">
        <v>3835</v>
      </c>
      <c r="E8" s="7" t="s">
        <v>3836</v>
      </c>
      <c r="F8" t="s">
        <v>3837</v>
      </c>
      <c r="G8" t="s">
        <v>3861</v>
      </c>
      <c r="H8" s="7" t="s">
        <v>3862</v>
      </c>
      <c r="I8" t="s">
        <v>3863</v>
      </c>
      <c r="J8" t="s">
        <v>3864</v>
      </c>
      <c r="K8" s="7" t="s">
        <v>3865</v>
      </c>
    </row>
    <row r="9" spans="1:15" hidden="1" x14ac:dyDescent="0.25">
      <c r="A9" t="s">
        <v>3866</v>
      </c>
      <c r="B9" t="s">
        <v>3867</v>
      </c>
      <c r="C9" t="s">
        <v>3834</v>
      </c>
      <c r="D9" t="s">
        <v>3835</v>
      </c>
      <c r="E9" s="7" t="s">
        <v>3836</v>
      </c>
      <c r="F9" t="s">
        <v>3837</v>
      </c>
      <c r="G9" t="s">
        <v>3861</v>
      </c>
      <c r="H9" s="7" t="s">
        <v>3862</v>
      </c>
      <c r="I9" t="s">
        <v>3863</v>
      </c>
      <c r="J9" t="s">
        <v>3868</v>
      </c>
      <c r="K9" s="7" t="s">
        <v>3869</v>
      </c>
    </row>
    <row r="10" spans="1:15" hidden="1" x14ac:dyDescent="0.25">
      <c r="A10" t="s">
        <v>3870</v>
      </c>
      <c r="B10" t="s">
        <v>3871</v>
      </c>
      <c r="C10" t="s">
        <v>3834</v>
      </c>
      <c r="D10" t="s">
        <v>3835</v>
      </c>
      <c r="E10" s="7" t="s">
        <v>3836</v>
      </c>
      <c r="F10" t="s">
        <v>3837</v>
      </c>
      <c r="G10" t="s">
        <v>3861</v>
      </c>
      <c r="H10" s="7" t="s">
        <v>3862</v>
      </c>
      <c r="I10" t="s">
        <v>3863</v>
      </c>
      <c r="J10" t="s">
        <v>3868</v>
      </c>
      <c r="K10" s="7" t="s">
        <v>3869</v>
      </c>
    </row>
    <row r="11" spans="1:15" hidden="1" x14ac:dyDescent="0.25">
      <c r="A11" t="s">
        <v>3872</v>
      </c>
      <c r="B11" t="s">
        <v>3873</v>
      </c>
      <c r="C11" t="s">
        <v>3834</v>
      </c>
      <c r="D11" t="s">
        <v>3835</v>
      </c>
      <c r="E11" s="7" t="s">
        <v>3836</v>
      </c>
      <c r="F11" t="s">
        <v>3837</v>
      </c>
      <c r="G11" t="s">
        <v>3861</v>
      </c>
      <c r="H11" s="7" t="s">
        <v>3862</v>
      </c>
      <c r="I11" t="s">
        <v>3863</v>
      </c>
      <c r="J11" t="s">
        <v>40</v>
      </c>
      <c r="K11" t="s">
        <v>40</v>
      </c>
      <c r="L11" t="s">
        <v>40</v>
      </c>
      <c r="M11" t="s">
        <v>40</v>
      </c>
      <c r="N11" t="s">
        <v>40</v>
      </c>
      <c r="O11" t="s">
        <v>40</v>
      </c>
    </row>
    <row r="12" spans="1:15" hidden="1" x14ac:dyDescent="0.25">
      <c r="A12" t="s">
        <v>3874</v>
      </c>
      <c r="B12" t="s">
        <v>3875</v>
      </c>
      <c r="C12" t="s">
        <v>3834</v>
      </c>
      <c r="D12" t="s">
        <v>3835</v>
      </c>
      <c r="E12" s="7" t="s">
        <v>3836</v>
      </c>
      <c r="F12" t="s">
        <v>3837</v>
      </c>
      <c r="G12" t="s">
        <v>3861</v>
      </c>
      <c r="H12" s="7" t="s">
        <v>3862</v>
      </c>
      <c r="I12" t="s">
        <v>3863</v>
      </c>
      <c r="J12" t="s">
        <v>3864</v>
      </c>
      <c r="K12" s="7" t="s">
        <v>3865</v>
      </c>
    </row>
    <row r="13" spans="1:15" hidden="1" x14ac:dyDescent="0.25">
      <c r="A13" t="s">
        <v>3876</v>
      </c>
      <c r="B13" t="s">
        <v>3877</v>
      </c>
      <c r="C13" t="s">
        <v>3834</v>
      </c>
      <c r="D13" t="s">
        <v>3835</v>
      </c>
      <c r="E13" s="7" t="s">
        <v>3836</v>
      </c>
      <c r="F13" t="s">
        <v>3837</v>
      </c>
      <c r="G13" t="s">
        <v>3861</v>
      </c>
      <c r="H13" s="7" t="s">
        <v>3862</v>
      </c>
      <c r="I13" t="s">
        <v>3863</v>
      </c>
      <c r="J13" t="s">
        <v>40</v>
      </c>
      <c r="K13" t="s">
        <v>40</v>
      </c>
      <c r="L13" t="s">
        <v>40</v>
      </c>
      <c r="M13" t="s">
        <v>40</v>
      </c>
      <c r="N13" t="s">
        <v>40</v>
      </c>
      <c r="O13" t="s">
        <v>40</v>
      </c>
    </row>
    <row r="14" spans="1:15" hidden="1" x14ac:dyDescent="0.25">
      <c r="A14" t="s">
        <v>3878</v>
      </c>
      <c r="B14" t="s">
        <v>3879</v>
      </c>
      <c r="C14" t="s">
        <v>3834</v>
      </c>
      <c r="D14" t="s">
        <v>3835</v>
      </c>
      <c r="E14" s="7" t="s">
        <v>3836</v>
      </c>
      <c r="F14" t="s">
        <v>3837</v>
      </c>
      <c r="G14" t="s">
        <v>3861</v>
      </c>
      <c r="H14" s="7" t="s">
        <v>3862</v>
      </c>
      <c r="I14" t="s">
        <v>3863</v>
      </c>
      <c r="J14" t="s">
        <v>40</v>
      </c>
      <c r="K14" t="s">
        <v>40</v>
      </c>
      <c r="L14" t="s">
        <v>40</v>
      </c>
      <c r="M14" t="s">
        <v>40</v>
      </c>
      <c r="N14" t="s">
        <v>40</v>
      </c>
      <c r="O14" t="s">
        <v>40</v>
      </c>
    </row>
    <row r="15" spans="1:15" hidden="1" x14ac:dyDescent="0.25">
      <c r="A15" t="s">
        <v>3880</v>
      </c>
      <c r="B15" t="s">
        <v>3881</v>
      </c>
      <c r="C15" t="s">
        <v>3834</v>
      </c>
      <c r="D15" t="s">
        <v>3835</v>
      </c>
      <c r="E15" s="7" t="s">
        <v>3836</v>
      </c>
      <c r="F15" t="s">
        <v>3837</v>
      </c>
      <c r="G15" t="s">
        <v>3861</v>
      </c>
      <c r="H15" s="7" t="s">
        <v>3862</v>
      </c>
      <c r="I15" t="s">
        <v>3863</v>
      </c>
      <c r="J15" t="s">
        <v>40</v>
      </c>
      <c r="K15" t="s">
        <v>40</v>
      </c>
      <c r="L15" t="s">
        <v>40</v>
      </c>
      <c r="M15" t="s">
        <v>40</v>
      </c>
      <c r="N15" t="s">
        <v>40</v>
      </c>
      <c r="O15" t="s">
        <v>40</v>
      </c>
    </row>
    <row r="16" spans="1:15" hidden="1" x14ac:dyDescent="0.25">
      <c r="A16" t="s">
        <v>3882</v>
      </c>
      <c r="B16" t="s">
        <v>3883</v>
      </c>
      <c r="C16" t="s">
        <v>3834</v>
      </c>
      <c r="D16" t="s">
        <v>3835</v>
      </c>
      <c r="E16" s="7" t="s">
        <v>3836</v>
      </c>
      <c r="F16" t="s">
        <v>3837</v>
      </c>
      <c r="G16" t="s">
        <v>3861</v>
      </c>
      <c r="H16" s="7" t="s">
        <v>3862</v>
      </c>
      <c r="I16" t="s">
        <v>3863</v>
      </c>
      <c r="J16" t="s">
        <v>40</v>
      </c>
      <c r="K16" t="s">
        <v>40</v>
      </c>
      <c r="L16" t="s">
        <v>40</v>
      </c>
      <c r="M16" t="s">
        <v>40</v>
      </c>
      <c r="N16" t="s">
        <v>40</v>
      </c>
      <c r="O16" t="s">
        <v>40</v>
      </c>
    </row>
    <row r="17" spans="1:15" hidden="1" x14ac:dyDescent="0.25">
      <c r="A17" t="s">
        <v>3884</v>
      </c>
      <c r="B17" t="s">
        <v>3885</v>
      </c>
      <c r="C17" t="s">
        <v>3886</v>
      </c>
      <c r="D17" t="s">
        <v>3835</v>
      </c>
      <c r="E17" s="7" t="s">
        <v>3836</v>
      </c>
      <c r="F17" t="s">
        <v>3837</v>
      </c>
      <c r="G17" t="s">
        <v>3861</v>
      </c>
      <c r="H17" s="7" t="s">
        <v>3862</v>
      </c>
      <c r="I17" t="s">
        <v>3863</v>
      </c>
      <c r="J17" t="s">
        <v>3868</v>
      </c>
      <c r="K17" s="7" t="s">
        <v>3869</v>
      </c>
      <c r="M17" t="s">
        <v>3887</v>
      </c>
    </row>
    <row r="18" spans="1:15" hidden="1" x14ac:dyDescent="0.25">
      <c r="A18" t="s">
        <v>3888</v>
      </c>
      <c r="B18" t="s">
        <v>3889</v>
      </c>
      <c r="C18" t="s">
        <v>3834</v>
      </c>
      <c r="D18" t="s">
        <v>3835</v>
      </c>
      <c r="E18" s="7" t="s">
        <v>3836</v>
      </c>
      <c r="F18" t="s">
        <v>3837</v>
      </c>
      <c r="G18" t="s">
        <v>3861</v>
      </c>
      <c r="H18" s="7" t="s">
        <v>3862</v>
      </c>
      <c r="I18" t="s">
        <v>3863</v>
      </c>
      <c r="J18" t="s">
        <v>3864</v>
      </c>
      <c r="M18" t="s">
        <v>3890</v>
      </c>
    </row>
    <row r="19" spans="1:15" hidden="1" x14ac:dyDescent="0.25">
      <c r="A19" t="s">
        <v>3891</v>
      </c>
      <c r="B19" t="s">
        <v>3892</v>
      </c>
      <c r="C19" t="s">
        <v>3834</v>
      </c>
      <c r="D19" t="s">
        <v>3835</v>
      </c>
      <c r="E19" s="7" t="s">
        <v>3836</v>
      </c>
      <c r="F19" t="s">
        <v>3837</v>
      </c>
      <c r="G19" t="s">
        <v>3861</v>
      </c>
      <c r="H19" s="7" t="s">
        <v>3862</v>
      </c>
      <c r="I19" t="s">
        <v>3863</v>
      </c>
      <c r="J19" t="s">
        <v>3864</v>
      </c>
      <c r="M19" t="s">
        <v>3890</v>
      </c>
    </row>
    <row r="20" spans="1:15" hidden="1" x14ac:dyDescent="0.25">
      <c r="A20" t="s">
        <v>3893</v>
      </c>
      <c r="B20" t="s">
        <v>3894</v>
      </c>
      <c r="C20" t="s">
        <v>3834</v>
      </c>
      <c r="D20" t="s">
        <v>3835</v>
      </c>
      <c r="E20" s="7" t="s">
        <v>3836</v>
      </c>
      <c r="F20" t="s">
        <v>3837</v>
      </c>
      <c r="G20" t="s">
        <v>3838</v>
      </c>
      <c r="H20" s="7" t="s">
        <v>3839</v>
      </c>
      <c r="I20" t="s">
        <v>3840</v>
      </c>
      <c r="J20" t="s">
        <v>3895</v>
      </c>
      <c r="K20" s="7" t="s">
        <v>3896</v>
      </c>
      <c r="M20" t="s">
        <v>3897</v>
      </c>
      <c r="N20" t="s">
        <v>40</v>
      </c>
      <c r="O20" t="s">
        <v>40</v>
      </c>
    </row>
    <row r="21" spans="1:15" x14ac:dyDescent="0.25">
      <c r="A21" t="s">
        <v>1417</v>
      </c>
      <c r="B21" t="s">
        <v>3898</v>
      </c>
      <c r="C21" t="s">
        <v>3834</v>
      </c>
      <c r="D21" t="s">
        <v>3835</v>
      </c>
      <c r="E21" s="7" t="s">
        <v>3836</v>
      </c>
      <c r="F21" t="s">
        <v>3837</v>
      </c>
      <c r="G21" s="135" t="s">
        <v>3899</v>
      </c>
      <c r="H21" s="139" t="s">
        <v>3900</v>
      </c>
      <c r="I21" s="135" t="s">
        <v>3901</v>
      </c>
      <c r="J21" s="135" t="s">
        <v>3902</v>
      </c>
      <c r="K21" s="139" t="s">
        <v>3903</v>
      </c>
      <c r="L21" s="135" t="s">
        <v>3904</v>
      </c>
      <c r="M21" s="135" t="s">
        <v>3905</v>
      </c>
      <c r="N21" s="139" t="s">
        <v>3906</v>
      </c>
      <c r="O21" s="140" t="s">
        <v>3907</v>
      </c>
    </row>
    <row r="22" spans="1:15" x14ac:dyDescent="0.25">
      <c r="A22" t="s">
        <v>3908</v>
      </c>
      <c r="B22" t="s">
        <v>3909</v>
      </c>
      <c r="C22" t="s">
        <v>3834</v>
      </c>
      <c r="D22" t="s">
        <v>3835</v>
      </c>
      <c r="E22" s="7" t="s">
        <v>3836</v>
      </c>
      <c r="F22" t="s">
        <v>3837</v>
      </c>
      <c r="G22" s="135" t="s">
        <v>3899</v>
      </c>
      <c r="H22" s="139" t="s">
        <v>3900</v>
      </c>
      <c r="I22" s="135" t="s">
        <v>3901</v>
      </c>
      <c r="J22" s="135" t="s">
        <v>40</v>
      </c>
      <c r="K22" s="135" t="s">
        <v>40</v>
      </c>
      <c r="L22" s="135" t="s">
        <v>40</v>
      </c>
      <c r="M22" s="135" t="s">
        <v>40</v>
      </c>
      <c r="N22" s="135" t="s">
        <v>40</v>
      </c>
      <c r="O22" s="135" t="s">
        <v>40</v>
      </c>
    </row>
    <row r="23" spans="1:15" x14ac:dyDescent="0.25">
      <c r="A23" t="s">
        <v>1422</v>
      </c>
      <c r="B23" t="s">
        <v>3910</v>
      </c>
      <c r="C23" t="s">
        <v>3834</v>
      </c>
      <c r="D23" t="s">
        <v>3835</v>
      </c>
      <c r="E23" s="7" t="s">
        <v>3836</v>
      </c>
      <c r="F23" t="s">
        <v>3837</v>
      </c>
      <c r="G23" s="135" t="s">
        <v>3899</v>
      </c>
      <c r="H23" s="139" t="s">
        <v>3900</v>
      </c>
      <c r="I23" s="135" t="s">
        <v>3901</v>
      </c>
      <c r="J23" s="135" t="s">
        <v>3902</v>
      </c>
      <c r="K23" s="139" t="s">
        <v>3903</v>
      </c>
      <c r="L23" s="135" t="s">
        <v>3904</v>
      </c>
      <c r="M23" s="135" t="s">
        <v>3911</v>
      </c>
      <c r="N23" s="139" t="s">
        <v>3912</v>
      </c>
      <c r="O23" s="135" t="s">
        <v>3913</v>
      </c>
    </row>
    <row r="24" spans="1:15" x14ac:dyDescent="0.25">
      <c r="A24" t="s">
        <v>1413</v>
      </c>
      <c r="B24" t="s">
        <v>3914</v>
      </c>
      <c r="C24" t="s">
        <v>3834</v>
      </c>
      <c r="D24" t="s">
        <v>3835</v>
      </c>
      <c r="E24" s="7" t="s">
        <v>3836</v>
      </c>
      <c r="F24" t="s">
        <v>3837</v>
      </c>
      <c r="G24" s="135" t="s">
        <v>3899</v>
      </c>
      <c r="H24" s="139" t="s">
        <v>3900</v>
      </c>
      <c r="I24" s="135" t="s">
        <v>3901</v>
      </c>
      <c r="J24" s="135" t="s">
        <v>3902</v>
      </c>
      <c r="K24" s="139" t="s">
        <v>3903</v>
      </c>
      <c r="L24" s="135" t="s">
        <v>3904</v>
      </c>
      <c r="M24" s="135" t="s">
        <v>3905</v>
      </c>
      <c r="N24" s="139" t="s">
        <v>3906</v>
      </c>
      <c r="O24" s="140" t="s">
        <v>3907</v>
      </c>
    </row>
    <row r="25" spans="1:15" ht="15.75" hidden="1" customHeight="1" x14ac:dyDescent="0.25">
      <c r="A25" t="s">
        <v>3915</v>
      </c>
      <c r="B25" t="s">
        <v>3916</v>
      </c>
      <c r="C25" t="s">
        <v>3834</v>
      </c>
      <c r="D25" t="s">
        <v>3835</v>
      </c>
      <c r="E25" s="7" t="s">
        <v>3836</v>
      </c>
      <c r="F25" t="s">
        <v>3837</v>
      </c>
      <c r="G25" t="s">
        <v>3917</v>
      </c>
      <c r="H25" s="7" t="s">
        <v>3918</v>
      </c>
      <c r="I25" t="s">
        <v>3919</v>
      </c>
      <c r="J25" t="s">
        <v>40</v>
      </c>
      <c r="K25" t="s">
        <v>40</v>
      </c>
      <c r="L25" t="s">
        <v>40</v>
      </c>
      <c r="M25" t="s">
        <v>40</v>
      </c>
      <c r="N25" t="s">
        <v>40</v>
      </c>
      <c r="O25" t="s">
        <v>40</v>
      </c>
    </row>
    <row r="26" spans="1:15" ht="15.75" hidden="1" customHeight="1" x14ac:dyDescent="0.25">
      <c r="A26" t="s">
        <v>3920</v>
      </c>
      <c r="B26" t="s">
        <v>3921</v>
      </c>
      <c r="C26" t="s">
        <v>3834</v>
      </c>
      <c r="D26" t="s">
        <v>3835</v>
      </c>
      <c r="E26" s="7" t="s">
        <v>3836</v>
      </c>
      <c r="F26" t="s">
        <v>3837</v>
      </c>
      <c r="G26" t="s">
        <v>3917</v>
      </c>
      <c r="H26" s="7" t="s">
        <v>3918</v>
      </c>
      <c r="I26" t="s">
        <v>3919</v>
      </c>
      <c r="J26" t="s">
        <v>40</v>
      </c>
      <c r="K26" t="s">
        <v>40</v>
      </c>
      <c r="L26" t="s">
        <v>40</v>
      </c>
      <c r="M26" t="s">
        <v>40</v>
      </c>
      <c r="N26" t="s">
        <v>40</v>
      </c>
      <c r="O26" t="s">
        <v>40</v>
      </c>
    </row>
    <row r="27" spans="1:15" ht="15.75" hidden="1" customHeight="1" x14ac:dyDescent="0.25">
      <c r="A27" t="s">
        <v>3922</v>
      </c>
      <c r="B27" t="s">
        <v>3923</v>
      </c>
      <c r="C27" t="s">
        <v>3834</v>
      </c>
      <c r="D27" t="s">
        <v>3835</v>
      </c>
      <c r="E27" s="7" t="s">
        <v>3836</v>
      </c>
      <c r="F27" t="s">
        <v>3837</v>
      </c>
      <c r="G27" t="s">
        <v>3917</v>
      </c>
      <c r="H27" s="7" t="s">
        <v>3918</v>
      </c>
      <c r="I27" t="s">
        <v>3919</v>
      </c>
      <c r="J27" t="s">
        <v>40</v>
      </c>
      <c r="K27" t="s">
        <v>40</v>
      </c>
      <c r="L27" t="s">
        <v>40</v>
      </c>
      <c r="M27" t="s">
        <v>40</v>
      </c>
      <c r="N27" t="s">
        <v>40</v>
      </c>
      <c r="O27" t="s">
        <v>40</v>
      </c>
    </row>
    <row r="28" spans="1:15" ht="15.75" hidden="1" customHeight="1" x14ac:dyDescent="0.25">
      <c r="A28" t="s">
        <v>3924</v>
      </c>
      <c r="B28" t="s">
        <v>3925</v>
      </c>
      <c r="C28" t="s">
        <v>3834</v>
      </c>
      <c r="D28" t="s">
        <v>3835</v>
      </c>
      <c r="E28" s="7" t="s">
        <v>3836</v>
      </c>
      <c r="F28" t="s">
        <v>3837</v>
      </c>
      <c r="G28" t="s">
        <v>3917</v>
      </c>
      <c r="H28" s="7" t="s">
        <v>3918</v>
      </c>
      <c r="I28" t="s">
        <v>3919</v>
      </c>
      <c r="J28" t="s">
        <v>40</v>
      </c>
      <c r="K28" t="s">
        <v>40</v>
      </c>
      <c r="L28" t="s">
        <v>40</v>
      </c>
      <c r="M28" t="s">
        <v>40</v>
      </c>
      <c r="N28" t="s">
        <v>40</v>
      </c>
      <c r="O28" t="s">
        <v>40</v>
      </c>
    </row>
    <row r="29" spans="1:15" hidden="1" x14ac:dyDescent="0.25">
      <c r="A29" t="s">
        <v>3926</v>
      </c>
      <c r="B29" t="s">
        <v>3927</v>
      </c>
      <c r="C29" t="s">
        <v>3834</v>
      </c>
      <c r="D29" t="s">
        <v>3835</v>
      </c>
      <c r="E29" s="7" t="s">
        <v>3836</v>
      </c>
      <c r="F29" t="s">
        <v>3837</v>
      </c>
      <c r="G29" t="s">
        <v>3917</v>
      </c>
      <c r="H29" s="7" t="s">
        <v>3918</v>
      </c>
      <c r="I29" t="s">
        <v>3919</v>
      </c>
      <c r="J29" t="s">
        <v>40</v>
      </c>
      <c r="K29" t="s">
        <v>40</v>
      </c>
      <c r="L29" t="s">
        <v>40</v>
      </c>
      <c r="M29" t="s">
        <v>40</v>
      </c>
      <c r="N29" t="s">
        <v>40</v>
      </c>
      <c r="O29" t="s">
        <v>40</v>
      </c>
    </row>
    <row r="30" spans="1:15" hidden="1" x14ac:dyDescent="0.25">
      <c r="A30" t="s">
        <v>3928</v>
      </c>
      <c r="B30" t="s">
        <v>3929</v>
      </c>
      <c r="C30" t="s">
        <v>3834</v>
      </c>
      <c r="D30" t="s">
        <v>3835</v>
      </c>
      <c r="E30" s="7" t="s">
        <v>3836</v>
      </c>
      <c r="F30" t="s">
        <v>3837</v>
      </c>
      <c r="G30" t="s">
        <v>3917</v>
      </c>
      <c r="H30" s="7" t="s">
        <v>3918</v>
      </c>
      <c r="I30" t="s">
        <v>3919</v>
      </c>
      <c r="J30" t="s">
        <v>40</v>
      </c>
      <c r="K30" t="s">
        <v>40</v>
      </c>
      <c r="L30" t="s">
        <v>40</v>
      </c>
      <c r="M30" t="s">
        <v>40</v>
      </c>
      <c r="N30" t="s">
        <v>40</v>
      </c>
      <c r="O30" t="s">
        <v>40</v>
      </c>
    </row>
    <row r="31" spans="1:15" hidden="1" x14ac:dyDescent="0.25">
      <c r="A31" t="s">
        <v>3930</v>
      </c>
      <c r="B31" t="s">
        <v>3931</v>
      </c>
      <c r="C31" t="s">
        <v>3834</v>
      </c>
      <c r="D31" t="s">
        <v>3835</v>
      </c>
      <c r="E31" s="7" t="s">
        <v>3836</v>
      </c>
      <c r="F31" t="s">
        <v>3837</v>
      </c>
      <c r="G31" t="s">
        <v>3917</v>
      </c>
      <c r="H31" s="7" t="s">
        <v>3918</v>
      </c>
      <c r="I31" t="s">
        <v>3919</v>
      </c>
      <c r="J31" t="s">
        <v>40</v>
      </c>
      <c r="K31" t="s">
        <v>40</v>
      </c>
      <c r="L31" t="s">
        <v>40</v>
      </c>
      <c r="M31" t="s">
        <v>40</v>
      </c>
      <c r="N31" t="s">
        <v>40</v>
      </c>
      <c r="O31" t="s">
        <v>40</v>
      </c>
    </row>
    <row r="32" spans="1:15" x14ac:dyDescent="0.25">
      <c r="A32" t="s">
        <v>3932</v>
      </c>
      <c r="B32" t="s">
        <v>3933</v>
      </c>
      <c r="C32" t="s">
        <v>3834</v>
      </c>
      <c r="D32" t="s">
        <v>3835</v>
      </c>
      <c r="E32" s="7" t="s">
        <v>3836</v>
      </c>
      <c r="F32" t="s">
        <v>3837</v>
      </c>
      <c r="G32" s="135" t="s">
        <v>3899</v>
      </c>
      <c r="H32" s="139" t="s">
        <v>3900</v>
      </c>
      <c r="I32" s="135" t="s">
        <v>3901</v>
      </c>
      <c r="J32" s="135" t="s">
        <v>40</v>
      </c>
      <c r="K32" s="135" t="s">
        <v>40</v>
      </c>
      <c r="L32" s="135" t="s">
        <v>40</v>
      </c>
      <c r="M32" s="135" t="s">
        <v>40</v>
      </c>
      <c r="N32" s="135" t="s">
        <v>40</v>
      </c>
      <c r="O32" s="135" t="s">
        <v>40</v>
      </c>
    </row>
    <row r="33" spans="1:15" x14ac:dyDescent="0.25">
      <c r="A33" t="s">
        <v>1425</v>
      </c>
      <c r="B33" t="s">
        <v>3934</v>
      </c>
      <c r="C33" t="s">
        <v>3834</v>
      </c>
      <c r="D33" t="s">
        <v>3835</v>
      </c>
      <c r="E33" s="7" t="s">
        <v>3836</v>
      </c>
      <c r="F33" t="s">
        <v>3837</v>
      </c>
      <c r="G33" s="135" t="s">
        <v>3899</v>
      </c>
      <c r="H33" s="139" t="s">
        <v>3900</v>
      </c>
      <c r="I33" s="135" t="s">
        <v>3901</v>
      </c>
      <c r="J33" s="135" t="s">
        <v>3902</v>
      </c>
      <c r="K33" s="139" t="s">
        <v>3903</v>
      </c>
      <c r="L33" s="135" t="s">
        <v>3904</v>
      </c>
      <c r="M33" s="135" t="s">
        <v>3911</v>
      </c>
      <c r="N33" s="139" t="s">
        <v>3912</v>
      </c>
      <c r="O33" s="135" t="s">
        <v>3913</v>
      </c>
    </row>
    <row r="34" spans="1:15" hidden="1" x14ac:dyDescent="0.25">
      <c r="A34" t="s">
        <v>3935</v>
      </c>
      <c r="B34" t="s">
        <v>3936</v>
      </c>
      <c r="C34" t="s">
        <v>3834</v>
      </c>
      <c r="D34" t="s">
        <v>3835</v>
      </c>
      <c r="E34" s="7" t="s">
        <v>3836</v>
      </c>
      <c r="F34" t="s">
        <v>3837</v>
      </c>
      <c r="G34" t="s">
        <v>3917</v>
      </c>
      <c r="H34" s="7" t="s">
        <v>3918</v>
      </c>
      <c r="I34" t="s">
        <v>3919</v>
      </c>
      <c r="J34" t="s">
        <v>40</v>
      </c>
      <c r="K34" t="s">
        <v>40</v>
      </c>
      <c r="L34" t="s">
        <v>40</v>
      </c>
      <c r="M34" t="s">
        <v>40</v>
      </c>
      <c r="N34" t="s">
        <v>40</v>
      </c>
      <c r="O34" t="s">
        <v>40</v>
      </c>
    </row>
    <row r="35" spans="1:15" hidden="1" x14ac:dyDescent="0.25">
      <c r="A35" t="s">
        <v>3937</v>
      </c>
      <c r="B35" t="s">
        <v>3938</v>
      </c>
      <c r="C35" t="s">
        <v>3834</v>
      </c>
      <c r="D35" t="s">
        <v>3835</v>
      </c>
      <c r="E35" s="7" t="s">
        <v>3836</v>
      </c>
      <c r="F35" t="s">
        <v>3837</v>
      </c>
      <c r="G35" t="s">
        <v>3917</v>
      </c>
      <c r="H35" s="7" t="s">
        <v>3918</v>
      </c>
      <c r="I35" t="s">
        <v>3919</v>
      </c>
      <c r="J35" t="s">
        <v>40</v>
      </c>
      <c r="K35" t="s">
        <v>40</v>
      </c>
      <c r="L35" t="s">
        <v>40</v>
      </c>
      <c r="M35" t="s">
        <v>40</v>
      </c>
      <c r="N35" t="s">
        <v>40</v>
      </c>
      <c r="O35" t="s">
        <v>40</v>
      </c>
    </row>
    <row r="36" spans="1:15" hidden="1" x14ac:dyDescent="0.25">
      <c r="A36" t="s">
        <v>3939</v>
      </c>
      <c r="B36" t="s">
        <v>3940</v>
      </c>
      <c r="C36" t="s">
        <v>3834</v>
      </c>
      <c r="D36" t="s">
        <v>3835</v>
      </c>
      <c r="E36" s="7" t="s">
        <v>3836</v>
      </c>
      <c r="F36" t="s">
        <v>3837</v>
      </c>
      <c r="G36" t="s">
        <v>3941</v>
      </c>
      <c r="H36" s="7" t="s">
        <v>3918</v>
      </c>
      <c r="I36" t="s">
        <v>3919</v>
      </c>
      <c r="J36" t="s">
        <v>3942</v>
      </c>
      <c r="K36" s="7" t="s">
        <v>3943</v>
      </c>
      <c r="L36" t="s">
        <v>3944</v>
      </c>
      <c r="M36" t="s">
        <v>3945</v>
      </c>
      <c r="N36" s="7" t="s">
        <v>3946</v>
      </c>
      <c r="O36" t="s">
        <v>3947</v>
      </c>
    </row>
    <row r="37" spans="1:15" hidden="1" x14ac:dyDescent="0.25">
      <c r="A37" t="s">
        <v>3948</v>
      </c>
      <c r="B37" t="s">
        <v>3949</v>
      </c>
      <c r="C37" t="s">
        <v>3834</v>
      </c>
      <c r="D37" t="s">
        <v>3835</v>
      </c>
      <c r="E37" s="7" t="s">
        <v>3836</v>
      </c>
      <c r="F37" t="s">
        <v>3837</v>
      </c>
      <c r="G37" t="s">
        <v>3941</v>
      </c>
      <c r="H37" s="7" t="s">
        <v>3918</v>
      </c>
      <c r="I37" t="s">
        <v>3919</v>
      </c>
      <c r="J37" t="s">
        <v>3942</v>
      </c>
      <c r="K37" s="7" t="s">
        <v>3943</v>
      </c>
      <c r="L37" t="s">
        <v>3944</v>
      </c>
      <c r="M37" t="s">
        <v>3945</v>
      </c>
      <c r="N37" s="7" t="s">
        <v>3946</v>
      </c>
      <c r="O37" t="s">
        <v>3947</v>
      </c>
    </row>
    <row r="38" spans="1:15" hidden="1" x14ac:dyDescent="0.25">
      <c r="A38" t="s">
        <v>3950</v>
      </c>
      <c r="B38" t="s">
        <v>3951</v>
      </c>
      <c r="C38" t="s">
        <v>3834</v>
      </c>
      <c r="D38" t="s">
        <v>3835</v>
      </c>
      <c r="E38" s="7" t="s">
        <v>3836</v>
      </c>
      <c r="F38" t="s">
        <v>3837</v>
      </c>
      <c r="G38" t="s">
        <v>3941</v>
      </c>
      <c r="H38" s="7" t="s">
        <v>3918</v>
      </c>
      <c r="I38" t="s">
        <v>3919</v>
      </c>
      <c r="J38" t="s">
        <v>3942</v>
      </c>
      <c r="K38" s="7" t="s">
        <v>3943</v>
      </c>
      <c r="L38" t="s">
        <v>3944</v>
      </c>
      <c r="M38" t="s">
        <v>3945</v>
      </c>
      <c r="N38" s="7" t="s">
        <v>3946</v>
      </c>
      <c r="O38" t="s">
        <v>3947</v>
      </c>
    </row>
    <row r="39" spans="1:15" hidden="1" x14ac:dyDescent="0.25">
      <c r="A39" t="s">
        <v>3952</v>
      </c>
      <c r="B39" t="s">
        <v>3953</v>
      </c>
      <c r="C39" t="s">
        <v>3834</v>
      </c>
      <c r="D39" t="s">
        <v>3835</v>
      </c>
      <c r="E39" s="7" t="s">
        <v>3836</v>
      </c>
      <c r="F39" t="s">
        <v>3837</v>
      </c>
      <c r="G39" t="s">
        <v>3917</v>
      </c>
      <c r="H39" s="7" t="s">
        <v>3918</v>
      </c>
      <c r="I39" t="s">
        <v>3919</v>
      </c>
      <c r="J39" t="s">
        <v>40</v>
      </c>
      <c r="K39" t="s">
        <v>40</v>
      </c>
      <c r="L39" t="s">
        <v>40</v>
      </c>
      <c r="M39" t="s">
        <v>40</v>
      </c>
      <c r="N39" t="s">
        <v>40</v>
      </c>
      <c r="O39" t="s">
        <v>40</v>
      </c>
    </row>
    <row r="40" spans="1:15" hidden="1" x14ac:dyDescent="0.25">
      <c r="A40" t="s">
        <v>3954</v>
      </c>
      <c r="B40" t="s">
        <v>3955</v>
      </c>
      <c r="C40" t="s">
        <v>3834</v>
      </c>
      <c r="D40" t="s">
        <v>3835</v>
      </c>
      <c r="E40" s="7" t="s">
        <v>3836</v>
      </c>
      <c r="F40" t="s">
        <v>3837</v>
      </c>
      <c r="G40" t="s">
        <v>3917</v>
      </c>
      <c r="H40" s="7" t="s">
        <v>3918</v>
      </c>
      <c r="I40" t="s">
        <v>3919</v>
      </c>
      <c r="J40" t="s">
        <v>40</v>
      </c>
      <c r="K40" t="s">
        <v>40</v>
      </c>
      <c r="L40" t="s">
        <v>40</v>
      </c>
      <c r="M40" t="s">
        <v>40</v>
      </c>
      <c r="N40" t="s">
        <v>40</v>
      </c>
      <c r="O40" t="s">
        <v>40</v>
      </c>
    </row>
    <row r="41" spans="1:15" x14ac:dyDescent="0.25">
      <c r="A41" t="s">
        <v>1430</v>
      </c>
      <c r="B41" t="s">
        <v>3956</v>
      </c>
      <c r="C41" t="s">
        <v>3834</v>
      </c>
      <c r="D41" t="s">
        <v>3835</v>
      </c>
      <c r="E41" s="7" t="s">
        <v>3836</v>
      </c>
      <c r="F41" t="s">
        <v>3837</v>
      </c>
      <c r="G41" s="135" t="s">
        <v>3899</v>
      </c>
      <c r="H41" s="139" t="s">
        <v>3900</v>
      </c>
      <c r="I41" s="135" t="s">
        <v>3901</v>
      </c>
      <c r="J41" s="135" t="s">
        <v>204</v>
      </c>
      <c r="K41" s="139" t="s">
        <v>3957</v>
      </c>
      <c r="L41" s="135" t="s">
        <v>3958</v>
      </c>
      <c r="M41" s="135" t="s">
        <v>219</v>
      </c>
      <c r="N41" s="139" t="s">
        <v>3959</v>
      </c>
      <c r="O41" s="135" t="s">
        <v>3960</v>
      </c>
    </row>
    <row r="42" spans="1:15" x14ac:dyDescent="0.25">
      <c r="A42" t="s">
        <v>1435</v>
      </c>
      <c r="B42" t="s">
        <v>3961</v>
      </c>
      <c r="C42" t="s">
        <v>3834</v>
      </c>
      <c r="D42" t="s">
        <v>3835</v>
      </c>
      <c r="E42" s="7" t="s">
        <v>3836</v>
      </c>
      <c r="F42" t="s">
        <v>3837</v>
      </c>
      <c r="G42" s="135" t="s">
        <v>3899</v>
      </c>
      <c r="H42" s="139" t="s">
        <v>3900</v>
      </c>
      <c r="I42" s="135" t="s">
        <v>3901</v>
      </c>
      <c r="J42" s="135" t="s">
        <v>204</v>
      </c>
      <c r="K42" s="139" t="s">
        <v>3957</v>
      </c>
      <c r="L42" s="135" t="s">
        <v>3958</v>
      </c>
      <c r="M42" s="135" t="s">
        <v>201</v>
      </c>
      <c r="N42" s="139" t="s">
        <v>3962</v>
      </c>
      <c r="O42" s="135" t="s">
        <v>3963</v>
      </c>
    </row>
    <row r="43" spans="1:15" x14ac:dyDescent="0.25">
      <c r="A43" t="s">
        <v>1447</v>
      </c>
      <c r="B43" t="s">
        <v>3964</v>
      </c>
      <c r="C43" t="s">
        <v>3834</v>
      </c>
      <c r="D43" t="s">
        <v>3835</v>
      </c>
      <c r="E43" s="7" t="s">
        <v>3836</v>
      </c>
      <c r="F43" t="s">
        <v>3837</v>
      </c>
      <c r="G43" s="135" t="s">
        <v>3899</v>
      </c>
      <c r="H43" s="139" t="s">
        <v>3900</v>
      </c>
      <c r="I43" s="135" t="s">
        <v>3901</v>
      </c>
      <c r="J43" s="135" t="s">
        <v>204</v>
      </c>
      <c r="K43" s="139" t="s">
        <v>3957</v>
      </c>
      <c r="L43" s="135" t="s">
        <v>3958</v>
      </c>
      <c r="M43" s="135" t="s">
        <v>3965</v>
      </c>
      <c r="N43" s="139" t="s">
        <v>3966</v>
      </c>
      <c r="O43" s="135" t="s">
        <v>3967</v>
      </c>
    </row>
    <row r="44" spans="1:15" x14ac:dyDescent="0.25">
      <c r="A44" t="s">
        <v>1441</v>
      </c>
      <c r="B44" t="s">
        <v>3968</v>
      </c>
      <c r="C44" t="s">
        <v>3834</v>
      </c>
      <c r="D44" t="s">
        <v>3835</v>
      </c>
      <c r="E44" s="7" t="s">
        <v>3836</v>
      </c>
      <c r="F44" t="s">
        <v>3837</v>
      </c>
      <c r="G44" s="135" t="s">
        <v>3899</v>
      </c>
      <c r="H44" s="139" t="s">
        <v>3900</v>
      </c>
      <c r="I44" s="135" t="s">
        <v>3901</v>
      </c>
      <c r="J44" s="135" t="s">
        <v>204</v>
      </c>
      <c r="K44" s="139" t="s">
        <v>3957</v>
      </c>
      <c r="L44" s="135" t="s">
        <v>3958</v>
      </c>
      <c r="M44" s="135" t="s">
        <v>3969</v>
      </c>
      <c r="N44" s="139" t="s">
        <v>3970</v>
      </c>
      <c r="O44" s="135" t="s">
        <v>3971</v>
      </c>
    </row>
    <row r="45" spans="1:15" hidden="1" x14ac:dyDescent="0.25">
      <c r="A45" t="s">
        <v>3972</v>
      </c>
      <c r="B45" t="s">
        <v>3973</v>
      </c>
      <c r="C45" t="s">
        <v>3834</v>
      </c>
      <c r="D45" t="s">
        <v>3835</v>
      </c>
      <c r="E45" s="7" t="s">
        <v>3836</v>
      </c>
      <c r="F45" t="s">
        <v>3837</v>
      </c>
      <c r="G45" t="s">
        <v>3917</v>
      </c>
      <c r="H45" s="7" t="s">
        <v>3918</v>
      </c>
      <c r="I45" t="s">
        <v>3919</v>
      </c>
      <c r="J45" t="s">
        <v>3974</v>
      </c>
      <c r="K45" s="7" t="s">
        <v>3975</v>
      </c>
      <c r="L45" t="s">
        <v>3976</v>
      </c>
      <c r="M45" t="s">
        <v>3977</v>
      </c>
      <c r="N45" s="7" t="s">
        <v>3978</v>
      </c>
      <c r="O45" t="s">
        <v>3979</v>
      </c>
    </row>
    <row r="46" spans="1:15" hidden="1" x14ac:dyDescent="0.25">
      <c r="A46" t="s">
        <v>3980</v>
      </c>
      <c r="B46" t="s">
        <v>3981</v>
      </c>
      <c r="C46" t="s">
        <v>3834</v>
      </c>
      <c r="D46" t="s">
        <v>3835</v>
      </c>
      <c r="E46" s="7" t="s">
        <v>3836</v>
      </c>
      <c r="F46" t="s">
        <v>3837</v>
      </c>
      <c r="G46" t="s">
        <v>3917</v>
      </c>
      <c r="H46" s="7" t="s">
        <v>3918</v>
      </c>
      <c r="I46" t="s">
        <v>3919</v>
      </c>
      <c r="J46" t="s">
        <v>3982</v>
      </c>
      <c r="K46" s="7" t="s">
        <v>3983</v>
      </c>
      <c r="L46" t="s">
        <v>3984</v>
      </c>
      <c r="M46" t="s">
        <v>3985</v>
      </c>
      <c r="N46" s="7" t="s">
        <v>3986</v>
      </c>
      <c r="O46" t="s">
        <v>3987</v>
      </c>
    </row>
    <row r="47" spans="1:15" hidden="1" x14ac:dyDescent="0.25">
      <c r="A47" t="s">
        <v>3988</v>
      </c>
      <c r="B47" t="s">
        <v>3989</v>
      </c>
      <c r="C47" t="s">
        <v>3834</v>
      </c>
      <c r="D47" t="s">
        <v>3835</v>
      </c>
      <c r="E47" s="7" t="s">
        <v>3836</v>
      </c>
      <c r="F47" t="s">
        <v>3837</v>
      </c>
      <c r="G47" t="s">
        <v>3917</v>
      </c>
      <c r="H47" s="7" t="s">
        <v>3918</v>
      </c>
      <c r="I47" t="s">
        <v>3919</v>
      </c>
      <c r="J47" t="s">
        <v>3982</v>
      </c>
      <c r="K47" s="7" t="s">
        <v>3983</v>
      </c>
      <c r="L47" t="s">
        <v>3984</v>
      </c>
      <c r="M47" t="s">
        <v>3985</v>
      </c>
      <c r="N47" s="7" t="s">
        <v>3986</v>
      </c>
      <c r="O47" t="s">
        <v>3987</v>
      </c>
    </row>
    <row r="48" spans="1:15" hidden="1" x14ac:dyDescent="0.25">
      <c r="A48" t="s">
        <v>3990</v>
      </c>
      <c r="B48" t="s">
        <v>3991</v>
      </c>
      <c r="C48" t="s">
        <v>3834</v>
      </c>
      <c r="D48" t="s">
        <v>3835</v>
      </c>
      <c r="E48" s="7" t="s">
        <v>3836</v>
      </c>
      <c r="F48" t="s">
        <v>3837</v>
      </c>
      <c r="G48" t="s">
        <v>3861</v>
      </c>
      <c r="H48" s="7" t="s">
        <v>3862</v>
      </c>
      <c r="I48" t="s">
        <v>3863</v>
      </c>
      <c r="J48" t="s">
        <v>3992</v>
      </c>
      <c r="M48" t="s">
        <v>3993</v>
      </c>
    </row>
    <row r="49" spans="1:15" hidden="1" x14ac:dyDescent="0.25">
      <c r="A49" t="s">
        <v>3994</v>
      </c>
      <c r="B49" t="s">
        <v>3995</v>
      </c>
      <c r="C49" t="s">
        <v>3834</v>
      </c>
      <c r="D49" t="s">
        <v>3835</v>
      </c>
      <c r="E49" s="7" t="s">
        <v>3836</v>
      </c>
      <c r="F49" t="s">
        <v>3837</v>
      </c>
      <c r="G49" t="s">
        <v>3861</v>
      </c>
      <c r="H49" s="7" t="s">
        <v>3862</v>
      </c>
      <c r="I49" t="s">
        <v>3863</v>
      </c>
      <c r="J49" t="s">
        <v>3992</v>
      </c>
      <c r="M49" t="s">
        <v>3996</v>
      </c>
    </row>
    <row r="50" spans="1:15" hidden="1" x14ac:dyDescent="0.25">
      <c r="A50" t="s">
        <v>3997</v>
      </c>
      <c r="B50" t="s">
        <v>3998</v>
      </c>
      <c r="C50" t="s">
        <v>3834</v>
      </c>
      <c r="D50" t="s">
        <v>3835</v>
      </c>
      <c r="E50" s="7" t="s">
        <v>3836</v>
      </c>
      <c r="F50" t="s">
        <v>3837</v>
      </c>
      <c r="G50" t="s">
        <v>3861</v>
      </c>
      <c r="H50" s="7" t="s">
        <v>3862</v>
      </c>
      <c r="I50" t="s">
        <v>3863</v>
      </c>
      <c r="J50" t="s">
        <v>3992</v>
      </c>
      <c r="M50" t="s">
        <v>3996</v>
      </c>
    </row>
    <row r="51" spans="1:15" hidden="1" x14ac:dyDescent="0.25">
      <c r="A51" t="s">
        <v>3999</v>
      </c>
      <c r="B51" t="s">
        <v>4000</v>
      </c>
      <c r="C51" t="s">
        <v>3834</v>
      </c>
      <c r="D51" t="s">
        <v>3835</v>
      </c>
      <c r="E51" s="7" t="s">
        <v>3836</v>
      </c>
      <c r="F51" t="s">
        <v>3837</v>
      </c>
      <c r="G51" t="s">
        <v>3838</v>
      </c>
      <c r="H51" s="7" t="s">
        <v>3839</v>
      </c>
      <c r="I51" t="s">
        <v>3840</v>
      </c>
      <c r="J51" t="s">
        <v>4001</v>
      </c>
      <c r="K51" s="7" t="s">
        <v>4002</v>
      </c>
      <c r="M51" t="s">
        <v>4003</v>
      </c>
    </row>
    <row r="52" spans="1:15" hidden="1" x14ac:dyDescent="0.25">
      <c r="A52" t="s">
        <v>4004</v>
      </c>
      <c r="B52" t="s">
        <v>4005</v>
      </c>
      <c r="C52" t="s">
        <v>3834</v>
      </c>
      <c r="D52" t="s">
        <v>3835</v>
      </c>
      <c r="E52" s="7" t="s">
        <v>3836</v>
      </c>
      <c r="F52" t="s">
        <v>3837</v>
      </c>
      <c r="G52" t="s">
        <v>3838</v>
      </c>
      <c r="H52" s="7" t="s">
        <v>3839</v>
      </c>
      <c r="I52" t="s">
        <v>3840</v>
      </c>
      <c r="J52" t="s">
        <v>4006</v>
      </c>
      <c r="K52" s="7" t="s">
        <v>4007</v>
      </c>
      <c r="M52" t="s">
        <v>4008</v>
      </c>
    </row>
    <row r="53" spans="1:15" x14ac:dyDescent="0.25">
      <c r="G53" s="135"/>
      <c r="H53" s="135"/>
      <c r="I53" s="135"/>
      <c r="J53" s="135"/>
      <c r="K53" s="135"/>
      <c r="L53" s="135"/>
      <c r="M53" s="135"/>
      <c r="N53" s="135"/>
      <c r="O53" s="135"/>
    </row>
    <row r="54" spans="1:15" x14ac:dyDescent="0.25">
      <c r="G54" s="135"/>
      <c r="H54" s="135"/>
      <c r="I54" s="135"/>
      <c r="J54" s="135"/>
      <c r="K54" s="135"/>
      <c r="L54" s="135"/>
      <c r="M54" s="135"/>
      <c r="N54" s="135"/>
      <c r="O54" s="135"/>
    </row>
    <row r="55" spans="1:15" x14ac:dyDescent="0.25">
      <c r="G55" s="135"/>
      <c r="H55" s="135"/>
      <c r="I55" s="135"/>
      <c r="J55" s="135"/>
      <c r="K55" s="135"/>
      <c r="L55" s="135"/>
      <c r="M55" s="135"/>
      <c r="N55" s="135"/>
      <c r="O55" s="135"/>
    </row>
    <row r="56" spans="1:15" x14ac:dyDescent="0.25">
      <c r="G56" s="135"/>
      <c r="H56" s="135"/>
      <c r="I56" s="135"/>
      <c r="J56" s="135"/>
      <c r="K56" s="135"/>
      <c r="L56" s="135"/>
      <c r="M56" s="135"/>
      <c r="N56" s="135"/>
      <c r="O56" s="135"/>
    </row>
  </sheetData>
  <sheetProtection selectLockedCells="1"/>
  <autoFilter ref="A1:M52" xr:uid="{00000000-0009-0000-0000-00000C000000}">
    <filterColumn colId="6">
      <filters>
        <filter val="Cristinel Ion"/>
      </filters>
    </filterColumn>
    <sortState xmlns:xlrd2="http://schemas.microsoft.com/office/spreadsheetml/2017/richdata2" ref="A2:M52">
      <sortCondition ref="A1:A52"/>
    </sortState>
  </autoFilter>
  <hyperlinks>
    <hyperlink ref="E2" r:id="rId1" xr:uid="{491247A0-3FAA-4FEE-BBFE-1122068AC350}"/>
    <hyperlink ref="E3" r:id="rId2" xr:uid="{9CE22C2B-94FA-47EE-A1ED-E47E9BFBEA9F}"/>
    <hyperlink ref="E4" r:id="rId3" xr:uid="{EF117CA9-7DE2-4383-9C02-07717B49DD96}"/>
    <hyperlink ref="E5" r:id="rId4" xr:uid="{D0485161-4262-4B56-84A0-7E879C4B492C}"/>
    <hyperlink ref="E6" r:id="rId5" xr:uid="{4EDEC37C-D789-4ED9-A655-DDEAF7CC1B60}"/>
    <hyperlink ref="E7" r:id="rId6" xr:uid="{C68EA28A-849D-4811-BA83-3EFA65A3E37F}"/>
    <hyperlink ref="E8" r:id="rId7" xr:uid="{7F6D0ACC-8777-4DE9-B939-4303B8D77329}"/>
    <hyperlink ref="E9" r:id="rId8" xr:uid="{B2FB26F3-BF38-45A6-B09E-CA68A6AFCBAC}"/>
    <hyperlink ref="E10" r:id="rId9" xr:uid="{2F29F2CF-674D-4FBF-BDB7-7D9F583847A7}"/>
    <hyperlink ref="E11" r:id="rId10" xr:uid="{83B9DDF3-6069-4F10-BBE5-56206AE2BA7B}"/>
    <hyperlink ref="E12" r:id="rId11" xr:uid="{5B7B9586-7D35-42A8-B06B-FF480EACA52D}"/>
    <hyperlink ref="E13" r:id="rId12" xr:uid="{87DA07FB-1090-4CCC-906D-FDDA0C7BF744}"/>
    <hyperlink ref="E14" r:id="rId13" xr:uid="{3B08ECB6-F253-49EB-AB61-4664F742E774}"/>
    <hyperlink ref="E15" r:id="rId14" xr:uid="{20327A9B-4D51-47B4-8857-C966C5BA8892}"/>
    <hyperlink ref="E16" r:id="rId15" xr:uid="{BCD7761A-1D1A-4942-A561-A617443C7225}"/>
    <hyperlink ref="E17" r:id="rId16" xr:uid="{E29AA026-A1FC-4730-B2D5-9AF02ABF53D4}"/>
    <hyperlink ref="E20" r:id="rId17" xr:uid="{2A811C33-E7D5-45D0-84F4-AB69172913A2}"/>
    <hyperlink ref="E21" r:id="rId18" xr:uid="{C2ED759C-358B-46E3-93A8-B7E098C897A7}"/>
    <hyperlink ref="E22" r:id="rId19" xr:uid="{19342E7B-4029-47A5-B04E-2FB35878B59F}"/>
    <hyperlink ref="E23" r:id="rId20" xr:uid="{DEF62C87-56C8-424F-B8DA-7F3D9C75E0B8}"/>
    <hyperlink ref="E24" r:id="rId21" xr:uid="{94B390B6-6E8E-4AA1-B408-1696C878BB70}"/>
    <hyperlink ref="E25" r:id="rId22" xr:uid="{C95CB603-4A22-4039-991B-452731C85C6C}"/>
    <hyperlink ref="E26" r:id="rId23" xr:uid="{935C69AF-6106-49A2-80A6-BE38E0E8021C}"/>
    <hyperlink ref="E27" r:id="rId24" xr:uid="{FA2E4656-6609-428B-BE83-4F4354A6642B}"/>
    <hyperlink ref="E28" r:id="rId25" xr:uid="{CBABAB78-FB8C-4C14-BF04-0E5E3DE25257}"/>
    <hyperlink ref="E29" r:id="rId26" xr:uid="{50F0DC68-B46F-4360-B111-5736F1D885E4}"/>
    <hyperlink ref="E30" r:id="rId27" xr:uid="{A3C520DA-FAC9-48B9-9234-4DB208F62240}"/>
    <hyperlink ref="E31" r:id="rId28" xr:uid="{A19CF068-2E24-485C-9071-B57F0371D68B}"/>
    <hyperlink ref="E32" r:id="rId29" xr:uid="{5BB4B356-E396-472E-8904-0194571FBD95}"/>
    <hyperlink ref="E33" r:id="rId30" xr:uid="{3B7812A1-2DAB-4620-BDF2-148C6E3ACC99}"/>
    <hyperlink ref="E34" r:id="rId31" xr:uid="{186157A6-40DE-4F9E-98AA-384777514A9B}"/>
    <hyperlink ref="E40" r:id="rId32" xr:uid="{3B7F5B7C-0588-4B1A-8F83-DE0ED03D1CB0}"/>
    <hyperlink ref="E41" r:id="rId33" xr:uid="{39DF7A47-69FE-4697-9EFB-72ED3A93AD65}"/>
    <hyperlink ref="E42" r:id="rId34" xr:uid="{1249A442-5ED9-44CD-9270-1D521D0F52EF}"/>
    <hyperlink ref="E43" r:id="rId35" xr:uid="{1EE0BB13-21A3-4F72-9E59-BFF96F10F34F}"/>
    <hyperlink ref="E44" r:id="rId36" xr:uid="{D54CE85B-4DA8-4FC9-9E9B-2F2D71531097}"/>
    <hyperlink ref="E45" r:id="rId37" xr:uid="{57F3E7F2-157A-4B72-8B0B-76972333E6DF}"/>
    <hyperlink ref="E48" r:id="rId38" xr:uid="{AD5CDE8E-E712-4B05-ACC8-D3F015E3BCBF}"/>
    <hyperlink ref="E18" r:id="rId39" xr:uid="{AE03CB96-0FD7-4ADA-96D9-0EC3CCDC8AB1}"/>
    <hyperlink ref="E19" r:id="rId40" xr:uid="{C17DBAE2-A36D-4575-9D9F-F1C6BC3F2637}"/>
    <hyperlink ref="E49" r:id="rId41" xr:uid="{8EE69450-DA0D-45D6-AB58-7903729DF66F}"/>
    <hyperlink ref="E50" r:id="rId42" xr:uid="{10F79EEF-C64E-4901-ADD3-80E97FB14A88}"/>
    <hyperlink ref="E52" r:id="rId43" xr:uid="{E68DB83E-423D-45B0-8E21-2AA683E76313}"/>
    <hyperlink ref="H2" r:id="rId44" xr:uid="{9DC5D87A-F05A-43B1-BDEF-BFB0336C011D}"/>
    <hyperlink ref="H8" r:id="rId45" xr:uid="{5FEFE9F5-368C-4DBE-A97C-2B5215EEACC6}"/>
    <hyperlink ref="H25" r:id="rId46" xr:uid="{99D6028A-FE1D-4AFD-8C67-8334580799D6}"/>
    <hyperlink ref="H26" r:id="rId47" xr:uid="{78323FF8-2A1D-4BA7-8E76-1EBF39F5703E}"/>
    <hyperlink ref="H27" r:id="rId48" xr:uid="{9D81B71B-C826-4726-A9A8-72587E23A92B}"/>
    <hyperlink ref="H28" r:id="rId49" xr:uid="{E685B3DF-41D0-4764-B8C4-02091BE6925C}"/>
    <hyperlink ref="H29" r:id="rId50" xr:uid="{930D2A52-0DCC-436C-BF1F-93937CD21E09}"/>
    <hyperlink ref="H30" r:id="rId51" xr:uid="{6707F951-0F19-4E79-8419-10D463B26937}"/>
    <hyperlink ref="H31" r:id="rId52" xr:uid="{00A71AA0-2FEE-40AC-BD58-B825115C7CC0}"/>
    <hyperlink ref="H34" r:id="rId53" xr:uid="{1533BA43-DDB5-45A4-8331-BC979B6CF580}"/>
    <hyperlink ref="H40" r:id="rId54" xr:uid="{57E0B258-7162-4B28-83C4-001529648EF3}"/>
    <hyperlink ref="H45" r:id="rId55" xr:uid="{DFABA8CE-C45F-4FAC-A6FD-EA3985A7C473}"/>
    <hyperlink ref="H9" r:id="rId56" xr:uid="{E39BBA26-7CFD-40B1-956F-BF460C54005C}"/>
    <hyperlink ref="H10" r:id="rId57" xr:uid="{063D428C-7676-422A-9151-D483B18652AF}"/>
    <hyperlink ref="H11" r:id="rId58" xr:uid="{2ECCE90D-8911-49EE-8F80-59B89C113AA7}"/>
    <hyperlink ref="H12" r:id="rId59" xr:uid="{A61ACF99-72BC-4346-B54D-F9075BBE1BDC}"/>
    <hyperlink ref="H13" r:id="rId60" xr:uid="{69541779-39B9-48DB-8A8E-610E65F32B3F}"/>
    <hyperlink ref="H14" r:id="rId61" xr:uid="{5F929998-310B-439F-A7ED-2E681C917F3F}"/>
    <hyperlink ref="H15" r:id="rId62" xr:uid="{58AECF37-E92A-45F0-84B9-8FB518EDF7AC}"/>
    <hyperlink ref="H16" r:id="rId63" xr:uid="{AB962B88-DCDC-4E8C-97D2-8140EF8EE808}"/>
    <hyperlink ref="H17" r:id="rId64" xr:uid="{0232C8C6-AB0A-413F-A4CF-73724642139E}"/>
    <hyperlink ref="H48" r:id="rId65" xr:uid="{3F8FA999-5E3D-4B76-90AD-E259FF9289E9}"/>
    <hyperlink ref="H18" r:id="rId66" xr:uid="{7ED96D12-D0B3-4940-B109-69FD8FD4524B}"/>
    <hyperlink ref="H19" r:id="rId67" xr:uid="{4FB81064-701E-496E-8F38-E75439DFE525}"/>
    <hyperlink ref="H49" r:id="rId68" xr:uid="{4FB3B06B-8D70-491F-BCEF-E1575143A9A2}"/>
    <hyperlink ref="H50" r:id="rId69" xr:uid="{E513D3AA-0461-49EF-9896-FF2BDD3899A9}"/>
    <hyperlink ref="H3" r:id="rId70" xr:uid="{3C2DBFEE-658E-461D-BE08-02E81B89F323}"/>
    <hyperlink ref="H4" r:id="rId71" xr:uid="{9E979D2B-D398-4BCD-8D36-B1D66FB77625}"/>
    <hyperlink ref="H5" r:id="rId72" xr:uid="{CD7C0FC0-63C5-4263-BE7B-8DC98F1696BD}"/>
    <hyperlink ref="H6" r:id="rId73" xr:uid="{B0AF900C-2FAE-4603-A1DE-D01B9F2E058A}"/>
    <hyperlink ref="H7" r:id="rId74" xr:uid="{3142C229-7442-4140-BFB4-631BA9CD7A33}"/>
    <hyperlink ref="H20" r:id="rId75" xr:uid="{15334EEC-DEBF-4B5A-BF60-9961BDD2F09F}"/>
    <hyperlink ref="H52" r:id="rId76" xr:uid="{E507F730-A09F-4A63-B177-320A9AEB9EE2}"/>
    <hyperlink ref="E51" r:id="rId77" xr:uid="{F75CF927-8BFF-4B96-902F-AD0F7401C1E8}"/>
    <hyperlink ref="H51" r:id="rId78" xr:uid="{476808F1-8076-43F7-AB37-8CCFCAFA4BDA}"/>
    <hyperlink ref="K51" r:id="rId79" xr:uid="{88F0B7A4-1D3C-4FA7-B5B2-5C0AB90539AF}"/>
    <hyperlink ref="K52" r:id="rId80" xr:uid="{5EBD6133-95B3-46D6-B7C4-903DB40583AE}"/>
    <hyperlink ref="K6" r:id="rId81" xr:uid="{E09227EE-C310-4147-9121-F330D9E68B08}"/>
    <hyperlink ref="K7" r:id="rId82" xr:uid="{B585B67F-AE3F-413A-8875-56ABB9288CF7}"/>
    <hyperlink ref="K20" r:id="rId83" xr:uid="{21F1D677-0427-4392-A489-540865759052}"/>
    <hyperlink ref="K5" r:id="rId84" xr:uid="{CA4B69F9-CCFA-46E2-82F9-A9A7C186D818}"/>
    <hyperlink ref="K8" r:id="rId85" xr:uid="{B260C268-3FBE-4A5A-BA88-55A4A8537924}"/>
    <hyperlink ref="K9" r:id="rId86" xr:uid="{7A359A7C-4F70-4EF8-A4EE-4EFAB6F88866}"/>
    <hyperlink ref="K10" r:id="rId87" xr:uid="{686AC532-2421-405A-B7EF-27B248CFDEB4}"/>
    <hyperlink ref="K12" r:id="rId88" xr:uid="{39BE4BFA-E281-46FA-BE59-4D80806153AE}"/>
    <hyperlink ref="K17" r:id="rId89" xr:uid="{C699DC6E-60CA-4EC3-B611-F6AD0F01EF00}"/>
    <hyperlink ref="K45" r:id="rId90" xr:uid="{F7463D1E-9A70-46D1-A466-D27B3A76F1F6}"/>
    <hyperlink ref="K21" r:id="rId91" display="cion@digitalrealty.com" xr:uid="{BB93CE20-F6BC-43AA-A9D5-989DE59C3DBC}"/>
    <hyperlink ref="K21:K22" r:id="rId92" display="cion@digitalrealty.com" xr:uid="{EE0BD447-4A24-4700-8E85-D7E13179FB82}"/>
    <hyperlink ref="K39:K42" r:id="rId93" display="cion@digitalrealty.com" xr:uid="{78998FA0-CA68-4E1F-BC85-6CEF53C04469}"/>
    <hyperlink ref="E46" r:id="rId94" xr:uid="{66B71F3A-6FDF-44B1-9373-184E4CE825B6}"/>
    <hyperlink ref="E47" r:id="rId95" xr:uid="{31D4AFD0-5E88-48F4-BB75-8D75E680D631}"/>
    <hyperlink ref="H46" r:id="rId96" xr:uid="{C68CAB55-7BD9-4BAB-BDB5-21CE59AEB0D0}"/>
    <hyperlink ref="H47" r:id="rId97" xr:uid="{91B6B153-9A15-4932-A442-7260D3C503CD}"/>
    <hyperlink ref="K46" r:id="rId98" xr:uid="{0BD06B5F-9264-4B3A-A19C-DECA190CB10A}"/>
    <hyperlink ref="K47" r:id="rId99" xr:uid="{FB645C12-89F6-4346-96C2-8162C30F0ED0}"/>
    <hyperlink ref="N6" r:id="rId100" xr:uid="{88C39B86-4F89-4EA9-A23D-83E9A80A825C}"/>
    <hyperlink ref="N7" r:id="rId101" xr:uid="{4F639902-3C31-4A97-85AE-27FC11776BF1}"/>
    <hyperlink ref="N45" r:id="rId102" xr:uid="{716CFB2F-62FD-445F-98BF-B61F776024D0}"/>
    <hyperlink ref="N46" r:id="rId103" xr:uid="{DEF40F1B-E753-4D30-BA02-8C1483589ED4}"/>
    <hyperlink ref="N47" r:id="rId104" xr:uid="{32F004BF-7184-46E8-8B2E-F361C24F7536}"/>
    <hyperlink ref="N41" r:id="rId105" xr:uid="{14365F05-8453-4004-9E7A-9E5B6AD63FD6}"/>
    <hyperlink ref="N43" r:id="rId106" display="rgiovannini@digitalrealty.com" xr:uid="{F7150994-5CA5-4DDD-A6B4-E6C6577C9BB7}"/>
    <hyperlink ref="N23" r:id="rId107" xr:uid="{6293A2C9-062F-4730-8E37-4AA3A798CA76}"/>
    <hyperlink ref="N33" r:id="rId108" xr:uid="{BC86B7F5-EC70-49DC-A03E-9B7913441EC1}"/>
    <hyperlink ref="N36" r:id="rId109" xr:uid="{4C236FDB-C8AC-40FA-8DEE-C5D8E84D950B}"/>
    <hyperlink ref="N37:N38" r:id="rId110" display="klim@digitalrealty.com" xr:uid="{5D9F58D2-F5E2-44CD-8231-F7B8178B78A1}"/>
    <hyperlink ref="K37:K38" r:id="rId111" display="jdodson@digitalrealty.com" xr:uid="{544552A7-7B89-4CD0-BFB5-240221FA700D}"/>
    <hyperlink ref="K36" r:id="rId112" xr:uid="{8BD3C6D9-5EE3-4086-80E1-3270C5313E8F}"/>
    <hyperlink ref="H39" r:id="rId113" xr:uid="{DBECB21A-ED67-4CCD-B30D-A9274E7337C7}"/>
    <hyperlink ref="H38" r:id="rId114" xr:uid="{09605A05-DC19-41BA-AA85-8353E8298D17}"/>
    <hyperlink ref="H37" r:id="rId115" xr:uid="{B567A97E-0FBE-468F-B208-66B9EEDCF991}"/>
    <hyperlink ref="H36" r:id="rId116" xr:uid="{65C978C3-645F-4B0E-9B9C-E0521F5FE0E3}"/>
    <hyperlink ref="H35" r:id="rId117" xr:uid="{61D6CD7B-CAF9-4CEE-8E6E-4885D037626D}"/>
    <hyperlink ref="E39" r:id="rId118" xr:uid="{5F1536D2-E883-44DF-8848-2940872F5BB8}"/>
    <hyperlink ref="E38" r:id="rId119" xr:uid="{F8ED37E8-EC3C-4747-97B4-1B28D691C0C6}"/>
    <hyperlink ref="E37" r:id="rId120" xr:uid="{B131ADB9-B51C-4A2A-8B2D-7C4300944144}"/>
    <hyperlink ref="E36" r:id="rId121" xr:uid="{16FCFD1F-B1A2-4F86-9D65-33D95D7F6C7A}"/>
    <hyperlink ref="E35" r:id="rId122" xr:uid="{6A9AAF13-704D-4CEB-B0B8-12D261D92BD3}"/>
    <hyperlink ref="H21" r:id="rId123" xr:uid="{91F52021-24C8-4679-90FF-6E3714099C48}"/>
    <hyperlink ref="H23" r:id="rId124" xr:uid="{7BB5891F-A2E1-4D13-90B1-354321DEFFE0}"/>
    <hyperlink ref="H22" r:id="rId125" xr:uid="{C72DA10B-3394-4AE7-AA20-870721326511}"/>
    <hyperlink ref="H24" r:id="rId126" xr:uid="{EFDE0A3B-9969-4FB8-830C-C3009313C89D}"/>
    <hyperlink ref="H43" r:id="rId127" xr:uid="{F8425265-FD72-486A-988E-A7C6C762E55B}"/>
    <hyperlink ref="H44" r:id="rId128" xr:uid="{84781CBE-BBE8-42F7-9C5A-ED14ED7144AD}"/>
    <hyperlink ref="K41" r:id="rId129" xr:uid="{B49AA0FB-AD61-4095-9ED1-061EB104E6C8}"/>
    <hyperlink ref="K42" r:id="rId130" xr:uid="{93F60D07-2B3F-40BF-868E-DED1A25B4E62}"/>
    <hyperlink ref="K43" r:id="rId131" xr:uid="{EC5C93A4-5FFE-4036-8076-6635A4F5904E}"/>
    <hyperlink ref="K44" r:id="rId132" xr:uid="{98EBE710-EA1A-47E1-870C-E979AFCE6D8E}"/>
    <hyperlink ref="H32" r:id="rId133" xr:uid="{63D4B3BE-4ACE-45ED-B155-F4CAAAAF9E01}"/>
    <hyperlink ref="H33" r:id="rId134" xr:uid="{B47FCFA0-84AA-41B1-B29E-CB9B095836DA}"/>
    <hyperlink ref="H41" r:id="rId135" xr:uid="{CFBC4209-6469-45A1-9E1C-4A49E335C648}"/>
    <hyperlink ref="H42" r:id="rId136" xr:uid="{9FE9D7D2-7EDB-43CF-AF9F-7A23380B1A9F}"/>
    <hyperlink ref="K23" r:id="rId137" display="cion@digitalrealty.com" xr:uid="{F5DEE4C2-18E4-4B99-8B61-AE7B512758B5}"/>
    <hyperlink ref="K24" r:id="rId138" display="cion@digitalrealty.com" xr:uid="{22A6F489-4F78-45A5-AE62-2A19A801B597}"/>
    <hyperlink ref="K33" r:id="rId139" display="cion@digitalrealty.com" xr:uid="{C61F4390-4DC2-4768-887A-126461FB7630}"/>
  </hyperlinks>
  <pageMargins left="0.7" right="0.7" top="0.75" bottom="0.75" header="0.3" footer="0.3"/>
  <pageSetup orientation="portrait" horizontalDpi="1200" verticalDpi="1200" r:id="rId14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99154-32DA-4341-AC26-99552A22427B}">
  <sheetPr codeName="Risk_Guidelines" filterMode="1"/>
  <dimension ref="A1:Q288"/>
  <sheetViews>
    <sheetView topLeftCell="A89" workbookViewId="0">
      <selection activeCell="M206" sqref="M206"/>
    </sheetView>
  </sheetViews>
  <sheetFormatPr defaultColWidth="9.28515625" defaultRowHeight="15" x14ac:dyDescent="0.25"/>
  <cols>
    <col min="1" max="1" width="27.28515625" style="9" bestFit="1" customWidth="1"/>
    <col min="2" max="2" width="17.7109375" style="9" hidden="1" customWidth="1"/>
    <col min="3" max="3" width="33.5703125" style="9" hidden="1" customWidth="1"/>
    <col min="4" max="5" width="32.28515625" style="9" hidden="1" customWidth="1"/>
    <col min="6" max="6" width="27.7109375" style="9" hidden="1" customWidth="1"/>
    <col min="7" max="7" width="9.5703125" style="9" customWidth="1"/>
    <col min="8" max="8" width="10.7109375" style="9" customWidth="1"/>
    <col min="9" max="9" width="7.5703125" style="9" bestFit="1" customWidth="1"/>
    <col min="10" max="10" width="16.28515625" style="9" customWidth="1"/>
    <col min="11" max="11" width="10.140625" style="9" customWidth="1"/>
    <col min="12" max="12" width="10.5703125" style="9" customWidth="1"/>
    <col min="13" max="13" width="54" style="9" customWidth="1"/>
    <col min="14" max="14" width="67.42578125" style="9" customWidth="1"/>
    <col min="15" max="15" width="54" style="9" customWidth="1"/>
    <col min="16" max="16" width="37.5703125" style="98" hidden="1" customWidth="1"/>
    <col min="17" max="17" width="17.7109375" style="9" bestFit="1" customWidth="1"/>
    <col min="18" max="16384" width="9.28515625" style="9"/>
  </cols>
  <sheetData>
    <row r="1" spans="1:17" x14ac:dyDescent="0.25">
      <c r="A1" s="8" t="s">
        <v>4009</v>
      </c>
      <c r="B1" s="8" t="s">
        <v>4010</v>
      </c>
      <c r="C1" s="8" t="s">
        <v>4011</v>
      </c>
      <c r="D1" s="8" t="s">
        <v>4012</v>
      </c>
      <c r="E1" s="8" t="s">
        <v>4013</v>
      </c>
      <c r="F1" s="8" t="s">
        <v>4014</v>
      </c>
      <c r="G1" s="8" t="s">
        <v>4015</v>
      </c>
      <c r="H1" s="8" t="s">
        <v>4016</v>
      </c>
      <c r="I1" s="8" t="s">
        <v>37</v>
      </c>
      <c r="J1" s="8" t="s">
        <v>4017</v>
      </c>
      <c r="K1" s="8" t="s">
        <v>4018</v>
      </c>
      <c r="L1" s="8" t="s">
        <v>4019</v>
      </c>
      <c r="M1" s="24" t="s">
        <v>7</v>
      </c>
      <c r="N1" s="24" t="s">
        <v>37</v>
      </c>
      <c r="O1" s="24" t="s">
        <v>10</v>
      </c>
      <c r="P1" s="24" t="s">
        <v>4020</v>
      </c>
      <c r="Q1" s="24" t="s">
        <v>4021</v>
      </c>
    </row>
    <row r="2" spans="1:17" ht="30" hidden="1" x14ac:dyDescent="0.25">
      <c r="A2" s="10" t="s">
        <v>4022</v>
      </c>
      <c r="B2" s="10" t="s">
        <v>4023</v>
      </c>
      <c r="C2" s="10" t="s">
        <v>4024</v>
      </c>
      <c r="D2" s="10" t="s">
        <v>51</v>
      </c>
      <c r="E2" s="10" t="s">
        <v>4025</v>
      </c>
      <c r="F2" s="10" t="s">
        <v>51</v>
      </c>
      <c r="G2" s="10" t="s">
        <v>51</v>
      </c>
      <c r="H2" s="10" t="s">
        <v>51</v>
      </c>
      <c r="I2" s="10" t="s">
        <v>4026</v>
      </c>
      <c r="J2" s="10" t="s">
        <v>4027</v>
      </c>
      <c r="K2" s="10" t="s">
        <v>51</v>
      </c>
      <c r="L2" s="10" t="s">
        <v>1529</v>
      </c>
      <c r="N2" s="30"/>
      <c r="O2" s="30"/>
      <c r="P2" s="97"/>
    </row>
    <row r="3" spans="1:17" ht="45" hidden="1" x14ac:dyDescent="0.25">
      <c r="A3" s="10" t="s">
        <v>4028</v>
      </c>
      <c r="B3" s="10" t="s">
        <v>4023</v>
      </c>
      <c r="C3" s="10" t="s">
        <v>4029</v>
      </c>
      <c r="D3" s="10" t="s">
        <v>51</v>
      </c>
      <c r="E3" s="10" t="s">
        <v>4025</v>
      </c>
      <c r="F3" s="10" t="s">
        <v>51</v>
      </c>
      <c r="G3" s="10" t="s">
        <v>51</v>
      </c>
      <c r="H3" s="10" t="s">
        <v>51</v>
      </c>
      <c r="I3" s="10" t="s">
        <v>4026</v>
      </c>
      <c r="J3" s="10" t="s">
        <v>4027</v>
      </c>
      <c r="K3" s="10" t="s">
        <v>51</v>
      </c>
      <c r="L3" s="10" t="s">
        <v>1529</v>
      </c>
      <c r="M3" s="30"/>
      <c r="N3" s="30"/>
      <c r="O3" s="30"/>
      <c r="P3" s="97"/>
    </row>
    <row r="4" spans="1:17" ht="25.5" hidden="1" x14ac:dyDescent="0.25">
      <c r="A4" s="10" t="s">
        <v>268</v>
      </c>
      <c r="B4" s="10" t="s">
        <v>4030</v>
      </c>
      <c r="C4" s="10" t="s">
        <v>2685</v>
      </c>
      <c r="D4" s="10" t="s">
        <v>50</v>
      </c>
      <c r="E4" s="10" t="s">
        <v>4031</v>
      </c>
      <c r="F4" s="10" t="s">
        <v>50</v>
      </c>
      <c r="G4" s="10" t="s">
        <v>50</v>
      </c>
      <c r="H4" s="10" t="s">
        <v>51</v>
      </c>
      <c r="I4" s="10" t="s">
        <v>4026</v>
      </c>
      <c r="J4" s="10" t="s">
        <v>4032</v>
      </c>
      <c r="K4" s="10" t="s">
        <v>51</v>
      </c>
      <c r="L4" s="10" t="s">
        <v>1529</v>
      </c>
      <c r="M4" s="16" t="s">
        <v>4033</v>
      </c>
      <c r="N4" s="16" t="s">
        <v>4034</v>
      </c>
      <c r="O4" s="16" t="s">
        <v>4035</v>
      </c>
      <c r="P4" s="99"/>
    </row>
    <row r="5" spans="1:17" hidden="1" x14ac:dyDescent="0.25">
      <c r="A5" s="10" t="s">
        <v>4036</v>
      </c>
      <c r="B5" s="10" t="s">
        <v>4037</v>
      </c>
      <c r="C5" s="10" t="s">
        <v>4038</v>
      </c>
      <c r="D5" s="10" t="s">
        <v>51</v>
      </c>
      <c r="E5" s="10" t="s">
        <v>4025</v>
      </c>
      <c r="F5" s="10" t="s">
        <v>51</v>
      </c>
      <c r="G5" s="10" t="s">
        <v>51</v>
      </c>
      <c r="H5" s="10" t="s">
        <v>51</v>
      </c>
      <c r="I5" s="10" t="s">
        <v>4026</v>
      </c>
      <c r="J5" s="10" t="s">
        <v>4027</v>
      </c>
      <c r="K5" s="10" t="s">
        <v>51</v>
      </c>
      <c r="L5" s="10" t="s">
        <v>4037</v>
      </c>
      <c r="M5" s="30"/>
      <c r="N5" s="30"/>
      <c r="O5" s="30"/>
      <c r="P5" s="97"/>
    </row>
    <row r="6" spans="1:17" hidden="1" x14ac:dyDescent="0.25">
      <c r="A6" s="10" t="s">
        <v>4039</v>
      </c>
      <c r="B6" s="10" t="s">
        <v>4037</v>
      </c>
      <c r="C6" s="10" t="s">
        <v>4038</v>
      </c>
      <c r="D6" s="10" t="s">
        <v>50</v>
      </c>
      <c r="E6" s="10" t="s">
        <v>4025</v>
      </c>
      <c r="F6" s="10" t="s">
        <v>51</v>
      </c>
      <c r="G6" s="10" t="s">
        <v>51</v>
      </c>
      <c r="H6" s="10" t="s">
        <v>51</v>
      </c>
      <c r="I6" s="10" t="s">
        <v>4026</v>
      </c>
      <c r="J6" s="10" t="s">
        <v>4027</v>
      </c>
      <c r="K6" s="10" t="s">
        <v>51</v>
      </c>
      <c r="L6" s="10" t="s">
        <v>4037</v>
      </c>
      <c r="M6" s="30"/>
      <c r="N6" s="30"/>
      <c r="O6" s="30"/>
      <c r="P6" s="97"/>
    </row>
    <row r="7" spans="1:17" hidden="1" x14ac:dyDescent="0.25">
      <c r="A7" s="10" t="s">
        <v>4040</v>
      </c>
      <c r="B7" s="10" t="s">
        <v>4037</v>
      </c>
      <c r="C7" s="10" t="s">
        <v>4041</v>
      </c>
      <c r="D7" s="10" t="s">
        <v>51</v>
      </c>
      <c r="E7" s="10" t="s">
        <v>4025</v>
      </c>
      <c r="F7" s="10" t="s">
        <v>51</v>
      </c>
      <c r="G7" s="10" t="s">
        <v>51</v>
      </c>
      <c r="H7" s="10" t="s">
        <v>51</v>
      </c>
      <c r="I7" s="10" t="s">
        <v>4026</v>
      </c>
      <c r="J7" s="10" t="s">
        <v>4027</v>
      </c>
      <c r="K7" s="10" t="s">
        <v>51</v>
      </c>
      <c r="L7" s="10" t="s">
        <v>4037</v>
      </c>
      <c r="M7" s="30"/>
      <c r="N7" s="30"/>
      <c r="O7" s="30"/>
      <c r="P7" s="97"/>
    </row>
    <row r="8" spans="1:17" hidden="1" x14ac:dyDescent="0.25">
      <c r="A8" s="10" t="s">
        <v>4042</v>
      </c>
      <c r="B8" s="10" t="s">
        <v>4037</v>
      </c>
      <c r="C8" s="10" t="s">
        <v>4038</v>
      </c>
      <c r="D8" s="10" t="s">
        <v>50</v>
      </c>
      <c r="E8" s="10" t="s">
        <v>4025</v>
      </c>
      <c r="F8" s="10" t="s">
        <v>51</v>
      </c>
      <c r="G8" s="10" t="s">
        <v>51</v>
      </c>
      <c r="H8" s="10" t="s">
        <v>51</v>
      </c>
      <c r="I8" s="10" t="s">
        <v>4026</v>
      </c>
      <c r="J8" s="10" t="s">
        <v>4027</v>
      </c>
      <c r="K8" s="10" t="s">
        <v>51</v>
      </c>
      <c r="L8" s="10" t="s">
        <v>4037</v>
      </c>
      <c r="M8" s="30"/>
      <c r="N8" s="30"/>
      <c r="O8" s="30"/>
      <c r="P8" s="97"/>
    </row>
    <row r="9" spans="1:17" hidden="1" x14ac:dyDescent="0.25">
      <c r="A9" s="10" t="s">
        <v>4043</v>
      </c>
      <c r="B9" s="10" t="s">
        <v>4037</v>
      </c>
      <c r="C9" s="10" t="s">
        <v>4043</v>
      </c>
      <c r="D9" s="10" t="s">
        <v>51</v>
      </c>
      <c r="E9" s="10" t="s">
        <v>4025</v>
      </c>
      <c r="F9" s="10" t="s">
        <v>51</v>
      </c>
      <c r="G9" s="10" t="s">
        <v>51</v>
      </c>
      <c r="H9" s="10" t="s">
        <v>51</v>
      </c>
      <c r="I9" s="10" t="s">
        <v>4026</v>
      </c>
      <c r="J9" s="10" t="s">
        <v>4027</v>
      </c>
      <c r="K9" s="10" t="s">
        <v>51</v>
      </c>
      <c r="L9" s="10" t="s">
        <v>4044</v>
      </c>
      <c r="M9" s="30"/>
      <c r="N9" s="30"/>
      <c r="O9" s="30"/>
      <c r="P9" s="97"/>
    </row>
    <row r="10" spans="1:17" hidden="1" x14ac:dyDescent="0.25">
      <c r="A10" s="10" t="s">
        <v>4045</v>
      </c>
      <c r="B10" s="10" t="s">
        <v>4037</v>
      </c>
      <c r="C10" s="10" t="s">
        <v>4041</v>
      </c>
      <c r="D10" s="10" t="s">
        <v>51</v>
      </c>
      <c r="E10" s="10" t="s">
        <v>4025</v>
      </c>
      <c r="F10" s="10" t="s">
        <v>51</v>
      </c>
      <c r="G10" s="10" t="s">
        <v>51</v>
      </c>
      <c r="H10" s="10" t="s">
        <v>51</v>
      </c>
      <c r="I10" s="10" t="s">
        <v>4026</v>
      </c>
      <c r="J10" s="10" t="s">
        <v>4027</v>
      </c>
      <c r="K10" s="10" t="s">
        <v>51</v>
      </c>
      <c r="L10" s="10" t="s">
        <v>4037</v>
      </c>
      <c r="M10" s="30"/>
      <c r="N10" s="30"/>
      <c r="O10" s="30"/>
      <c r="P10" s="97"/>
    </row>
    <row r="11" spans="1:17" ht="30.75" hidden="1" thickBot="1" x14ac:dyDescent="0.3">
      <c r="A11" s="10" t="s">
        <v>4046</v>
      </c>
      <c r="B11" s="10" t="s">
        <v>4023</v>
      </c>
      <c r="C11" s="10" t="s">
        <v>4024</v>
      </c>
      <c r="D11" s="10" t="s">
        <v>51</v>
      </c>
      <c r="E11" s="10" t="s">
        <v>4025</v>
      </c>
      <c r="F11" s="10" t="s">
        <v>51</v>
      </c>
      <c r="G11" s="10" t="s">
        <v>51</v>
      </c>
      <c r="H11" s="10" t="s">
        <v>51</v>
      </c>
      <c r="I11" s="10" t="s">
        <v>4026</v>
      </c>
      <c r="J11" s="10" t="s">
        <v>4027</v>
      </c>
      <c r="K11" s="10" t="s">
        <v>51</v>
      </c>
      <c r="L11" s="10" t="s">
        <v>1529</v>
      </c>
      <c r="M11" s="34"/>
      <c r="N11" s="30"/>
      <c r="O11" s="30"/>
      <c r="P11" s="97"/>
    </row>
    <row r="12" spans="1:17" ht="25.5" hidden="1" x14ac:dyDescent="0.25">
      <c r="A12" s="10" t="s">
        <v>4047</v>
      </c>
      <c r="B12" s="10" t="s">
        <v>4048</v>
      </c>
      <c r="C12" s="10" t="s">
        <v>4049</v>
      </c>
      <c r="D12" s="10" t="s">
        <v>51</v>
      </c>
      <c r="E12" s="10" t="s">
        <v>4025</v>
      </c>
      <c r="F12" s="10" t="s">
        <v>50</v>
      </c>
      <c r="G12" s="10" t="s">
        <v>50</v>
      </c>
      <c r="H12" s="10" t="s">
        <v>51</v>
      </c>
      <c r="I12" s="10" t="s">
        <v>4026</v>
      </c>
      <c r="J12" s="10" t="s">
        <v>4050</v>
      </c>
      <c r="K12" s="10" t="s">
        <v>50</v>
      </c>
      <c r="L12" s="10" t="s">
        <v>1529</v>
      </c>
      <c r="M12" s="16" t="s">
        <v>4051</v>
      </c>
      <c r="N12" s="16" t="s">
        <v>4052</v>
      </c>
      <c r="O12" s="16" t="s">
        <v>4053</v>
      </c>
      <c r="P12" s="99"/>
    </row>
    <row r="13" spans="1:17" ht="25.5" hidden="1" x14ac:dyDescent="0.25">
      <c r="A13" s="10" t="s">
        <v>4054</v>
      </c>
      <c r="B13" s="10" t="s">
        <v>4048</v>
      </c>
      <c r="C13" s="10" t="s">
        <v>4049</v>
      </c>
      <c r="D13" s="10" t="s">
        <v>51</v>
      </c>
      <c r="E13" s="10" t="s">
        <v>4025</v>
      </c>
      <c r="F13" s="10" t="s">
        <v>50</v>
      </c>
      <c r="G13" s="10" t="s">
        <v>50</v>
      </c>
      <c r="H13" s="10" t="s">
        <v>51</v>
      </c>
      <c r="I13" s="10" t="s">
        <v>4026</v>
      </c>
      <c r="J13" s="10" t="s">
        <v>4050</v>
      </c>
      <c r="K13" s="10" t="s">
        <v>50</v>
      </c>
      <c r="L13" s="10" t="s">
        <v>1529</v>
      </c>
      <c r="M13" s="18" t="s">
        <v>4055</v>
      </c>
      <c r="N13" s="16" t="s">
        <v>4056</v>
      </c>
      <c r="O13" s="16" t="s">
        <v>4053</v>
      </c>
      <c r="P13" s="99"/>
    </row>
    <row r="14" spans="1:17" hidden="1" x14ac:dyDescent="0.25">
      <c r="A14" s="10" t="s">
        <v>4057</v>
      </c>
      <c r="B14" s="10" t="s">
        <v>4023</v>
      </c>
      <c r="C14" s="10" t="s">
        <v>4058</v>
      </c>
      <c r="D14" s="10" t="s">
        <v>51</v>
      </c>
      <c r="E14" s="10" t="s">
        <v>4025</v>
      </c>
      <c r="F14" s="10" t="s">
        <v>51</v>
      </c>
      <c r="G14" s="10" t="s">
        <v>51</v>
      </c>
      <c r="H14" s="10" t="s">
        <v>51</v>
      </c>
      <c r="I14" s="10" t="s">
        <v>4026</v>
      </c>
      <c r="J14" s="10" t="s">
        <v>4027</v>
      </c>
      <c r="K14" s="10" t="s">
        <v>51</v>
      </c>
      <c r="L14" s="10" t="s">
        <v>1529</v>
      </c>
      <c r="M14" s="30"/>
      <c r="N14" s="30"/>
      <c r="O14" s="30"/>
      <c r="P14" s="97"/>
    </row>
    <row r="15" spans="1:17" ht="60" hidden="1" x14ac:dyDescent="0.25">
      <c r="A15" s="10" t="s">
        <v>4059</v>
      </c>
      <c r="B15" s="10" t="s">
        <v>4023</v>
      </c>
      <c r="C15" s="10" t="s">
        <v>4058</v>
      </c>
      <c r="D15" s="10" t="s">
        <v>51</v>
      </c>
      <c r="E15" s="10" t="s">
        <v>4025</v>
      </c>
      <c r="F15" s="10" t="s">
        <v>51</v>
      </c>
      <c r="G15" s="10" t="s">
        <v>51</v>
      </c>
      <c r="H15" s="10" t="s">
        <v>51</v>
      </c>
      <c r="I15" s="10" t="s">
        <v>4026</v>
      </c>
      <c r="J15" s="10" t="s">
        <v>4027</v>
      </c>
      <c r="K15" s="10" t="s">
        <v>51</v>
      </c>
      <c r="L15" s="10" t="s">
        <v>1529</v>
      </c>
      <c r="M15" s="30"/>
      <c r="N15" s="30"/>
      <c r="O15" s="30"/>
      <c r="P15" s="97"/>
    </row>
    <row r="16" spans="1:17" hidden="1" x14ac:dyDescent="0.25">
      <c r="A16" s="10" t="s">
        <v>4060</v>
      </c>
      <c r="B16" s="10" t="s">
        <v>4023</v>
      </c>
      <c r="C16" s="10" t="s">
        <v>4058</v>
      </c>
      <c r="D16" s="10" t="s">
        <v>51</v>
      </c>
      <c r="E16" s="10" t="s">
        <v>4025</v>
      </c>
      <c r="F16" s="10" t="s">
        <v>51</v>
      </c>
      <c r="G16" s="10" t="s">
        <v>51</v>
      </c>
      <c r="H16" s="10" t="s">
        <v>51</v>
      </c>
      <c r="I16" s="10" t="s">
        <v>4026</v>
      </c>
      <c r="J16" s="10" t="s">
        <v>4027</v>
      </c>
      <c r="K16" s="10" t="s">
        <v>51</v>
      </c>
      <c r="L16" s="10" t="s">
        <v>1529</v>
      </c>
    </row>
    <row r="17" spans="1:16" hidden="1" x14ac:dyDescent="0.25">
      <c r="A17" s="10" t="s">
        <v>4061</v>
      </c>
      <c r="B17" s="10" t="s">
        <v>4023</v>
      </c>
      <c r="C17" s="10" t="s">
        <v>4062</v>
      </c>
      <c r="D17" s="10" t="s">
        <v>51</v>
      </c>
      <c r="E17" s="10" t="s">
        <v>4025</v>
      </c>
      <c r="F17" s="10" t="s">
        <v>51</v>
      </c>
      <c r="G17" s="10" t="s">
        <v>51</v>
      </c>
      <c r="H17" s="10" t="s">
        <v>51</v>
      </c>
      <c r="I17" s="10" t="s">
        <v>4026</v>
      </c>
      <c r="J17" s="10" t="s">
        <v>4027</v>
      </c>
      <c r="K17" s="10" t="s">
        <v>51</v>
      </c>
      <c r="L17" s="10" t="s">
        <v>1529</v>
      </c>
      <c r="M17" s="30"/>
      <c r="N17" s="30"/>
      <c r="O17" s="30"/>
      <c r="P17" s="97"/>
    </row>
    <row r="18" spans="1:16" ht="30" hidden="1" x14ac:dyDescent="0.25">
      <c r="A18" s="10" t="s">
        <v>4063</v>
      </c>
      <c r="B18" s="10" t="s">
        <v>4030</v>
      </c>
      <c r="C18" s="10" t="s">
        <v>4064</v>
      </c>
      <c r="D18" s="10" t="s">
        <v>51</v>
      </c>
      <c r="E18" s="10" t="s">
        <v>4025</v>
      </c>
      <c r="F18" s="10" t="s">
        <v>51</v>
      </c>
      <c r="G18" s="10" t="s">
        <v>51</v>
      </c>
      <c r="H18" s="10" t="s">
        <v>51</v>
      </c>
      <c r="I18" s="10" t="s">
        <v>4026</v>
      </c>
      <c r="J18" s="10" t="s">
        <v>4027</v>
      </c>
      <c r="K18" s="10" t="s">
        <v>51</v>
      </c>
      <c r="L18" s="10" t="s">
        <v>4065</v>
      </c>
      <c r="M18" s="30"/>
      <c r="N18" s="30"/>
      <c r="O18" s="30"/>
      <c r="P18" s="97"/>
    </row>
    <row r="19" spans="1:16" ht="25.5" hidden="1" x14ac:dyDescent="0.25">
      <c r="A19" s="10" t="s">
        <v>272</v>
      </c>
      <c r="B19" s="10" t="s">
        <v>4048</v>
      </c>
      <c r="C19" s="10" t="s">
        <v>4066</v>
      </c>
      <c r="D19" s="10" t="s">
        <v>51</v>
      </c>
      <c r="E19" s="10" t="s">
        <v>4025</v>
      </c>
      <c r="F19" s="10" t="s">
        <v>50</v>
      </c>
      <c r="G19" s="10" t="s">
        <v>50</v>
      </c>
      <c r="H19" s="10" t="s">
        <v>51</v>
      </c>
      <c r="I19" s="10" t="s">
        <v>4026</v>
      </c>
      <c r="J19" s="10" t="s">
        <v>4050</v>
      </c>
      <c r="K19" s="10" t="s">
        <v>50</v>
      </c>
      <c r="L19" s="10" t="s">
        <v>1529</v>
      </c>
      <c r="M19" s="16" t="s">
        <v>4067</v>
      </c>
      <c r="N19" s="16" t="s">
        <v>4068</v>
      </c>
      <c r="O19" s="16" t="s">
        <v>4053</v>
      </c>
      <c r="P19" s="99"/>
    </row>
    <row r="20" spans="1:16" ht="30" hidden="1" x14ac:dyDescent="0.25">
      <c r="A20" s="10" t="s">
        <v>258</v>
      </c>
      <c r="B20" s="10" t="s">
        <v>4069</v>
      </c>
      <c r="C20" s="10" t="s">
        <v>4070</v>
      </c>
      <c r="D20" s="10" t="s">
        <v>51</v>
      </c>
      <c r="E20" s="10" t="s">
        <v>4025</v>
      </c>
      <c r="F20" s="10" t="s">
        <v>50</v>
      </c>
      <c r="G20" s="10" t="s">
        <v>50</v>
      </c>
      <c r="H20" s="10" t="s">
        <v>51</v>
      </c>
      <c r="I20" s="10" t="s">
        <v>4071</v>
      </c>
      <c r="J20" s="10" t="s">
        <v>4027</v>
      </c>
      <c r="K20" s="10" t="s">
        <v>51</v>
      </c>
      <c r="L20" s="10" t="s">
        <v>4065</v>
      </c>
      <c r="M20" s="16" t="s">
        <v>4072</v>
      </c>
      <c r="N20" s="16" t="s">
        <v>4034</v>
      </c>
      <c r="O20" s="16" t="s">
        <v>4073</v>
      </c>
      <c r="P20" s="99"/>
    </row>
    <row r="21" spans="1:16" ht="25.5" hidden="1" x14ac:dyDescent="0.25">
      <c r="A21" s="10" t="s">
        <v>4074</v>
      </c>
      <c r="B21" s="10" t="s">
        <v>4069</v>
      </c>
      <c r="C21" s="10" t="s">
        <v>4075</v>
      </c>
      <c r="D21" s="10" t="s">
        <v>50</v>
      </c>
      <c r="E21" s="10" t="s">
        <v>4031</v>
      </c>
      <c r="F21" s="10" t="s">
        <v>50</v>
      </c>
      <c r="G21" s="10" t="s">
        <v>50</v>
      </c>
      <c r="H21" s="10" t="s">
        <v>51</v>
      </c>
      <c r="I21" s="10" t="s">
        <v>4026</v>
      </c>
      <c r="J21" s="10" t="s">
        <v>4050</v>
      </c>
      <c r="K21" s="10" t="s">
        <v>51</v>
      </c>
      <c r="L21" s="10" t="s">
        <v>1529</v>
      </c>
      <c r="M21" s="17" t="s">
        <v>4076</v>
      </c>
      <c r="N21" s="17" t="s">
        <v>4076</v>
      </c>
      <c r="O21" s="17" t="s">
        <v>4076</v>
      </c>
      <c r="P21" s="99"/>
    </row>
    <row r="22" spans="1:16" ht="30" hidden="1" x14ac:dyDescent="0.25">
      <c r="A22" s="10" t="s">
        <v>4077</v>
      </c>
      <c r="B22" s="10" t="s">
        <v>4069</v>
      </c>
      <c r="C22" s="10" t="s">
        <v>4078</v>
      </c>
      <c r="D22" s="10" t="s">
        <v>50</v>
      </c>
      <c r="E22" s="10" t="s">
        <v>4031</v>
      </c>
      <c r="F22" s="10" t="s">
        <v>50</v>
      </c>
      <c r="G22" s="10" t="s">
        <v>50</v>
      </c>
      <c r="H22" s="10" t="s">
        <v>51</v>
      </c>
      <c r="I22" s="10" t="s">
        <v>4071</v>
      </c>
      <c r="J22" s="10" t="s">
        <v>4050</v>
      </c>
      <c r="K22" s="10" t="s">
        <v>50</v>
      </c>
      <c r="L22" s="10" t="s">
        <v>1529</v>
      </c>
      <c r="M22" s="36" t="s">
        <v>4076</v>
      </c>
      <c r="N22" s="36" t="s">
        <v>4076</v>
      </c>
      <c r="O22" s="36" t="s">
        <v>4076</v>
      </c>
      <c r="P22" s="99"/>
    </row>
    <row r="23" spans="1:16" ht="30" hidden="1" x14ac:dyDescent="0.25">
      <c r="A23" s="10" t="s">
        <v>4079</v>
      </c>
      <c r="B23" s="10" t="s">
        <v>4069</v>
      </c>
      <c r="C23" s="10" t="s">
        <v>4080</v>
      </c>
      <c r="D23" s="10" t="s">
        <v>50</v>
      </c>
      <c r="E23" s="10" t="s">
        <v>4031</v>
      </c>
      <c r="F23" s="10" t="s">
        <v>50</v>
      </c>
      <c r="G23" s="10" t="s">
        <v>50</v>
      </c>
      <c r="H23" s="10" t="s">
        <v>51</v>
      </c>
      <c r="I23" s="10" t="s">
        <v>4071</v>
      </c>
      <c r="J23" s="10" t="s">
        <v>4032</v>
      </c>
      <c r="K23" s="10" t="s">
        <v>50</v>
      </c>
      <c r="L23" s="10" t="s">
        <v>1529</v>
      </c>
      <c r="M23" s="17" t="s">
        <v>4076</v>
      </c>
      <c r="N23" s="17" t="s">
        <v>4076</v>
      </c>
      <c r="O23" s="17" t="s">
        <v>4076</v>
      </c>
      <c r="P23" s="99"/>
    </row>
    <row r="24" spans="1:16" ht="63.75" hidden="1" x14ac:dyDescent="0.25">
      <c r="A24" s="10" t="s">
        <v>4081</v>
      </c>
      <c r="B24" s="10" t="s">
        <v>4069</v>
      </c>
      <c r="C24" s="10" t="s">
        <v>4082</v>
      </c>
      <c r="D24" s="10" t="s">
        <v>50</v>
      </c>
      <c r="E24" s="10" t="s">
        <v>4031</v>
      </c>
      <c r="F24" s="10" t="s">
        <v>50</v>
      </c>
      <c r="G24" s="10" t="s">
        <v>50</v>
      </c>
      <c r="H24" s="10" t="s">
        <v>51</v>
      </c>
      <c r="I24" s="10" t="s">
        <v>4071</v>
      </c>
      <c r="J24" s="10" t="s">
        <v>4050</v>
      </c>
      <c r="K24" s="10" t="s">
        <v>50</v>
      </c>
      <c r="L24" s="10" t="s">
        <v>1529</v>
      </c>
      <c r="M24" s="16" t="s">
        <v>4083</v>
      </c>
      <c r="N24" s="16" t="s">
        <v>4084</v>
      </c>
      <c r="O24" s="16" t="s">
        <v>4073</v>
      </c>
      <c r="P24" s="99"/>
    </row>
    <row r="25" spans="1:16" ht="63.75" hidden="1" x14ac:dyDescent="0.25">
      <c r="A25" s="10" t="s">
        <v>4085</v>
      </c>
      <c r="B25" s="10" t="s">
        <v>4069</v>
      </c>
      <c r="C25" s="10" t="s">
        <v>4086</v>
      </c>
      <c r="D25" s="10" t="s">
        <v>50</v>
      </c>
      <c r="E25" s="10" t="s">
        <v>4031</v>
      </c>
      <c r="F25" s="10" t="s">
        <v>50</v>
      </c>
      <c r="G25" s="10" t="s">
        <v>50</v>
      </c>
      <c r="H25" s="10" t="s">
        <v>51</v>
      </c>
      <c r="I25" s="10" t="s">
        <v>4071</v>
      </c>
      <c r="J25" s="10" t="s">
        <v>4050</v>
      </c>
      <c r="K25" s="10" t="s">
        <v>50</v>
      </c>
      <c r="L25" s="10" t="s">
        <v>1529</v>
      </c>
      <c r="M25" s="31" t="s">
        <v>4087</v>
      </c>
      <c r="N25" s="18" t="s">
        <v>4088</v>
      </c>
      <c r="O25" s="16" t="s">
        <v>4053</v>
      </c>
      <c r="P25" s="99"/>
    </row>
    <row r="26" spans="1:16" ht="38.25" hidden="1" x14ac:dyDescent="0.25">
      <c r="A26" s="10" t="s">
        <v>4089</v>
      </c>
      <c r="B26" s="10" t="s">
        <v>4069</v>
      </c>
      <c r="C26" s="10" t="s">
        <v>4090</v>
      </c>
      <c r="D26" s="10" t="s">
        <v>50</v>
      </c>
      <c r="E26" s="10" t="s">
        <v>4031</v>
      </c>
      <c r="F26" s="10" t="s">
        <v>50</v>
      </c>
      <c r="G26" s="10" t="s">
        <v>50</v>
      </c>
      <c r="H26" s="10" t="s">
        <v>51</v>
      </c>
      <c r="I26" s="10" t="s">
        <v>4071</v>
      </c>
      <c r="J26" s="10" t="s">
        <v>4050</v>
      </c>
      <c r="K26" s="10" t="s">
        <v>50</v>
      </c>
      <c r="L26" s="10" t="s">
        <v>1529</v>
      </c>
      <c r="M26" s="16" t="s">
        <v>4091</v>
      </c>
      <c r="N26" s="16" t="s">
        <v>4092</v>
      </c>
      <c r="O26" s="16" t="s">
        <v>4053</v>
      </c>
      <c r="P26" s="99"/>
    </row>
    <row r="27" spans="1:16" ht="45" hidden="1" x14ac:dyDescent="0.25">
      <c r="A27" s="10" t="s">
        <v>4093</v>
      </c>
      <c r="B27" s="10" t="s">
        <v>4094</v>
      </c>
      <c r="C27" s="10" t="s">
        <v>4095</v>
      </c>
      <c r="D27" s="10" t="s">
        <v>50</v>
      </c>
      <c r="E27" s="10" t="s">
        <v>4096</v>
      </c>
      <c r="F27" s="10" t="s">
        <v>50</v>
      </c>
      <c r="G27" s="10" t="s">
        <v>50</v>
      </c>
      <c r="H27" s="10" t="s">
        <v>50</v>
      </c>
      <c r="I27" s="10" t="s">
        <v>4097</v>
      </c>
      <c r="J27" s="10" t="s">
        <v>4032</v>
      </c>
      <c r="K27" s="10" t="s">
        <v>50</v>
      </c>
      <c r="L27" s="10" t="s">
        <v>1529</v>
      </c>
      <c r="M27" s="18" t="s">
        <v>4098</v>
      </c>
      <c r="N27" s="18" t="s">
        <v>4052</v>
      </c>
      <c r="O27" s="18" t="s">
        <v>4053</v>
      </c>
      <c r="P27" s="99"/>
    </row>
    <row r="28" spans="1:16" ht="51" hidden="1" x14ac:dyDescent="0.25">
      <c r="A28" s="10" t="s">
        <v>4099</v>
      </c>
      <c r="B28" s="10" t="s">
        <v>4100</v>
      </c>
      <c r="C28" s="10" t="s">
        <v>4101</v>
      </c>
      <c r="D28" s="10" t="s">
        <v>50</v>
      </c>
      <c r="E28" s="10" t="s">
        <v>4031</v>
      </c>
      <c r="F28" s="10" t="s">
        <v>50</v>
      </c>
      <c r="G28" s="10" t="s">
        <v>50</v>
      </c>
      <c r="H28" s="10" t="s">
        <v>51</v>
      </c>
      <c r="I28" s="10" t="s">
        <v>4071</v>
      </c>
      <c r="J28" s="10" t="s">
        <v>4050</v>
      </c>
      <c r="K28" s="10" t="s">
        <v>50</v>
      </c>
      <c r="L28" s="10" t="s">
        <v>1529</v>
      </c>
      <c r="M28" s="18" t="s">
        <v>4102</v>
      </c>
      <c r="N28" s="18" t="s">
        <v>4103</v>
      </c>
      <c r="O28" s="18" t="s">
        <v>4104</v>
      </c>
      <c r="P28" s="99"/>
    </row>
    <row r="29" spans="1:16" ht="51" hidden="1" x14ac:dyDescent="0.25">
      <c r="A29" s="10" t="s">
        <v>4105</v>
      </c>
      <c r="B29" s="10" t="s">
        <v>4100</v>
      </c>
      <c r="C29" s="10" t="s">
        <v>4101</v>
      </c>
      <c r="D29" s="10" t="s">
        <v>50</v>
      </c>
      <c r="E29" s="10" t="s">
        <v>4031</v>
      </c>
      <c r="F29" s="10" t="s">
        <v>50</v>
      </c>
      <c r="G29" s="10" t="s">
        <v>50</v>
      </c>
      <c r="H29" s="10" t="s">
        <v>51</v>
      </c>
      <c r="I29" s="10" t="s">
        <v>4026</v>
      </c>
      <c r="J29" s="10" t="s">
        <v>4050</v>
      </c>
      <c r="K29" s="10" t="s">
        <v>50</v>
      </c>
      <c r="L29" s="10" t="s">
        <v>1529</v>
      </c>
      <c r="M29" s="18" t="s">
        <v>4102</v>
      </c>
      <c r="N29" s="18" t="s">
        <v>4106</v>
      </c>
      <c r="O29" s="18" t="s">
        <v>4107</v>
      </c>
      <c r="P29" s="99"/>
    </row>
    <row r="30" spans="1:16" ht="30" hidden="1" x14ac:dyDescent="0.25">
      <c r="A30" s="10" t="s">
        <v>4108</v>
      </c>
      <c r="B30" s="10" t="s">
        <v>4100</v>
      </c>
      <c r="C30" s="10" t="s">
        <v>4101</v>
      </c>
      <c r="D30" s="10" t="s">
        <v>50</v>
      </c>
      <c r="E30" s="10" t="s">
        <v>4096</v>
      </c>
      <c r="F30" s="10" t="s">
        <v>50</v>
      </c>
      <c r="G30" s="10" t="s">
        <v>50</v>
      </c>
      <c r="H30" s="10" t="s">
        <v>50</v>
      </c>
      <c r="I30" s="10" t="s">
        <v>4071</v>
      </c>
      <c r="J30" s="10" t="s">
        <v>4032</v>
      </c>
      <c r="K30" s="10" t="s">
        <v>50</v>
      </c>
      <c r="L30" s="10" t="s">
        <v>1529</v>
      </c>
    </row>
    <row r="31" spans="1:16" ht="38.25" hidden="1" x14ac:dyDescent="0.25">
      <c r="A31" s="10" t="s">
        <v>4109</v>
      </c>
      <c r="B31" s="10" t="s">
        <v>4100</v>
      </c>
      <c r="C31" s="10" t="s">
        <v>4101</v>
      </c>
      <c r="D31" s="10" t="s">
        <v>50</v>
      </c>
      <c r="E31" s="10" t="s">
        <v>4096</v>
      </c>
      <c r="F31" s="10" t="s">
        <v>50</v>
      </c>
      <c r="G31" s="10" t="s">
        <v>50</v>
      </c>
      <c r="H31" s="10" t="s">
        <v>50</v>
      </c>
      <c r="I31" s="10" t="s">
        <v>4071</v>
      </c>
      <c r="J31" s="10" t="s">
        <v>4032</v>
      </c>
      <c r="K31" s="10" t="s">
        <v>50</v>
      </c>
      <c r="L31" s="10" t="s">
        <v>1529</v>
      </c>
      <c r="M31" s="18" t="s">
        <v>4110</v>
      </c>
      <c r="N31" s="18" t="s">
        <v>4111</v>
      </c>
      <c r="O31" s="18" t="s">
        <v>4112</v>
      </c>
      <c r="P31" s="99"/>
    </row>
    <row r="32" spans="1:16" ht="30" hidden="1" x14ac:dyDescent="0.25">
      <c r="A32" s="10" t="s">
        <v>4113</v>
      </c>
      <c r="B32" s="10" t="s">
        <v>4100</v>
      </c>
      <c r="C32" s="10" t="s">
        <v>4114</v>
      </c>
      <c r="D32" s="10" t="s">
        <v>50</v>
      </c>
      <c r="E32" s="10" t="s">
        <v>4115</v>
      </c>
      <c r="F32" s="10" t="s">
        <v>51</v>
      </c>
      <c r="G32" s="10" t="s">
        <v>50</v>
      </c>
      <c r="H32" s="10" t="s">
        <v>51</v>
      </c>
      <c r="I32" s="10" t="s">
        <v>4026</v>
      </c>
      <c r="J32" s="10" t="s">
        <v>4027</v>
      </c>
      <c r="K32" s="10" t="s">
        <v>51</v>
      </c>
      <c r="L32" s="10" t="s">
        <v>4065</v>
      </c>
      <c r="M32" s="18" t="s">
        <v>4116</v>
      </c>
      <c r="N32" s="18" t="s">
        <v>4117</v>
      </c>
      <c r="O32" s="18" t="s">
        <v>4073</v>
      </c>
      <c r="P32" s="99"/>
    </row>
    <row r="33" spans="1:17" ht="45" hidden="1" x14ac:dyDescent="0.25">
      <c r="A33" s="10" t="s">
        <v>4118</v>
      </c>
      <c r="B33" s="10" t="s">
        <v>4100</v>
      </c>
      <c r="C33" s="10" t="s">
        <v>4119</v>
      </c>
      <c r="D33" s="10" t="s">
        <v>51</v>
      </c>
      <c r="E33" s="10" t="s">
        <v>4025</v>
      </c>
      <c r="F33" s="10" t="s">
        <v>50</v>
      </c>
      <c r="G33" s="10" t="s">
        <v>50</v>
      </c>
      <c r="H33" s="10" t="s">
        <v>51</v>
      </c>
      <c r="I33" s="10" t="s">
        <v>4026</v>
      </c>
      <c r="J33" s="10" t="s">
        <v>4050</v>
      </c>
      <c r="K33" s="10" t="s">
        <v>51</v>
      </c>
      <c r="L33" s="10" t="s">
        <v>1529</v>
      </c>
      <c r="M33" s="18" t="s">
        <v>4120</v>
      </c>
      <c r="N33" s="18" t="s">
        <v>4121</v>
      </c>
      <c r="O33" s="18" t="s">
        <v>4122</v>
      </c>
      <c r="P33" s="99"/>
    </row>
    <row r="34" spans="1:17" hidden="1" x14ac:dyDescent="0.25">
      <c r="A34" s="10" t="s">
        <v>4123</v>
      </c>
      <c r="B34" s="10" t="s">
        <v>4023</v>
      </c>
      <c r="C34" s="10" t="s">
        <v>4058</v>
      </c>
      <c r="D34" s="10" t="s">
        <v>51</v>
      </c>
      <c r="E34" s="10" t="s">
        <v>4025</v>
      </c>
      <c r="F34" s="10" t="s">
        <v>51</v>
      </c>
      <c r="G34" s="10" t="s">
        <v>51</v>
      </c>
      <c r="H34" s="10" t="s">
        <v>51</v>
      </c>
      <c r="I34" s="10" t="s">
        <v>4026</v>
      </c>
      <c r="J34" s="10" t="s">
        <v>4027</v>
      </c>
      <c r="K34" s="10" t="s">
        <v>51</v>
      </c>
      <c r="L34" s="10" t="s">
        <v>1529</v>
      </c>
    </row>
    <row r="35" spans="1:17" ht="25.5" hidden="1" x14ac:dyDescent="0.25">
      <c r="A35" s="10" t="s">
        <v>4124</v>
      </c>
      <c r="B35" s="10" t="s">
        <v>4100</v>
      </c>
      <c r="C35" s="10" t="s">
        <v>4119</v>
      </c>
      <c r="D35" s="10" t="s">
        <v>51</v>
      </c>
      <c r="E35" s="10" t="s">
        <v>4025</v>
      </c>
      <c r="F35" s="10" t="s">
        <v>50</v>
      </c>
      <c r="G35" s="10" t="s">
        <v>50</v>
      </c>
      <c r="H35" s="10" t="s">
        <v>51</v>
      </c>
      <c r="I35" s="10" t="s">
        <v>4071</v>
      </c>
      <c r="J35" s="10" t="s">
        <v>4050</v>
      </c>
      <c r="K35" s="10" t="s">
        <v>51</v>
      </c>
      <c r="L35" s="10" t="s">
        <v>1529</v>
      </c>
      <c r="M35" s="18" t="s">
        <v>4125</v>
      </c>
      <c r="N35" s="18" t="s">
        <v>4121</v>
      </c>
      <c r="O35" s="18" t="s">
        <v>4122</v>
      </c>
      <c r="P35" s="99"/>
    </row>
    <row r="36" spans="1:17" ht="51" hidden="1" x14ac:dyDescent="0.25">
      <c r="A36" s="10" t="s">
        <v>4126</v>
      </c>
      <c r="B36" s="10" t="s">
        <v>4100</v>
      </c>
      <c r="C36" s="10" t="s">
        <v>4119</v>
      </c>
      <c r="D36" s="10" t="s">
        <v>50</v>
      </c>
      <c r="E36" s="10" t="s">
        <v>4031</v>
      </c>
      <c r="F36" s="10" t="s">
        <v>50</v>
      </c>
      <c r="G36" s="10" t="s">
        <v>50</v>
      </c>
      <c r="H36" s="10" t="s">
        <v>50</v>
      </c>
      <c r="I36" s="11" t="s">
        <v>4097</v>
      </c>
      <c r="J36" s="10" t="s">
        <v>4050</v>
      </c>
      <c r="K36" s="10" t="s">
        <v>50</v>
      </c>
      <c r="L36" s="10" t="s">
        <v>1529</v>
      </c>
      <c r="M36" s="18" t="s">
        <v>4127</v>
      </c>
      <c r="N36" s="18" t="s">
        <v>4121</v>
      </c>
      <c r="O36" s="18" t="s">
        <v>4122</v>
      </c>
      <c r="P36" s="99"/>
    </row>
    <row r="37" spans="1:17" hidden="1" x14ac:dyDescent="0.25">
      <c r="A37" s="10" t="s">
        <v>4128</v>
      </c>
      <c r="B37" s="10" t="s">
        <v>4023</v>
      </c>
      <c r="C37" s="10" t="s">
        <v>4062</v>
      </c>
      <c r="D37" s="10" t="s">
        <v>51</v>
      </c>
      <c r="E37" s="10" t="s">
        <v>4025</v>
      </c>
      <c r="F37" s="10" t="s">
        <v>51</v>
      </c>
      <c r="G37" s="10" t="s">
        <v>51</v>
      </c>
      <c r="H37" s="10" t="s">
        <v>51</v>
      </c>
      <c r="I37" s="10" t="s">
        <v>4026</v>
      </c>
      <c r="J37" s="10" t="s">
        <v>4027</v>
      </c>
      <c r="K37" s="10" t="s">
        <v>51</v>
      </c>
      <c r="L37" s="10" t="s">
        <v>1529</v>
      </c>
    </row>
    <row r="38" spans="1:17" ht="30" hidden="1" x14ac:dyDescent="0.25">
      <c r="A38" s="10" t="s">
        <v>4129</v>
      </c>
      <c r="B38" s="10" t="s">
        <v>4037</v>
      </c>
      <c r="C38" s="10" t="s">
        <v>4130</v>
      </c>
      <c r="D38" s="10" t="s">
        <v>51</v>
      </c>
      <c r="E38" s="10" t="s">
        <v>4025</v>
      </c>
      <c r="F38" s="10" t="s">
        <v>51</v>
      </c>
      <c r="G38" s="10" t="s">
        <v>50</v>
      </c>
      <c r="H38" s="10" t="s">
        <v>51</v>
      </c>
      <c r="I38" s="10" t="s">
        <v>4026</v>
      </c>
      <c r="J38" s="10" t="s">
        <v>4050</v>
      </c>
      <c r="K38" s="10" t="s">
        <v>51</v>
      </c>
      <c r="L38" s="10" t="s">
        <v>4044</v>
      </c>
    </row>
    <row r="39" spans="1:17" ht="30" hidden="1" x14ac:dyDescent="0.25">
      <c r="A39" s="10" t="s">
        <v>4129</v>
      </c>
      <c r="B39" s="10" t="s">
        <v>4037</v>
      </c>
      <c r="C39" s="10" t="s">
        <v>4131</v>
      </c>
      <c r="D39" s="10" t="s">
        <v>51</v>
      </c>
      <c r="E39" s="10" t="s">
        <v>4025</v>
      </c>
      <c r="F39" s="10" t="s">
        <v>51</v>
      </c>
      <c r="G39" s="10" t="s">
        <v>51</v>
      </c>
      <c r="H39" s="10" t="s">
        <v>51</v>
      </c>
      <c r="I39" s="10" t="s">
        <v>4026</v>
      </c>
      <c r="J39" s="10" t="s">
        <v>4027</v>
      </c>
      <c r="K39" s="10" t="s">
        <v>51</v>
      </c>
      <c r="L39" s="10" t="s">
        <v>4044</v>
      </c>
    </row>
    <row r="40" spans="1:17" ht="30" hidden="1" x14ac:dyDescent="0.25">
      <c r="A40" s="10" t="s">
        <v>263</v>
      </c>
      <c r="B40" s="10" t="s">
        <v>4100</v>
      </c>
      <c r="C40" s="10" t="s">
        <v>4132</v>
      </c>
      <c r="D40" s="10" t="s">
        <v>50</v>
      </c>
      <c r="E40" s="10" t="s">
        <v>4031</v>
      </c>
      <c r="F40" s="10" t="s">
        <v>50</v>
      </c>
      <c r="G40" s="10" t="s">
        <v>50</v>
      </c>
      <c r="H40" s="10" t="s">
        <v>51</v>
      </c>
      <c r="I40" s="10" t="s">
        <v>4026</v>
      </c>
      <c r="J40" s="10" t="s">
        <v>4050</v>
      </c>
      <c r="K40" s="10" t="s">
        <v>50</v>
      </c>
      <c r="L40" s="10" t="s">
        <v>1529</v>
      </c>
      <c r="M40" s="18" t="s">
        <v>4133</v>
      </c>
      <c r="N40" s="18" t="s">
        <v>4034</v>
      </c>
      <c r="O40" s="18" t="s">
        <v>4122</v>
      </c>
      <c r="P40" s="99"/>
    </row>
    <row r="41" spans="1:17" ht="76.5" x14ac:dyDescent="0.25">
      <c r="A41" s="10" t="s">
        <v>246</v>
      </c>
      <c r="B41" s="10" t="s">
        <v>4048</v>
      </c>
      <c r="C41" s="10" t="s">
        <v>4134</v>
      </c>
      <c r="D41" s="10" t="s">
        <v>50</v>
      </c>
      <c r="E41" s="10" t="s">
        <v>4031</v>
      </c>
      <c r="F41" s="10" t="s">
        <v>50</v>
      </c>
      <c r="G41" s="10" t="s">
        <v>50</v>
      </c>
      <c r="H41" s="10" t="s">
        <v>51</v>
      </c>
      <c r="I41" s="10" t="s">
        <v>4071</v>
      </c>
      <c r="J41" s="10" t="s">
        <v>4050</v>
      </c>
      <c r="K41" s="10" t="s">
        <v>50</v>
      </c>
      <c r="L41" s="10" t="s">
        <v>1529</v>
      </c>
      <c r="M41" s="275" t="s">
        <v>4135</v>
      </c>
      <c r="N41" s="275" t="s">
        <v>4136</v>
      </c>
      <c r="O41" s="275" t="s">
        <v>4137</v>
      </c>
      <c r="P41" s="99"/>
      <c r="Q41" s="9" t="s">
        <v>50</v>
      </c>
    </row>
    <row r="42" spans="1:17" ht="76.5" x14ac:dyDescent="0.25">
      <c r="A42" s="10" t="s">
        <v>250</v>
      </c>
      <c r="B42" s="10" t="s">
        <v>4048</v>
      </c>
      <c r="C42" s="10" t="s">
        <v>4134</v>
      </c>
      <c r="D42" s="10" t="s">
        <v>50</v>
      </c>
      <c r="E42" s="10" t="s">
        <v>4031</v>
      </c>
      <c r="F42" s="10" t="s">
        <v>50</v>
      </c>
      <c r="G42" s="10" t="s">
        <v>50</v>
      </c>
      <c r="H42" s="10" t="s">
        <v>51</v>
      </c>
      <c r="I42" s="10" t="s">
        <v>4071</v>
      </c>
      <c r="J42" s="10" t="s">
        <v>4050</v>
      </c>
      <c r="K42" s="10" t="s">
        <v>50</v>
      </c>
      <c r="L42" s="10" t="s">
        <v>1529</v>
      </c>
      <c r="M42" s="18" t="s">
        <v>4138</v>
      </c>
      <c r="N42" s="18" t="s">
        <v>4139</v>
      </c>
      <c r="O42" s="18" t="s">
        <v>4140</v>
      </c>
      <c r="P42" s="99"/>
      <c r="Q42" s="9" t="s">
        <v>50</v>
      </c>
    </row>
    <row r="43" spans="1:17" ht="30" hidden="1" x14ac:dyDescent="0.25">
      <c r="A43" s="10" t="s">
        <v>4141</v>
      </c>
      <c r="B43" s="10" t="s">
        <v>4048</v>
      </c>
      <c r="C43" s="10" t="s">
        <v>4134</v>
      </c>
      <c r="D43" s="10" t="s">
        <v>50</v>
      </c>
      <c r="E43" s="10" t="s">
        <v>4031</v>
      </c>
      <c r="F43" s="10" t="s">
        <v>50</v>
      </c>
      <c r="G43" s="10" t="s">
        <v>50</v>
      </c>
      <c r="H43" s="10" t="s">
        <v>51</v>
      </c>
      <c r="I43" s="10" t="s">
        <v>4026</v>
      </c>
      <c r="J43" s="10" t="s">
        <v>4050</v>
      </c>
      <c r="K43" s="10" t="s">
        <v>50</v>
      </c>
      <c r="L43" s="10" t="s">
        <v>1529</v>
      </c>
      <c r="M43" s="35" t="s">
        <v>4142</v>
      </c>
      <c r="N43" s="35" t="s">
        <v>4142</v>
      </c>
      <c r="O43" s="35" t="s">
        <v>4142</v>
      </c>
      <c r="P43" s="99"/>
    </row>
    <row r="44" spans="1:17" ht="76.5" hidden="1" x14ac:dyDescent="0.25">
      <c r="A44" s="10" t="s">
        <v>4143</v>
      </c>
      <c r="B44" s="10" t="s">
        <v>4048</v>
      </c>
      <c r="C44" s="10" t="s">
        <v>4134</v>
      </c>
      <c r="D44" s="10" t="s">
        <v>50</v>
      </c>
      <c r="E44" s="10" t="s">
        <v>4096</v>
      </c>
      <c r="F44" s="10" t="s">
        <v>50</v>
      </c>
      <c r="G44" s="10" t="s">
        <v>50</v>
      </c>
      <c r="H44" s="10" t="s">
        <v>51</v>
      </c>
      <c r="I44" s="10" t="s">
        <v>4071</v>
      </c>
      <c r="J44" s="10" t="s">
        <v>4050</v>
      </c>
      <c r="K44" s="10" t="s">
        <v>50</v>
      </c>
      <c r="L44" s="10" t="s">
        <v>1529</v>
      </c>
      <c r="M44" s="15" t="s">
        <v>4144</v>
      </c>
      <c r="N44" s="15" t="s">
        <v>4145</v>
      </c>
      <c r="O44" s="18" t="s">
        <v>4146</v>
      </c>
      <c r="P44" s="99"/>
    </row>
    <row r="45" spans="1:17" ht="45" hidden="1" x14ac:dyDescent="0.25">
      <c r="A45" s="10" t="s">
        <v>4147</v>
      </c>
      <c r="B45" s="10" t="s">
        <v>4148</v>
      </c>
      <c r="C45" s="10" t="s">
        <v>4149</v>
      </c>
      <c r="D45" s="10" t="s">
        <v>50</v>
      </c>
      <c r="E45" s="10" t="s">
        <v>4096</v>
      </c>
      <c r="F45" s="10" t="s">
        <v>50</v>
      </c>
      <c r="G45" s="10" t="s">
        <v>50</v>
      </c>
      <c r="H45" s="10" t="s">
        <v>51</v>
      </c>
      <c r="I45" s="10" t="s">
        <v>4026</v>
      </c>
      <c r="J45" s="10" t="s">
        <v>4050</v>
      </c>
      <c r="K45" s="10" t="s">
        <v>51</v>
      </c>
      <c r="L45" s="10" t="s">
        <v>1529</v>
      </c>
      <c r="M45" s="18"/>
      <c r="N45" s="18"/>
      <c r="O45" s="18"/>
      <c r="P45" s="99"/>
    </row>
    <row r="46" spans="1:17" hidden="1" x14ac:dyDescent="0.25">
      <c r="A46" s="10" t="s">
        <v>4150</v>
      </c>
      <c r="B46" s="10" t="s">
        <v>4030</v>
      </c>
      <c r="C46" s="10" t="s">
        <v>2685</v>
      </c>
      <c r="D46" s="10" t="s">
        <v>51</v>
      </c>
      <c r="E46" s="10" t="s">
        <v>4025</v>
      </c>
      <c r="F46" s="10" t="s">
        <v>50</v>
      </c>
      <c r="G46" s="10" t="s">
        <v>50</v>
      </c>
      <c r="H46" s="10" t="s">
        <v>51</v>
      </c>
      <c r="I46" s="10" t="s">
        <v>4026</v>
      </c>
      <c r="J46" s="10" t="s">
        <v>4050</v>
      </c>
      <c r="K46" s="10" t="s">
        <v>51</v>
      </c>
      <c r="L46" s="10" t="s">
        <v>1529</v>
      </c>
    </row>
    <row r="47" spans="1:17" hidden="1" x14ac:dyDescent="0.25">
      <c r="A47" s="10" t="s">
        <v>4151</v>
      </c>
      <c r="B47" s="10" t="s">
        <v>4069</v>
      </c>
      <c r="C47" s="10" t="s">
        <v>4075</v>
      </c>
      <c r="D47" s="10" t="s">
        <v>51</v>
      </c>
      <c r="E47" s="10" t="s">
        <v>4025</v>
      </c>
      <c r="F47" s="10" t="s">
        <v>50</v>
      </c>
      <c r="G47" s="10" t="s">
        <v>50</v>
      </c>
      <c r="H47" s="10" t="s">
        <v>51</v>
      </c>
      <c r="I47" s="10" t="s">
        <v>4026</v>
      </c>
      <c r="J47" s="10" t="s">
        <v>4050</v>
      </c>
      <c r="K47" s="10" t="s">
        <v>51</v>
      </c>
      <c r="L47" s="10" t="s">
        <v>1529</v>
      </c>
    </row>
    <row r="48" spans="1:17" ht="30" hidden="1" x14ac:dyDescent="0.25">
      <c r="A48" s="10" t="s">
        <v>4152</v>
      </c>
      <c r="B48" s="10" t="s">
        <v>4069</v>
      </c>
      <c r="C48" s="10" t="s">
        <v>4078</v>
      </c>
      <c r="D48" s="10" t="s">
        <v>51</v>
      </c>
      <c r="E48" s="10" t="s">
        <v>4025</v>
      </c>
      <c r="F48" s="10" t="s">
        <v>50</v>
      </c>
      <c r="G48" s="10" t="s">
        <v>50</v>
      </c>
      <c r="H48" s="10" t="s">
        <v>51</v>
      </c>
      <c r="I48" s="10" t="s">
        <v>4071</v>
      </c>
      <c r="J48" s="10" t="s">
        <v>4050</v>
      </c>
      <c r="K48" s="10" t="s">
        <v>50</v>
      </c>
      <c r="L48" s="10" t="s">
        <v>1529</v>
      </c>
    </row>
    <row r="49" spans="1:16" ht="30" hidden="1" x14ac:dyDescent="0.25">
      <c r="A49" s="10" t="s">
        <v>4153</v>
      </c>
      <c r="B49" s="10" t="s">
        <v>4069</v>
      </c>
      <c r="C49" s="10" t="s">
        <v>4080</v>
      </c>
      <c r="D49" s="10" t="s">
        <v>51</v>
      </c>
      <c r="E49" s="10" t="s">
        <v>4025</v>
      </c>
      <c r="F49" s="10" t="s">
        <v>50</v>
      </c>
      <c r="G49" s="10" t="s">
        <v>50</v>
      </c>
      <c r="H49" s="10" t="s">
        <v>51</v>
      </c>
      <c r="I49" s="10" t="s">
        <v>4071</v>
      </c>
      <c r="J49" s="10" t="s">
        <v>4032</v>
      </c>
      <c r="K49" s="10" t="s">
        <v>50</v>
      </c>
      <c r="L49" s="10" t="s">
        <v>1529</v>
      </c>
    </row>
    <row r="50" spans="1:16" ht="30" hidden="1" x14ac:dyDescent="0.25">
      <c r="A50" s="10" t="s">
        <v>4154</v>
      </c>
      <c r="B50" s="10" t="s">
        <v>4069</v>
      </c>
      <c r="C50" s="10" t="s">
        <v>4086</v>
      </c>
      <c r="D50" s="10" t="s">
        <v>51</v>
      </c>
      <c r="E50" s="10" t="s">
        <v>4025</v>
      </c>
      <c r="F50" s="10" t="s">
        <v>50</v>
      </c>
      <c r="G50" s="10" t="s">
        <v>50</v>
      </c>
      <c r="H50" s="10" t="s">
        <v>51</v>
      </c>
      <c r="I50" s="10" t="s">
        <v>4071</v>
      </c>
      <c r="J50" s="10" t="s">
        <v>4050</v>
      </c>
      <c r="K50" s="10" t="s">
        <v>50</v>
      </c>
      <c r="L50" s="10" t="s">
        <v>1529</v>
      </c>
    </row>
    <row r="51" spans="1:16" ht="30" hidden="1" x14ac:dyDescent="0.25">
      <c r="A51" s="10" t="s">
        <v>4155</v>
      </c>
      <c r="B51" s="10" t="s">
        <v>4069</v>
      </c>
      <c r="C51" s="10" t="s">
        <v>4090</v>
      </c>
      <c r="D51" s="10" t="s">
        <v>51</v>
      </c>
      <c r="E51" s="10" t="s">
        <v>4025</v>
      </c>
      <c r="F51" s="10" t="s">
        <v>50</v>
      </c>
      <c r="G51" s="10" t="s">
        <v>50</v>
      </c>
      <c r="H51" s="10" t="s">
        <v>51</v>
      </c>
      <c r="I51" s="10" t="s">
        <v>4071</v>
      </c>
      <c r="J51" s="10" t="s">
        <v>4050</v>
      </c>
      <c r="K51" s="10" t="s">
        <v>50</v>
      </c>
      <c r="L51" s="10" t="s">
        <v>1529</v>
      </c>
    </row>
    <row r="52" spans="1:16" ht="30" hidden="1" x14ac:dyDescent="0.25">
      <c r="A52" s="10" t="s">
        <v>4156</v>
      </c>
      <c r="B52" s="10" t="s">
        <v>4100</v>
      </c>
      <c r="C52" s="10" t="s">
        <v>4114</v>
      </c>
      <c r="D52" s="10" t="s">
        <v>51</v>
      </c>
      <c r="E52" s="10" t="s">
        <v>4025</v>
      </c>
      <c r="F52" s="10" t="s">
        <v>51</v>
      </c>
      <c r="G52" s="10" t="s">
        <v>50</v>
      </c>
      <c r="H52" s="10" t="s">
        <v>51</v>
      </c>
      <c r="I52" s="10" t="s">
        <v>4026</v>
      </c>
      <c r="J52" s="10" t="s">
        <v>4027</v>
      </c>
      <c r="K52" s="10" t="s">
        <v>51</v>
      </c>
      <c r="L52" s="10" t="s">
        <v>4065</v>
      </c>
    </row>
    <row r="53" spans="1:16" ht="45" hidden="1" x14ac:dyDescent="0.25">
      <c r="A53" s="10" t="s">
        <v>4157</v>
      </c>
      <c r="B53" s="10" t="s">
        <v>4100</v>
      </c>
      <c r="C53" s="10" t="s">
        <v>4119</v>
      </c>
      <c r="D53" s="10" t="s">
        <v>51</v>
      </c>
      <c r="E53" s="10" t="s">
        <v>4025</v>
      </c>
      <c r="F53" s="10" t="s">
        <v>50</v>
      </c>
      <c r="G53" s="10" t="s">
        <v>50</v>
      </c>
      <c r="H53" s="10" t="s">
        <v>50</v>
      </c>
      <c r="I53" s="10" t="s">
        <v>4071</v>
      </c>
      <c r="J53" s="10" t="s">
        <v>4050</v>
      </c>
      <c r="K53" s="10" t="s">
        <v>50</v>
      </c>
      <c r="L53" s="10" t="s">
        <v>1529</v>
      </c>
    </row>
    <row r="54" spans="1:16" ht="30" hidden="1" x14ac:dyDescent="0.25">
      <c r="A54" s="10" t="s">
        <v>4158</v>
      </c>
      <c r="B54" s="10" t="s">
        <v>4069</v>
      </c>
      <c r="C54" s="10" t="s">
        <v>4159</v>
      </c>
      <c r="D54" s="10" t="s">
        <v>51</v>
      </c>
      <c r="E54" s="10" t="s">
        <v>4025</v>
      </c>
      <c r="F54" s="10" t="s">
        <v>50</v>
      </c>
      <c r="G54" s="10" t="s">
        <v>50</v>
      </c>
      <c r="H54" s="10" t="s">
        <v>51</v>
      </c>
      <c r="I54" s="10" t="s">
        <v>4071</v>
      </c>
      <c r="J54" s="10" t="s">
        <v>4050</v>
      </c>
      <c r="K54" s="10" t="s">
        <v>50</v>
      </c>
      <c r="L54" s="10" t="s">
        <v>1529</v>
      </c>
    </row>
    <row r="55" spans="1:16" hidden="1" x14ac:dyDescent="0.25">
      <c r="A55" s="10" t="s">
        <v>4160</v>
      </c>
      <c r="B55" s="10" t="s">
        <v>4069</v>
      </c>
      <c r="C55" s="10" t="s">
        <v>4075</v>
      </c>
      <c r="D55" s="10" t="s">
        <v>51</v>
      </c>
      <c r="E55" s="10" t="s">
        <v>4025</v>
      </c>
      <c r="F55" s="10" t="s">
        <v>50</v>
      </c>
      <c r="G55" s="10" t="s">
        <v>50</v>
      </c>
      <c r="H55" s="10" t="s">
        <v>51</v>
      </c>
      <c r="I55" s="10" t="s">
        <v>4071</v>
      </c>
      <c r="J55" s="10" t="s">
        <v>4050</v>
      </c>
      <c r="K55" s="10" t="s">
        <v>50</v>
      </c>
      <c r="L55" s="10" t="s">
        <v>1529</v>
      </c>
    </row>
    <row r="56" spans="1:16" ht="45" hidden="1" x14ac:dyDescent="0.25">
      <c r="A56" s="10" t="s">
        <v>4161</v>
      </c>
      <c r="B56" s="10" t="s">
        <v>4069</v>
      </c>
      <c r="C56" s="10" t="s">
        <v>4080</v>
      </c>
      <c r="D56" s="10" t="s">
        <v>51</v>
      </c>
      <c r="E56" s="10" t="s">
        <v>4025</v>
      </c>
      <c r="F56" s="10" t="s">
        <v>50</v>
      </c>
      <c r="G56" s="10" t="s">
        <v>50</v>
      </c>
      <c r="H56" s="10" t="s">
        <v>51</v>
      </c>
      <c r="I56" s="10" t="s">
        <v>4071</v>
      </c>
      <c r="J56" s="10" t="s">
        <v>4032</v>
      </c>
      <c r="K56" s="10" t="s">
        <v>50</v>
      </c>
      <c r="L56" s="10" t="s">
        <v>1529</v>
      </c>
    </row>
    <row r="57" spans="1:16" ht="30" hidden="1" x14ac:dyDescent="0.25">
      <c r="A57" s="10" t="s">
        <v>4162</v>
      </c>
      <c r="B57" s="10" t="s">
        <v>4069</v>
      </c>
      <c r="C57" s="10" t="s">
        <v>4080</v>
      </c>
      <c r="D57" s="10" t="s">
        <v>51</v>
      </c>
      <c r="E57" s="10" t="s">
        <v>4025</v>
      </c>
      <c r="F57" s="10" t="s">
        <v>50</v>
      </c>
      <c r="G57" s="10" t="s">
        <v>50</v>
      </c>
      <c r="H57" s="10" t="s">
        <v>51</v>
      </c>
      <c r="I57" s="10" t="s">
        <v>4071</v>
      </c>
      <c r="J57" s="10" t="s">
        <v>4032</v>
      </c>
      <c r="K57" s="10" t="s">
        <v>50</v>
      </c>
      <c r="L57" s="10" t="s">
        <v>1529</v>
      </c>
    </row>
    <row r="58" spans="1:16" ht="45" hidden="1" x14ac:dyDescent="0.25">
      <c r="A58" s="10" t="s">
        <v>4163</v>
      </c>
      <c r="B58" s="10" t="s">
        <v>4069</v>
      </c>
      <c r="C58" s="10" t="s">
        <v>4078</v>
      </c>
      <c r="D58" s="10" t="s">
        <v>51</v>
      </c>
      <c r="E58" s="10" t="s">
        <v>4025</v>
      </c>
      <c r="F58" s="10" t="s">
        <v>50</v>
      </c>
      <c r="G58" s="10" t="s">
        <v>50</v>
      </c>
      <c r="H58" s="10" t="s">
        <v>51</v>
      </c>
      <c r="I58" s="10" t="s">
        <v>4071</v>
      </c>
      <c r="J58" s="10" t="s">
        <v>4050</v>
      </c>
      <c r="K58" s="10" t="s">
        <v>50</v>
      </c>
      <c r="L58" s="10" t="s">
        <v>1529</v>
      </c>
      <c r="M58" s="30"/>
      <c r="N58" s="30"/>
      <c r="O58" s="30"/>
      <c r="P58" s="97"/>
    </row>
    <row r="59" spans="1:16" ht="30" hidden="1" x14ac:dyDescent="0.25">
      <c r="A59" s="10" t="s">
        <v>4164</v>
      </c>
      <c r="B59" s="10" t="s">
        <v>4069</v>
      </c>
      <c r="C59" s="10" t="s">
        <v>4078</v>
      </c>
      <c r="D59" s="10" t="s">
        <v>51</v>
      </c>
      <c r="E59" s="10" t="s">
        <v>4025</v>
      </c>
      <c r="F59" s="10" t="s">
        <v>50</v>
      </c>
      <c r="G59" s="10" t="s">
        <v>50</v>
      </c>
      <c r="H59" s="10" t="s">
        <v>51</v>
      </c>
      <c r="I59" s="10" t="s">
        <v>4071</v>
      </c>
      <c r="J59" s="10" t="s">
        <v>4032</v>
      </c>
      <c r="K59" s="10" t="s">
        <v>50</v>
      </c>
      <c r="L59" s="10" t="s">
        <v>1529</v>
      </c>
    </row>
    <row r="60" spans="1:16" ht="45" hidden="1" x14ac:dyDescent="0.25">
      <c r="A60" s="10" t="s">
        <v>4165</v>
      </c>
      <c r="B60" s="10" t="s">
        <v>4094</v>
      </c>
      <c r="C60" s="10" t="s">
        <v>4095</v>
      </c>
      <c r="D60" s="10" t="s">
        <v>51</v>
      </c>
      <c r="E60" s="10" t="s">
        <v>4025</v>
      </c>
      <c r="F60" s="10" t="s">
        <v>50</v>
      </c>
      <c r="G60" s="10" t="s">
        <v>50</v>
      </c>
      <c r="H60" s="10" t="s">
        <v>51</v>
      </c>
      <c r="I60" s="10" t="s">
        <v>4071</v>
      </c>
      <c r="J60" s="10" t="s">
        <v>4032</v>
      </c>
      <c r="K60" s="10" t="s">
        <v>51</v>
      </c>
      <c r="L60" s="10" t="s">
        <v>1529</v>
      </c>
      <c r="M60" s="30"/>
      <c r="N60" s="30"/>
      <c r="O60" s="30"/>
      <c r="P60" s="97"/>
    </row>
    <row r="61" spans="1:16" ht="30" hidden="1" x14ac:dyDescent="0.25">
      <c r="A61" s="10" t="s">
        <v>4166</v>
      </c>
      <c r="B61" s="10" t="s">
        <v>4048</v>
      </c>
      <c r="C61" s="10" t="s">
        <v>4167</v>
      </c>
      <c r="D61" s="10" t="s">
        <v>51</v>
      </c>
      <c r="E61" s="10" t="s">
        <v>4025</v>
      </c>
      <c r="F61" s="10" t="s">
        <v>50</v>
      </c>
      <c r="G61" s="10" t="s">
        <v>50</v>
      </c>
      <c r="H61" s="10" t="s">
        <v>51</v>
      </c>
      <c r="I61" s="10" t="s">
        <v>4026</v>
      </c>
      <c r="J61" s="10" t="s">
        <v>4027</v>
      </c>
      <c r="K61" s="10" t="s">
        <v>51</v>
      </c>
      <c r="L61" s="10" t="s">
        <v>4065</v>
      </c>
      <c r="M61" s="30"/>
      <c r="N61" s="30"/>
      <c r="O61" s="30"/>
      <c r="P61" s="97"/>
    </row>
    <row r="62" spans="1:16" ht="30" hidden="1" x14ac:dyDescent="0.25">
      <c r="A62" s="10" t="s">
        <v>4168</v>
      </c>
      <c r="B62" s="10" t="s">
        <v>4048</v>
      </c>
      <c r="C62" s="10" t="s">
        <v>4167</v>
      </c>
      <c r="D62" s="10" t="s">
        <v>51</v>
      </c>
      <c r="E62" s="10" t="s">
        <v>4025</v>
      </c>
      <c r="F62" s="10" t="s">
        <v>50</v>
      </c>
      <c r="G62" s="10" t="s">
        <v>50</v>
      </c>
      <c r="H62" s="10" t="s">
        <v>51</v>
      </c>
      <c r="I62" s="10" t="s">
        <v>4026</v>
      </c>
      <c r="J62" s="10" t="s">
        <v>4050</v>
      </c>
      <c r="K62" s="10" t="s">
        <v>51</v>
      </c>
      <c r="L62" s="10" t="s">
        <v>1529</v>
      </c>
      <c r="M62" s="30"/>
      <c r="N62" s="30"/>
      <c r="O62" s="30"/>
      <c r="P62" s="97"/>
    </row>
    <row r="63" spans="1:16" ht="30" hidden="1" x14ac:dyDescent="0.25">
      <c r="A63" s="10" t="s">
        <v>4169</v>
      </c>
      <c r="B63" s="10" t="s">
        <v>4069</v>
      </c>
      <c r="C63" s="10" t="s">
        <v>4170</v>
      </c>
      <c r="D63" s="10" t="s">
        <v>51</v>
      </c>
      <c r="E63" s="10" t="s">
        <v>4025</v>
      </c>
      <c r="F63" s="10" t="s">
        <v>50</v>
      </c>
      <c r="G63" s="10" t="s">
        <v>50</v>
      </c>
      <c r="H63" s="10" t="s">
        <v>51</v>
      </c>
      <c r="I63" s="10" t="s">
        <v>4026</v>
      </c>
      <c r="J63" s="10" t="s">
        <v>4050</v>
      </c>
      <c r="K63" s="10" t="s">
        <v>51</v>
      </c>
      <c r="L63" s="10" t="s">
        <v>1529</v>
      </c>
    </row>
    <row r="64" spans="1:16" ht="30" hidden="1" x14ac:dyDescent="0.25">
      <c r="A64" s="10" t="s">
        <v>4171</v>
      </c>
      <c r="B64" s="10" t="s">
        <v>4048</v>
      </c>
      <c r="C64" s="10" t="s">
        <v>4066</v>
      </c>
      <c r="D64" s="10" t="s">
        <v>51</v>
      </c>
      <c r="E64" s="10" t="s">
        <v>4025</v>
      </c>
      <c r="F64" s="10" t="s">
        <v>50</v>
      </c>
      <c r="G64" s="10" t="s">
        <v>50</v>
      </c>
      <c r="H64" s="10" t="s">
        <v>51</v>
      </c>
      <c r="I64" s="10" t="s">
        <v>4026</v>
      </c>
      <c r="J64" s="10" t="s">
        <v>4050</v>
      </c>
      <c r="K64" s="10" t="s">
        <v>50</v>
      </c>
      <c r="L64" s="10" t="s">
        <v>1529</v>
      </c>
    </row>
    <row r="65" spans="1:16" ht="30" hidden="1" x14ac:dyDescent="0.25">
      <c r="A65" s="10" t="s">
        <v>4172</v>
      </c>
      <c r="B65" s="10" t="s">
        <v>4069</v>
      </c>
      <c r="C65" s="10" t="s">
        <v>4082</v>
      </c>
      <c r="D65" s="10" t="s">
        <v>51</v>
      </c>
      <c r="E65" s="10" t="s">
        <v>4025</v>
      </c>
      <c r="F65" s="10" t="s">
        <v>50</v>
      </c>
      <c r="G65" s="10" t="s">
        <v>50</v>
      </c>
      <c r="H65" s="10" t="s">
        <v>51</v>
      </c>
      <c r="I65" s="10" t="s">
        <v>4071</v>
      </c>
      <c r="J65" s="10" t="s">
        <v>4050</v>
      </c>
      <c r="K65" s="10" t="s">
        <v>50</v>
      </c>
      <c r="L65" s="10" t="s">
        <v>1529</v>
      </c>
    </row>
    <row r="66" spans="1:16" hidden="1" x14ac:dyDescent="0.25">
      <c r="A66" s="10" t="s">
        <v>4173</v>
      </c>
      <c r="B66" s="10" t="s">
        <v>4030</v>
      </c>
      <c r="C66" s="10" t="s">
        <v>2685</v>
      </c>
      <c r="D66" s="10" t="s">
        <v>51</v>
      </c>
      <c r="E66" s="10" t="s">
        <v>4025</v>
      </c>
      <c r="F66" s="10" t="s">
        <v>50</v>
      </c>
      <c r="G66" s="10" t="s">
        <v>50</v>
      </c>
      <c r="H66" s="10" t="s">
        <v>51</v>
      </c>
      <c r="I66" s="10" t="s">
        <v>4026</v>
      </c>
      <c r="J66" s="10" t="s">
        <v>4050</v>
      </c>
      <c r="K66" s="10" t="s">
        <v>51</v>
      </c>
      <c r="L66" s="10" t="s">
        <v>1529</v>
      </c>
    </row>
    <row r="67" spans="1:16" ht="45" hidden="1" x14ac:dyDescent="0.25">
      <c r="A67" s="10" t="s">
        <v>4174</v>
      </c>
      <c r="B67" s="10" t="s">
        <v>4030</v>
      </c>
      <c r="C67" s="10" t="s">
        <v>2685</v>
      </c>
      <c r="D67" s="10" t="s">
        <v>51</v>
      </c>
      <c r="E67" s="10" t="s">
        <v>4025</v>
      </c>
      <c r="F67" s="10" t="s">
        <v>51</v>
      </c>
      <c r="G67" s="10" t="s">
        <v>50</v>
      </c>
      <c r="H67" s="10" t="s">
        <v>51</v>
      </c>
      <c r="I67" s="10" t="s">
        <v>4026</v>
      </c>
      <c r="J67" s="10" t="s">
        <v>4050</v>
      </c>
      <c r="K67" s="10" t="s">
        <v>51</v>
      </c>
      <c r="L67" s="10" t="s">
        <v>4065</v>
      </c>
    </row>
    <row r="68" spans="1:16" ht="45" hidden="1" x14ac:dyDescent="0.25">
      <c r="A68" s="10" t="s">
        <v>4175</v>
      </c>
      <c r="B68" s="10" t="s">
        <v>4100</v>
      </c>
      <c r="C68" s="10" t="s">
        <v>4114</v>
      </c>
      <c r="D68" s="10" t="s">
        <v>51</v>
      </c>
      <c r="E68" s="10" t="s">
        <v>4025</v>
      </c>
      <c r="F68" s="10" t="s">
        <v>51</v>
      </c>
      <c r="G68" s="10" t="s">
        <v>50</v>
      </c>
      <c r="H68" s="10" t="s">
        <v>51</v>
      </c>
      <c r="I68" s="10" t="s">
        <v>4026</v>
      </c>
      <c r="J68" s="10" t="s">
        <v>4027</v>
      </c>
      <c r="K68" s="10" t="s">
        <v>51</v>
      </c>
      <c r="L68" s="10" t="s">
        <v>4065</v>
      </c>
    </row>
    <row r="69" spans="1:16" ht="45" hidden="1" x14ac:dyDescent="0.25">
      <c r="A69" s="10" t="s">
        <v>4176</v>
      </c>
      <c r="B69" s="10" t="s">
        <v>4177</v>
      </c>
      <c r="C69" s="10" t="s">
        <v>4178</v>
      </c>
      <c r="D69" s="10" t="s">
        <v>51</v>
      </c>
      <c r="E69" s="10" t="s">
        <v>4025</v>
      </c>
      <c r="F69" s="10" t="s">
        <v>50</v>
      </c>
      <c r="G69" s="10" t="s">
        <v>50</v>
      </c>
      <c r="H69" s="10" t="s">
        <v>51</v>
      </c>
      <c r="I69" s="10" t="s">
        <v>4026</v>
      </c>
      <c r="J69" s="10" t="s">
        <v>4050</v>
      </c>
      <c r="K69" s="10" t="s">
        <v>51</v>
      </c>
      <c r="L69" s="10" t="s">
        <v>1529</v>
      </c>
    </row>
    <row r="70" spans="1:16" ht="30" hidden="1" x14ac:dyDescent="0.25">
      <c r="A70" s="10" t="s">
        <v>4179</v>
      </c>
      <c r="B70" s="10" t="s">
        <v>4177</v>
      </c>
      <c r="C70" s="10" t="s">
        <v>4178</v>
      </c>
      <c r="D70" s="10" t="s">
        <v>51</v>
      </c>
      <c r="E70" s="10" t="s">
        <v>4025</v>
      </c>
      <c r="F70" s="10" t="s">
        <v>50</v>
      </c>
      <c r="G70" s="10" t="s">
        <v>50</v>
      </c>
      <c r="H70" s="10" t="s">
        <v>51</v>
      </c>
      <c r="I70" s="10" t="s">
        <v>4026</v>
      </c>
      <c r="J70" s="10" t="s">
        <v>4050</v>
      </c>
      <c r="K70" s="10" t="s">
        <v>51</v>
      </c>
      <c r="L70" s="10" t="s">
        <v>1529</v>
      </c>
    </row>
    <row r="71" spans="1:16" ht="30" hidden="1" x14ac:dyDescent="0.25">
      <c r="A71" s="10" t="s">
        <v>4180</v>
      </c>
      <c r="B71" s="10" t="s">
        <v>4069</v>
      </c>
      <c r="C71" s="10" t="s">
        <v>4086</v>
      </c>
      <c r="D71" s="10" t="s">
        <v>51</v>
      </c>
      <c r="E71" s="10" t="s">
        <v>4025</v>
      </c>
      <c r="F71" s="10" t="s">
        <v>50</v>
      </c>
      <c r="G71" s="10" t="s">
        <v>50</v>
      </c>
      <c r="H71" s="10" t="s">
        <v>51</v>
      </c>
      <c r="I71" s="10" t="s">
        <v>4026</v>
      </c>
      <c r="J71" s="10" t="s">
        <v>4050</v>
      </c>
      <c r="K71" s="10" t="s">
        <v>50</v>
      </c>
      <c r="L71" s="10" t="s">
        <v>1529</v>
      </c>
      <c r="M71" s="39"/>
      <c r="N71" s="39"/>
      <c r="O71" s="39"/>
      <c r="P71" s="97"/>
    </row>
    <row r="72" spans="1:16" ht="30" hidden="1" x14ac:dyDescent="0.25">
      <c r="A72" s="10" t="s">
        <v>4181</v>
      </c>
      <c r="B72" s="10" t="s">
        <v>4069</v>
      </c>
      <c r="C72" s="10" t="s">
        <v>4090</v>
      </c>
      <c r="D72" s="10" t="s">
        <v>51</v>
      </c>
      <c r="E72" s="10" t="s">
        <v>4025</v>
      </c>
      <c r="F72" s="10" t="s">
        <v>50</v>
      </c>
      <c r="G72" s="10" t="s">
        <v>50</v>
      </c>
      <c r="H72" s="10" t="s">
        <v>51</v>
      </c>
      <c r="I72" s="10" t="s">
        <v>4026</v>
      </c>
      <c r="J72" s="10" t="s">
        <v>4050</v>
      </c>
      <c r="K72" s="10" t="s">
        <v>50</v>
      </c>
      <c r="L72" s="10" t="s">
        <v>1529</v>
      </c>
      <c r="M72" s="30"/>
      <c r="N72" s="30"/>
      <c r="O72" s="30"/>
      <c r="P72" s="97"/>
    </row>
    <row r="73" spans="1:16" hidden="1" x14ac:dyDescent="0.25">
      <c r="A73" s="10" t="s">
        <v>4182</v>
      </c>
      <c r="B73" s="10" t="s">
        <v>4069</v>
      </c>
      <c r="C73" s="10" t="s">
        <v>4090</v>
      </c>
      <c r="D73" s="10" t="s">
        <v>51</v>
      </c>
      <c r="E73" s="10" t="s">
        <v>4025</v>
      </c>
      <c r="F73" s="10" t="s">
        <v>50</v>
      </c>
      <c r="G73" s="10" t="s">
        <v>50</v>
      </c>
      <c r="H73" s="10" t="s">
        <v>51</v>
      </c>
      <c r="I73" s="10" t="s">
        <v>4071</v>
      </c>
      <c r="J73" s="10" t="s">
        <v>4050</v>
      </c>
      <c r="K73" s="10" t="s">
        <v>50</v>
      </c>
      <c r="L73" s="10" t="s">
        <v>1529</v>
      </c>
      <c r="M73" s="30"/>
      <c r="N73" s="30"/>
      <c r="O73" s="30"/>
      <c r="P73" s="97"/>
    </row>
    <row r="74" spans="1:16" ht="30" hidden="1" x14ac:dyDescent="0.25">
      <c r="A74" s="10" t="s">
        <v>4183</v>
      </c>
      <c r="B74" s="10" t="s">
        <v>4069</v>
      </c>
      <c r="C74" s="10" t="s">
        <v>4086</v>
      </c>
      <c r="D74" s="10" t="s">
        <v>51</v>
      </c>
      <c r="E74" s="10" t="s">
        <v>4025</v>
      </c>
      <c r="F74" s="10" t="s">
        <v>50</v>
      </c>
      <c r="G74" s="10" t="s">
        <v>50</v>
      </c>
      <c r="H74" s="10" t="s">
        <v>51</v>
      </c>
      <c r="I74" s="10" t="s">
        <v>4071</v>
      </c>
      <c r="J74" s="10" t="s">
        <v>4050</v>
      </c>
      <c r="K74" s="10" t="s">
        <v>50</v>
      </c>
      <c r="L74" s="10" t="s">
        <v>1529</v>
      </c>
      <c r="M74" s="30"/>
      <c r="N74" s="30"/>
      <c r="O74" s="30"/>
      <c r="P74" s="97"/>
    </row>
    <row r="75" spans="1:16" ht="45" hidden="1" x14ac:dyDescent="0.25">
      <c r="A75" s="10" t="s">
        <v>4184</v>
      </c>
      <c r="B75" s="10" t="s">
        <v>4023</v>
      </c>
      <c r="C75" s="10" t="s">
        <v>4062</v>
      </c>
      <c r="D75" s="10" t="s">
        <v>51</v>
      </c>
      <c r="E75" s="10" t="s">
        <v>4025</v>
      </c>
      <c r="F75" s="10" t="s">
        <v>51</v>
      </c>
      <c r="G75" s="10" t="s">
        <v>51</v>
      </c>
      <c r="H75" s="10" t="s">
        <v>51</v>
      </c>
      <c r="I75" s="10" t="s">
        <v>4026</v>
      </c>
      <c r="J75" s="10" t="s">
        <v>4027</v>
      </c>
      <c r="K75" s="10" t="s">
        <v>51</v>
      </c>
      <c r="L75" s="10" t="s">
        <v>1529</v>
      </c>
      <c r="M75" s="30"/>
      <c r="N75" s="30"/>
      <c r="O75" s="30"/>
      <c r="P75" s="97"/>
    </row>
    <row r="76" spans="1:16" hidden="1" x14ac:dyDescent="0.25">
      <c r="A76" s="10" t="s">
        <v>4185</v>
      </c>
      <c r="B76" s="10" t="s">
        <v>4023</v>
      </c>
      <c r="C76" s="10" t="s">
        <v>4058</v>
      </c>
      <c r="D76" s="10" t="s">
        <v>51</v>
      </c>
      <c r="E76" s="10" t="s">
        <v>4025</v>
      </c>
      <c r="F76" s="10" t="s">
        <v>51</v>
      </c>
      <c r="G76" s="10" t="s">
        <v>51</v>
      </c>
      <c r="H76" s="10" t="s">
        <v>51</v>
      </c>
      <c r="I76" s="10" t="s">
        <v>4026</v>
      </c>
      <c r="J76" s="10" t="s">
        <v>4027</v>
      </c>
      <c r="K76" s="10" t="s">
        <v>51</v>
      </c>
      <c r="L76" s="10" t="s">
        <v>1529</v>
      </c>
      <c r="M76" s="30"/>
      <c r="N76" s="30"/>
      <c r="O76" s="30"/>
      <c r="P76" s="97"/>
    </row>
    <row r="77" spans="1:16" ht="51" hidden="1" x14ac:dyDescent="0.25">
      <c r="A77" s="10" t="s">
        <v>4186</v>
      </c>
      <c r="B77" s="10" t="s">
        <v>4094</v>
      </c>
      <c r="C77" s="10" t="s">
        <v>4095</v>
      </c>
      <c r="D77" s="10" t="s">
        <v>50</v>
      </c>
      <c r="E77" s="10" t="s">
        <v>4096</v>
      </c>
      <c r="F77" s="10" t="s">
        <v>50</v>
      </c>
      <c r="G77" s="10" t="s">
        <v>50</v>
      </c>
      <c r="H77" s="10" t="s">
        <v>51</v>
      </c>
      <c r="I77" s="10" t="s">
        <v>4071</v>
      </c>
      <c r="J77" s="10" t="s">
        <v>4032</v>
      </c>
      <c r="K77" s="10" t="s">
        <v>51</v>
      </c>
      <c r="L77" s="10" t="s">
        <v>1529</v>
      </c>
      <c r="M77" s="16" t="s">
        <v>4187</v>
      </c>
      <c r="N77" s="16" t="s">
        <v>4188</v>
      </c>
      <c r="O77" s="16" t="s">
        <v>4189</v>
      </c>
      <c r="P77" s="99"/>
    </row>
    <row r="78" spans="1:16" ht="45" hidden="1" x14ac:dyDescent="0.25">
      <c r="A78" s="10" t="s">
        <v>4190</v>
      </c>
      <c r="B78" s="10" t="s">
        <v>4094</v>
      </c>
      <c r="C78" s="10" t="s">
        <v>4095</v>
      </c>
      <c r="D78" s="10" t="s">
        <v>51</v>
      </c>
      <c r="E78" s="10" t="s">
        <v>4096</v>
      </c>
      <c r="F78" s="10" t="s">
        <v>51</v>
      </c>
      <c r="G78" s="10" t="s">
        <v>51</v>
      </c>
      <c r="H78" s="10" t="s">
        <v>51</v>
      </c>
      <c r="I78" s="10" t="s">
        <v>4026</v>
      </c>
      <c r="J78" s="10" t="s">
        <v>4050</v>
      </c>
      <c r="K78" s="10" t="s">
        <v>51</v>
      </c>
      <c r="L78" s="10" t="s">
        <v>1529</v>
      </c>
    </row>
    <row r="79" spans="1:16" ht="30" hidden="1" x14ac:dyDescent="0.25">
      <c r="A79" s="10" t="s">
        <v>4191</v>
      </c>
      <c r="B79" s="10" t="s">
        <v>4023</v>
      </c>
      <c r="C79" s="10" t="s">
        <v>4029</v>
      </c>
      <c r="D79" s="10" t="s">
        <v>51</v>
      </c>
      <c r="E79" s="10" t="s">
        <v>4025</v>
      </c>
      <c r="F79" s="10" t="s">
        <v>51</v>
      </c>
      <c r="G79" s="10" t="s">
        <v>50</v>
      </c>
      <c r="H79" s="10" t="s">
        <v>51</v>
      </c>
      <c r="I79" s="10" t="s">
        <v>4071</v>
      </c>
      <c r="J79" s="10" t="s">
        <v>4050</v>
      </c>
      <c r="K79" s="10" t="s">
        <v>51</v>
      </c>
      <c r="L79" s="10" t="s">
        <v>1529</v>
      </c>
    </row>
    <row r="80" spans="1:16" hidden="1" x14ac:dyDescent="0.25">
      <c r="A80" s="10" t="s">
        <v>4192</v>
      </c>
      <c r="B80" s="10" t="s">
        <v>4023</v>
      </c>
      <c r="C80" s="10" t="s">
        <v>4029</v>
      </c>
      <c r="D80" s="10" t="s">
        <v>51</v>
      </c>
      <c r="E80" s="10" t="s">
        <v>4025</v>
      </c>
      <c r="F80" s="10" t="s">
        <v>51</v>
      </c>
      <c r="G80" s="10" t="s">
        <v>51</v>
      </c>
      <c r="H80" s="10" t="s">
        <v>51</v>
      </c>
      <c r="I80" s="10" t="s">
        <v>4026</v>
      </c>
      <c r="J80" s="10" t="s">
        <v>4027</v>
      </c>
      <c r="K80" s="10" t="s">
        <v>51</v>
      </c>
      <c r="L80" s="10" t="s">
        <v>1529</v>
      </c>
    </row>
    <row r="81" spans="1:17" ht="30" hidden="1" x14ac:dyDescent="0.25">
      <c r="A81" s="10" t="s">
        <v>4193</v>
      </c>
      <c r="B81" s="10" t="s">
        <v>4048</v>
      </c>
      <c r="C81" s="10" t="s">
        <v>4194</v>
      </c>
      <c r="D81" s="10" t="s">
        <v>50</v>
      </c>
      <c r="E81" s="10" t="s">
        <v>4031</v>
      </c>
      <c r="F81" s="10" t="s">
        <v>50</v>
      </c>
      <c r="G81" s="10" t="s">
        <v>50</v>
      </c>
      <c r="H81" s="10" t="s">
        <v>51</v>
      </c>
      <c r="I81" s="10" t="s">
        <v>4071</v>
      </c>
      <c r="J81" s="10" t="s">
        <v>4050</v>
      </c>
      <c r="K81" s="10" t="s">
        <v>51</v>
      </c>
      <c r="L81" s="10" t="s">
        <v>1529</v>
      </c>
      <c r="M81" s="36" t="s">
        <v>4076</v>
      </c>
      <c r="N81" s="36" t="s">
        <v>4076</v>
      </c>
      <c r="O81" s="36" t="s">
        <v>4076</v>
      </c>
      <c r="P81" s="99"/>
    </row>
    <row r="82" spans="1:17" ht="30" hidden="1" x14ac:dyDescent="0.25">
      <c r="A82" s="10" t="s">
        <v>4195</v>
      </c>
      <c r="B82" s="10" t="s">
        <v>4048</v>
      </c>
      <c r="C82" s="10" t="s">
        <v>4194</v>
      </c>
      <c r="D82" s="10" t="s">
        <v>50</v>
      </c>
      <c r="E82" s="10" t="s">
        <v>4031</v>
      </c>
      <c r="F82" s="10" t="s">
        <v>50</v>
      </c>
      <c r="G82" s="10" t="s">
        <v>50</v>
      </c>
      <c r="H82" s="10" t="s">
        <v>51</v>
      </c>
      <c r="I82" s="10" t="s">
        <v>4026</v>
      </c>
      <c r="J82" s="10" t="s">
        <v>4050</v>
      </c>
      <c r="K82" s="10" t="s">
        <v>50</v>
      </c>
      <c r="L82" s="10" t="s">
        <v>1529</v>
      </c>
      <c r="M82" s="17" t="s">
        <v>4076</v>
      </c>
      <c r="N82" s="17" t="s">
        <v>4076</v>
      </c>
      <c r="O82" s="17" t="s">
        <v>4076</v>
      </c>
      <c r="P82" s="99"/>
    </row>
    <row r="83" spans="1:17" ht="30" hidden="1" x14ac:dyDescent="0.25">
      <c r="A83" s="10" t="s">
        <v>4196</v>
      </c>
      <c r="B83" s="10" t="s">
        <v>4048</v>
      </c>
      <c r="C83" s="10" t="s">
        <v>4194</v>
      </c>
      <c r="D83" s="10" t="s">
        <v>50</v>
      </c>
      <c r="E83" s="10" t="s">
        <v>4096</v>
      </c>
      <c r="F83" s="10" t="s">
        <v>50</v>
      </c>
      <c r="G83" s="10" t="s">
        <v>50</v>
      </c>
      <c r="H83" s="10" t="s">
        <v>51</v>
      </c>
      <c r="I83" s="10" t="s">
        <v>4071</v>
      </c>
      <c r="J83" s="10" t="s">
        <v>4050</v>
      </c>
      <c r="K83" s="10" t="s">
        <v>50</v>
      </c>
      <c r="L83" s="10" t="s">
        <v>1529</v>
      </c>
      <c r="M83" s="17" t="s">
        <v>4076</v>
      </c>
      <c r="N83" s="17" t="s">
        <v>4076</v>
      </c>
      <c r="O83" s="17" t="s">
        <v>4076</v>
      </c>
      <c r="P83" s="99"/>
    </row>
    <row r="84" spans="1:17" ht="30" hidden="1" x14ac:dyDescent="0.25">
      <c r="A84" s="10" t="s">
        <v>4197</v>
      </c>
      <c r="B84" s="10" t="s">
        <v>4048</v>
      </c>
      <c r="C84" s="10" t="s">
        <v>4198</v>
      </c>
      <c r="D84" s="10" t="s">
        <v>50</v>
      </c>
      <c r="E84" s="10" t="s">
        <v>4031</v>
      </c>
      <c r="F84" s="10" t="s">
        <v>50</v>
      </c>
      <c r="G84" s="10" t="s">
        <v>50</v>
      </c>
      <c r="H84" s="10" t="s">
        <v>51</v>
      </c>
      <c r="I84" s="10" t="s">
        <v>4071</v>
      </c>
      <c r="J84" s="10" t="s">
        <v>4050</v>
      </c>
      <c r="K84" s="10" t="s">
        <v>50</v>
      </c>
      <c r="L84" s="10" t="s">
        <v>1529</v>
      </c>
      <c r="M84" s="30"/>
      <c r="N84" s="30"/>
      <c r="O84" s="30"/>
      <c r="P84" s="97"/>
    </row>
    <row r="85" spans="1:17" ht="30" hidden="1" x14ac:dyDescent="0.25">
      <c r="A85" s="10" t="s">
        <v>4199</v>
      </c>
      <c r="B85" s="10" t="s">
        <v>4048</v>
      </c>
      <c r="C85" s="10" t="s">
        <v>4198</v>
      </c>
      <c r="D85" s="10" t="s">
        <v>50</v>
      </c>
      <c r="E85" s="10" t="s">
        <v>4031</v>
      </c>
      <c r="F85" s="10" t="s">
        <v>50</v>
      </c>
      <c r="G85" s="10" t="s">
        <v>50</v>
      </c>
      <c r="H85" s="10" t="s">
        <v>51</v>
      </c>
      <c r="I85" s="10" t="s">
        <v>4071</v>
      </c>
      <c r="J85" s="10" t="s">
        <v>4050</v>
      </c>
      <c r="K85" s="10" t="s">
        <v>50</v>
      </c>
      <c r="L85" s="12" t="s">
        <v>1529</v>
      </c>
      <c r="M85" s="29"/>
      <c r="N85" s="29"/>
      <c r="O85" s="28"/>
      <c r="P85" s="97"/>
    </row>
    <row r="86" spans="1:17" ht="30" hidden="1" x14ac:dyDescent="0.25">
      <c r="A86" s="10" t="s">
        <v>4200</v>
      </c>
      <c r="B86" s="10" t="s">
        <v>4048</v>
      </c>
      <c r="C86" s="10" t="s">
        <v>4198</v>
      </c>
      <c r="D86" s="10" t="s">
        <v>50</v>
      </c>
      <c r="E86" s="10" t="s">
        <v>4096</v>
      </c>
      <c r="F86" s="10" t="s">
        <v>50</v>
      </c>
      <c r="G86" s="10" t="s">
        <v>50</v>
      </c>
      <c r="H86" s="10" t="s">
        <v>51</v>
      </c>
      <c r="I86" s="10" t="s">
        <v>4071</v>
      </c>
      <c r="J86" s="10" t="s">
        <v>4050</v>
      </c>
      <c r="K86" s="10" t="s">
        <v>50</v>
      </c>
      <c r="L86" s="12" t="s">
        <v>1529</v>
      </c>
      <c r="M86" s="37"/>
      <c r="N86" s="37"/>
      <c r="O86" s="30"/>
      <c r="P86" s="97"/>
    </row>
    <row r="87" spans="1:17" ht="30" hidden="1" x14ac:dyDescent="0.25">
      <c r="A87" s="10" t="s">
        <v>4201</v>
      </c>
      <c r="B87" s="10" t="s">
        <v>4048</v>
      </c>
      <c r="C87" s="10" t="s">
        <v>4202</v>
      </c>
      <c r="D87" s="10" t="s">
        <v>51</v>
      </c>
      <c r="E87" s="10" t="s">
        <v>4025</v>
      </c>
      <c r="F87" s="10" t="s">
        <v>50</v>
      </c>
      <c r="G87" s="10" t="s">
        <v>51</v>
      </c>
      <c r="H87" s="10" t="s">
        <v>51</v>
      </c>
      <c r="I87" s="10" t="s">
        <v>4026</v>
      </c>
      <c r="J87" s="10" t="s">
        <v>4027</v>
      </c>
      <c r="K87" s="10" t="s">
        <v>51</v>
      </c>
      <c r="L87" s="10" t="s">
        <v>1529</v>
      </c>
      <c r="N87" s="30"/>
      <c r="O87" s="30"/>
      <c r="P87" s="97"/>
    </row>
    <row r="88" spans="1:17" ht="30" hidden="1" x14ac:dyDescent="0.25">
      <c r="A88" s="10" t="s">
        <v>4203</v>
      </c>
      <c r="B88" s="10" t="s">
        <v>4023</v>
      </c>
      <c r="C88" s="10" t="s">
        <v>4062</v>
      </c>
      <c r="D88" s="10" t="s">
        <v>51</v>
      </c>
      <c r="E88" s="10" t="s">
        <v>4025</v>
      </c>
      <c r="F88" s="10" t="s">
        <v>51</v>
      </c>
      <c r="G88" s="10" t="s">
        <v>51</v>
      </c>
      <c r="H88" s="10" t="s">
        <v>51</v>
      </c>
      <c r="I88" s="10" t="s">
        <v>4026</v>
      </c>
      <c r="J88" s="10" t="s">
        <v>4027</v>
      </c>
      <c r="K88" s="10" t="s">
        <v>51</v>
      </c>
      <c r="L88" s="10" t="s">
        <v>1529</v>
      </c>
      <c r="N88" s="157"/>
      <c r="O88" s="157"/>
      <c r="P88" s="97"/>
    </row>
    <row r="89" spans="1:17" ht="89.25" x14ac:dyDescent="0.25">
      <c r="A89" s="276" t="s">
        <v>217</v>
      </c>
      <c r="B89" s="10" t="s">
        <v>4048</v>
      </c>
      <c r="C89" s="10" t="s">
        <v>4204</v>
      </c>
      <c r="D89" s="10" t="s">
        <v>50</v>
      </c>
      <c r="E89" s="10" t="s">
        <v>4031</v>
      </c>
      <c r="F89" s="10" t="s">
        <v>51</v>
      </c>
      <c r="G89" s="276" t="s">
        <v>50</v>
      </c>
      <c r="H89" s="276" t="s">
        <v>51</v>
      </c>
      <c r="I89" s="276" t="s">
        <v>4026</v>
      </c>
      <c r="J89" s="276" t="s">
        <v>4027</v>
      </c>
      <c r="K89" s="276" t="s">
        <v>50</v>
      </c>
      <c r="L89" s="277" t="s">
        <v>4065</v>
      </c>
      <c r="M89" s="274" t="s">
        <v>4205</v>
      </c>
      <c r="N89" s="274" t="s">
        <v>4206</v>
      </c>
      <c r="O89" s="271" t="s">
        <v>4207</v>
      </c>
      <c r="P89" s="99"/>
      <c r="Q89" s="278" t="s">
        <v>50</v>
      </c>
    </row>
    <row r="90" spans="1:17" ht="89.25" hidden="1" x14ac:dyDescent="0.25">
      <c r="A90" s="10" t="s">
        <v>4208</v>
      </c>
      <c r="B90" s="10" t="s">
        <v>4048</v>
      </c>
      <c r="C90" s="10" t="s">
        <v>4204</v>
      </c>
      <c r="D90" s="10" t="s">
        <v>50</v>
      </c>
      <c r="E90" s="10" t="s">
        <v>4031</v>
      </c>
      <c r="F90" s="10" t="s">
        <v>51</v>
      </c>
      <c r="G90" s="10" t="s">
        <v>50</v>
      </c>
      <c r="H90" s="10" t="s">
        <v>51</v>
      </c>
      <c r="I90" s="10" t="s">
        <v>4026</v>
      </c>
      <c r="J90" s="10" t="s">
        <v>4027</v>
      </c>
      <c r="K90" s="10" t="s">
        <v>50</v>
      </c>
      <c r="L90" s="12" t="s">
        <v>4065</v>
      </c>
      <c r="M90" s="159" t="s">
        <v>4209</v>
      </c>
      <c r="N90" s="160" t="s">
        <v>4210</v>
      </c>
      <c r="O90" s="161" t="s">
        <v>4207</v>
      </c>
      <c r="P90" s="99"/>
    </row>
    <row r="91" spans="1:17" ht="135" x14ac:dyDescent="0.25">
      <c r="A91" s="76" t="s">
        <v>238</v>
      </c>
      <c r="B91" s="10" t="s">
        <v>4048</v>
      </c>
      <c r="C91" s="10" t="s">
        <v>4204</v>
      </c>
      <c r="D91" s="10" t="s">
        <v>50</v>
      </c>
      <c r="E91" s="10" t="s">
        <v>4096</v>
      </c>
      <c r="F91" s="10" t="s">
        <v>51</v>
      </c>
      <c r="G91" s="276" t="s">
        <v>50</v>
      </c>
      <c r="H91" s="276" t="s">
        <v>51</v>
      </c>
      <c r="I91" s="276" t="s">
        <v>4026</v>
      </c>
      <c r="J91" s="276" t="s">
        <v>4027</v>
      </c>
      <c r="K91" s="276" t="s">
        <v>51</v>
      </c>
      <c r="L91" s="277" t="s">
        <v>1529</v>
      </c>
      <c r="M91" s="76" t="s">
        <v>4211</v>
      </c>
      <c r="N91" s="272" t="s">
        <v>4212</v>
      </c>
      <c r="O91" s="279" t="s">
        <v>4213</v>
      </c>
      <c r="P91" s="97"/>
      <c r="Q91" s="278" t="s">
        <v>50</v>
      </c>
    </row>
    <row r="92" spans="1:17" ht="135" x14ac:dyDescent="0.25">
      <c r="A92" s="76" t="s">
        <v>241</v>
      </c>
      <c r="B92" s="10" t="s">
        <v>4048</v>
      </c>
      <c r="C92" s="10" t="s">
        <v>4204</v>
      </c>
      <c r="D92" s="10" t="s">
        <v>50</v>
      </c>
      <c r="E92" s="10" t="s">
        <v>4096</v>
      </c>
      <c r="F92" s="10" t="s">
        <v>50</v>
      </c>
      <c r="G92" s="276" t="s">
        <v>50</v>
      </c>
      <c r="H92" s="276" t="s">
        <v>50</v>
      </c>
      <c r="I92" s="276" t="s">
        <v>4097</v>
      </c>
      <c r="J92" s="276" t="s">
        <v>4032</v>
      </c>
      <c r="K92" s="276" t="s">
        <v>51</v>
      </c>
      <c r="L92" s="277" t="s">
        <v>1529</v>
      </c>
      <c r="M92" s="76" t="s">
        <v>4211</v>
      </c>
      <c r="N92" s="279" t="s">
        <v>4214</v>
      </c>
      <c r="O92" s="279" t="s">
        <v>4213</v>
      </c>
      <c r="P92" s="97"/>
      <c r="Q92" s="278" t="s">
        <v>50</v>
      </c>
    </row>
    <row r="93" spans="1:17" hidden="1" x14ac:dyDescent="0.25">
      <c r="A93" s="10" t="s">
        <v>4215</v>
      </c>
      <c r="B93" s="10" t="s">
        <v>4023</v>
      </c>
      <c r="C93" s="10" t="s">
        <v>4029</v>
      </c>
      <c r="D93" s="10" t="s">
        <v>51</v>
      </c>
      <c r="E93" s="10" t="s">
        <v>4025</v>
      </c>
      <c r="F93" s="10" t="s">
        <v>51</v>
      </c>
      <c r="G93" s="10" t="s">
        <v>51</v>
      </c>
      <c r="H93" s="10" t="s">
        <v>51</v>
      </c>
      <c r="I93" s="10" t="s">
        <v>4026</v>
      </c>
      <c r="J93" s="10" t="s">
        <v>4027</v>
      </c>
      <c r="K93" s="10" t="s">
        <v>51</v>
      </c>
      <c r="L93" s="10" t="s">
        <v>1529</v>
      </c>
      <c r="M93" s="30"/>
      <c r="N93" s="30"/>
      <c r="O93" s="30"/>
      <c r="P93" s="97"/>
    </row>
    <row r="94" spans="1:17" ht="45" hidden="1" x14ac:dyDescent="0.25">
      <c r="A94" s="10" t="s">
        <v>4216</v>
      </c>
      <c r="B94" s="10" t="s">
        <v>4148</v>
      </c>
      <c r="C94" s="10" t="s">
        <v>4149</v>
      </c>
      <c r="D94" s="10" t="s">
        <v>51</v>
      </c>
      <c r="E94" s="10" t="s">
        <v>4025</v>
      </c>
      <c r="F94" s="10" t="s">
        <v>50</v>
      </c>
      <c r="G94" s="10" t="s">
        <v>50</v>
      </c>
      <c r="H94" s="10" t="s">
        <v>51</v>
      </c>
      <c r="I94" s="10" t="s">
        <v>4026</v>
      </c>
      <c r="J94" s="10" t="s">
        <v>4050</v>
      </c>
      <c r="K94" s="10" t="s">
        <v>51</v>
      </c>
      <c r="L94" s="11" t="s">
        <v>1529</v>
      </c>
      <c r="M94" s="33" t="s">
        <v>4217</v>
      </c>
      <c r="N94" s="33" t="s">
        <v>4218</v>
      </c>
      <c r="O94" s="16" t="s">
        <v>4207</v>
      </c>
      <c r="P94" s="99"/>
    </row>
    <row r="95" spans="1:17" ht="30" hidden="1" x14ac:dyDescent="0.25">
      <c r="A95" s="10" t="s">
        <v>4219</v>
      </c>
      <c r="B95" s="10" t="s">
        <v>4030</v>
      </c>
      <c r="C95" s="10" t="s">
        <v>4220</v>
      </c>
      <c r="D95" s="10" t="s">
        <v>51</v>
      </c>
      <c r="E95" s="10" t="s">
        <v>4025</v>
      </c>
      <c r="F95" s="10" t="s">
        <v>51</v>
      </c>
      <c r="G95" s="10" t="s">
        <v>51</v>
      </c>
      <c r="H95" s="10" t="s">
        <v>51</v>
      </c>
      <c r="I95" s="10" t="s">
        <v>4026</v>
      </c>
      <c r="J95" s="10" t="s">
        <v>4027</v>
      </c>
      <c r="K95" s="10" t="s">
        <v>51</v>
      </c>
      <c r="L95" s="10" t="s">
        <v>4065</v>
      </c>
      <c r="M95" s="30"/>
      <c r="N95" s="30"/>
      <c r="O95" s="30"/>
      <c r="P95" s="97"/>
    </row>
    <row r="96" spans="1:17" hidden="1" x14ac:dyDescent="0.25">
      <c r="A96" s="10" t="s">
        <v>4219</v>
      </c>
      <c r="B96" s="10" t="s">
        <v>4037</v>
      </c>
      <c r="C96" s="10" t="s">
        <v>4220</v>
      </c>
      <c r="D96" s="10" t="s">
        <v>51</v>
      </c>
      <c r="E96" s="10" t="s">
        <v>4025</v>
      </c>
      <c r="F96" s="10" t="s">
        <v>51</v>
      </c>
      <c r="G96" s="10" t="s">
        <v>51</v>
      </c>
      <c r="H96" s="10" t="s">
        <v>51</v>
      </c>
      <c r="I96" s="10" t="s">
        <v>4026</v>
      </c>
      <c r="J96" s="10" t="s">
        <v>4027</v>
      </c>
      <c r="K96" s="10" t="s">
        <v>51</v>
      </c>
      <c r="L96" s="10" t="s">
        <v>4037</v>
      </c>
      <c r="M96" s="30"/>
      <c r="N96" s="30"/>
      <c r="O96" s="30"/>
      <c r="P96" s="97"/>
    </row>
    <row r="97" spans="1:17" ht="45" hidden="1" x14ac:dyDescent="0.25">
      <c r="A97" s="10" t="s">
        <v>4221</v>
      </c>
      <c r="B97" s="10" t="s">
        <v>4148</v>
      </c>
      <c r="C97" s="10" t="s">
        <v>4149</v>
      </c>
      <c r="D97" s="10" t="s">
        <v>50</v>
      </c>
      <c r="E97" s="10" t="s">
        <v>4096</v>
      </c>
      <c r="F97" s="10" t="s">
        <v>50</v>
      </c>
      <c r="G97" s="10" t="s">
        <v>50</v>
      </c>
      <c r="H97" s="10" t="s">
        <v>51</v>
      </c>
      <c r="I97" s="10" t="s">
        <v>4071</v>
      </c>
      <c r="J97" s="10" t="s">
        <v>4050</v>
      </c>
      <c r="K97" s="10" t="s">
        <v>51</v>
      </c>
      <c r="L97" s="10" t="s">
        <v>1529</v>
      </c>
      <c r="M97" s="16"/>
      <c r="N97" s="16"/>
      <c r="O97" s="16"/>
      <c r="P97" s="99"/>
    </row>
    <row r="98" spans="1:17" ht="30" hidden="1" x14ac:dyDescent="0.25">
      <c r="A98" s="10" t="s">
        <v>4222</v>
      </c>
      <c r="B98" s="10" t="s">
        <v>4100</v>
      </c>
      <c r="C98" s="10" t="s">
        <v>4132</v>
      </c>
      <c r="D98" s="10" t="s">
        <v>50</v>
      </c>
      <c r="E98" s="10" t="s">
        <v>4031</v>
      </c>
      <c r="F98" s="10" t="s">
        <v>50</v>
      </c>
      <c r="G98" s="10" t="s">
        <v>50</v>
      </c>
      <c r="H98" s="10" t="s">
        <v>51</v>
      </c>
      <c r="I98" s="10" t="s">
        <v>4026</v>
      </c>
      <c r="J98" s="10" t="s">
        <v>4050</v>
      </c>
      <c r="K98" s="10" t="s">
        <v>50</v>
      </c>
      <c r="L98" s="10" t="s">
        <v>1529</v>
      </c>
      <c r="M98" s="17" t="s">
        <v>84</v>
      </c>
      <c r="N98" s="17"/>
      <c r="O98" s="17"/>
      <c r="P98" s="99"/>
    </row>
    <row r="99" spans="1:17" ht="45" hidden="1" x14ac:dyDescent="0.25">
      <c r="A99" s="10" t="s">
        <v>4223</v>
      </c>
      <c r="B99" s="10" t="s">
        <v>4100</v>
      </c>
      <c r="C99" s="10" t="s">
        <v>4132</v>
      </c>
      <c r="D99" s="10" t="s">
        <v>50</v>
      </c>
      <c r="E99" s="10" t="s">
        <v>4031</v>
      </c>
      <c r="F99" s="10" t="s">
        <v>50</v>
      </c>
      <c r="G99" s="10" t="s">
        <v>50</v>
      </c>
      <c r="H99" s="10" t="s">
        <v>51</v>
      </c>
      <c r="I99" s="10" t="s">
        <v>4071</v>
      </c>
      <c r="J99" s="10" t="s">
        <v>4050</v>
      </c>
      <c r="K99" s="10" t="s">
        <v>50</v>
      </c>
      <c r="L99" s="10" t="s">
        <v>1529</v>
      </c>
      <c r="M99" s="17" t="s">
        <v>84</v>
      </c>
      <c r="N99" s="17"/>
      <c r="O99" s="17"/>
      <c r="P99" s="99"/>
    </row>
    <row r="100" spans="1:17" ht="45" hidden="1" x14ac:dyDescent="0.25">
      <c r="A100" s="10" t="s">
        <v>4224</v>
      </c>
      <c r="B100" s="10" t="s">
        <v>4100</v>
      </c>
      <c r="C100" s="10" t="s">
        <v>4132</v>
      </c>
      <c r="D100" s="10" t="s">
        <v>50</v>
      </c>
      <c r="E100" s="10" t="s">
        <v>4096</v>
      </c>
      <c r="F100" s="10" t="s">
        <v>50</v>
      </c>
      <c r="G100" s="10" t="s">
        <v>50</v>
      </c>
      <c r="H100" s="10" t="s">
        <v>50</v>
      </c>
      <c r="I100" s="10" t="s">
        <v>4071</v>
      </c>
      <c r="J100" s="10" t="s">
        <v>4050</v>
      </c>
      <c r="K100" s="10" t="s">
        <v>50</v>
      </c>
      <c r="L100" s="10" t="s">
        <v>1529</v>
      </c>
      <c r="M100" s="17" t="s">
        <v>84</v>
      </c>
      <c r="N100" s="17"/>
      <c r="O100" s="17"/>
      <c r="P100" s="99"/>
    </row>
    <row r="101" spans="1:17" hidden="1" x14ac:dyDescent="0.25">
      <c r="A101" s="10" t="s">
        <v>4225</v>
      </c>
      <c r="B101" s="10" t="s">
        <v>4100</v>
      </c>
      <c r="C101" s="10" t="s">
        <v>4132</v>
      </c>
      <c r="D101" s="10" t="s">
        <v>50</v>
      </c>
      <c r="E101" s="10" t="s">
        <v>4031</v>
      </c>
      <c r="F101" s="10" t="s">
        <v>50</v>
      </c>
      <c r="G101" s="10" t="s">
        <v>50</v>
      </c>
      <c r="H101" s="10" t="s">
        <v>51</v>
      </c>
      <c r="I101" s="10" t="s">
        <v>4071</v>
      </c>
      <c r="J101" s="10" t="s">
        <v>4050</v>
      </c>
      <c r="K101" s="10" t="s">
        <v>50</v>
      </c>
      <c r="L101" s="10" t="s">
        <v>1529</v>
      </c>
      <c r="M101" s="17" t="s">
        <v>84</v>
      </c>
      <c r="N101" s="17"/>
      <c r="O101" s="17"/>
      <c r="P101" s="99"/>
    </row>
    <row r="102" spans="1:17" hidden="1" x14ac:dyDescent="0.25">
      <c r="A102" s="10" t="s">
        <v>4226</v>
      </c>
      <c r="B102" s="10" t="s">
        <v>4100</v>
      </c>
      <c r="C102" s="10" t="s">
        <v>4132</v>
      </c>
      <c r="D102" s="10" t="s">
        <v>50</v>
      </c>
      <c r="E102" s="10" t="s">
        <v>4096</v>
      </c>
      <c r="F102" s="10" t="s">
        <v>50</v>
      </c>
      <c r="G102" s="10" t="s">
        <v>50</v>
      </c>
      <c r="H102" s="10" t="s">
        <v>50</v>
      </c>
      <c r="I102" s="10" t="s">
        <v>4071</v>
      </c>
      <c r="J102" s="10" t="s">
        <v>4050</v>
      </c>
      <c r="K102" s="10" t="s">
        <v>50</v>
      </c>
      <c r="L102" s="10" t="s">
        <v>1529</v>
      </c>
      <c r="M102" s="17" t="s">
        <v>84</v>
      </c>
      <c r="N102" s="17"/>
      <c r="O102" s="17"/>
      <c r="P102" s="99"/>
    </row>
    <row r="103" spans="1:17" ht="30" hidden="1" x14ac:dyDescent="0.25">
      <c r="A103" s="10" t="s">
        <v>4227</v>
      </c>
      <c r="B103" s="10" t="s">
        <v>4100</v>
      </c>
      <c r="C103" s="10" t="s">
        <v>4132</v>
      </c>
      <c r="D103" s="10" t="s">
        <v>50</v>
      </c>
      <c r="E103" s="10" t="s">
        <v>4031</v>
      </c>
      <c r="F103" s="10" t="s">
        <v>50</v>
      </c>
      <c r="G103" s="10" t="s">
        <v>50</v>
      </c>
      <c r="H103" s="10" t="s">
        <v>50</v>
      </c>
      <c r="I103" s="10" t="s">
        <v>4071</v>
      </c>
      <c r="J103" s="10" t="s">
        <v>4050</v>
      </c>
      <c r="K103" s="10" t="s">
        <v>50</v>
      </c>
      <c r="L103" s="10" t="s">
        <v>1529</v>
      </c>
      <c r="M103" s="158" t="s">
        <v>84</v>
      </c>
      <c r="N103" s="36"/>
      <c r="O103" s="158"/>
      <c r="P103" s="99"/>
    </row>
    <row r="104" spans="1:17" ht="45" x14ac:dyDescent="0.25">
      <c r="A104" s="276" t="s">
        <v>243</v>
      </c>
      <c r="B104" s="10" t="s">
        <v>4100</v>
      </c>
      <c r="C104" s="10" t="s">
        <v>4228</v>
      </c>
      <c r="D104" s="10" t="s">
        <v>50</v>
      </c>
      <c r="E104" s="10" t="s">
        <v>4031</v>
      </c>
      <c r="F104" s="10" t="s">
        <v>50</v>
      </c>
      <c r="G104" s="276" t="s">
        <v>50</v>
      </c>
      <c r="H104" s="276" t="s">
        <v>51</v>
      </c>
      <c r="I104" s="276" t="s">
        <v>4097</v>
      </c>
      <c r="J104" s="276" t="s">
        <v>4050</v>
      </c>
      <c r="K104" s="276" t="s">
        <v>50</v>
      </c>
      <c r="L104" s="276" t="s">
        <v>1529</v>
      </c>
      <c r="M104" s="273" t="s">
        <v>4229</v>
      </c>
      <c r="N104" s="271" t="str">
        <f>IF(RIGHT(LEFT(zSelectedEquipment, 4), 2)="GR", "Loss of redundant generator and redundant utility during maintenance. Primary generator and UPS will still be available in the event of a power loss.", "Utility level power source will be reduced to a single source for non DR suites. A failure of that source could result in a loss of load.")</f>
        <v>Utility level power source will be reduced to a single source for non DR suites. A failure of that source could result in a loss of load.</v>
      </c>
      <c r="O104" s="271" t="str">
        <f>IF(RIGHT(LEFT(zSelectedEquipment, 4), 2)="GR", "Load will remain on utility with primary generator available as back up. Redundant power source and generator will be unavailable during PM.", "Only a single critical source of power will be maintained during these procedures and a failure of that single source could result in a loss of load. Customer should plan accordingly.")</f>
        <v>Only a single critical source of power will be maintained during these procedures and a failure of that single source could result in a loss of load. Customer should plan accordingly.</v>
      </c>
      <c r="P104" s="100"/>
      <c r="Q104" s="278" t="s">
        <v>50</v>
      </c>
    </row>
    <row r="105" spans="1:17" ht="30" hidden="1" x14ac:dyDescent="0.25">
      <c r="A105" s="10" t="s">
        <v>4230</v>
      </c>
      <c r="B105" s="10" t="s">
        <v>4100</v>
      </c>
      <c r="C105" s="10" t="s">
        <v>4228</v>
      </c>
      <c r="D105" s="10" t="s">
        <v>50</v>
      </c>
      <c r="E105" s="10" t="s">
        <v>4031</v>
      </c>
      <c r="F105" s="10" t="s">
        <v>50</v>
      </c>
      <c r="G105" s="10" t="s">
        <v>50</v>
      </c>
      <c r="H105" s="10" t="s">
        <v>50</v>
      </c>
      <c r="I105" s="10" t="s">
        <v>4097</v>
      </c>
      <c r="J105" s="10" t="s">
        <v>4032</v>
      </c>
      <c r="K105" s="10" t="s">
        <v>50</v>
      </c>
      <c r="L105" s="10" t="s">
        <v>1529</v>
      </c>
      <c r="M105" s="39"/>
      <c r="N105" s="39"/>
      <c r="O105" s="39"/>
      <c r="P105" s="97"/>
    </row>
    <row r="106" spans="1:17" ht="45" hidden="1" x14ac:dyDescent="0.25">
      <c r="A106" s="10" t="s">
        <v>4231</v>
      </c>
      <c r="B106" s="10" t="s">
        <v>4100</v>
      </c>
      <c r="C106" s="10" t="s">
        <v>4228</v>
      </c>
      <c r="D106" s="10" t="s">
        <v>50</v>
      </c>
      <c r="E106" s="10" t="s">
        <v>4031</v>
      </c>
      <c r="F106" s="10" t="s">
        <v>50</v>
      </c>
      <c r="G106" s="10" t="s">
        <v>50</v>
      </c>
      <c r="H106" s="10" t="s">
        <v>50</v>
      </c>
      <c r="I106" s="10" t="s">
        <v>4097</v>
      </c>
      <c r="J106" s="10" t="s">
        <v>4032</v>
      </c>
      <c r="K106" s="10" t="s">
        <v>50</v>
      </c>
      <c r="L106" s="10" t="s">
        <v>1529</v>
      </c>
      <c r="M106" s="38" t="s">
        <v>4229</v>
      </c>
      <c r="N106" s="40" t="s">
        <v>4232</v>
      </c>
      <c r="O106" s="40" t="s">
        <v>4233</v>
      </c>
      <c r="P106" s="100"/>
    </row>
    <row r="107" spans="1:17" hidden="1" x14ac:dyDescent="0.25">
      <c r="A107" s="10" t="s">
        <v>4234</v>
      </c>
      <c r="B107" s="10" t="s">
        <v>4023</v>
      </c>
      <c r="C107" s="10" t="s">
        <v>4235</v>
      </c>
      <c r="D107" s="10" t="s">
        <v>51</v>
      </c>
      <c r="E107" s="10" t="s">
        <v>4025</v>
      </c>
      <c r="F107" s="10" t="s">
        <v>51</v>
      </c>
      <c r="G107" s="10" t="s">
        <v>50</v>
      </c>
      <c r="H107" s="10" t="s">
        <v>51</v>
      </c>
      <c r="I107" s="10" t="s">
        <v>4026</v>
      </c>
      <c r="J107" s="10" t="s">
        <v>4050</v>
      </c>
      <c r="K107" s="10" t="s">
        <v>51</v>
      </c>
      <c r="L107" s="10" t="s">
        <v>1529</v>
      </c>
      <c r="M107" s="30"/>
      <c r="N107" s="30"/>
      <c r="O107" s="30"/>
      <c r="P107" s="97"/>
    </row>
    <row r="108" spans="1:17" ht="45" hidden="1" x14ac:dyDescent="0.25">
      <c r="A108" s="10" t="s">
        <v>4236</v>
      </c>
      <c r="B108" s="10" t="s">
        <v>4148</v>
      </c>
      <c r="C108" s="10" t="s">
        <v>4149</v>
      </c>
      <c r="D108" s="10" t="s">
        <v>51</v>
      </c>
      <c r="E108" s="10" t="s">
        <v>4025</v>
      </c>
      <c r="F108" s="10" t="s">
        <v>51</v>
      </c>
      <c r="G108" s="10" t="s">
        <v>51</v>
      </c>
      <c r="H108" s="10" t="s">
        <v>51</v>
      </c>
      <c r="I108" s="10" t="s">
        <v>4026</v>
      </c>
      <c r="J108" s="10" t="s">
        <v>4027</v>
      </c>
      <c r="K108" s="10" t="s">
        <v>51</v>
      </c>
      <c r="L108" s="10" t="s">
        <v>4237</v>
      </c>
      <c r="M108" s="30"/>
      <c r="N108" s="30"/>
      <c r="O108" s="30"/>
      <c r="P108" s="97"/>
    </row>
    <row r="109" spans="1:17" ht="30" hidden="1" x14ac:dyDescent="0.25">
      <c r="A109" s="10" t="s">
        <v>4238</v>
      </c>
      <c r="B109" s="14" t="s">
        <v>4037</v>
      </c>
      <c r="C109" s="10" t="s">
        <v>4239</v>
      </c>
      <c r="D109" s="10" t="s">
        <v>51</v>
      </c>
      <c r="E109" s="10" t="s">
        <v>4025</v>
      </c>
      <c r="F109" s="10" t="s">
        <v>51</v>
      </c>
      <c r="G109" s="10" t="s">
        <v>51</v>
      </c>
      <c r="H109" s="10" t="s">
        <v>51</v>
      </c>
      <c r="I109" s="10" t="s">
        <v>4026</v>
      </c>
      <c r="J109" s="10" t="s">
        <v>4027</v>
      </c>
      <c r="K109" s="10" t="s">
        <v>51</v>
      </c>
      <c r="L109" s="10" t="s">
        <v>4037</v>
      </c>
      <c r="M109" s="30"/>
      <c r="N109" s="30"/>
      <c r="O109" s="30"/>
      <c r="P109" s="97"/>
    </row>
    <row r="110" spans="1:17" ht="102" hidden="1" x14ac:dyDescent="0.25">
      <c r="A110" s="10" t="s">
        <v>4240</v>
      </c>
      <c r="B110" s="10" t="s">
        <v>4048</v>
      </c>
      <c r="C110" s="10" t="s">
        <v>4194</v>
      </c>
      <c r="D110" s="10" t="s">
        <v>50</v>
      </c>
      <c r="E110" s="10" t="s">
        <v>4031</v>
      </c>
      <c r="F110" s="10" t="s">
        <v>50</v>
      </c>
      <c r="G110" s="10" t="s">
        <v>50</v>
      </c>
      <c r="H110" s="10" t="s">
        <v>51</v>
      </c>
      <c r="I110" s="10" t="s">
        <v>4071</v>
      </c>
      <c r="J110" s="10" t="s">
        <v>4050</v>
      </c>
      <c r="K110" s="10" t="s">
        <v>51</v>
      </c>
      <c r="L110" s="10" t="s">
        <v>1529</v>
      </c>
      <c r="M110" s="16" t="s">
        <v>4241</v>
      </c>
      <c r="N110" s="16" t="s">
        <v>4212</v>
      </c>
      <c r="O110" s="16" t="s">
        <v>4242</v>
      </c>
      <c r="P110" s="99"/>
    </row>
    <row r="111" spans="1:17" ht="30" hidden="1" x14ac:dyDescent="0.25">
      <c r="A111" s="10" t="s">
        <v>4243</v>
      </c>
      <c r="B111" s="10" t="s">
        <v>4048</v>
      </c>
      <c r="C111" s="10" t="s">
        <v>4194</v>
      </c>
      <c r="D111" s="10" t="s">
        <v>50</v>
      </c>
      <c r="E111" s="10" t="s">
        <v>4031</v>
      </c>
      <c r="F111" s="10" t="s">
        <v>50</v>
      </c>
      <c r="G111" s="10" t="s">
        <v>50</v>
      </c>
      <c r="H111" s="10" t="s">
        <v>51</v>
      </c>
      <c r="I111" s="10" t="s">
        <v>4026</v>
      </c>
      <c r="J111" s="10" t="s">
        <v>4050</v>
      </c>
      <c r="K111" s="10" t="s">
        <v>50</v>
      </c>
      <c r="L111" s="10" t="s">
        <v>1529</v>
      </c>
      <c r="M111" s="19" t="s">
        <v>4142</v>
      </c>
      <c r="N111" s="19" t="s">
        <v>4142</v>
      </c>
      <c r="O111" s="19" t="s">
        <v>4142</v>
      </c>
      <c r="P111" s="99"/>
    </row>
    <row r="112" spans="1:17" ht="102" hidden="1" x14ac:dyDescent="0.25">
      <c r="A112" s="10" t="s">
        <v>4244</v>
      </c>
      <c r="B112" s="10" t="s">
        <v>4048</v>
      </c>
      <c r="C112" s="10" t="s">
        <v>4194</v>
      </c>
      <c r="D112" s="10" t="s">
        <v>50</v>
      </c>
      <c r="E112" s="10" t="s">
        <v>4096</v>
      </c>
      <c r="F112" s="10" t="s">
        <v>50</v>
      </c>
      <c r="G112" s="10" t="s">
        <v>50</v>
      </c>
      <c r="H112" s="10" t="s">
        <v>51</v>
      </c>
      <c r="I112" s="10" t="s">
        <v>4071</v>
      </c>
      <c r="J112" s="10" t="s">
        <v>4050</v>
      </c>
      <c r="K112" s="10" t="s">
        <v>50</v>
      </c>
      <c r="L112" s="10" t="s">
        <v>1529</v>
      </c>
      <c r="M112" s="18" t="s">
        <v>4245</v>
      </c>
      <c r="N112" s="18" t="s">
        <v>4212</v>
      </c>
      <c r="O112" s="18" t="s">
        <v>4246</v>
      </c>
      <c r="P112" s="99"/>
    </row>
    <row r="113" spans="1:16" ht="63.75" hidden="1" x14ac:dyDescent="0.25">
      <c r="A113" s="10" t="s">
        <v>4247</v>
      </c>
      <c r="B113" s="10" t="s">
        <v>4100</v>
      </c>
      <c r="C113" s="10" t="s">
        <v>4101</v>
      </c>
      <c r="D113" s="10" t="s">
        <v>50</v>
      </c>
      <c r="E113" s="10" t="s">
        <v>4096</v>
      </c>
      <c r="F113" s="10" t="s">
        <v>50</v>
      </c>
      <c r="G113" s="10" t="s">
        <v>50</v>
      </c>
      <c r="H113" s="10" t="s">
        <v>50</v>
      </c>
      <c r="I113" s="10" t="s">
        <v>4097</v>
      </c>
      <c r="J113" s="10" t="s">
        <v>4032</v>
      </c>
      <c r="K113" s="10" t="s">
        <v>50</v>
      </c>
      <c r="L113" s="10" t="s">
        <v>1529</v>
      </c>
      <c r="M113" s="38" t="s">
        <v>4248</v>
      </c>
      <c r="N113" s="16" t="s">
        <v>4249</v>
      </c>
      <c r="O113" s="40" t="s">
        <v>4250</v>
      </c>
      <c r="P113" s="100"/>
    </row>
    <row r="114" spans="1:16" hidden="1" x14ac:dyDescent="0.25">
      <c r="A114" s="10" t="s">
        <v>4251</v>
      </c>
      <c r="B114" s="10" t="s">
        <v>4048</v>
      </c>
      <c r="C114" s="10" t="s">
        <v>4252</v>
      </c>
      <c r="D114" s="10" t="s">
        <v>51</v>
      </c>
      <c r="E114" s="10" t="s">
        <v>4025</v>
      </c>
      <c r="F114" s="10" t="s">
        <v>50</v>
      </c>
      <c r="G114" s="10" t="s">
        <v>51</v>
      </c>
      <c r="H114" s="10" t="s">
        <v>51</v>
      </c>
      <c r="I114" s="10" t="s">
        <v>4026</v>
      </c>
      <c r="J114" s="10" t="s">
        <v>4050</v>
      </c>
      <c r="K114" s="10" t="s">
        <v>51</v>
      </c>
      <c r="L114" s="10" t="s">
        <v>1529</v>
      </c>
    </row>
    <row r="115" spans="1:16" hidden="1" x14ac:dyDescent="0.25">
      <c r="A115" s="10" t="s">
        <v>4253</v>
      </c>
      <c r="B115" s="10" t="s">
        <v>4048</v>
      </c>
      <c r="C115" s="10" t="s">
        <v>4252</v>
      </c>
      <c r="D115" s="10" t="s">
        <v>50</v>
      </c>
      <c r="E115" s="10" t="s">
        <v>4096</v>
      </c>
      <c r="F115" s="10" t="s">
        <v>50</v>
      </c>
      <c r="G115" s="10" t="s">
        <v>51</v>
      </c>
      <c r="H115" s="10" t="s">
        <v>51</v>
      </c>
      <c r="I115" s="10" t="s">
        <v>4026</v>
      </c>
      <c r="J115" s="10" t="s">
        <v>4050</v>
      </c>
      <c r="K115" s="10" t="s">
        <v>51</v>
      </c>
      <c r="L115" s="10" t="s">
        <v>1529</v>
      </c>
    </row>
    <row r="116" spans="1:16" ht="30" hidden="1" x14ac:dyDescent="0.25">
      <c r="A116" s="10" t="s">
        <v>4254</v>
      </c>
      <c r="B116" s="10" t="s">
        <v>4100</v>
      </c>
      <c r="C116" s="10" t="s">
        <v>4114</v>
      </c>
      <c r="D116" s="10" t="s">
        <v>51</v>
      </c>
      <c r="E116" s="10" t="s">
        <v>4025</v>
      </c>
      <c r="F116" s="10" t="s">
        <v>51</v>
      </c>
      <c r="G116" s="10" t="s">
        <v>51</v>
      </c>
      <c r="H116" s="10" t="s">
        <v>51</v>
      </c>
      <c r="I116" s="10" t="s">
        <v>4026</v>
      </c>
      <c r="J116" s="10" t="s">
        <v>4027</v>
      </c>
      <c r="K116" s="10" t="s">
        <v>51</v>
      </c>
      <c r="L116" s="10" t="s">
        <v>4065</v>
      </c>
      <c r="M116" s="30"/>
      <c r="N116" s="30"/>
      <c r="O116" s="30"/>
      <c r="P116" s="97"/>
    </row>
    <row r="117" spans="1:16" hidden="1" x14ac:dyDescent="0.25">
      <c r="A117" s="10" t="s">
        <v>4255</v>
      </c>
      <c r="B117" s="10" t="s">
        <v>4023</v>
      </c>
      <c r="C117" s="10" t="s">
        <v>4058</v>
      </c>
      <c r="D117" s="10" t="s">
        <v>51</v>
      </c>
      <c r="E117" s="10" t="s">
        <v>4025</v>
      </c>
      <c r="F117" s="10" t="s">
        <v>51</v>
      </c>
      <c r="G117" s="10" t="s">
        <v>51</v>
      </c>
      <c r="H117" s="10" t="s">
        <v>51</v>
      </c>
      <c r="I117" s="10" t="s">
        <v>4026</v>
      </c>
      <c r="J117" s="10" t="s">
        <v>4027</v>
      </c>
      <c r="K117" s="10" t="s">
        <v>51</v>
      </c>
      <c r="L117" s="10" t="s">
        <v>1529</v>
      </c>
      <c r="M117" s="30"/>
      <c r="N117" s="30"/>
      <c r="O117" s="30"/>
      <c r="P117" s="97"/>
    </row>
    <row r="118" spans="1:16" ht="38.25" hidden="1" x14ac:dyDescent="0.25">
      <c r="A118" s="10" t="s">
        <v>4256</v>
      </c>
      <c r="B118" s="10" t="s">
        <v>4094</v>
      </c>
      <c r="C118" s="10" t="s">
        <v>4095</v>
      </c>
      <c r="D118" s="10" t="s">
        <v>50</v>
      </c>
      <c r="E118" s="10" t="s">
        <v>4096</v>
      </c>
      <c r="F118" s="10" t="s">
        <v>51</v>
      </c>
      <c r="G118" s="10" t="s">
        <v>50</v>
      </c>
      <c r="H118" s="10" t="s">
        <v>50</v>
      </c>
      <c r="I118" s="10" t="s">
        <v>4097</v>
      </c>
      <c r="J118" s="10" t="s">
        <v>4032</v>
      </c>
      <c r="K118" s="10" t="s">
        <v>51</v>
      </c>
      <c r="L118" s="10" t="s">
        <v>1529</v>
      </c>
      <c r="M118" s="18" t="s">
        <v>4257</v>
      </c>
      <c r="N118" s="18" t="s">
        <v>4258</v>
      </c>
      <c r="O118" s="18" t="s">
        <v>4259</v>
      </c>
      <c r="P118" s="99"/>
    </row>
    <row r="119" spans="1:16" ht="51" hidden="1" x14ac:dyDescent="0.25">
      <c r="A119" s="10" t="s">
        <v>4260</v>
      </c>
      <c r="B119" s="10" t="s">
        <v>4100</v>
      </c>
      <c r="C119" s="10" t="s">
        <v>4228</v>
      </c>
      <c r="D119" s="10" t="s">
        <v>50</v>
      </c>
      <c r="E119" s="10" t="s">
        <v>4031</v>
      </c>
      <c r="F119" s="10" t="s">
        <v>50</v>
      </c>
      <c r="G119" s="10" t="s">
        <v>50</v>
      </c>
      <c r="H119" s="10" t="s">
        <v>51</v>
      </c>
      <c r="I119" s="10" t="s">
        <v>4071</v>
      </c>
      <c r="J119" s="10" t="s">
        <v>4050</v>
      </c>
      <c r="K119" s="10" t="s">
        <v>51</v>
      </c>
      <c r="L119" s="10" t="s">
        <v>1529</v>
      </c>
      <c r="M119" s="16" t="s">
        <v>4261</v>
      </c>
      <c r="N119" s="16" t="s">
        <v>4262</v>
      </c>
      <c r="O119" s="16" t="s">
        <v>4263</v>
      </c>
      <c r="P119" s="99"/>
    </row>
    <row r="120" spans="1:16" ht="51" hidden="1" x14ac:dyDescent="0.25">
      <c r="A120" s="10" t="s">
        <v>4264</v>
      </c>
      <c r="B120" s="10" t="s">
        <v>4100</v>
      </c>
      <c r="C120" s="10" t="s">
        <v>4228</v>
      </c>
      <c r="D120" s="10" t="s">
        <v>50</v>
      </c>
      <c r="E120" s="10" t="s">
        <v>4031</v>
      </c>
      <c r="F120" s="10" t="s">
        <v>50</v>
      </c>
      <c r="G120" s="10" t="s">
        <v>50</v>
      </c>
      <c r="H120" s="10" t="s">
        <v>51</v>
      </c>
      <c r="I120" s="10" t="s">
        <v>4071</v>
      </c>
      <c r="J120" s="10" t="s">
        <v>4032</v>
      </c>
      <c r="K120" s="10" t="s">
        <v>51</v>
      </c>
      <c r="L120" s="10" t="s">
        <v>1529</v>
      </c>
      <c r="M120" s="15" t="s">
        <v>4261</v>
      </c>
      <c r="N120" s="18" t="s">
        <v>4262</v>
      </c>
      <c r="O120" s="18" t="s">
        <v>4263</v>
      </c>
      <c r="P120" s="99"/>
    </row>
    <row r="121" spans="1:16" ht="45" hidden="1" x14ac:dyDescent="0.25">
      <c r="A121" s="10" t="s">
        <v>4265</v>
      </c>
      <c r="B121" s="10" t="s">
        <v>4100</v>
      </c>
      <c r="C121" s="10" t="s">
        <v>4266</v>
      </c>
      <c r="D121" s="10" t="s">
        <v>50</v>
      </c>
      <c r="E121" s="10" t="s">
        <v>4096</v>
      </c>
      <c r="F121" s="10" t="s">
        <v>50</v>
      </c>
      <c r="G121" s="10" t="s">
        <v>50</v>
      </c>
      <c r="H121" s="10" t="s">
        <v>51</v>
      </c>
      <c r="I121" s="10" t="s">
        <v>4097</v>
      </c>
      <c r="J121" s="10" t="s">
        <v>4027</v>
      </c>
      <c r="K121" s="10" t="s">
        <v>50</v>
      </c>
      <c r="L121" s="10" t="s">
        <v>4065</v>
      </c>
      <c r="M121" s="18" t="s">
        <v>4267</v>
      </c>
      <c r="N121" s="18" t="s">
        <v>4268</v>
      </c>
      <c r="O121" s="18" t="s">
        <v>4269</v>
      </c>
      <c r="P121" s="99"/>
    </row>
    <row r="122" spans="1:16" ht="38.25" hidden="1" x14ac:dyDescent="0.25">
      <c r="A122" s="10" t="s">
        <v>4270</v>
      </c>
      <c r="B122" s="10" t="s">
        <v>4100</v>
      </c>
      <c r="C122" s="10" t="s">
        <v>4266</v>
      </c>
      <c r="D122" s="10" t="s">
        <v>50</v>
      </c>
      <c r="E122" s="10" t="s">
        <v>4096</v>
      </c>
      <c r="F122" s="10" t="s">
        <v>50</v>
      </c>
      <c r="G122" s="10" t="s">
        <v>50</v>
      </c>
      <c r="H122" s="10" t="s">
        <v>51</v>
      </c>
      <c r="I122" s="10" t="s">
        <v>4071</v>
      </c>
      <c r="J122" s="10" t="s">
        <v>4027</v>
      </c>
      <c r="K122" s="10" t="s">
        <v>50</v>
      </c>
      <c r="L122" s="10" t="s">
        <v>4065</v>
      </c>
      <c r="M122" s="16" t="s">
        <v>4271</v>
      </c>
      <c r="N122" s="16" t="s">
        <v>4272</v>
      </c>
      <c r="O122" s="16" t="s">
        <v>4273</v>
      </c>
      <c r="P122" s="99"/>
    </row>
    <row r="123" spans="1:16" ht="38.25" hidden="1" x14ac:dyDescent="0.25">
      <c r="A123" s="10" t="s">
        <v>4274</v>
      </c>
      <c r="B123" s="10" t="s">
        <v>4100</v>
      </c>
      <c r="C123" s="10" t="s">
        <v>4266</v>
      </c>
      <c r="D123" s="10" t="s">
        <v>50</v>
      </c>
      <c r="E123" s="10" t="s">
        <v>4096</v>
      </c>
      <c r="F123" s="10" t="s">
        <v>50</v>
      </c>
      <c r="G123" s="10" t="s">
        <v>50</v>
      </c>
      <c r="H123" s="10" t="s">
        <v>50</v>
      </c>
      <c r="I123" s="10" t="s">
        <v>4097</v>
      </c>
      <c r="J123" s="10" t="s">
        <v>4032</v>
      </c>
      <c r="K123" s="10" t="s">
        <v>50</v>
      </c>
      <c r="L123" s="10" t="s">
        <v>1529</v>
      </c>
      <c r="M123" s="16" t="s">
        <v>4275</v>
      </c>
      <c r="N123" s="16" t="s">
        <v>4272</v>
      </c>
      <c r="O123" s="16" t="s">
        <v>4273</v>
      </c>
      <c r="P123" s="99"/>
    </row>
    <row r="124" spans="1:16" ht="30" hidden="1" x14ac:dyDescent="0.25">
      <c r="A124" s="10" t="s">
        <v>4276</v>
      </c>
      <c r="B124" s="10" t="s">
        <v>4023</v>
      </c>
      <c r="C124" s="10" t="s">
        <v>4029</v>
      </c>
      <c r="D124" s="10" t="s">
        <v>51</v>
      </c>
      <c r="E124" s="10" t="s">
        <v>4025</v>
      </c>
      <c r="F124" s="10" t="s">
        <v>51</v>
      </c>
      <c r="G124" s="10" t="s">
        <v>51</v>
      </c>
      <c r="H124" s="10" t="s">
        <v>51</v>
      </c>
      <c r="I124" s="10" t="s">
        <v>4026</v>
      </c>
      <c r="J124" s="10" t="s">
        <v>4027</v>
      </c>
      <c r="K124" s="10" t="s">
        <v>51</v>
      </c>
      <c r="L124" s="10" t="s">
        <v>1529</v>
      </c>
      <c r="M124" s="30"/>
      <c r="N124" s="30"/>
      <c r="O124" s="30"/>
      <c r="P124" s="97"/>
    </row>
    <row r="125" spans="1:16" ht="30" hidden="1" x14ac:dyDescent="0.25">
      <c r="A125" s="10" t="s">
        <v>4277</v>
      </c>
      <c r="B125" s="10" t="s">
        <v>4023</v>
      </c>
      <c r="C125" s="10" t="s">
        <v>4235</v>
      </c>
      <c r="D125" s="10" t="s">
        <v>51</v>
      </c>
      <c r="E125" s="10" t="s">
        <v>4025</v>
      </c>
      <c r="F125" s="10" t="s">
        <v>51</v>
      </c>
      <c r="G125" s="10" t="s">
        <v>51</v>
      </c>
      <c r="H125" s="10" t="s">
        <v>51</v>
      </c>
      <c r="I125" s="10" t="s">
        <v>4026</v>
      </c>
      <c r="J125" s="10" t="s">
        <v>4027</v>
      </c>
      <c r="K125" s="10" t="s">
        <v>51</v>
      </c>
      <c r="L125" s="10" t="s">
        <v>1529</v>
      </c>
      <c r="M125" s="30"/>
      <c r="N125" s="30"/>
      <c r="O125" s="30"/>
      <c r="P125" s="97"/>
    </row>
    <row r="126" spans="1:16" ht="102" hidden="1" x14ac:dyDescent="0.25">
      <c r="A126" s="10" t="s">
        <v>4278</v>
      </c>
      <c r="B126" s="10" t="s">
        <v>4048</v>
      </c>
      <c r="C126" s="10" t="s">
        <v>4279</v>
      </c>
      <c r="D126" s="10" t="s">
        <v>51</v>
      </c>
      <c r="E126" s="10" t="s">
        <v>4025</v>
      </c>
      <c r="F126" s="10" t="s">
        <v>51</v>
      </c>
      <c r="G126" s="10" t="s">
        <v>50</v>
      </c>
      <c r="H126" s="10" t="s">
        <v>51</v>
      </c>
      <c r="I126" s="10" t="s">
        <v>4026</v>
      </c>
      <c r="J126" s="10" t="s">
        <v>4027</v>
      </c>
      <c r="K126" s="10" t="s">
        <v>50</v>
      </c>
      <c r="L126" s="10" t="s">
        <v>4065</v>
      </c>
      <c r="M126" s="16" t="s">
        <v>4280</v>
      </c>
      <c r="N126" s="16" t="s">
        <v>4281</v>
      </c>
      <c r="O126" s="16" t="s">
        <v>4282</v>
      </c>
      <c r="P126" s="99"/>
    </row>
    <row r="127" spans="1:16" ht="102" hidden="1" x14ac:dyDescent="0.25">
      <c r="A127" s="10" t="s">
        <v>4283</v>
      </c>
      <c r="B127" s="10" t="s">
        <v>4048</v>
      </c>
      <c r="C127" s="10" t="s">
        <v>4279</v>
      </c>
      <c r="D127" s="10" t="s">
        <v>51</v>
      </c>
      <c r="E127" s="10" t="s">
        <v>4025</v>
      </c>
      <c r="F127" s="10" t="s">
        <v>51</v>
      </c>
      <c r="G127" s="10" t="s">
        <v>50</v>
      </c>
      <c r="H127" s="10" t="s">
        <v>51</v>
      </c>
      <c r="I127" s="10" t="s">
        <v>4026</v>
      </c>
      <c r="J127" s="10" t="s">
        <v>4027</v>
      </c>
      <c r="K127" s="10" t="s">
        <v>50</v>
      </c>
      <c r="L127" s="10" t="s">
        <v>4065</v>
      </c>
      <c r="M127" s="16" t="s">
        <v>4284</v>
      </c>
      <c r="N127" s="16" t="s">
        <v>4281</v>
      </c>
      <c r="O127" s="16" t="s">
        <v>4282</v>
      </c>
      <c r="P127" s="99"/>
    </row>
    <row r="128" spans="1:16" ht="30" hidden="1" x14ac:dyDescent="0.25">
      <c r="A128" s="10" t="s">
        <v>4285</v>
      </c>
      <c r="B128" s="10" t="s">
        <v>4069</v>
      </c>
      <c r="C128" s="10" t="s">
        <v>4070</v>
      </c>
      <c r="D128" s="10" t="s">
        <v>51</v>
      </c>
      <c r="E128" s="10" t="s">
        <v>4025</v>
      </c>
      <c r="F128" s="10" t="s">
        <v>50</v>
      </c>
      <c r="G128" s="10" t="s">
        <v>51</v>
      </c>
      <c r="H128" s="10" t="s">
        <v>51</v>
      </c>
      <c r="I128" s="10" t="s">
        <v>4026</v>
      </c>
      <c r="J128" s="10" t="s">
        <v>4050</v>
      </c>
      <c r="K128" s="10" t="s">
        <v>51</v>
      </c>
      <c r="L128" s="10" t="s">
        <v>1529</v>
      </c>
      <c r="M128" s="157"/>
      <c r="N128" s="157"/>
      <c r="O128" s="157"/>
      <c r="P128" s="97"/>
    </row>
    <row r="129" spans="1:17" ht="38.25" x14ac:dyDescent="0.25">
      <c r="A129" s="276" t="s">
        <v>231</v>
      </c>
      <c r="B129" s="10" t="s">
        <v>4069</v>
      </c>
      <c r="C129" s="10" t="s">
        <v>4159</v>
      </c>
      <c r="D129" s="10" t="s">
        <v>50</v>
      </c>
      <c r="E129" s="10" t="s">
        <v>4031</v>
      </c>
      <c r="F129" s="10" t="s">
        <v>50</v>
      </c>
      <c r="G129" s="276" t="s">
        <v>50</v>
      </c>
      <c r="H129" s="276" t="s">
        <v>51</v>
      </c>
      <c r="I129" s="276" t="s">
        <v>4071</v>
      </c>
      <c r="J129" s="276" t="s">
        <v>4050</v>
      </c>
      <c r="K129" s="276" t="s">
        <v>50</v>
      </c>
      <c r="L129" s="276" t="s">
        <v>1529</v>
      </c>
      <c r="M129" s="271" t="s">
        <v>4286</v>
      </c>
      <c r="N129" s="271" t="s">
        <v>4287</v>
      </c>
      <c r="O129" s="271" t="s">
        <v>4288</v>
      </c>
      <c r="P129" s="99"/>
      <c r="Q129" s="278" t="s">
        <v>50</v>
      </c>
    </row>
    <row r="130" spans="1:17" ht="30" hidden="1" x14ac:dyDescent="0.25">
      <c r="A130" s="10" t="s">
        <v>4289</v>
      </c>
      <c r="B130" s="10" t="s">
        <v>4069</v>
      </c>
      <c r="C130" s="10" t="s">
        <v>4159</v>
      </c>
      <c r="D130" s="10" t="s">
        <v>50</v>
      </c>
      <c r="E130" s="10" t="s">
        <v>4096</v>
      </c>
      <c r="F130" s="10" t="s">
        <v>50</v>
      </c>
      <c r="G130" s="10" t="s">
        <v>50</v>
      </c>
      <c r="H130" s="10" t="s">
        <v>51</v>
      </c>
      <c r="I130" s="10" t="s">
        <v>4071</v>
      </c>
      <c r="J130" s="10" t="s">
        <v>4050</v>
      </c>
      <c r="K130" s="10" t="s">
        <v>50</v>
      </c>
      <c r="L130" s="10" t="s">
        <v>1529</v>
      </c>
      <c r="M130" s="161" t="s">
        <v>4290</v>
      </c>
      <c r="N130" s="161" t="s">
        <v>4084</v>
      </c>
      <c r="O130" s="161" t="s">
        <v>4291</v>
      </c>
      <c r="P130" s="99"/>
    </row>
    <row r="131" spans="1:17" ht="25.5" hidden="1" x14ac:dyDescent="0.25">
      <c r="A131" s="10" t="s">
        <v>4292</v>
      </c>
      <c r="B131" s="10" t="s">
        <v>4069</v>
      </c>
      <c r="C131" s="10" t="s">
        <v>4075</v>
      </c>
      <c r="D131" s="10" t="s">
        <v>50</v>
      </c>
      <c r="E131" s="10" t="s">
        <v>4096</v>
      </c>
      <c r="F131" s="10" t="s">
        <v>50</v>
      </c>
      <c r="G131" s="10" t="s">
        <v>50</v>
      </c>
      <c r="H131" s="10" t="s">
        <v>51</v>
      </c>
      <c r="I131" s="10" t="s">
        <v>4071</v>
      </c>
      <c r="J131" s="10" t="s">
        <v>4050</v>
      </c>
      <c r="K131" s="10" t="s">
        <v>50</v>
      </c>
      <c r="L131" s="10" t="s">
        <v>1529</v>
      </c>
      <c r="M131" s="17" t="s">
        <v>4076</v>
      </c>
      <c r="N131" s="17" t="s">
        <v>4076</v>
      </c>
      <c r="O131" s="17" t="s">
        <v>4076</v>
      </c>
      <c r="P131" s="99"/>
    </row>
    <row r="132" spans="1:17" ht="30" hidden="1" x14ac:dyDescent="0.25">
      <c r="A132" s="10" t="s">
        <v>4293</v>
      </c>
      <c r="B132" s="10" t="s">
        <v>4069</v>
      </c>
      <c r="C132" s="10" t="s">
        <v>4080</v>
      </c>
      <c r="D132" s="10" t="s">
        <v>50</v>
      </c>
      <c r="E132" s="10" t="s">
        <v>4096</v>
      </c>
      <c r="F132" s="10" t="s">
        <v>50</v>
      </c>
      <c r="G132" s="10" t="s">
        <v>50</v>
      </c>
      <c r="H132" s="10" t="s">
        <v>51</v>
      </c>
      <c r="I132" s="10" t="s">
        <v>4071</v>
      </c>
      <c r="J132" s="10" t="s">
        <v>4032</v>
      </c>
      <c r="K132" s="10" t="s">
        <v>50</v>
      </c>
      <c r="L132" s="10" t="s">
        <v>1529</v>
      </c>
      <c r="M132" s="17" t="s">
        <v>4076</v>
      </c>
      <c r="N132" s="17" t="s">
        <v>4076</v>
      </c>
      <c r="O132" s="17" t="s">
        <v>4076</v>
      </c>
      <c r="P132" s="99"/>
    </row>
    <row r="133" spans="1:17" ht="45" hidden="1" x14ac:dyDescent="0.25">
      <c r="A133" s="10" t="s">
        <v>4294</v>
      </c>
      <c r="B133" s="10" t="s">
        <v>4069</v>
      </c>
      <c r="C133" s="10" t="s">
        <v>4080</v>
      </c>
      <c r="D133" s="10" t="s">
        <v>50</v>
      </c>
      <c r="E133" s="10" t="s">
        <v>4031</v>
      </c>
      <c r="F133" s="10" t="s">
        <v>50</v>
      </c>
      <c r="G133" s="10" t="s">
        <v>50</v>
      </c>
      <c r="H133" s="10" t="s">
        <v>51</v>
      </c>
      <c r="I133" s="10" t="s">
        <v>4071</v>
      </c>
      <c r="J133" s="10" t="s">
        <v>4032</v>
      </c>
      <c r="K133" s="10" t="s">
        <v>50</v>
      </c>
      <c r="L133" s="10" t="s">
        <v>1529</v>
      </c>
      <c r="M133" s="17" t="s">
        <v>4076</v>
      </c>
      <c r="N133" s="17" t="s">
        <v>4076</v>
      </c>
      <c r="O133" s="17" t="s">
        <v>4076</v>
      </c>
      <c r="P133" s="99"/>
    </row>
    <row r="134" spans="1:17" ht="30" hidden="1" x14ac:dyDescent="0.25">
      <c r="A134" s="10" t="s">
        <v>4295</v>
      </c>
      <c r="B134" s="10" t="s">
        <v>4100</v>
      </c>
      <c r="C134" s="10" t="s">
        <v>407</v>
      </c>
      <c r="D134" s="10" t="s">
        <v>51</v>
      </c>
      <c r="E134" s="10" t="s">
        <v>4025</v>
      </c>
      <c r="F134" s="10" t="s">
        <v>50</v>
      </c>
      <c r="G134" s="10" t="s">
        <v>50</v>
      </c>
      <c r="H134" s="10" t="s">
        <v>51</v>
      </c>
      <c r="I134" s="10" t="s">
        <v>4026</v>
      </c>
      <c r="J134" s="10" t="s">
        <v>4050</v>
      </c>
      <c r="K134" s="10" t="s">
        <v>51</v>
      </c>
      <c r="L134" s="10" t="s">
        <v>1529</v>
      </c>
      <c r="M134" s="16" t="s">
        <v>4296</v>
      </c>
      <c r="N134" s="16" t="s">
        <v>4297</v>
      </c>
      <c r="O134" s="16" t="s">
        <v>4269</v>
      </c>
      <c r="P134" s="99"/>
    </row>
    <row r="135" spans="1:17" ht="30" hidden="1" x14ac:dyDescent="0.25">
      <c r="A135" s="10" t="s">
        <v>4298</v>
      </c>
      <c r="B135" s="10" t="s">
        <v>4100</v>
      </c>
      <c r="C135" s="10" t="s">
        <v>407</v>
      </c>
      <c r="D135" s="10" t="s">
        <v>50</v>
      </c>
      <c r="E135" s="10" t="s">
        <v>4031</v>
      </c>
      <c r="F135" s="10" t="s">
        <v>51</v>
      </c>
      <c r="G135" s="10" t="s">
        <v>50</v>
      </c>
      <c r="H135" s="10" t="s">
        <v>51</v>
      </c>
      <c r="I135" s="10" t="s">
        <v>4026</v>
      </c>
      <c r="J135" s="10" t="s">
        <v>4027</v>
      </c>
      <c r="K135" s="10" t="s">
        <v>50</v>
      </c>
      <c r="L135" s="10" t="s">
        <v>4065</v>
      </c>
      <c r="M135" s="20" t="s">
        <v>4076</v>
      </c>
      <c r="N135" s="20" t="s">
        <v>4076</v>
      </c>
      <c r="O135" s="20" t="s">
        <v>4076</v>
      </c>
      <c r="P135" s="99"/>
    </row>
    <row r="136" spans="1:17" ht="63.75" hidden="1" x14ac:dyDescent="0.25">
      <c r="A136" s="10" t="s">
        <v>4299</v>
      </c>
      <c r="B136" s="10" t="s">
        <v>4100</v>
      </c>
      <c r="C136" s="10" t="s">
        <v>407</v>
      </c>
      <c r="D136" s="10" t="s">
        <v>50</v>
      </c>
      <c r="E136" s="10" t="s">
        <v>4031</v>
      </c>
      <c r="F136" s="10" t="s">
        <v>50</v>
      </c>
      <c r="G136" s="10" t="s">
        <v>50</v>
      </c>
      <c r="H136" s="10" t="s">
        <v>51</v>
      </c>
      <c r="I136" s="10" t="s">
        <v>4026</v>
      </c>
      <c r="J136" s="10" t="s">
        <v>4050</v>
      </c>
      <c r="K136" s="10" t="s">
        <v>50</v>
      </c>
      <c r="L136" s="10" t="s">
        <v>1529</v>
      </c>
      <c r="M136" s="16" t="s">
        <v>4300</v>
      </c>
      <c r="N136" s="16" t="s">
        <v>4301</v>
      </c>
      <c r="O136" s="16" t="s">
        <v>4302</v>
      </c>
      <c r="P136" s="99"/>
    </row>
    <row r="137" spans="1:17" ht="45" hidden="1" x14ac:dyDescent="0.25">
      <c r="A137" s="10" t="s">
        <v>4303</v>
      </c>
      <c r="B137" s="10" t="s">
        <v>4100</v>
      </c>
      <c r="C137" s="10" t="s">
        <v>407</v>
      </c>
      <c r="D137" s="10" t="s">
        <v>50</v>
      </c>
      <c r="E137" s="10" t="s">
        <v>4031</v>
      </c>
      <c r="F137" s="10" t="s">
        <v>50</v>
      </c>
      <c r="G137" s="10" t="s">
        <v>50</v>
      </c>
      <c r="H137" s="10" t="s">
        <v>51</v>
      </c>
      <c r="I137" s="10" t="s">
        <v>4097</v>
      </c>
      <c r="J137" s="10" t="s">
        <v>4050</v>
      </c>
      <c r="K137" s="10" t="s">
        <v>50</v>
      </c>
      <c r="L137" s="10" t="s">
        <v>1529</v>
      </c>
      <c r="M137" s="158" t="s">
        <v>4076</v>
      </c>
      <c r="N137" s="158" t="s">
        <v>4076</v>
      </c>
      <c r="O137" s="158" t="s">
        <v>4076</v>
      </c>
      <c r="P137" s="99"/>
    </row>
    <row r="138" spans="1:17" ht="38.25" x14ac:dyDescent="0.25">
      <c r="A138" s="276" t="s">
        <v>256</v>
      </c>
      <c r="B138" s="10" t="s">
        <v>4100</v>
      </c>
      <c r="C138" s="10" t="s">
        <v>407</v>
      </c>
      <c r="D138" s="10" t="s">
        <v>50</v>
      </c>
      <c r="E138" s="10" t="s">
        <v>4031</v>
      </c>
      <c r="F138" s="10" t="s">
        <v>50</v>
      </c>
      <c r="G138" s="276" t="s">
        <v>50</v>
      </c>
      <c r="H138" s="276" t="s">
        <v>51</v>
      </c>
      <c r="I138" s="276" t="s">
        <v>4097</v>
      </c>
      <c r="J138" s="276" t="s">
        <v>4050</v>
      </c>
      <c r="K138" s="276" t="s">
        <v>50</v>
      </c>
      <c r="L138" s="277" t="s">
        <v>4065</v>
      </c>
      <c r="M138" s="271" t="str">
        <f>"Perform jacket heater hose replacement on " &amp; zSelectedEquipment &amp; "."</f>
        <v>Perform jacket heater hose replacement on G104-Gen-B.</v>
      </c>
      <c r="N138" s="271" t="str">
        <f>IF(RIGHT(LEFT(zSelectedEquipment, 7), 5)="House", "Generator will be offline temporarily during this service with no redundancy.", "Primary generator will be offline temporarily during this service. Redundant generator to remain available.")</f>
        <v>Primary generator will be offline temporarily during this service. Redundant generator to remain available.</v>
      </c>
      <c r="O138" s="271" t="str">
        <f>IF(RIGHT(LEFT(zSelectedEquipment, 7), 5)="House", "All receptacles, lighting etc, will be impacted in case of an outage, as generator will be offline. Non-UPS or failed UPSs will result in equipment loss in the POP rooms.", "No immediate impact to customer load. If no redundant generator is available, single corded equipment will be lost in the event of a power failure that depletes the UPS batteries.")</f>
        <v>No immediate impact to customer load. If no redundant generator is available, single corded equipment will be lost in the event of a power failure that depletes the UPS batteries.</v>
      </c>
      <c r="P138" s="99"/>
      <c r="Q138" s="278" t="s">
        <v>50</v>
      </c>
    </row>
    <row r="139" spans="1:17" ht="38.25" x14ac:dyDescent="0.25">
      <c r="A139" s="276" t="s">
        <v>208</v>
      </c>
      <c r="B139" s="10" t="s">
        <v>4100</v>
      </c>
      <c r="C139" s="10" t="s">
        <v>407</v>
      </c>
      <c r="D139" s="10" t="s">
        <v>50</v>
      </c>
      <c r="E139" s="10" t="s">
        <v>4031</v>
      </c>
      <c r="F139" s="10" t="s">
        <v>50</v>
      </c>
      <c r="G139" s="276" t="s">
        <v>50</v>
      </c>
      <c r="H139" s="276" t="s">
        <v>51</v>
      </c>
      <c r="I139" s="276" t="str">
        <f>IF(RIGHT(LEFT(zSelectedEquipment, 7), 5)="House", "Critical", "Low")</f>
        <v>Low</v>
      </c>
      <c r="J139" s="276" t="s">
        <v>4050</v>
      </c>
      <c r="K139" s="276" t="s">
        <v>50</v>
      </c>
      <c r="L139" s="276" t="s">
        <v>1529</v>
      </c>
      <c r="M139" s="271" t="str">
        <f>"Perform generator annual preventative maintenance on " &amp; zSelectedEquipment &amp; "."</f>
        <v>Perform generator annual preventative maintenance on G104-Gen-B.</v>
      </c>
      <c r="N139" s="271" t="str">
        <f>IF(RIGHT(LEFT(zSelectedEquipment, 7), 5)="House", "Generator will be offline temporarily during this service with no redundancy.", "Primary generator will be offline temporarily during this service. Redundant generator to remain available.")</f>
        <v>Primary generator will be offline temporarily during this service. Redundant generator to remain available.</v>
      </c>
      <c r="O139" s="271" t="str">
        <f>IF(RIGHT(LEFT(zSelectedEquipment, 7), 5)="House", "All receptacles, lighting etc, will be impacted in case of an outage, as generator will be offline. Non-UPS or failed UPSs will result in equipment loss in the POP rooms.", "No immediate impact to customer load. If no redundant generator is available, single corded equipment will be lost in the event of a power failure that depletes the UPS batteries.")</f>
        <v>No immediate impact to customer load. If no redundant generator is available, single corded equipment will be lost in the event of a power failure that depletes the UPS batteries.</v>
      </c>
      <c r="P139" s="99"/>
      <c r="Q139" s="278" t="s">
        <v>50</v>
      </c>
    </row>
    <row r="140" spans="1:17" ht="30" hidden="1" x14ac:dyDescent="0.25">
      <c r="A140" s="10" t="s">
        <v>4304</v>
      </c>
      <c r="B140" s="10" t="s">
        <v>4100</v>
      </c>
      <c r="C140" s="10" t="s">
        <v>407</v>
      </c>
      <c r="D140" s="10" t="s">
        <v>50</v>
      </c>
      <c r="E140" s="10" t="s">
        <v>4031</v>
      </c>
      <c r="F140" s="10" t="s">
        <v>50</v>
      </c>
      <c r="G140" s="10" t="s">
        <v>50</v>
      </c>
      <c r="H140" s="10" t="s">
        <v>51</v>
      </c>
      <c r="I140" s="10" t="s">
        <v>4097</v>
      </c>
      <c r="J140" s="10" t="s">
        <v>4050</v>
      </c>
      <c r="K140" s="10" t="s">
        <v>50</v>
      </c>
      <c r="L140" s="10" t="s">
        <v>1529</v>
      </c>
      <c r="M140" s="35" t="s">
        <v>4142</v>
      </c>
      <c r="N140" s="162" t="s">
        <v>4142</v>
      </c>
      <c r="O140" s="162" t="s">
        <v>4142</v>
      </c>
      <c r="P140" s="99"/>
    </row>
    <row r="141" spans="1:17" ht="38.25" x14ac:dyDescent="0.25">
      <c r="A141" s="276" t="s">
        <v>35</v>
      </c>
      <c r="B141" s="10" t="s">
        <v>4100</v>
      </c>
      <c r="C141" s="10" t="s">
        <v>407</v>
      </c>
      <c r="D141" s="10" t="s">
        <v>50</v>
      </c>
      <c r="E141" s="10" t="s">
        <v>4031</v>
      </c>
      <c r="F141" s="10" t="s">
        <v>50</v>
      </c>
      <c r="G141" s="276" t="s">
        <v>50</v>
      </c>
      <c r="H141" s="276" t="s">
        <v>51</v>
      </c>
      <c r="I141" s="276" t="str">
        <f>IF(RIGHT(LEFT(zSelectedEquipment, 7), 5)="House", "Critical", "Low")</f>
        <v>Low</v>
      </c>
      <c r="J141" s="276" t="s">
        <v>4050</v>
      </c>
      <c r="K141" s="276" t="s">
        <v>50</v>
      </c>
      <c r="L141" s="277" t="s">
        <v>4065</v>
      </c>
      <c r="M141" s="271" t="str">
        <f>"Perform generator semi-annual preventative maintenance on " &amp; zSelectedEquipment &amp; "."</f>
        <v>Perform generator semi-annual preventative maintenance on G104-Gen-B.</v>
      </c>
      <c r="N141" s="271" t="str">
        <f>IF(RIGHT(LEFT(zSelectedEquipment, 7), 5)="House", "Generator will be offline temporarily during this service with no redundancy.", "Primary generator will be offline temporarily during this service. Redundant generator to remain available.")</f>
        <v>Primary generator will be offline temporarily during this service. Redundant generator to remain available.</v>
      </c>
      <c r="O141" s="271" t="str">
        <f>IF(RIGHT(LEFT(zSelectedEquipment, 7), 5)="House", "All receptacles, lighting etc, will be impacted in case of an outage, as generator will be offline. Non-UPS or failed UPSs will result in equipment loss in the POP rooms.", "No immediate impact to customer load. If no redundant generator is available, single corded equipment will be lost in the event of a power failure that depletes the UPS batteries.")</f>
        <v>No immediate impact to customer load. If no redundant generator is available, single corded equipment will be lost in the event of a power failure that depletes the UPS batteries.</v>
      </c>
      <c r="P141" s="99"/>
      <c r="Q141" s="278" t="s">
        <v>50</v>
      </c>
    </row>
    <row r="142" spans="1:17" ht="30" hidden="1" x14ac:dyDescent="0.25">
      <c r="A142" s="10" t="s">
        <v>4305</v>
      </c>
      <c r="B142" s="10" t="s">
        <v>4023</v>
      </c>
      <c r="C142" s="10" t="s">
        <v>4024</v>
      </c>
      <c r="D142" s="10" t="s">
        <v>51</v>
      </c>
      <c r="E142" s="10" t="s">
        <v>4025</v>
      </c>
      <c r="F142" s="10" t="s">
        <v>51</v>
      </c>
      <c r="G142" s="10" t="s">
        <v>51</v>
      </c>
      <c r="H142" s="10" t="s">
        <v>51</v>
      </c>
      <c r="I142" s="10" t="s">
        <v>4026</v>
      </c>
      <c r="J142" s="10" t="s">
        <v>4027</v>
      </c>
      <c r="K142" s="10" t="s">
        <v>51</v>
      </c>
      <c r="L142" s="10" t="s">
        <v>1529</v>
      </c>
      <c r="N142" s="39"/>
      <c r="O142" s="39"/>
      <c r="P142" s="97"/>
    </row>
    <row r="143" spans="1:17" ht="30" hidden="1" x14ac:dyDescent="0.25">
      <c r="A143" s="10" t="s">
        <v>4306</v>
      </c>
      <c r="B143" s="10" t="s">
        <v>4048</v>
      </c>
      <c r="C143" s="10" t="s">
        <v>4202</v>
      </c>
      <c r="D143" s="10" t="s">
        <v>51</v>
      </c>
      <c r="E143" s="10" t="s">
        <v>4025</v>
      </c>
      <c r="F143" s="10" t="s">
        <v>50</v>
      </c>
      <c r="G143" s="10" t="s">
        <v>51</v>
      </c>
      <c r="H143" s="10" t="s">
        <v>51</v>
      </c>
      <c r="I143" s="10" t="s">
        <v>4026</v>
      </c>
      <c r="J143" s="10" t="s">
        <v>4050</v>
      </c>
      <c r="K143" s="10" t="s">
        <v>51</v>
      </c>
      <c r="L143" s="10" t="s">
        <v>1529</v>
      </c>
      <c r="M143" s="30"/>
      <c r="N143" s="30"/>
      <c r="O143" s="30"/>
      <c r="P143" s="97"/>
    </row>
    <row r="144" spans="1:17" ht="76.5" hidden="1" x14ac:dyDescent="0.25">
      <c r="A144" s="10" t="s">
        <v>4307</v>
      </c>
      <c r="B144" s="10" t="s">
        <v>4048</v>
      </c>
      <c r="C144" s="10" t="s">
        <v>4308</v>
      </c>
      <c r="D144" s="10" t="s">
        <v>50</v>
      </c>
      <c r="E144" s="10" t="s">
        <v>4031</v>
      </c>
      <c r="F144" s="10" t="s">
        <v>50</v>
      </c>
      <c r="G144" s="10" t="s">
        <v>50</v>
      </c>
      <c r="H144" s="10" t="s">
        <v>51</v>
      </c>
      <c r="I144" s="10" t="s">
        <v>4026</v>
      </c>
      <c r="J144" s="10" t="s">
        <v>4050</v>
      </c>
      <c r="K144" s="10" t="s">
        <v>51</v>
      </c>
      <c r="L144" s="10" t="s">
        <v>1529</v>
      </c>
      <c r="M144" s="18" t="s">
        <v>4309</v>
      </c>
      <c r="N144" s="16" t="s">
        <v>4136</v>
      </c>
      <c r="O144" s="16" t="s">
        <v>4310</v>
      </c>
      <c r="P144" s="99"/>
    </row>
    <row r="145" spans="1:17" ht="45" hidden="1" x14ac:dyDescent="0.25">
      <c r="A145" s="10" t="s">
        <v>4311</v>
      </c>
      <c r="B145" s="10" t="s">
        <v>4048</v>
      </c>
      <c r="C145" s="10" t="s">
        <v>4308</v>
      </c>
      <c r="D145" s="10" t="s">
        <v>50</v>
      </c>
      <c r="E145" s="10" t="s">
        <v>4031</v>
      </c>
      <c r="F145" s="10" t="s">
        <v>50</v>
      </c>
      <c r="G145" s="10" t="s">
        <v>50</v>
      </c>
      <c r="H145" s="10" t="s">
        <v>51</v>
      </c>
      <c r="I145" s="10" t="s">
        <v>4071</v>
      </c>
      <c r="J145" s="10" t="s">
        <v>4050</v>
      </c>
      <c r="K145" s="10" t="s">
        <v>50</v>
      </c>
      <c r="L145" s="10" t="s">
        <v>1529</v>
      </c>
      <c r="M145" s="35" t="s">
        <v>4142</v>
      </c>
      <c r="N145" s="19" t="s">
        <v>4142</v>
      </c>
      <c r="O145" s="19" t="s">
        <v>4142</v>
      </c>
      <c r="P145" s="99"/>
    </row>
    <row r="146" spans="1:17" hidden="1" x14ac:dyDescent="0.25">
      <c r="A146" s="10" t="s">
        <v>4312</v>
      </c>
      <c r="B146" s="10" t="s">
        <v>4023</v>
      </c>
      <c r="C146" s="10" t="s">
        <v>4029</v>
      </c>
      <c r="D146" s="10" t="s">
        <v>51</v>
      </c>
      <c r="E146" s="10" t="s">
        <v>4025</v>
      </c>
      <c r="F146" s="10" t="s">
        <v>51</v>
      </c>
      <c r="G146" s="10" t="s">
        <v>51</v>
      </c>
      <c r="H146" s="10" t="s">
        <v>51</v>
      </c>
      <c r="I146" s="10" t="s">
        <v>4026</v>
      </c>
      <c r="J146" s="10" t="s">
        <v>4027</v>
      </c>
      <c r="K146" s="10" t="s">
        <v>51</v>
      </c>
      <c r="L146" s="10" t="s">
        <v>1529</v>
      </c>
    </row>
    <row r="147" spans="1:17" ht="25.5" hidden="1" x14ac:dyDescent="0.25">
      <c r="A147" s="10" t="s">
        <v>4313</v>
      </c>
      <c r="B147" s="10" t="s">
        <v>4048</v>
      </c>
      <c r="C147" s="10" t="s">
        <v>4314</v>
      </c>
      <c r="D147" s="10" t="s">
        <v>50</v>
      </c>
      <c r="E147" s="10" t="s">
        <v>4031</v>
      </c>
      <c r="F147" s="10" t="s">
        <v>50</v>
      </c>
      <c r="G147" s="10" t="s">
        <v>50</v>
      </c>
      <c r="H147" s="10" t="s">
        <v>51</v>
      </c>
      <c r="I147" s="10" t="s">
        <v>4026</v>
      </c>
      <c r="J147" s="10" t="s">
        <v>4050</v>
      </c>
      <c r="K147" s="10" t="s">
        <v>50</v>
      </c>
      <c r="L147" s="10" t="s">
        <v>1529</v>
      </c>
      <c r="M147" s="36" t="s">
        <v>4076</v>
      </c>
      <c r="N147" s="36" t="s">
        <v>4076</v>
      </c>
      <c r="O147" s="36" t="s">
        <v>4076</v>
      </c>
      <c r="P147" s="99"/>
    </row>
    <row r="148" spans="1:17" ht="25.5" hidden="1" x14ac:dyDescent="0.25">
      <c r="A148" s="10" t="s">
        <v>4315</v>
      </c>
      <c r="B148" s="10" t="s">
        <v>4048</v>
      </c>
      <c r="C148" s="10" t="s">
        <v>4314</v>
      </c>
      <c r="D148" s="10" t="s">
        <v>50</v>
      </c>
      <c r="E148" s="10" t="s">
        <v>4096</v>
      </c>
      <c r="F148" s="10" t="s">
        <v>50</v>
      </c>
      <c r="G148" s="10" t="s">
        <v>50</v>
      </c>
      <c r="H148" s="10" t="s">
        <v>51</v>
      </c>
      <c r="I148" s="10" t="s">
        <v>4026</v>
      </c>
      <c r="J148" s="10" t="s">
        <v>4050</v>
      </c>
      <c r="K148" s="10" t="s">
        <v>50</v>
      </c>
      <c r="L148" s="10" t="s">
        <v>1529</v>
      </c>
      <c r="M148" s="36" t="s">
        <v>4076</v>
      </c>
      <c r="N148" s="36" t="s">
        <v>4076</v>
      </c>
      <c r="O148" s="36" t="s">
        <v>4076</v>
      </c>
      <c r="P148" s="99"/>
    </row>
    <row r="149" spans="1:17" ht="30" hidden="1" x14ac:dyDescent="0.25">
      <c r="A149" s="10" t="s">
        <v>4316</v>
      </c>
      <c r="B149" s="10" t="s">
        <v>4069</v>
      </c>
      <c r="C149" s="10" t="s">
        <v>4078</v>
      </c>
      <c r="D149" s="10" t="s">
        <v>50</v>
      </c>
      <c r="E149" s="10" t="s">
        <v>4031</v>
      </c>
      <c r="F149" s="10" t="s">
        <v>50</v>
      </c>
      <c r="G149" s="10" t="s">
        <v>50</v>
      </c>
      <c r="H149" s="10" t="s">
        <v>51</v>
      </c>
      <c r="I149" s="10" t="s">
        <v>4071</v>
      </c>
      <c r="J149" s="10" t="s">
        <v>4050</v>
      </c>
      <c r="K149" s="10" t="s">
        <v>50</v>
      </c>
      <c r="L149" s="10" t="s">
        <v>1529</v>
      </c>
      <c r="M149" s="36" t="s">
        <v>4076</v>
      </c>
      <c r="N149" s="36" t="s">
        <v>4076</v>
      </c>
      <c r="O149" s="36" t="s">
        <v>4076</v>
      </c>
      <c r="P149" s="99"/>
    </row>
    <row r="150" spans="1:17" ht="30" hidden="1" x14ac:dyDescent="0.25">
      <c r="A150" s="10" t="s">
        <v>4317</v>
      </c>
      <c r="B150" s="10" t="s">
        <v>4069</v>
      </c>
      <c r="C150" s="10" t="s">
        <v>4078</v>
      </c>
      <c r="D150" s="10" t="s">
        <v>50</v>
      </c>
      <c r="E150" s="10" t="s">
        <v>4096</v>
      </c>
      <c r="F150" s="10" t="s">
        <v>50</v>
      </c>
      <c r="G150" s="10" t="s">
        <v>50</v>
      </c>
      <c r="H150" s="10" t="s">
        <v>51</v>
      </c>
      <c r="I150" s="10" t="s">
        <v>4071</v>
      </c>
      <c r="J150" s="10" t="s">
        <v>4032</v>
      </c>
      <c r="K150" s="10" t="s">
        <v>50</v>
      </c>
      <c r="L150" s="10" t="s">
        <v>1529</v>
      </c>
      <c r="M150" s="158" t="s">
        <v>4076</v>
      </c>
      <c r="N150" s="158" t="s">
        <v>4076</v>
      </c>
      <c r="O150" s="158" t="s">
        <v>4076</v>
      </c>
      <c r="P150" s="99"/>
    </row>
    <row r="151" spans="1:17" ht="102" x14ac:dyDescent="0.25">
      <c r="A151" s="276" t="s">
        <v>220</v>
      </c>
      <c r="B151" s="10" t="s">
        <v>4048</v>
      </c>
      <c r="C151" s="10" t="s">
        <v>4318</v>
      </c>
      <c r="D151" s="10" t="s">
        <v>51</v>
      </c>
      <c r="E151" s="10" t="s">
        <v>4025</v>
      </c>
      <c r="F151" s="10" t="s">
        <v>50</v>
      </c>
      <c r="G151" s="276" t="s">
        <v>50</v>
      </c>
      <c r="H151" s="276" t="s">
        <v>51</v>
      </c>
      <c r="I151" s="276" t="s">
        <v>4026</v>
      </c>
      <c r="J151" s="276" t="s">
        <v>4050</v>
      </c>
      <c r="K151" s="276" t="s">
        <v>50</v>
      </c>
      <c r="L151" s="276" t="s">
        <v>1529</v>
      </c>
      <c r="M151" s="271" t="s">
        <v>4319</v>
      </c>
      <c r="N151" s="271" t="s">
        <v>4320</v>
      </c>
      <c r="O151" s="271" t="s">
        <v>4321</v>
      </c>
      <c r="P151" s="99"/>
      <c r="Q151" s="278" t="s">
        <v>50</v>
      </c>
    </row>
    <row r="152" spans="1:17" ht="30" hidden="1" x14ac:dyDescent="0.25">
      <c r="A152" s="10" t="s">
        <v>4322</v>
      </c>
      <c r="B152" s="10" t="s">
        <v>4023</v>
      </c>
      <c r="C152" s="10" t="s">
        <v>4024</v>
      </c>
      <c r="D152" s="10" t="s">
        <v>51</v>
      </c>
      <c r="E152" s="10" t="s">
        <v>4025</v>
      </c>
      <c r="F152" s="10" t="s">
        <v>51</v>
      </c>
      <c r="G152" s="10" t="s">
        <v>51</v>
      </c>
      <c r="H152" s="10" t="s">
        <v>51</v>
      </c>
      <c r="I152" s="10" t="s">
        <v>4026</v>
      </c>
      <c r="J152" s="10" t="s">
        <v>4027</v>
      </c>
      <c r="K152" s="10" t="s">
        <v>51</v>
      </c>
      <c r="L152" s="10" t="s">
        <v>1529</v>
      </c>
      <c r="M152" s="39"/>
      <c r="N152" s="39"/>
      <c r="O152" s="39"/>
      <c r="P152" s="97"/>
    </row>
    <row r="153" spans="1:17" hidden="1" x14ac:dyDescent="0.25">
      <c r="A153" s="10" t="s">
        <v>4323</v>
      </c>
      <c r="B153" s="10" t="s">
        <v>4100</v>
      </c>
      <c r="C153" s="10" t="s">
        <v>4324</v>
      </c>
      <c r="D153" s="10" t="s">
        <v>50</v>
      </c>
      <c r="E153" s="10" t="s">
        <v>4096</v>
      </c>
      <c r="F153" s="10" t="s">
        <v>50</v>
      </c>
      <c r="G153" s="10" t="s">
        <v>50</v>
      </c>
      <c r="H153" s="10" t="s">
        <v>50</v>
      </c>
      <c r="I153" s="10" t="s">
        <v>4097</v>
      </c>
      <c r="J153" s="10" t="s">
        <v>4032</v>
      </c>
      <c r="K153" s="10" t="s">
        <v>50</v>
      </c>
      <c r="L153" s="10" t="s">
        <v>1529</v>
      </c>
      <c r="M153" s="30"/>
      <c r="N153" s="30"/>
      <c r="O153" s="30"/>
      <c r="P153" s="97"/>
    </row>
    <row r="154" spans="1:17" ht="45" hidden="1" x14ac:dyDescent="0.25">
      <c r="A154" s="10" t="s">
        <v>4325</v>
      </c>
      <c r="B154" s="10" t="s">
        <v>4094</v>
      </c>
      <c r="C154" s="10" t="s">
        <v>4095</v>
      </c>
      <c r="D154" s="10" t="s">
        <v>50</v>
      </c>
      <c r="E154" s="10" t="s">
        <v>4096</v>
      </c>
      <c r="F154" s="10" t="s">
        <v>50</v>
      </c>
      <c r="G154" s="10" t="s">
        <v>50</v>
      </c>
      <c r="H154" s="10" t="s">
        <v>51</v>
      </c>
      <c r="I154" s="10" t="s">
        <v>4071</v>
      </c>
      <c r="J154" s="10" t="s">
        <v>4032</v>
      </c>
      <c r="K154" s="10" t="s">
        <v>51</v>
      </c>
      <c r="L154" s="10" t="s">
        <v>1529</v>
      </c>
      <c r="M154" s="16" t="s">
        <v>4326</v>
      </c>
      <c r="N154" s="16" t="s">
        <v>4327</v>
      </c>
      <c r="O154" s="16" t="s">
        <v>4328</v>
      </c>
      <c r="P154" s="99"/>
    </row>
    <row r="155" spans="1:17" ht="45" hidden="1" x14ac:dyDescent="0.25">
      <c r="A155" s="10" t="s">
        <v>4329</v>
      </c>
      <c r="B155" s="10" t="s">
        <v>4148</v>
      </c>
      <c r="C155" s="10" t="s">
        <v>4149</v>
      </c>
      <c r="D155" s="10" t="s">
        <v>50</v>
      </c>
      <c r="E155" s="10" t="s">
        <v>4096</v>
      </c>
      <c r="F155" s="10" t="s">
        <v>50</v>
      </c>
      <c r="G155" s="10" t="s">
        <v>50</v>
      </c>
      <c r="H155" s="10" t="s">
        <v>51</v>
      </c>
      <c r="I155" s="10" t="s">
        <v>4026</v>
      </c>
      <c r="J155" s="10" t="s">
        <v>4050</v>
      </c>
      <c r="K155" s="10" t="s">
        <v>51</v>
      </c>
      <c r="L155" s="10" t="s">
        <v>1529</v>
      </c>
      <c r="M155" s="30"/>
      <c r="N155" s="30"/>
      <c r="O155" s="30"/>
      <c r="P155" s="97"/>
    </row>
    <row r="156" spans="1:17" hidden="1" x14ac:dyDescent="0.25">
      <c r="A156" s="10" t="s">
        <v>4330</v>
      </c>
      <c r="B156" s="10" t="s">
        <v>4023</v>
      </c>
      <c r="C156" s="10" t="s">
        <v>4062</v>
      </c>
      <c r="D156" s="10" t="s">
        <v>51</v>
      </c>
      <c r="E156" s="10" t="s">
        <v>4025</v>
      </c>
      <c r="F156" s="10" t="s">
        <v>51</v>
      </c>
      <c r="G156" s="10" t="s">
        <v>51</v>
      </c>
      <c r="H156" s="10" t="s">
        <v>51</v>
      </c>
      <c r="I156" s="10" t="s">
        <v>4026</v>
      </c>
      <c r="J156" s="10" t="s">
        <v>4027</v>
      </c>
      <c r="K156" s="10" t="s">
        <v>51</v>
      </c>
      <c r="L156" s="10" t="s">
        <v>1529</v>
      </c>
    </row>
    <row r="157" spans="1:17" hidden="1" x14ac:dyDescent="0.25">
      <c r="A157" s="10" t="s">
        <v>4331</v>
      </c>
      <c r="B157" s="10" t="s">
        <v>4037</v>
      </c>
      <c r="C157" s="10" t="s">
        <v>4331</v>
      </c>
      <c r="D157" s="10" t="s">
        <v>51</v>
      </c>
      <c r="E157" s="10" t="s">
        <v>4025</v>
      </c>
      <c r="F157" s="10" t="s">
        <v>51</v>
      </c>
      <c r="G157" s="10" t="s">
        <v>51</v>
      </c>
      <c r="H157" s="10" t="s">
        <v>51</v>
      </c>
      <c r="I157" s="10" t="s">
        <v>4026</v>
      </c>
      <c r="J157" s="10" t="s">
        <v>4027</v>
      </c>
      <c r="K157" s="10" t="s">
        <v>51</v>
      </c>
      <c r="L157" s="10" t="s">
        <v>4037</v>
      </c>
    </row>
    <row r="158" spans="1:17" ht="30" hidden="1" x14ac:dyDescent="0.25">
      <c r="A158" s="11" t="s">
        <v>4332</v>
      </c>
      <c r="B158" s="11" t="s">
        <v>4100</v>
      </c>
      <c r="C158" s="11" t="s">
        <v>4114</v>
      </c>
      <c r="D158" s="11" t="s">
        <v>51</v>
      </c>
      <c r="E158" s="10" t="s">
        <v>4025</v>
      </c>
      <c r="F158" s="11" t="s">
        <v>51</v>
      </c>
      <c r="G158" s="11" t="s">
        <v>51</v>
      </c>
      <c r="H158" s="11" t="s">
        <v>51</v>
      </c>
      <c r="I158" s="11" t="s">
        <v>4026</v>
      </c>
      <c r="J158" s="11" t="s">
        <v>4027</v>
      </c>
      <c r="K158" s="11" t="s">
        <v>51</v>
      </c>
      <c r="L158" s="11" t="s">
        <v>4065</v>
      </c>
      <c r="M158" s="30"/>
      <c r="N158" s="30"/>
      <c r="O158" s="30"/>
      <c r="P158" s="97"/>
    </row>
    <row r="159" spans="1:17" ht="30" hidden="1" x14ac:dyDescent="0.25">
      <c r="A159" s="11" t="s">
        <v>4333</v>
      </c>
      <c r="B159" s="11" t="s">
        <v>4100</v>
      </c>
      <c r="C159" s="11" t="s">
        <v>4114</v>
      </c>
      <c r="D159" s="11" t="s">
        <v>50</v>
      </c>
      <c r="E159" s="11" t="s">
        <v>4096</v>
      </c>
      <c r="F159" s="11" t="s">
        <v>50</v>
      </c>
      <c r="G159" s="11" t="s">
        <v>50</v>
      </c>
      <c r="H159" s="11" t="s">
        <v>51</v>
      </c>
      <c r="I159" s="11" t="s">
        <v>4071</v>
      </c>
      <c r="J159" s="11" t="s">
        <v>4027</v>
      </c>
      <c r="K159" s="11" t="s">
        <v>51</v>
      </c>
      <c r="L159" s="11" t="s">
        <v>4065</v>
      </c>
    </row>
    <row r="160" spans="1:17" ht="76.5" hidden="1" x14ac:dyDescent="0.25">
      <c r="A160" s="10" t="s">
        <v>4334</v>
      </c>
      <c r="B160" s="10" t="s">
        <v>4048</v>
      </c>
      <c r="C160" s="10" t="s">
        <v>4167</v>
      </c>
      <c r="D160" s="10" t="s">
        <v>50</v>
      </c>
      <c r="E160" s="10" t="s">
        <v>4031</v>
      </c>
      <c r="F160" s="10" t="s">
        <v>50</v>
      </c>
      <c r="G160" s="10" t="s">
        <v>50</v>
      </c>
      <c r="H160" s="10" t="s">
        <v>51</v>
      </c>
      <c r="I160" s="10" t="s">
        <v>4026</v>
      </c>
      <c r="J160" s="10" t="s">
        <v>4027</v>
      </c>
      <c r="K160" s="10" t="s">
        <v>51</v>
      </c>
      <c r="L160" s="10" t="s">
        <v>1529</v>
      </c>
      <c r="M160" s="18" t="s">
        <v>4335</v>
      </c>
      <c r="N160" s="18" t="s">
        <v>4336</v>
      </c>
      <c r="O160" s="18" t="s">
        <v>4337</v>
      </c>
      <c r="P160" s="99"/>
    </row>
    <row r="161" spans="1:16" ht="76.5" hidden="1" x14ac:dyDescent="0.25">
      <c r="A161" s="10" t="s">
        <v>4338</v>
      </c>
      <c r="B161" s="10" t="s">
        <v>4048</v>
      </c>
      <c r="C161" s="10" t="s">
        <v>4167</v>
      </c>
      <c r="D161" s="10" t="s">
        <v>50</v>
      </c>
      <c r="E161" s="10" t="s">
        <v>4096</v>
      </c>
      <c r="F161" s="10" t="s">
        <v>50</v>
      </c>
      <c r="G161" s="10" t="s">
        <v>50</v>
      </c>
      <c r="H161" s="10" t="s">
        <v>51</v>
      </c>
      <c r="I161" s="10" t="s">
        <v>4026</v>
      </c>
      <c r="J161" s="10" t="s">
        <v>4050</v>
      </c>
      <c r="K161" s="10" t="s">
        <v>51</v>
      </c>
      <c r="L161" s="10" t="s">
        <v>1529</v>
      </c>
      <c r="M161" s="16" t="s">
        <v>4339</v>
      </c>
      <c r="N161" s="16" t="s">
        <v>4336</v>
      </c>
      <c r="O161" s="16" t="s">
        <v>4337</v>
      </c>
      <c r="P161" s="99"/>
    </row>
    <row r="162" spans="1:16" ht="45" hidden="1" x14ac:dyDescent="0.25">
      <c r="A162" s="10" t="s">
        <v>4340</v>
      </c>
      <c r="B162" s="10" t="s">
        <v>4023</v>
      </c>
      <c r="C162" s="10" t="s">
        <v>4029</v>
      </c>
      <c r="D162" s="10" t="s">
        <v>51</v>
      </c>
      <c r="E162" s="10" t="s">
        <v>4025</v>
      </c>
      <c r="F162" s="10" t="s">
        <v>51</v>
      </c>
      <c r="G162" s="10" t="s">
        <v>51</v>
      </c>
      <c r="H162" s="10" t="s">
        <v>51</v>
      </c>
      <c r="I162" s="10" t="s">
        <v>4026</v>
      </c>
      <c r="J162" s="10" t="s">
        <v>4027</v>
      </c>
      <c r="K162" s="10" t="s">
        <v>51</v>
      </c>
      <c r="L162" s="10" t="s">
        <v>1529</v>
      </c>
      <c r="M162" s="30"/>
      <c r="N162" s="30"/>
      <c r="O162" s="30"/>
      <c r="P162" s="97"/>
    </row>
    <row r="163" spans="1:16" hidden="1" x14ac:dyDescent="0.25">
      <c r="A163" s="10" t="s">
        <v>36</v>
      </c>
      <c r="B163" s="10" t="s">
        <v>4100</v>
      </c>
      <c r="C163" s="10" t="s">
        <v>4324</v>
      </c>
      <c r="D163" s="10" t="s">
        <v>50</v>
      </c>
      <c r="E163" s="10" t="s">
        <v>4096</v>
      </c>
      <c r="F163" s="10" t="s">
        <v>50</v>
      </c>
      <c r="G163" s="10" t="s">
        <v>50</v>
      </c>
      <c r="H163" s="10" t="s">
        <v>50</v>
      </c>
      <c r="I163" s="10" t="s">
        <v>4071</v>
      </c>
      <c r="J163" s="10" t="s">
        <v>4050</v>
      </c>
      <c r="K163" s="10" t="s">
        <v>50</v>
      </c>
      <c r="L163" s="10" t="s">
        <v>1529</v>
      </c>
    </row>
    <row r="164" spans="1:16" ht="30" hidden="1" x14ac:dyDescent="0.25">
      <c r="A164" s="10" t="s">
        <v>36</v>
      </c>
      <c r="B164" s="10" t="s">
        <v>4048</v>
      </c>
      <c r="C164" s="10" t="s">
        <v>4341</v>
      </c>
      <c r="D164" s="10" t="s">
        <v>51</v>
      </c>
      <c r="E164" s="10" t="s">
        <v>4031</v>
      </c>
      <c r="F164" s="10" t="s">
        <v>50</v>
      </c>
      <c r="G164" s="10" t="s">
        <v>51</v>
      </c>
      <c r="H164" s="10" t="s">
        <v>51</v>
      </c>
      <c r="I164" s="10" t="s">
        <v>4026</v>
      </c>
      <c r="J164" s="10" t="s">
        <v>4050</v>
      </c>
      <c r="K164" s="10" t="s">
        <v>50</v>
      </c>
      <c r="L164" s="10" t="s">
        <v>1529</v>
      </c>
    </row>
    <row r="165" spans="1:16" ht="30" hidden="1" x14ac:dyDescent="0.25">
      <c r="A165" s="11" t="s">
        <v>4342</v>
      </c>
      <c r="B165" s="12" t="s">
        <v>4048</v>
      </c>
      <c r="C165" s="12" t="s">
        <v>4343</v>
      </c>
      <c r="D165" s="11" t="s">
        <v>50</v>
      </c>
      <c r="E165" s="11" t="s">
        <v>4031</v>
      </c>
      <c r="F165" s="11" t="s">
        <v>50</v>
      </c>
      <c r="G165" s="11" t="s">
        <v>50</v>
      </c>
      <c r="H165" s="11" t="s">
        <v>50</v>
      </c>
      <c r="I165" s="11" t="s">
        <v>4097</v>
      </c>
      <c r="J165" s="11" t="s">
        <v>4050</v>
      </c>
      <c r="K165" s="11" t="s">
        <v>50</v>
      </c>
      <c r="L165" s="11" t="s">
        <v>1529</v>
      </c>
      <c r="M165" s="30"/>
      <c r="N165" s="30"/>
      <c r="O165" s="30"/>
      <c r="P165" s="97"/>
    </row>
    <row r="166" spans="1:16" ht="30" hidden="1" x14ac:dyDescent="0.25">
      <c r="A166" s="11" t="s">
        <v>4344</v>
      </c>
      <c r="B166" s="12" t="s">
        <v>4048</v>
      </c>
      <c r="C166" s="12" t="s">
        <v>4343</v>
      </c>
      <c r="D166" s="11" t="s">
        <v>51</v>
      </c>
      <c r="E166" s="11" t="s">
        <v>4345</v>
      </c>
      <c r="F166" s="11" t="s">
        <v>50</v>
      </c>
      <c r="G166" s="11" t="s">
        <v>50</v>
      </c>
      <c r="H166" s="11" t="s">
        <v>51</v>
      </c>
      <c r="I166" s="11" t="s">
        <v>4026</v>
      </c>
      <c r="J166" s="11" t="s">
        <v>4050</v>
      </c>
      <c r="K166" s="11" t="s">
        <v>4346</v>
      </c>
      <c r="L166" s="11" t="s">
        <v>1529</v>
      </c>
      <c r="O166" s="30"/>
      <c r="P166" s="97"/>
    </row>
    <row r="167" spans="1:16" ht="25.5" hidden="1" x14ac:dyDescent="0.25">
      <c r="A167" s="10" t="s">
        <v>4170</v>
      </c>
      <c r="B167" s="10" t="s">
        <v>4069</v>
      </c>
      <c r="C167" s="10" t="s">
        <v>4170</v>
      </c>
      <c r="D167" s="10" t="s">
        <v>50</v>
      </c>
      <c r="E167" s="10" t="s">
        <v>4096</v>
      </c>
      <c r="F167" s="10" t="s">
        <v>50</v>
      </c>
      <c r="G167" s="10" t="s">
        <v>50</v>
      </c>
      <c r="H167" s="10" t="s">
        <v>51</v>
      </c>
      <c r="I167" s="10" t="s">
        <v>4026</v>
      </c>
      <c r="J167" s="10" t="s">
        <v>4050</v>
      </c>
      <c r="K167" s="10" t="s">
        <v>51</v>
      </c>
      <c r="L167" s="10" t="s">
        <v>1529</v>
      </c>
      <c r="M167" s="18" t="s">
        <v>4347</v>
      </c>
      <c r="N167" s="16" t="s">
        <v>4348</v>
      </c>
      <c r="O167" s="16" t="s">
        <v>4349</v>
      </c>
      <c r="P167" s="99"/>
    </row>
    <row r="168" spans="1:16" ht="38.25" hidden="1" x14ac:dyDescent="0.25">
      <c r="A168" s="10" t="s">
        <v>4350</v>
      </c>
      <c r="B168" s="10" t="s">
        <v>4069</v>
      </c>
      <c r="C168" s="10" t="s">
        <v>4170</v>
      </c>
      <c r="D168" s="10" t="s">
        <v>50</v>
      </c>
      <c r="E168" s="10" t="s">
        <v>4096</v>
      </c>
      <c r="F168" s="10" t="s">
        <v>50</v>
      </c>
      <c r="G168" s="10" t="s">
        <v>50</v>
      </c>
      <c r="H168" s="10" t="s">
        <v>51</v>
      </c>
      <c r="I168" s="10" t="s">
        <v>4071</v>
      </c>
      <c r="J168" s="10" t="s">
        <v>4050</v>
      </c>
      <c r="K168" s="10" t="s">
        <v>50</v>
      </c>
      <c r="L168" s="10" t="s">
        <v>1529</v>
      </c>
      <c r="M168" s="16" t="s">
        <v>4351</v>
      </c>
      <c r="N168" s="16" t="s">
        <v>4352</v>
      </c>
      <c r="O168" s="16" t="s">
        <v>4273</v>
      </c>
      <c r="P168" s="99"/>
    </row>
    <row r="169" spans="1:16" ht="30" hidden="1" x14ac:dyDescent="0.25">
      <c r="A169" s="10" t="s">
        <v>4353</v>
      </c>
      <c r="B169" s="10" t="s">
        <v>4023</v>
      </c>
      <c r="C169" s="10" t="s">
        <v>4062</v>
      </c>
      <c r="D169" s="10" t="s">
        <v>51</v>
      </c>
      <c r="E169" s="10" t="s">
        <v>4025</v>
      </c>
      <c r="F169" s="10" t="s">
        <v>51</v>
      </c>
      <c r="G169" s="10" t="s">
        <v>51</v>
      </c>
      <c r="H169" s="10" t="s">
        <v>51</v>
      </c>
      <c r="I169" s="10" t="s">
        <v>4026</v>
      </c>
      <c r="J169" s="10" t="s">
        <v>4027</v>
      </c>
      <c r="K169" s="10" t="s">
        <v>51</v>
      </c>
      <c r="L169" s="10" t="s">
        <v>1529</v>
      </c>
      <c r="N169" s="30"/>
      <c r="O169" s="30"/>
      <c r="P169" s="97"/>
    </row>
    <row r="170" spans="1:16" ht="30" hidden="1" x14ac:dyDescent="0.25">
      <c r="A170" s="10" t="s">
        <v>4354</v>
      </c>
      <c r="B170" s="10" t="s">
        <v>4037</v>
      </c>
      <c r="C170" s="10" t="s">
        <v>4239</v>
      </c>
      <c r="D170" s="10" t="s">
        <v>51</v>
      </c>
      <c r="E170" s="10" t="s">
        <v>4025</v>
      </c>
      <c r="F170" s="10" t="s">
        <v>51</v>
      </c>
      <c r="G170" s="10" t="s">
        <v>51</v>
      </c>
      <c r="H170" s="10" t="s">
        <v>51</v>
      </c>
      <c r="I170" s="10" t="s">
        <v>4026</v>
      </c>
      <c r="J170" s="10" t="s">
        <v>4027</v>
      </c>
      <c r="K170" s="10" t="s">
        <v>51</v>
      </c>
      <c r="L170" s="10" t="s">
        <v>4037</v>
      </c>
      <c r="M170" s="30"/>
      <c r="N170" s="30"/>
      <c r="O170" s="30"/>
      <c r="P170" s="97"/>
    </row>
    <row r="171" spans="1:16" ht="30" hidden="1" x14ac:dyDescent="0.25">
      <c r="A171" s="10" t="s">
        <v>4355</v>
      </c>
      <c r="B171" s="10" t="s">
        <v>4030</v>
      </c>
      <c r="C171" s="10" t="s">
        <v>4064</v>
      </c>
      <c r="D171" s="10" t="s">
        <v>51</v>
      </c>
      <c r="E171" s="10" t="s">
        <v>4025</v>
      </c>
      <c r="F171" s="10" t="s">
        <v>51</v>
      </c>
      <c r="G171" s="10" t="s">
        <v>51</v>
      </c>
      <c r="H171" s="10" t="s">
        <v>51</v>
      </c>
      <c r="I171" s="10" t="s">
        <v>4026</v>
      </c>
      <c r="J171" s="10" t="s">
        <v>4027</v>
      </c>
      <c r="K171" s="10" t="s">
        <v>51</v>
      </c>
      <c r="L171" s="10" t="s">
        <v>4065</v>
      </c>
      <c r="N171" s="30"/>
      <c r="O171" s="30"/>
      <c r="P171" s="97"/>
    </row>
    <row r="172" spans="1:16" hidden="1" x14ac:dyDescent="0.25">
      <c r="A172" s="10" t="s">
        <v>4355</v>
      </c>
      <c r="B172" s="10" t="s">
        <v>4037</v>
      </c>
      <c r="C172" s="10" t="s">
        <v>4220</v>
      </c>
      <c r="D172" s="10" t="s">
        <v>51</v>
      </c>
      <c r="E172" s="10" t="s">
        <v>4025</v>
      </c>
      <c r="F172" s="10" t="s">
        <v>51</v>
      </c>
      <c r="G172" s="10" t="s">
        <v>51</v>
      </c>
      <c r="H172" s="10" t="s">
        <v>51</v>
      </c>
      <c r="I172" s="10" t="s">
        <v>4026</v>
      </c>
      <c r="J172" s="10" t="s">
        <v>4027</v>
      </c>
      <c r="K172" s="10" t="s">
        <v>51</v>
      </c>
      <c r="L172" s="10" t="s">
        <v>4037</v>
      </c>
      <c r="M172" s="30"/>
      <c r="N172" s="30"/>
      <c r="O172" s="30"/>
      <c r="P172" s="97"/>
    </row>
    <row r="173" spans="1:16" ht="30" hidden="1" x14ac:dyDescent="0.25">
      <c r="A173" s="10" t="s">
        <v>4356</v>
      </c>
      <c r="B173" s="10" t="s">
        <v>4069</v>
      </c>
      <c r="C173" s="10" t="s">
        <v>4075</v>
      </c>
      <c r="D173" s="10" t="s">
        <v>50</v>
      </c>
      <c r="E173" s="10" t="s">
        <v>4025</v>
      </c>
      <c r="F173" s="10" t="s">
        <v>51</v>
      </c>
      <c r="G173" s="10" t="s">
        <v>50</v>
      </c>
      <c r="H173" s="10" t="s">
        <v>51</v>
      </c>
      <c r="I173" s="10" t="s">
        <v>4026</v>
      </c>
      <c r="J173" s="10" t="s">
        <v>4027</v>
      </c>
      <c r="K173" s="10" t="s">
        <v>50</v>
      </c>
      <c r="L173" s="10" t="s">
        <v>4065</v>
      </c>
      <c r="M173" s="36" t="s">
        <v>4076</v>
      </c>
      <c r="N173" s="36" t="s">
        <v>4076</v>
      </c>
      <c r="O173" s="36" t="s">
        <v>4076</v>
      </c>
      <c r="P173" s="99"/>
    </row>
    <row r="174" spans="1:16" ht="15.75" hidden="1" thickBot="1" x14ac:dyDescent="0.3">
      <c r="A174" s="10" t="s">
        <v>4357</v>
      </c>
      <c r="B174" s="10" t="s">
        <v>4023</v>
      </c>
      <c r="C174" s="10" t="s">
        <v>4024</v>
      </c>
      <c r="D174" s="10" t="s">
        <v>51</v>
      </c>
      <c r="E174" s="10" t="s">
        <v>4025</v>
      </c>
      <c r="F174" s="10" t="s">
        <v>51</v>
      </c>
      <c r="G174" s="10" t="s">
        <v>51</v>
      </c>
      <c r="H174" s="10" t="s">
        <v>51</v>
      </c>
      <c r="I174" s="10" t="s">
        <v>4026</v>
      </c>
      <c r="J174" s="10" t="s">
        <v>4027</v>
      </c>
      <c r="K174" s="10" t="s">
        <v>51</v>
      </c>
      <c r="L174" s="10" t="s">
        <v>1529</v>
      </c>
      <c r="M174" s="34"/>
      <c r="O174" s="30"/>
      <c r="P174" s="97"/>
    </row>
    <row r="175" spans="1:16" ht="45" hidden="1" x14ac:dyDescent="0.25">
      <c r="A175" s="10" t="s">
        <v>4358</v>
      </c>
      <c r="B175" s="10" t="s">
        <v>4148</v>
      </c>
      <c r="C175" s="10" t="s">
        <v>4149</v>
      </c>
      <c r="D175" s="10" t="s">
        <v>51</v>
      </c>
      <c r="E175" s="10" t="s">
        <v>4025</v>
      </c>
      <c r="F175" s="10" t="s">
        <v>50</v>
      </c>
      <c r="G175" s="10" t="s">
        <v>50</v>
      </c>
      <c r="H175" s="10" t="s">
        <v>51</v>
      </c>
      <c r="I175" s="10" t="s">
        <v>4071</v>
      </c>
      <c r="J175" s="10" t="s">
        <v>4050</v>
      </c>
      <c r="K175" s="10" t="s">
        <v>51</v>
      </c>
      <c r="L175" s="10" t="s">
        <v>1529</v>
      </c>
      <c r="M175" s="16"/>
      <c r="N175" s="16"/>
      <c r="O175" s="16"/>
      <c r="P175" s="99"/>
    </row>
    <row r="176" spans="1:16" hidden="1" x14ac:dyDescent="0.25">
      <c r="A176" s="10" t="s">
        <v>4359</v>
      </c>
      <c r="B176" s="10" t="s">
        <v>4023</v>
      </c>
      <c r="C176" s="10" t="s">
        <v>4062</v>
      </c>
      <c r="D176" s="10" t="s">
        <v>51</v>
      </c>
      <c r="E176" s="10" t="s">
        <v>4025</v>
      </c>
      <c r="F176" s="10" t="s">
        <v>51</v>
      </c>
      <c r="G176" s="10" t="s">
        <v>51</v>
      </c>
      <c r="H176" s="10" t="s">
        <v>51</v>
      </c>
      <c r="I176" s="10" t="s">
        <v>4026</v>
      </c>
      <c r="J176" s="10" t="s">
        <v>4027</v>
      </c>
      <c r="K176" s="10" t="s">
        <v>51</v>
      </c>
      <c r="L176" s="10" t="s">
        <v>1529</v>
      </c>
    </row>
    <row r="177" spans="1:16" hidden="1" x14ac:dyDescent="0.25">
      <c r="A177" s="10" t="s">
        <v>4360</v>
      </c>
      <c r="B177" s="10" t="s">
        <v>4037</v>
      </c>
      <c r="C177" s="10" t="s">
        <v>4361</v>
      </c>
      <c r="D177" s="10" t="s">
        <v>51</v>
      </c>
      <c r="E177" s="10" t="s">
        <v>4025</v>
      </c>
      <c r="F177" s="10" t="s">
        <v>51</v>
      </c>
      <c r="G177" s="10" t="s">
        <v>51</v>
      </c>
      <c r="H177" s="10" t="s">
        <v>51</v>
      </c>
      <c r="I177" s="10" t="s">
        <v>4026</v>
      </c>
      <c r="J177" s="10" t="s">
        <v>4027</v>
      </c>
      <c r="K177" s="10" t="s">
        <v>51</v>
      </c>
      <c r="L177" s="10" t="s">
        <v>4044</v>
      </c>
      <c r="M177" s="30"/>
      <c r="N177" s="30"/>
      <c r="O177" s="30"/>
      <c r="P177" s="97"/>
    </row>
    <row r="178" spans="1:16" ht="30" hidden="1" x14ac:dyDescent="0.25">
      <c r="A178" s="10" t="s">
        <v>4360</v>
      </c>
      <c r="B178" s="10" t="s">
        <v>4037</v>
      </c>
      <c r="C178" s="10" t="s">
        <v>4362</v>
      </c>
      <c r="D178" s="10" t="s">
        <v>51</v>
      </c>
      <c r="E178" s="10" t="s">
        <v>4025</v>
      </c>
      <c r="F178" s="10" t="s">
        <v>51</v>
      </c>
      <c r="G178" s="10" t="s">
        <v>51</v>
      </c>
      <c r="H178" s="10" t="s">
        <v>51</v>
      </c>
      <c r="I178" s="10" t="s">
        <v>4026</v>
      </c>
      <c r="J178" s="10" t="s">
        <v>4027</v>
      </c>
      <c r="K178" s="10" t="s">
        <v>51</v>
      </c>
      <c r="L178" s="10" t="s">
        <v>4044</v>
      </c>
      <c r="M178" s="30"/>
      <c r="N178" s="30"/>
      <c r="O178" s="30"/>
      <c r="P178" s="97"/>
    </row>
    <row r="179" spans="1:16" hidden="1" x14ac:dyDescent="0.25">
      <c r="A179" s="10" t="s">
        <v>4363</v>
      </c>
      <c r="B179" s="10" t="s">
        <v>4037</v>
      </c>
      <c r="C179" s="10" t="s">
        <v>4361</v>
      </c>
      <c r="D179" s="10" t="s">
        <v>51</v>
      </c>
      <c r="E179" s="10" t="s">
        <v>4025</v>
      </c>
      <c r="F179" s="10" t="s">
        <v>51</v>
      </c>
      <c r="G179" s="10" t="s">
        <v>51</v>
      </c>
      <c r="H179" s="10" t="s">
        <v>51</v>
      </c>
      <c r="I179" s="10" t="s">
        <v>4026</v>
      </c>
      <c r="J179" s="10" t="s">
        <v>4027</v>
      </c>
      <c r="K179" s="10" t="s">
        <v>51</v>
      </c>
      <c r="L179" s="10" t="s">
        <v>4044</v>
      </c>
      <c r="M179" s="30"/>
      <c r="N179" s="30"/>
      <c r="O179" s="30"/>
      <c r="P179" s="97"/>
    </row>
    <row r="180" spans="1:16" ht="30" hidden="1" x14ac:dyDescent="0.25">
      <c r="A180" s="10" t="s">
        <v>4363</v>
      </c>
      <c r="B180" s="10" t="s">
        <v>4037</v>
      </c>
      <c r="C180" s="10" t="s">
        <v>4362</v>
      </c>
      <c r="D180" s="10" t="s">
        <v>51</v>
      </c>
      <c r="E180" s="10" t="s">
        <v>4025</v>
      </c>
      <c r="F180" s="10" t="s">
        <v>51</v>
      </c>
      <c r="G180" s="10" t="s">
        <v>51</v>
      </c>
      <c r="H180" s="10" t="s">
        <v>51</v>
      </c>
      <c r="I180" s="10" t="s">
        <v>4026</v>
      </c>
      <c r="J180" s="10" t="s">
        <v>4027</v>
      </c>
      <c r="K180" s="10" t="s">
        <v>51</v>
      </c>
      <c r="L180" s="10" t="s">
        <v>4044</v>
      </c>
      <c r="N180" s="30"/>
      <c r="O180" s="30"/>
      <c r="P180" s="97"/>
    </row>
    <row r="181" spans="1:16" ht="30" hidden="1" x14ac:dyDescent="0.25">
      <c r="A181" s="10" t="s">
        <v>4364</v>
      </c>
      <c r="B181" s="10" t="s">
        <v>4023</v>
      </c>
      <c r="C181" s="10" t="s">
        <v>4058</v>
      </c>
      <c r="D181" s="10" t="s">
        <v>51</v>
      </c>
      <c r="E181" s="10" t="s">
        <v>4025</v>
      </c>
      <c r="F181" s="10" t="s">
        <v>51</v>
      </c>
      <c r="G181" s="10" t="s">
        <v>51</v>
      </c>
      <c r="H181" s="10" t="s">
        <v>51</v>
      </c>
      <c r="I181" s="10" t="s">
        <v>4026</v>
      </c>
      <c r="J181" s="10" t="s">
        <v>4027</v>
      </c>
      <c r="K181" s="10" t="s">
        <v>51</v>
      </c>
      <c r="L181" s="10" t="s">
        <v>1529</v>
      </c>
      <c r="M181" s="13"/>
      <c r="N181" s="37"/>
      <c r="O181" s="37"/>
      <c r="P181" s="97"/>
    </row>
    <row r="182" spans="1:16" hidden="1" x14ac:dyDescent="0.25">
      <c r="A182" s="10" t="s">
        <v>4365</v>
      </c>
      <c r="B182" s="10" t="s">
        <v>4037</v>
      </c>
      <c r="C182" s="10" t="s">
        <v>4361</v>
      </c>
      <c r="D182" s="10" t="s">
        <v>51</v>
      </c>
      <c r="E182" s="10" t="s">
        <v>4025</v>
      </c>
      <c r="F182" s="10" t="s">
        <v>51</v>
      </c>
      <c r="G182" s="10" t="s">
        <v>51</v>
      </c>
      <c r="H182" s="10" t="s">
        <v>51</v>
      </c>
      <c r="I182" s="10" t="s">
        <v>4026</v>
      </c>
      <c r="J182" s="10" t="s">
        <v>4027</v>
      </c>
      <c r="K182" s="10" t="s">
        <v>51</v>
      </c>
      <c r="L182" s="10" t="s">
        <v>4044</v>
      </c>
      <c r="M182" s="30"/>
      <c r="N182" s="30"/>
      <c r="O182" s="30"/>
      <c r="P182" s="97"/>
    </row>
    <row r="183" spans="1:16" ht="30" hidden="1" x14ac:dyDescent="0.25">
      <c r="A183" s="10" t="s">
        <v>4365</v>
      </c>
      <c r="B183" s="10" t="s">
        <v>4037</v>
      </c>
      <c r="C183" s="10" t="s">
        <v>4362</v>
      </c>
      <c r="D183" s="10" t="s">
        <v>51</v>
      </c>
      <c r="E183" s="10" t="s">
        <v>4025</v>
      </c>
      <c r="F183" s="10" t="s">
        <v>51</v>
      </c>
      <c r="G183" s="10" t="s">
        <v>51</v>
      </c>
      <c r="H183" s="10" t="s">
        <v>51</v>
      </c>
      <c r="I183" s="10" t="s">
        <v>4026</v>
      </c>
      <c r="J183" s="10" t="s">
        <v>4027</v>
      </c>
      <c r="K183" s="10" t="s">
        <v>51</v>
      </c>
      <c r="L183" s="10" t="s">
        <v>4044</v>
      </c>
      <c r="M183" s="30"/>
      <c r="N183" s="30"/>
      <c r="O183" s="30"/>
      <c r="P183" s="97"/>
    </row>
    <row r="184" spans="1:16" ht="30" hidden="1" x14ac:dyDescent="0.25">
      <c r="A184" s="10" t="s">
        <v>4366</v>
      </c>
      <c r="B184" s="10" t="s">
        <v>4037</v>
      </c>
      <c r="C184" s="10" t="s">
        <v>4239</v>
      </c>
      <c r="D184" s="10" t="s">
        <v>51</v>
      </c>
      <c r="E184" s="10" t="s">
        <v>4025</v>
      </c>
      <c r="F184" s="10" t="s">
        <v>51</v>
      </c>
      <c r="G184" s="10" t="s">
        <v>51</v>
      </c>
      <c r="H184" s="10" t="s">
        <v>51</v>
      </c>
      <c r="I184" s="10" t="s">
        <v>4026</v>
      </c>
      <c r="J184" s="10" t="s">
        <v>4027</v>
      </c>
      <c r="K184" s="10" t="s">
        <v>51</v>
      </c>
      <c r="L184" s="10" t="s">
        <v>4037</v>
      </c>
      <c r="O184" s="30"/>
      <c r="P184" s="97"/>
    </row>
    <row r="185" spans="1:16" ht="30" hidden="1" x14ac:dyDescent="0.25">
      <c r="A185" s="10" t="s">
        <v>4367</v>
      </c>
      <c r="B185" s="10" t="s">
        <v>4023</v>
      </c>
      <c r="C185" s="10" t="s">
        <v>4062</v>
      </c>
      <c r="D185" s="10" t="s">
        <v>51</v>
      </c>
      <c r="E185" s="10" t="s">
        <v>4025</v>
      </c>
      <c r="F185" s="10" t="s">
        <v>51</v>
      </c>
      <c r="G185" s="10" t="s">
        <v>51</v>
      </c>
      <c r="H185" s="10" t="s">
        <v>51</v>
      </c>
      <c r="I185" s="10" t="s">
        <v>4026</v>
      </c>
      <c r="J185" s="10" t="s">
        <v>4027</v>
      </c>
      <c r="K185" s="10" t="s">
        <v>51</v>
      </c>
      <c r="L185" s="10" t="s">
        <v>1529</v>
      </c>
      <c r="N185" s="30"/>
      <c r="O185" s="30"/>
      <c r="P185" s="97"/>
    </row>
    <row r="186" spans="1:16" ht="30" hidden="1" x14ac:dyDescent="0.25">
      <c r="A186" s="10" t="s">
        <v>4368</v>
      </c>
      <c r="B186" s="10" t="s">
        <v>4023</v>
      </c>
      <c r="C186" s="10" t="s">
        <v>4062</v>
      </c>
      <c r="D186" s="10" t="s">
        <v>51</v>
      </c>
      <c r="E186" s="10" t="s">
        <v>4025</v>
      </c>
      <c r="F186" s="10" t="s">
        <v>51</v>
      </c>
      <c r="G186" s="10" t="s">
        <v>51</v>
      </c>
      <c r="H186" s="10" t="s">
        <v>51</v>
      </c>
      <c r="I186" s="10" t="s">
        <v>4026</v>
      </c>
      <c r="J186" s="10" t="s">
        <v>4027</v>
      </c>
      <c r="K186" s="10" t="s">
        <v>51</v>
      </c>
      <c r="L186" s="10" t="s">
        <v>1529</v>
      </c>
      <c r="M186" s="30"/>
      <c r="N186" s="30"/>
      <c r="O186" s="30"/>
      <c r="P186" s="97"/>
    </row>
    <row r="187" spans="1:16" ht="30" hidden="1" x14ac:dyDescent="0.25">
      <c r="A187" s="10" t="s">
        <v>4369</v>
      </c>
      <c r="B187" s="10" t="s">
        <v>4037</v>
      </c>
      <c r="C187" s="10" t="s">
        <v>4130</v>
      </c>
      <c r="D187" s="10" t="s">
        <v>51</v>
      </c>
      <c r="E187" s="10" t="s">
        <v>4025</v>
      </c>
      <c r="F187" s="10" t="s">
        <v>51</v>
      </c>
      <c r="G187" s="10" t="s">
        <v>50</v>
      </c>
      <c r="H187" s="10" t="s">
        <v>51</v>
      </c>
      <c r="I187" s="10" t="s">
        <v>4026</v>
      </c>
      <c r="J187" s="10" t="s">
        <v>4050</v>
      </c>
      <c r="K187" s="10" t="s">
        <v>51</v>
      </c>
      <c r="L187" s="10" t="s">
        <v>4044</v>
      </c>
      <c r="M187" s="16"/>
      <c r="N187" s="16"/>
      <c r="O187" s="16"/>
      <c r="P187" s="99"/>
    </row>
    <row r="188" spans="1:16" ht="30" hidden="1" x14ac:dyDescent="0.25">
      <c r="A188" s="10" t="s">
        <v>4369</v>
      </c>
      <c r="B188" s="10" t="s">
        <v>4037</v>
      </c>
      <c r="C188" s="10" t="s">
        <v>4131</v>
      </c>
      <c r="D188" s="10" t="s">
        <v>51</v>
      </c>
      <c r="E188" s="10" t="s">
        <v>4025</v>
      </c>
      <c r="F188" s="10" t="s">
        <v>51</v>
      </c>
      <c r="G188" s="10" t="s">
        <v>51</v>
      </c>
      <c r="H188" s="10" t="s">
        <v>51</v>
      </c>
      <c r="I188" s="10" t="s">
        <v>4026</v>
      </c>
      <c r="J188" s="10" t="s">
        <v>4027</v>
      </c>
      <c r="K188" s="10" t="s">
        <v>51</v>
      </c>
      <c r="L188" s="10" t="s">
        <v>4044</v>
      </c>
      <c r="M188" s="30"/>
      <c r="N188" s="30"/>
      <c r="O188" s="30"/>
      <c r="P188" s="97"/>
    </row>
    <row r="189" spans="1:16" ht="51" hidden="1" x14ac:dyDescent="0.25">
      <c r="A189" s="10" t="s">
        <v>4370</v>
      </c>
      <c r="B189" s="10" t="s">
        <v>4100</v>
      </c>
      <c r="C189" s="10" t="s">
        <v>4101</v>
      </c>
      <c r="D189" s="10" t="s">
        <v>50</v>
      </c>
      <c r="E189" s="10" t="s">
        <v>4031</v>
      </c>
      <c r="F189" s="10" t="s">
        <v>50</v>
      </c>
      <c r="G189" s="10" t="s">
        <v>50</v>
      </c>
      <c r="H189" s="10" t="s">
        <v>51</v>
      </c>
      <c r="I189" s="10" t="s">
        <v>4071</v>
      </c>
      <c r="J189" s="10" t="s">
        <v>4032</v>
      </c>
      <c r="K189" s="10" t="s">
        <v>50</v>
      </c>
      <c r="L189" s="10" t="s">
        <v>1529</v>
      </c>
      <c r="M189" s="16" t="s">
        <v>4371</v>
      </c>
      <c r="N189" s="16" t="s">
        <v>4372</v>
      </c>
      <c r="O189" s="16" t="s">
        <v>4373</v>
      </c>
      <c r="P189" s="99"/>
    </row>
    <row r="190" spans="1:16" ht="77.25" hidden="1" thickBot="1" x14ac:dyDescent="0.3">
      <c r="A190" s="10" t="s">
        <v>4374</v>
      </c>
      <c r="B190" s="10" t="s">
        <v>4100</v>
      </c>
      <c r="C190" s="10" t="s">
        <v>4101</v>
      </c>
      <c r="D190" s="10" t="s">
        <v>50</v>
      </c>
      <c r="E190" s="10" t="s">
        <v>4096</v>
      </c>
      <c r="F190" s="10" t="s">
        <v>50</v>
      </c>
      <c r="G190" s="10" t="s">
        <v>50</v>
      </c>
      <c r="H190" s="10" t="s">
        <v>50</v>
      </c>
      <c r="I190" s="10" t="s">
        <v>4097</v>
      </c>
      <c r="J190" s="10" t="s">
        <v>4032</v>
      </c>
      <c r="K190" s="10" t="s">
        <v>50</v>
      </c>
      <c r="L190" s="10" t="s">
        <v>1529</v>
      </c>
      <c r="M190" s="32" t="s">
        <v>4375</v>
      </c>
      <c r="N190" s="16" t="s">
        <v>4376</v>
      </c>
      <c r="O190" s="16" t="s">
        <v>4373</v>
      </c>
      <c r="P190" s="99"/>
    </row>
    <row r="191" spans="1:16" ht="30" hidden="1" x14ac:dyDescent="0.25">
      <c r="A191" s="10" t="s">
        <v>4377</v>
      </c>
      <c r="B191" s="10" t="s">
        <v>4037</v>
      </c>
      <c r="C191" s="10" t="s">
        <v>4239</v>
      </c>
      <c r="D191" s="10" t="s">
        <v>51</v>
      </c>
      <c r="E191" s="10" t="s">
        <v>4025</v>
      </c>
      <c r="F191" s="10" t="s">
        <v>51</v>
      </c>
      <c r="G191" s="10" t="s">
        <v>51</v>
      </c>
      <c r="H191" s="10" t="s">
        <v>51</v>
      </c>
      <c r="I191" s="10" t="s">
        <v>4026</v>
      </c>
      <c r="J191" s="10" t="s">
        <v>4027</v>
      </c>
      <c r="K191" s="10" t="s">
        <v>51</v>
      </c>
      <c r="L191" s="10" t="s">
        <v>4037</v>
      </c>
    </row>
    <row r="192" spans="1:16" ht="38.25" hidden="1" x14ac:dyDescent="0.25">
      <c r="A192" s="10" t="s">
        <v>4378</v>
      </c>
      <c r="B192" s="10" t="s">
        <v>4100</v>
      </c>
      <c r="C192" s="10" t="s">
        <v>4379</v>
      </c>
      <c r="D192" s="10" t="s">
        <v>50</v>
      </c>
      <c r="E192" s="10" t="s">
        <v>4115</v>
      </c>
      <c r="F192" s="10" t="s">
        <v>50</v>
      </c>
      <c r="G192" s="10" t="s">
        <v>50</v>
      </c>
      <c r="H192" s="10" t="s">
        <v>51</v>
      </c>
      <c r="I192" s="10" t="s">
        <v>4097</v>
      </c>
      <c r="J192" s="10" t="s">
        <v>4050</v>
      </c>
      <c r="K192" s="10" t="s">
        <v>50</v>
      </c>
      <c r="L192" s="10" t="s">
        <v>1529</v>
      </c>
      <c r="M192" s="18" t="s">
        <v>4380</v>
      </c>
      <c r="N192" s="18" t="s">
        <v>4381</v>
      </c>
      <c r="O192" s="18" t="s">
        <v>4382</v>
      </c>
      <c r="P192" s="99"/>
    </row>
    <row r="193" spans="1:17" ht="30" hidden="1" x14ac:dyDescent="0.25">
      <c r="A193" s="10" t="s">
        <v>4383</v>
      </c>
      <c r="B193" s="10" t="s">
        <v>4100</v>
      </c>
      <c r="C193" s="10" t="s">
        <v>4379</v>
      </c>
      <c r="D193" s="10" t="s">
        <v>50</v>
      </c>
      <c r="E193" s="10" t="s">
        <v>4115</v>
      </c>
      <c r="F193" s="10" t="s">
        <v>50</v>
      </c>
      <c r="G193" s="10" t="s">
        <v>50</v>
      </c>
      <c r="H193" s="10" t="s">
        <v>51</v>
      </c>
      <c r="I193" s="10" t="s">
        <v>4097</v>
      </c>
      <c r="J193" s="10" t="s">
        <v>4032</v>
      </c>
      <c r="K193" s="10" t="s">
        <v>51</v>
      </c>
      <c r="L193" s="10" t="s">
        <v>1529</v>
      </c>
      <c r="M193" s="35" t="s">
        <v>4142</v>
      </c>
      <c r="N193" s="35" t="s">
        <v>4142</v>
      </c>
      <c r="O193" s="35" t="s">
        <v>4142</v>
      </c>
      <c r="P193" s="99"/>
    </row>
    <row r="194" spans="1:17" ht="38.25" hidden="1" x14ac:dyDescent="0.25">
      <c r="A194" s="10" t="s">
        <v>4384</v>
      </c>
      <c r="B194" s="10" t="s">
        <v>4100</v>
      </c>
      <c r="C194" s="10" t="s">
        <v>4379</v>
      </c>
      <c r="D194" s="10" t="s">
        <v>50</v>
      </c>
      <c r="E194" s="10" t="s">
        <v>4096</v>
      </c>
      <c r="F194" s="10" t="s">
        <v>50</v>
      </c>
      <c r="G194" s="10" t="s">
        <v>50</v>
      </c>
      <c r="H194" s="10" t="s">
        <v>51</v>
      </c>
      <c r="I194" s="10" t="s">
        <v>4071</v>
      </c>
      <c r="J194" s="10" t="s">
        <v>4050</v>
      </c>
      <c r="K194" s="10" t="s">
        <v>50</v>
      </c>
      <c r="L194" s="10" t="s">
        <v>1529</v>
      </c>
      <c r="M194" s="18" t="s">
        <v>4385</v>
      </c>
      <c r="N194" s="18" t="s">
        <v>4386</v>
      </c>
      <c r="O194" s="18" t="s">
        <v>4387</v>
      </c>
      <c r="P194" s="99"/>
    </row>
    <row r="195" spans="1:17" ht="51" hidden="1" x14ac:dyDescent="0.25">
      <c r="A195" s="10" t="s">
        <v>4388</v>
      </c>
      <c r="B195" s="10" t="s">
        <v>4100</v>
      </c>
      <c r="C195" s="10" t="s">
        <v>4379</v>
      </c>
      <c r="D195" s="10" t="s">
        <v>50</v>
      </c>
      <c r="E195" s="10" t="s">
        <v>4096</v>
      </c>
      <c r="F195" s="10" t="s">
        <v>50</v>
      </c>
      <c r="G195" s="10" t="s">
        <v>50</v>
      </c>
      <c r="H195" s="10" t="s">
        <v>50</v>
      </c>
      <c r="I195" s="10" t="s">
        <v>4097</v>
      </c>
      <c r="J195" s="10" t="s">
        <v>4050</v>
      </c>
      <c r="K195" s="10" t="s">
        <v>50</v>
      </c>
      <c r="L195" s="10" t="s">
        <v>1529</v>
      </c>
      <c r="M195" s="18" t="s">
        <v>4389</v>
      </c>
      <c r="N195" s="18" t="s">
        <v>4390</v>
      </c>
      <c r="O195" s="18" t="s">
        <v>4391</v>
      </c>
      <c r="P195" s="99"/>
    </row>
    <row r="196" spans="1:17" ht="45" hidden="1" x14ac:dyDescent="0.25">
      <c r="A196" s="10" t="s">
        <v>4392</v>
      </c>
      <c r="B196" s="10" t="s">
        <v>4100</v>
      </c>
      <c r="C196" s="10" t="s">
        <v>4379</v>
      </c>
      <c r="D196" s="10" t="s">
        <v>50</v>
      </c>
      <c r="E196" s="10" t="s">
        <v>4096</v>
      </c>
      <c r="F196" s="10" t="s">
        <v>50</v>
      </c>
      <c r="G196" s="10" t="s">
        <v>50</v>
      </c>
      <c r="H196" s="10" t="s">
        <v>50</v>
      </c>
      <c r="I196" s="10" t="s">
        <v>4097</v>
      </c>
      <c r="J196" s="10" t="s">
        <v>4032</v>
      </c>
      <c r="K196" s="10" t="s">
        <v>50</v>
      </c>
      <c r="L196" s="10" t="s">
        <v>1529</v>
      </c>
      <c r="M196" s="18" t="s">
        <v>4393</v>
      </c>
      <c r="N196" s="18" t="s">
        <v>4394</v>
      </c>
      <c r="O196" s="18" t="s">
        <v>4395</v>
      </c>
      <c r="P196" s="99"/>
    </row>
    <row r="197" spans="1:17" hidden="1" x14ac:dyDescent="0.25">
      <c r="A197" s="10" t="s">
        <v>4396</v>
      </c>
      <c r="B197" s="10" t="s">
        <v>4037</v>
      </c>
      <c r="C197" s="10" t="s">
        <v>4038</v>
      </c>
      <c r="D197" s="10" t="s">
        <v>50</v>
      </c>
      <c r="E197" s="10" t="s">
        <v>4025</v>
      </c>
      <c r="F197" s="10" t="s">
        <v>51</v>
      </c>
      <c r="G197" s="10" t="s">
        <v>51</v>
      </c>
      <c r="H197" s="10" t="s">
        <v>51</v>
      </c>
      <c r="I197" s="10" t="s">
        <v>4026</v>
      </c>
      <c r="J197" s="10" t="s">
        <v>4027</v>
      </c>
      <c r="K197" s="10" t="s">
        <v>51</v>
      </c>
      <c r="L197" s="10" t="s">
        <v>4037</v>
      </c>
    </row>
    <row r="198" spans="1:17" hidden="1" x14ac:dyDescent="0.25">
      <c r="A198" s="10" t="s">
        <v>4397</v>
      </c>
      <c r="B198" s="10" t="s">
        <v>4037</v>
      </c>
      <c r="C198" s="10" t="s">
        <v>4038</v>
      </c>
      <c r="D198" s="10" t="s">
        <v>51</v>
      </c>
      <c r="E198" s="10" t="s">
        <v>4025</v>
      </c>
      <c r="F198" s="10" t="s">
        <v>51</v>
      </c>
      <c r="G198" s="10" t="s">
        <v>51</v>
      </c>
      <c r="H198" s="10" t="s">
        <v>51</v>
      </c>
      <c r="I198" s="10" t="s">
        <v>4026</v>
      </c>
      <c r="J198" s="10" t="s">
        <v>4027</v>
      </c>
      <c r="K198" s="10" t="s">
        <v>51</v>
      </c>
      <c r="L198" s="10" t="s">
        <v>4037</v>
      </c>
    </row>
    <row r="199" spans="1:17" ht="38.25" hidden="1" x14ac:dyDescent="0.25">
      <c r="A199" s="10" t="s">
        <v>4398</v>
      </c>
      <c r="B199" s="10" t="s">
        <v>4100</v>
      </c>
      <c r="C199" s="10" t="s">
        <v>4399</v>
      </c>
      <c r="D199" s="10" t="s">
        <v>50</v>
      </c>
      <c r="E199" s="10" t="s">
        <v>4096</v>
      </c>
      <c r="F199" s="10" t="s">
        <v>50</v>
      </c>
      <c r="G199" s="10" t="s">
        <v>50</v>
      </c>
      <c r="H199" s="10" t="s">
        <v>50</v>
      </c>
      <c r="I199" s="10" t="s">
        <v>4097</v>
      </c>
      <c r="J199" s="10" t="s">
        <v>4050</v>
      </c>
      <c r="K199" s="10" t="s">
        <v>51</v>
      </c>
      <c r="L199" s="10" t="s">
        <v>1529</v>
      </c>
      <c r="M199" s="18" t="s">
        <v>4400</v>
      </c>
      <c r="N199" s="18" t="s">
        <v>4401</v>
      </c>
      <c r="O199" s="18" t="s">
        <v>4402</v>
      </c>
      <c r="P199" s="99"/>
    </row>
    <row r="200" spans="1:17" ht="38.25" hidden="1" x14ac:dyDescent="0.25">
      <c r="A200" s="10" t="s">
        <v>4403</v>
      </c>
      <c r="B200" s="10" t="s">
        <v>4100</v>
      </c>
      <c r="C200" s="10" t="s">
        <v>4399</v>
      </c>
      <c r="D200" s="10" t="s">
        <v>50</v>
      </c>
      <c r="E200" s="10" t="s">
        <v>4096</v>
      </c>
      <c r="F200" s="10" t="s">
        <v>50</v>
      </c>
      <c r="G200" s="10" t="s">
        <v>50</v>
      </c>
      <c r="H200" s="10" t="s">
        <v>50</v>
      </c>
      <c r="I200" s="10" t="s">
        <v>4097</v>
      </c>
      <c r="J200" s="10" t="s">
        <v>4050</v>
      </c>
      <c r="K200" s="10" t="s">
        <v>51</v>
      </c>
      <c r="L200" s="10" t="s">
        <v>1529</v>
      </c>
      <c r="M200" s="18" t="s">
        <v>4404</v>
      </c>
      <c r="N200" s="18" t="s">
        <v>4401</v>
      </c>
      <c r="O200" s="18" t="s">
        <v>4402</v>
      </c>
      <c r="P200" s="99"/>
    </row>
    <row r="201" spans="1:17" ht="38.25" hidden="1" x14ac:dyDescent="0.25">
      <c r="A201" s="10" t="s">
        <v>4405</v>
      </c>
      <c r="B201" s="10" t="s">
        <v>4100</v>
      </c>
      <c r="C201" s="10" t="s">
        <v>4399</v>
      </c>
      <c r="D201" s="10" t="s">
        <v>50</v>
      </c>
      <c r="E201" s="10" t="s">
        <v>4096</v>
      </c>
      <c r="F201" s="10" t="s">
        <v>50</v>
      </c>
      <c r="G201" s="10" t="s">
        <v>50</v>
      </c>
      <c r="H201" s="10" t="s">
        <v>50</v>
      </c>
      <c r="I201" s="10" t="s">
        <v>4097</v>
      </c>
      <c r="J201" s="10" t="s">
        <v>4032</v>
      </c>
      <c r="K201" s="10" t="s">
        <v>51</v>
      </c>
      <c r="L201" s="10" t="s">
        <v>1529</v>
      </c>
      <c r="M201" s="18" t="s">
        <v>4406</v>
      </c>
      <c r="N201" s="18" t="s">
        <v>4401</v>
      </c>
      <c r="O201" s="18" t="s">
        <v>4402</v>
      </c>
      <c r="P201" s="99"/>
    </row>
    <row r="202" spans="1:17" ht="38.25" hidden="1" x14ac:dyDescent="0.25">
      <c r="A202" s="10" t="s">
        <v>4407</v>
      </c>
      <c r="B202" s="10" t="s">
        <v>4048</v>
      </c>
      <c r="C202" s="10" t="s">
        <v>4066</v>
      </c>
      <c r="D202" s="10" t="s">
        <v>50</v>
      </c>
      <c r="E202" s="10" t="s">
        <v>4096</v>
      </c>
      <c r="F202" s="10" t="s">
        <v>50</v>
      </c>
      <c r="G202" s="10" t="s">
        <v>50</v>
      </c>
      <c r="H202" s="10" t="s">
        <v>51</v>
      </c>
      <c r="I202" s="10" t="s">
        <v>4026</v>
      </c>
      <c r="J202" s="10" t="s">
        <v>4050</v>
      </c>
      <c r="K202" s="10" t="s">
        <v>50</v>
      </c>
      <c r="L202" s="10" t="s">
        <v>1529</v>
      </c>
      <c r="M202" s="18" t="s">
        <v>4408</v>
      </c>
      <c r="N202" s="18" t="s">
        <v>4409</v>
      </c>
      <c r="O202" s="18" t="s">
        <v>4410</v>
      </c>
      <c r="P202" s="99"/>
    </row>
    <row r="203" spans="1:17" ht="30" hidden="1" x14ac:dyDescent="0.25">
      <c r="A203" s="10" t="s">
        <v>4411</v>
      </c>
      <c r="B203" s="10" t="s">
        <v>4048</v>
      </c>
      <c r="C203" s="10" t="s">
        <v>4066</v>
      </c>
      <c r="D203" s="10" t="s">
        <v>51</v>
      </c>
      <c r="E203" s="10" t="s">
        <v>4025</v>
      </c>
      <c r="F203" s="10" t="s">
        <v>51</v>
      </c>
      <c r="G203" s="10" t="s">
        <v>51</v>
      </c>
      <c r="H203" s="10" t="s">
        <v>51</v>
      </c>
      <c r="I203" s="10" t="s">
        <v>4026</v>
      </c>
      <c r="J203" s="10" t="s">
        <v>4027</v>
      </c>
      <c r="K203" s="10" t="s">
        <v>51</v>
      </c>
      <c r="L203" s="10" t="s">
        <v>1529</v>
      </c>
    </row>
    <row r="204" spans="1:17" ht="30" hidden="1" x14ac:dyDescent="0.25">
      <c r="A204" s="10" t="s">
        <v>4412</v>
      </c>
      <c r="B204" s="10" t="s">
        <v>4048</v>
      </c>
      <c r="C204" s="10" t="s">
        <v>4413</v>
      </c>
      <c r="D204" s="10" t="s">
        <v>50</v>
      </c>
      <c r="E204" s="10" t="s">
        <v>4096</v>
      </c>
      <c r="F204" s="10" t="s">
        <v>50</v>
      </c>
      <c r="G204" s="10" t="s">
        <v>50</v>
      </c>
      <c r="H204" s="10" t="s">
        <v>50</v>
      </c>
      <c r="I204" s="10" t="s">
        <v>4071</v>
      </c>
      <c r="J204" s="10" t="s">
        <v>4032</v>
      </c>
      <c r="K204" s="10" t="s">
        <v>50</v>
      </c>
      <c r="L204" s="10" t="s">
        <v>1529</v>
      </c>
    </row>
    <row r="205" spans="1:17" ht="30" hidden="1" x14ac:dyDescent="0.25">
      <c r="A205" s="10" t="s">
        <v>4414</v>
      </c>
      <c r="B205" s="10" t="s">
        <v>4048</v>
      </c>
      <c r="C205" s="10" t="s">
        <v>4413</v>
      </c>
      <c r="D205" s="10" t="s">
        <v>51</v>
      </c>
      <c r="E205" s="10" t="s">
        <v>4025</v>
      </c>
      <c r="F205" s="10" t="s">
        <v>51</v>
      </c>
      <c r="G205" s="10" t="s">
        <v>51</v>
      </c>
      <c r="H205" s="10" t="s">
        <v>51</v>
      </c>
      <c r="I205" s="10" t="s">
        <v>4026</v>
      </c>
      <c r="J205" s="10" t="s">
        <v>4050</v>
      </c>
      <c r="K205" s="10" t="s">
        <v>51</v>
      </c>
      <c r="L205" s="10" t="s">
        <v>1529</v>
      </c>
    </row>
    <row r="206" spans="1:17" ht="63.75" x14ac:dyDescent="0.25">
      <c r="A206" s="276" t="s">
        <v>224</v>
      </c>
      <c r="B206" s="10" t="s">
        <v>4069</v>
      </c>
      <c r="C206" s="10" t="s">
        <v>4082</v>
      </c>
      <c r="D206" s="10" t="s">
        <v>50</v>
      </c>
      <c r="E206" s="10" t="s">
        <v>4031</v>
      </c>
      <c r="F206" s="10" t="s">
        <v>50</v>
      </c>
      <c r="G206" s="276" t="s">
        <v>50</v>
      </c>
      <c r="H206" s="276" t="s">
        <v>51</v>
      </c>
      <c r="I206" s="276" t="s">
        <v>4071</v>
      </c>
      <c r="J206" s="276" t="s">
        <v>4050</v>
      </c>
      <c r="K206" s="276" t="s">
        <v>50</v>
      </c>
      <c r="L206" s="276" t="s">
        <v>1529</v>
      </c>
      <c r="M206" s="271" t="str">
        <f>"Vendor to perform Quarterly Inspection &amp; Testing of Pre-Action Systems servicing the " &amp; IF(RIGHT(zSelectedEquipment,9)="POP Rooms", "POP rooms. ", "suite and associated mechanical and electrical rooms.") &amp; "The vendor will check air pressure switches, air compressors, supervisory switches and alarm switches during this inspection. There will be no water flow during these PMs."</f>
        <v>Vendor to perform Quarterly Inspection &amp; Testing of Pre-Action Systems servicing the suite and associated mechanical and electrical rooms.The vendor will check air pressure switches, air compressors, supervisory switches and alarm switches during this inspection. There will be no water flow during these PMs.</v>
      </c>
      <c r="N206" s="271" t="s">
        <v>4415</v>
      </c>
      <c r="O206" s="271" t="s">
        <v>4416</v>
      </c>
      <c r="P206" s="99"/>
      <c r="Q206" s="278" t="s">
        <v>50</v>
      </c>
    </row>
    <row r="207" spans="1:17" ht="25.5" hidden="1" x14ac:dyDescent="0.25">
      <c r="A207" s="10" t="s">
        <v>4417</v>
      </c>
      <c r="B207" s="10" t="s">
        <v>4069</v>
      </c>
      <c r="C207" s="10" t="s">
        <v>4082</v>
      </c>
      <c r="D207" s="10" t="s">
        <v>50</v>
      </c>
      <c r="E207" s="10" t="s">
        <v>4096</v>
      </c>
      <c r="F207" s="10" t="s">
        <v>50</v>
      </c>
      <c r="G207" s="10" t="s">
        <v>50</v>
      </c>
      <c r="H207" s="10" t="s">
        <v>51</v>
      </c>
      <c r="I207" s="10" t="s">
        <v>4071</v>
      </c>
      <c r="J207" s="10" t="s">
        <v>4050</v>
      </c>
      <c r="K207" s="10" t="s">
        <v>50</v>
      </c>
      <c r="L207" s="10" t="s">
        <v>1529</v>
      </c>
      <c r="M207" s="18" t="s">
        <v>4418</v>
      </c>
      <c r="N207" s="18" t="s">
        <v>4419</v>
      </c>
      <c r="O207" s="18" t="s">
        <v>4420</v>
      </c>
      <c r="P207" s="99"/>
    </row>
    <row r="208" spans="1:17" ht="30" hidden="1" x14ac:dyDescent="0.25">
      <c r="A208" s="10" t="s">
        <v>4421</v>
      </c>
      <c r="B208" s="10" t="s">
        <v>4023</v>
      </c>
      <c r="C208" s="10" t="s">
        <v>4058</v>
      </c>
      <c r="D208" s="10" t="s">
        <v>51</v>
      </c>
      <c r="E208" s="10" t="s">
        <v>4025</v>
      </c>
      <c r="F208" s="10" t="s">
        <v>51</v>
      </c>
      <c r="G208" s="10" t="s">
        <v>51</v>
      </c>
      <c r="H208" s="10" t="s">
        <v>51</v>
      </c>
      <c r="I208" s="10" t="s">
        <v>4026</v>
      </c>
      <c r="J208" s="10" t="s">
        <v>4027</v>
      </c>
      <c r="K208" s="10" t="s">
        <v>51</v>
      </c>
      <c r="L208" s="10" t="s">
        <v>1529</v>
      </c>
    </row>
    <row r="209" spans="1:16" ht="30" hidden="1" x14ac:dyDescent="0.25">
      <c r="A209" s="10" t="s">
        <v>4422</v>
      </c>
      <c r="B209" s="10" t="s">
        <v>4023</v>
      </c>
      <c r="C209" s="10" t="s">
        <v>4062</v>
      </c>
      <c r="D209" s="10" t="s">
        <v>51</v>
      </c>
      <c r="E209" s="10" t="s">
        <v>4025</v>
      </c>
      <c r="F209" s="10" t="s">
        <v>51</v>
      </c>
      <c r="G209" s="10" t="s">
        <v>51</v>
      </c>
      <c r="H209" s="10" t="s">
        <v>51</v>
      </c>
      <c r="I209" s="10" t="s">
        <v>4026</v>
      </c>
      <c r="J209" s="10" t="s">
        <v>4027</v>
      </c>
      <c r="K209" s="10" t="s">
        <v>51</v>
      </c>
      <c r="L209" s="10" t="s">
        <v>1529</v>
      </c>
    </row>
    <row r="210" spans="1:16" ht="51" hidden="1" x14ac:dyDescent="0.25">
      <c r="A210" s="10" t="s">
        <v>274</v>
      </c>
      <c r="B210" s="10" t="s">
        <v>4100</v>
      </c>
      <c r="C210" s="10" t="s">
        <v>4101</v>
      </c>
      <c r="D210" s="10" t="s">
        <v>50</v>
      </c>
      <c r="E210" s="10" t="s">
        <v>4031</v>
      </c>
      <c r="F210" s="10" t="s">
        <v>51</v>
      </c>
      <c r="G210" s="10" t="s">
        <v>50</v>
      </c>
      <c r="H210" s="10" t="s">
        <v>50</v>
      </c>
      <c r="I210" s="10" t="s">
        <v>4071</v>
      </c>
      <c r="J210" s="10" t="s">
        <v>4032</v>
      </c>
      <c r="K210" s="10" t="s">
        <v>50</v>
      </c>
      <c r="L210" s="10" t="s">
        <v>4065</v>
      </c>
      <c r="M210" s="15" t="s">
        <v>4423</v>
      </c>
      <c r="N210" s="18" t="s">
        <v>4424</v>
      </c>
      <c r="O210" s="18" t="s">
        <v>4425</v>
      </c>
      <c r="P210" s="99"/>
    </row>
    <row r="211" spans="1:16" ht="76.5" hidden="1" x14ac:dyDescent="0.25">
      <c r="A211" s="10" t="s">
        <v>4426</v>
      </c>
      <c r="B211" s="10" t="s">
        <v>4048</v>
      </c>
      <c r="C211" s="10" t="s">
        <v>4308</v>
      </c>
      <c r="D211" s="10" t="s">
        <v>50</v>
      </c>
      <c r="E211" s="10" t="s">
        <v>4096</v>
      </c>
      <c r="F211" s="10" t="s">
        <v>50</v>
      </c>
      <c r="G211" s="10" t="s">
        <v>50</v>
      </c>
      <c r="H211" s="10" t="s">
        <v>51</v>
      </c>
      <c r="I211" s="10" t="s">
        <v>4071</v>
      </c>
      <c r="J211" s="10" t="s">
        <v>4050</v>
      </c>
      <c r="K211" s="10" t="s">
        <v>50</v>
      </c>
      <c r="L211" s="10" t="s">
        <v>1529</v>
      </c>
      <c r="M211" s="18" t="s">
        <v>4427</v>
      </c>
      <c r="N211" s="18" t="s">
        <v>4136</v>
      </c>
      <c r="O211" s="18" t="s">
        <v>4310</v>
      </c>
      <c r="P211" s="99"/>
    </row>
    <row r="212" spans="1:16" ht="30" hidden="1" x14ac:dyDescent="0.25">
      <c r="A212" s="10" t="s">
        <v>4428</v>
      </c>
      <c r="B212" s="10" t="s">
        <v>4030</v>
      </c>
      <c r="C212" s="10" t="s">
        <v>4064</v>
      </c>
      <c r="D212" s="10" t="s">
        <v>51</v>
      </c>
      <c r="E212" s="10" t="s">
        <v>4025</v>
      </c>
      <c r="F212" s="10" t="s">
        <v>51</v>
      </c>
      <c r="G212" s="10" t="s">
        <v>51</v>
      </c>
      <c r="H212" s="10" t="s">
        <v>51</v>
      </c>
      <c r="I212" s="10" t="s">
        <v>4026</v>
      </c>
      <c r="J212" s="10" t="s">
        <v>4027</v>
      </c>
      <c r="K212" s="10" t="s">
        <v>51</v>
      </c>
      <c r="L212" s="10" t="s">
        <v>4065</v>
      </c>
    </row>
    <row r="213" spans="1:16" ht="25.5" hidden="1" x14ac:dyDescent="0.25">
      <c r="A213" s="10" t="s">
        <v>4429</v>
      </c>
      <c r="B213" s="10" t="s">
        <v>4030</v>
      </c>
      <c r="C213" s="10" t="s">
        <v>2685</v>
      </c>
      <c r="D213" s="10" t="s">
        <v>50</v>
      </c>
      <c r="E213" s="10" t="s">
        <v>4096</v>
      </c>
      <c r="F213" s="10" t="s">
        <v>50</v>
      </c>
      <c r="G213" s="10" t="s">
        <v>50</v>
      </c>
      <c r="H213" s="10" t="s">
        <v>51</v>
      </c>
      <c r="I213" s="10" t="s">
        <v>4026</v>
      </c>
      <c r="J213" s="10" t="s">
        <v>4050</v>
      </c>
      <c r="K213" s="10" t="s">
        <v>51</v>
      </c>
      <c r="L213" s="10" t="s">
        <v>1529</v>
      </c>
      <c r="M213" s="15" t="s">
        <v>4430</v>
      </c>
      <c r="N213" s="18" t="s">
        <v>4034</v>
      </c>
      <c r="O213" s="18" t="s">
        <v>4035</v>
      </c>
      <c r="P213" s="99"/>
    </row>
    <row r="214" spans="1:16" ht="30" hidden="1" x14ac:dyDescent="0.25">
      <c r="A214" s="10" t="s">
        <v>4431</v>
      </c>
      <c r="B214" s="10" t="s">
        <v>4030</v>
      </c>
      <c r="C214" s="10" t="s">
        <v>2685</v>
      </c>
      <c r="D214" s="10" t="s">
        <v>50</v>
      </c>
      <c r="E214" s="10" t="s">
        <v>4096</v>
      </c>
      <c r="F214" s="10" t="s">
        <v>51</v>
      </c>
      <c r="G214" s="10" t="s">
        <v>50</v>
      </c>
      <c r="H214" s="10" t="s">
        <v>51</v>
      </c>
      <c r="I214" s="10" t="s">
        <v>4026</v>
      </c>
      <c r="J214" s="10" t="s">
        <v>4032</v>
      </c>
      <c r="K214" s="10" t="s">
        <v>51</v>
      </c>
      <c r="L214" s="10" t="s">
        <v>4065</v>
      </c>
      <c r="M214" s="15" t="s">
        <v>4432</v>
      </c>
      <c r="N214" s="18" t="s">
        <v>4034</v>
      </c>
      <c r="O214" s="18" t="s">
        <v>4035</v>
      </c>
      <c r="P214" s="99"/>
    </row>
    <row r="215" spans="1:16" ht="30" hidden="1" x14ac:dyDescent="0.25">
      <c r="A215" s="10" t="s">
        <v>25</v>
      </c>
      <c r="B215" s="10" t="s">
        <v>4037</v>
      </c>
      <c r="C215" s="10" t="s">
        <v>4130</v>
      </c>
      <c r="D215" s="10" t="s">
        <v>51</v>
      </c>
      <c r="E215" s="10" t="s">
        <v>4025</v>
      </c>
      <c r="F215" s="10" t="s">
        <v>51</v>
      </c>
      <c r="G215" s="10" t="s">
        <v>50</v>
      </c>
      <c r="H215" s="10" t="s">
        <v>51</v>
      </c>
      <c r="I215" s="10" t="s">
        <v>4026</v>
      </c>
      <c r="J215" s="10" t="s">
        <v>4050</v>
      </c>
      <c r="K215" s="10" t="s">
        <v>51</v>
      </c>
      <c r="L215" s="10" t="s">
        <v>4044</v>
      </c>
    </row>
    <row r="216" spans="1:16" ht="30" hidden="1" x14ac:dyDescent="0.25">
      <c r="A216" s="10" t="s">
        <v>25</v>
      </c>
      <c r="B216" s="10" t="s">
        <v>4037</v>
      </c>
      <c r="C216" s="10" t="s">
        <v>4131</v>
      </c>
      <c r="D216" s="10" t="s">
        <v>51</v>
      </c>
      <c r="E216" s="10" t="s">
        <v>4025</v>
      </c>
      <c r="F216" s="10" t="s">
        <v>51</v>
      </c>
      <c r="G216" s="10" t="s">
        <v>51</v>
      </c>
      <c r="H216" s="10" t="s">
        <v>51</v>
      </c>
      <c r="I216" s="10" t="s">
        <v>4026</v>
      </c>
      <c r="J216" s="10" t="s">
        <v>4027</v>
      </c>
      <c r="K216" s="10" t="s">
        <v>51</v>
      </c>
      <c r="L216" s="10" t="s">
        <v>4044</v>
      </c>
    </row>
    <row r="217" spans="1:16" hidden="1" x14ac:dyDescent="0.25">
      <c r="A217" s="10" t="s">
        <v>4433</v>
      </c>
      <c r="B217" s="10" t="s">
        <v>4023</v>
      </c>
      <c r="C217" s="10" t="s">
        <v>4058</v>
      </c>
      <c r="D217" s="10" t="s">
        <v>51</v>
      </c>
      <c r="E217" s="10" t="s">
        <v>4025</v>
      </c>
      <c r="F217" s="10" t="s">
        <v>51</v>
      </c>
      <c r="G217" s="10" t="s">
        <v>51</v>
      </c>
      <c r="H217" s="10" t="s">
        <v>51</v>
      </c>
      <c r="I217" s="10" t="s">
        <v>4026</v>
      </c>
      <c r="J217" s="10" t="s">
        <v>4027</v>
      </c>
      <c r="K217" s="10" t="s">
        <v>51</v>
      </c>
      <c r="L217" s="10" t="s">
        <v>1529</v>
      </c>
    </row>
    <row r="218" spans="1:16" hidden="1" x14ac:dyDescent="0.25">
      <c r="A218" s="10" t="s">
        <v>4434</v>
      </c>
      <c r="B218" s="10" t="s">
        <v>4100</v>
      </c>
      <c r="C218" s="10" t="s">
        <v>4324</v>
      </c>
      <c r="D218" s="10" t="s">
        <v>50</v>
      </c>
      <c r="E218" s="10" t="s">
        <v>4096</v>
      </c>
      <c r="F218" s="10" t="s">
        <v>50</v>
      </c>
      <c r="G218" s="10" t="s">
        <v>50</v>
      </c>
      <c r="H218" s="10" t="s">
        <v>50</v>
      </c>
      <c r="I218" s="10" t="s">
        <v>4097</v>
      </c>
      <c r="J218" s="10" t="s">
        <v>4050</v>
      </c>
      <c r="K218" s="10" t="s">
        <v>50</v>
      </c>
      <c r="L218" s="10" t="s">
        <v>1529</v>
      </c>
    </row>
    <row r="219" spans="1:16" hidden="1" x14ac:dyDescent="0.25">
      <c r="A219" s="11" t="s">
        <v>4435</v>
      </c>
      <c r="B219" s="12" t="s">
        <v>4048</v>
      </c>
      <c r="C219" s="12" t="s">
        <v>4343</v>
      </c>
      <c r="D219" s="11" t="s">
        <v>50</v>
      </c>
      <c r="E219" s="11" t="s">
        <v>4096</v>
      </c>
      <c r="F219" s="11" t="s">
        <v>50</v>
      </c>
      <c r="G219" s="11" t="s">
        <v>50</v>
      </c>
      <c r="H219" s="11" t="s">
        <v>50</v>
      </c>
      <c r="I219" s="11" t="s">
        <v>4097</v>
      </c>
      <c r="J219" s="11" t="s">
        <v>4050</v>
      </c>
      <c r="K219" s="11" t="s">
        <v>50</v>
      </c>
      <c r="L219" s="11" t="s">
        <v>1529</v>
      </c>
    </row>
    <row r="220" spans="1:16" ht="30" hidden="1" x14ac:dyDescent="0.25">
      <c r="A220" s="11" t="s">
        <v>4436</v>
      </c>
      <c r="B220" s="12" t="s">
        <v>4048</v>
      </c>
      <c r="C220" s="12" t="s">
        <v>4343</v>
      </c>
      <c r="D220" s="11" t="s">
        <v>51</v>
      </c>
      <c r="E220" s="11" t="s">
        <v>4096</v>
      </c>
      <c r="F220" s="11" t="s">
        <v>50</v>
      </c>
      <c r="G220" s="11" t="s">
        <v>50</v>
      </c>
      <c r="H220" s="11" t="s">
        <v>51</v>
      </c>
      <c r="I220" s="11" t="s">
        <v>4026</v>
      </c>
      <c r="J220" s="11" t="s">
        <v>4050</v>
      </c>
      <c r="K220" s="11" t="s">
        <v>50</v>
      </c>
      <c r="L220" s="11" t="s">
        <v>1529</v>
      </c>
    </row>
    <row r="221" spans="1:16" ht="102" hidden="1" x14ac:dyDescent="0.25">
      <c r="A221" s="10" t="s">
        <v>4437</v>
      </c>
      <c r="B221" s="10" t="s">
        <v>4048</v>
      </c>
      <c r="C221" s="10" t="s">
        <v>4318</v>
      </c>
      <c r="D221" s="10" t="s">
        <v>51</v>
      </c>
      <c r="E221" s="10" t="s">
        <v>4025</v>
      </c>
      <c r="F221" s="10" t="s">
        <v>50</v>
      </c>
      <c r="G221" s="10" t="s">
        <v>50</v>
      </c>
      <c r="H221" s="10" t="s">
        <v>51</v>
      </c>
      <c r="I221" s="10" t="s">
        <v>4026</v>
      </c>
      <c r="J221" s="10" t="s">
        <v>4050</v>
      </c>
      <c r="K221" s="10" t="s">
        <v>50</v>
      </c>
      <c r="L221" s="10" t="s">
        <v>1529</v>
      </c>
      <c r="M221" s="18" t="s">
        <v>4438</v>
      </c>
      <c r="N221" s="18" t="s">
        <v>4320</v>
      </c>
      <c r="O221" s="18" t="s">
        <v>4321</v>
      </c>
      <c r="P221" s="99"/>
    </row>
    <row r="222" spans="1:16" ht="30" hidden="1" x14ac:dyDescent="0.25">
      <c r="A222" s="10" t="s">
        <v>4437</v>
      </c>
      <c r="B222" s="10" t="s">
        <v>4048</v>
      </c>
      <c r="C222" s="10" t="s">
        <v>4341</v>
      </c>
      <c r="D222" s="10" t="s">
        <v>51</v>
      </c>
      <c r="E222" s="10" t="s">
        <v>4096</v>
      </c>
      <c r="F222" s="10" t="s">
        <v>50</v>
      </c>
      <c r="G222" s="10" t="s">
        <v>51</v>
      </c>
      <c r="H222" s="10" t="s">
        <v>51</v>
      </c>
      <c r="I222" s="10" t="s">
        <v>4026</v>
      </c>
      <c r="J222" s="10" t="s">
        <v>4050</v>
      </c>
      <c r="K222" s="10" t="s">
        <v>50</v>
      </c>
      <c r="L222" s="10" t="s">
        <v>1529</v>
      </c>
    </row>
    <row r="223" spans="1:16" ht="45" hidden="1" x14ac:dyDescent="0.25">
      <c r="A223" s="10" t="s">
        <v>4439</v>
      </c>
      <c r="B223" s="10" t="s">
        <v>4100</v>
      </c>
      <c r="C223" s="10" t="s">
        <v>407</v>
      </c>
      <c r="D223" s="10" t="s">
        <v>50</v>
      </c>
      <c r="E223" s="10" t="s">
        <v>4096</v>
      </c>
      <c r="F223" s="10" t="s">
        <v>50</v>
      </c>
      <c r="G223" s="10" t="s">
        <v>50</v>
      </c>
      <c r="H223" s="10" t="s">
        <v>51</v>
      </c>
      <c r="I223" s="10" t="s">
        <v>4071</v>
      </c>
      <c r="J223" s="10" t="s">
        <v>4032</v>
      </c>
      <c r="K223" s="10" t="s">
        <v>51</v>
      </c>
      <c r="L223" s="10" t="s">
        <v>1529</v>
      </c>
      <c r="M223" s="18" t="s">
        <v>4440</v>
      </c>
      <c r="N223" s="18" t="s">
        <v>4441</v>
      </c>
      <c r="O223" s="18" t="s">
        <v>4122</v>
      </c>
      <c r="P223" s="99"/>
    </row>
    <row r="224" spans="1:16" ht="51" hidden="1" x14ac:dyDescent="0.25">
      <c r="A224" s="10" t="s">
        <v>4442</v>
      </c>
      <c r="B224" s="10" t="s">
        <v>4100</v>
      </c>
      <c r="C224" s="10" t="s">
        <v>407</v>
      </c>
      <c r="D224" s="10" t="s">
        <v>50</v>
      </c>
      <c r="E224" s="10" t="s">
        <v>4096</v>
      </c>
      <c r="F224" s="10" t="s">
        <v>50</v>
      </c>
      <c r="G224" s="10" t="s">
        <v>50</v>
      </c>
      <c r="H224" s="10" t="s">
        <v>50</v>
      </c>
      <c r="I224" s="10" t="s">
        <v>4097</v>
      </c>
      <c r="J224" s="10" t="s">
        <v>4050</v>
      </c>
      <c r="K224" s="10" t="s">
        <v>50</v>
      </c>
      <c r="L224" s="10" t="s">
        <v>1529</v>
      </c>
      <c r="M224" s="18" t="s">
        <v>4443</v>
      </c>
      <c r="N224" s="18" t="s">
        <v>4444</v>
      </c>
      <c r="O224" s="18" t="s">
        <v>4445</v>
      </c>
      <c r="P224" s="99"/>
    </row>
    <row r="225" spans="1:17" ht="30" hidden="1" x14ac:dyDescent="0.25">
      <c r="A225" s="10" t="s">
        <v>4446</v>
      </c>
      <c r="B225" s="10" t="s">
        <v>4100</v>
      </c>
      <c r="C225" s="10" t="s">
        <v>4114</v>
      </c>
      <c r="D225" s="10" t="s">
        <v>50</v>
      </c>
      <c r="E225" s="10" t="s">
        <v>4096</v>
      </c>
      <c r="F225" s="10" t="s">
        <v>51</v>
      </c>
      <c r="G225" s="10" t="s">
        <v>50</v>
      </c>
      <c r="H225" s="10" t="s">
        <v>51</v>
      </c>
      <c r="I225" s="10" t="s">
        <v>4026</v>
      </c>
      <c r="J225" s="10" t="s">
        <v>4027</v>
      </c>
      <c r="K225" s="10" t="s">
        <v>51</v>
      </c>
      <c r="L225" s="10" t="s">
        <v>4065</v>
      </c>
      <c r="M225" s="18" t="s">
        <v>4447</v>
      </c>
      <c r="N225" s="18" t="s">
        <v>4052</v>
      </c>
      <c r="O225" s="18" t="s">
        <v>4122</v>
      </c>
      <c r="P225" s="99"/>
    </row>
    <row r="226" spans="1:17" hidden="1" x14ac:dyDescent="0.25">
      <c r="A226" s="10" t="s">
        <v>4448</v>
      </c>
      <c r="B226" s="10" t="s">
        <v>4037</v>
      </c>
      <c r="C226" s="10" t="s">
        <v>4041</v>
      </c>
      <c r="D226" s="10" t="s">
        <v>51</v>
      </c>
      <c r="E226" s="10" t="s">
        <v>4025</v>
      </c>
      <c r="F226" s="10" t="s">
        <v>51</v>
      </c>
      <c r="G226" s="10" t="s">
        <v>51</v>
      </c>
      <c r="H226" s="10" t="s">
        <v>51</v>
      </c>
      <c r="I226" s="10" t="s">
        <v>4026</v>
      </c>
      <c r="J226" s="10" t="s">
        <v>4027</v>
      </c>
      <c r="K226" s="10" t="s">
        <v>51</v>
      </c>
      <c r="L226" s="10" t="s">
        <v>4037</v>
      </c>
    </row>
    <row r="227" spans="1:17" hidden="1" x14ac:dyDescent="0.25">
      <c r="A227" s="10" t="s">
        <v>4449</v>
      </c>
      <c r="B227" s="10" t="s">
        <v>4037</v>
      </c>
      <c r="C227" s="10" t="s">
        <v>4041</v>
      </c>
      <c r="D227" s="10" t="s">
        <v>51</v>
      </c>
      <c r="E227" s="10" t="s">
        <v>4025</v>
      </c>
      <c r="F227" s="10" t="s">
        <v>51</v>
      </c>
      <c r="G227" s="10" t="s">
        <v>51</v>
      </c>
      <c r="H227" s="10" t="s">
        <v>51</v>
      </c>
      <c r="I227" s="10" t="s">
        <v>4026</v>
      </c>
      <c r="J227" s="10" t="s">
        <v>4027</v>
      </c>
      <c r="K227" s="10" t="s">
        <v>51</v>
      </c>
      <c r="L227" s="10" t="s">
        <v>4044</v>
      </c>
    </row>
    <row r="228" spans="1:17" hidden="1" x14ac:dyDescent="0.25">
      <c r="A228" s="10" t="s">
        <v>4450</v>
      </c>
      <c r="B228" s="10" t="s">
        <v>4023</v>
      </c>
      <c r="C228" s="10" t="s">
        <v>4024</v>
      </c>
      <c r="D228" s="10" t="s">
        <v>51</v>
      </c>
      <c r="E228" s="10" t="s">
        <v>4025</v>
      </c>
      <c r="F228" s="10" t="s">
        <v>51</v>
      </c>
      <c r="G228" s="10" t="s">
        <v>51</v>
      </c>
      <c r="H228" s="10" t="s">
        <v>51</v>
      </c>
      <c r="I228" s="10" t="s">
        <v>4026</v>
      </c>
      <c r="J228" s="10" t="s">
        <v>4027</v>
      </c>
      <c r="K228" s="10" t="s">
        <v>51</v>
      </c>
      <c r="L228" s="10" t="s">
        <v>1529</v>
      </c>
    </row>
    <row r="229" spans="1:17" ht="45" hidden="1" x14ac:dyDescent="0.25">
      <c r="A229" s="10" t="s">
        <v>4451</v>
      </c>
      <c r="B229" s="10" t="s">
        <v>4094</v>
      </c>
      <c r="C229" s="10" t="s">
        <v>4452</v>
      </c>
      <c r="D229" s="10" t="s">
        <v>50</v>
      </c>
      <c r="E229" s="10" t="s">
        <v>4096</v>
      </c>
      <c r="F229" s="10" t="s">
        <v>51</v>
      </c>
      <c r="G229" s="10" t="s">
        <v>50</v>
      </c>
      <c r="H229" s="10" t="s">
        <v>50</v>
      </c>
      <c r="I229" s="10" t="s">
        <v>4071</v>
      </c>
      <c r="J229" s="10" t="s">
        <v>4032</v>
      </c>
      <c r="K229" s="10" t="s">
        <v>51</v>
      </c>
      <c r="L229" s="10" t="s">
        <v>1529</v>
      </c>
      <c r="M229" s="18" t="s">
        <v>4453</v>
      </c>
      <c r="N229" s="18" t="s">
        <v>4052</v>
      </c>
      <c r="O229" s="18" t="s">
        <v>4053</v>
      </c>
      <c r="P229" s="99"/>
    </row>
    <row r="230" spans="1:17" ht="45" hidden="1" x14ac:dyDescent="0.25">
      <c r="A230" s="10" t="s">
        <v>4454</v>
      </c>
      <c r="B230" s="10" t="s">
        <v>4094</v>
      </c>
      <c r="C230" s="10" t="s">
        <v>4452</v>
      </c>
      <c r="D230" s="10" t="s">
        <v>51</v>
      </c>
      <c r="E230" s="10" t="s">
        <v>4025</v>
      </c>
      <c r="F230" s="10" t="s">
        <v>51</v>
      </c>
      <c r="G230" s="10" t="s">
        <v>51</v>
      </c>
      <c r="H230" s="10" t="s">
        <v>51</v>
      </c>
      <c r="I230" s="10" t="s">
        <v>4026</v>
      </c>
      <c r="J230" s="10" t="s">
        <v>4050</v>
      </c>
      <c r="K230" s="10" t="s">
        <v>51</v>
      </c>
      <c r="L230" s="10" t="s">
        <v>1529</v>
      </c>
    </row>
    <row r="231" spans="1:17" ht="30" hidden="1" x14ac:dyDescent="0.25">
      <c r="A231" s="10" t="s">
        <v>4455</v>
      </c>
      <c r="B231" s="10" t="s">
        <v>4094</v>
      </c>
      <c r="C231" s="10" t="s">
        <v>4452</v>
      </c>
      <c r="D231" s="10" t="s">
        <v>50</v>
      </c>
      <c r="E231" s="10" t="s">
        <v>4096</v>
      </c>
      <c r="F231" s="10" t="s">
        <v>51</v>
      </c>
      <c r="G231" s="10" t="s">
        <v>50</v>
      </c>
      <c r="H231" s="10" t="s">
        <v>50</v>
      </c>
      <c r="I231" s="10" t="s">
        <v>4071</v>
      </c>
      <c r="J231" s="10" t="s">
        <v>4050</v>
      </c>
      <c r="K231" s="10" t="s">
        <v>51</v>
      </c>
      <c r="L231" s="10" t="s">
        <v>1529</v>
      </c>
      <c r="M231" s="18" t="s">
        <v>4456</v>
      </c>
      <c r="N231" s="18" t="s">
        <v>4457</v>
      </c>
      <c r="O231" s="18" t="s">
        <v>4053</v>
      </c>
      <c r="P231" s="99"/>
    </row>
    <row r="232" spans="1:17" ht="30" hidden="1" x14ac:dyDescent="0.25">
      <c r="A232" s="11" t="s">
        <v>4458</v>
      </c>
      <c r="B232" s="12" t="s">
        <v>4048</v>
      </c>
      <c r="C232" s="11" t="s">
        <v>4459</v>
      </c>
      <c r="D232" s="11" t="s">
        <v>50</v>
      </c>
      <c r="E232" s="11" t="s">
        <v>4031</v>
      </c>
      <c r="F232" s="11" t="s">
        <v>50</v>
      </c>
      <c r="G232" s="11" t="s">
        <v>50</v>
      </c>
      <c r="H232" s="11" t="s">
        <v>50</v>
      </c>
      <c r="I232" s="11" t="s">
        <v>4097</v>
      </c>
      <c r="J232" s="11" t="s">
        <v>4032</v>
      </c>
      <c r="K232" s="11" t="s">
        <v>50</v>
      </c>
      <c r="L232" s="11" t="s">
        <v>1529</v>
      </c>
    </row>
    <row r="233" spans="1:17" ht="45" hidden="1" x14ac:dyDescent="0.25">
      <c r="A233" s="10" t="s">
        <v>4460</v>
      </c>
      <c r="B233" s="10" t="s">
        <v>4048</v>
      </c>
      <c r="C233" s="10" t="s">
        <v>4459</v>
      </c>
      <c r="D233" s="10" t="s">
        <v>50</v>
      </c>
      <c r="E233" s="10" t="s">
        <v>4031</v>
      </c>
      <c r="F233" s="10" t="s">
        <v>50</v>
      </c>
      <c r="G233" s="10" t="s">
        <v>50</v>
      </c>
      <c r="H233" s="10" t="s">
        <v>51</v>
      </c>
      <c r="I233" s="10" t="s">
        <v>4071</v>
      </c>
      <c r="J233" s="10" t="s">
        <v>4050</v>
      </c>
      <c r="K233" s="10" t="s">
        <v>51</v>
      </c>
      <c r="L233" s="10" t="s">
        <v>1529</v>
      </c>
    </row>
    <row r="234" spans="1:17" ht="30" hidden="1" x14ac:dyDescent="0.25">
      <c r="A234" s="10" t="s">
        <v>4461</v>
      </c>
      <c r="B234" s="10" t="s">
        <v>4048</v>
      </c>
      <c r="C234" s="10" t="s">
        <v>4459</v>
      </c>
      <c r="D234" s="10" t="s">
        <v>50</v>
      </c>
      <c r="E234" s="10" t="s">
        <v>4031</v>
      </c>
      <c r="F234" s="10" t="s">
        <v>50</v>
      </c>
      <c r="G234" s="10" t="s">
        <v>50</v>
      </c>
      <c r="H234" s="10" t="s">
        <v>51</v>
      </c>
      <c r="I234" s="10" t="s">
        <v>4026</v>
      </c>
      <c r="J234" s="10" t="s">
        <v>4050</v>
      </c>
      <c r="K234" s="10" t="s">
        <v>50</v>
      </c>
      <c r="L234" s="10" t="s">
        <v>1529</v>
      </c>
      <c r="M234" s="35" t="s">
        <v>4142</v>
      </c>
      <c r="N234" s="35" t="s">
        <v>4142</v>
      </c>
      <c r="O234" s="35" t="s">
        <v>4142</v>
      </c>
      <c r="P234" s="99"/>
    </row>
    <row r="235" spans="1:17" ht="30" hidden="1" x14ac:dyDescent="0.25">
      <c r="A235" s="11" t="s">
        <v>4462</v>
      </c>
      <c r="B235" s="12" t="s">
        <v>4048</v>
      </c>
      <c r="C235" s="12" t="s">
        <v>4459</v>
      </c>
      <c r="D235" s="11" t="s">
        <v>50</v>
      </c>
      <c r="E235" s="13" t="s">
        <v>4096</v>
      </c>
      <c r="F235" s="11" t="s">
        <v>50</v>
      </c>
      <c r="G235" s="11" t="s">
        <v>50</v>
      </c>
      <c r="H235" s="11" t="s">
        <v>50</v>
      </c>
      <c r="I235" s="11" t="s">
        <v>4097</v>
      </c>
      <c r="J235" s="11" t="s">
        <v>4032</v>
      </c>
      <c r="K235" s="11" t="s">
        <v>50</v>
      </c>
      <c r="L235" s="11" t="s">
        <v>1529</v>
      </c>
    </row>
    <row r="236" spans="1:17" ht="30" hidden="1" x14ac:dyDescent="0.25">
      <c r="A236" s="10" t="s">
        <v>4463</v>
      </c>
      <c r="B236" s="10" t="s">
        <v>4048</v>
      </c>
      <c r="C236" s="10" t="s">
        <v>4459</v>
      </c>
      <c r="D236" s="10" t="s">
        <v>50</v>
      </c>
      <c r="E236" s="10" t="s">
        <v>4096</v>
      </c>
      <c r="F236" s="10" t="s">
        <v>50</v>
      </c>
      <c r="G236" s="10" t="s">
        <v>50</v>
      </c>
      <c r="H236" s="10" t="s">
        <v>50</v>
      </c>
      <c r="I236" s="10" t="s">
        <v>4071</v>
      </c>
      <c r="J236" s="10" t="s">
        <v>4050</v>
      </c>
      <c r="K236" s="10" t="s">
        <v>50</v>
      </c>
      <c r="L236" s="10" t="s">
        <v>1529</v>
      </c>
    </row>
    <row r="237" spans="1:17" ht="45" hidden="1" x14ac:dyDescent="0.25">
      <c r="A237" s="10" t="s">
        <v>4464</v>
      </c>
      <c r="B237" s="10" t="s">
        <v>4100</v>
      </c>
      <c r="C237" s="10" t="s">
        <v>4465</v>
      </c>
      <c r="D237" s="10" t="s">
        <v>50</v>
      </c>
      <c r="E237" s="10" t="s">
        <v>4031</v>
      </c>
      <c r="F237" s="10" t="s">
        <v>50</v>
      </c>
      <c r="G237" s="10" t="s">
        <v>50</v>
      </c>
      <c r="H237" s="10" t="s">
        <v>51</v>
      </c>
      <c r="I237" s="10" t="s">
        <v>4071</v>
      </c>
      <c r="J237" s="10" t="s">
        <v>4050</v>
      </c>
      <c r="K237" s="10" t="s">
        <v>50</v>
      </c>
      <c r="L237" s="10" t="s">
        <v>1529</v>
      </c>
      <c r="M237" s="36" t="s">
        <v>4076</v>
      </c>
      <c r="N237" s="36" t="s">
        <v>4076</v>
      </c>
      <c r="O237" s="36" t="s">
        <v>4076</v>
      </c>
      <c r="P237" s="99"/>
    </row>
    <row r="238" spans="1:17" ht="30" hidden="1" x14ac:dyDescent="0.25">
      <c r="A238" s="10" t="s">
        <v>4466</v>
      </c>
      <c r="B238" s="10" t="s">
        <v>4100</v>
      </c>
      <c r="C238" s="10" t="s">
        <v>4465</v>
      </c>
      <c r="D238" s="10" t="s">
        <v>50</v>
      </c>
      <c r="E238" s="10" t="s">
        <v>4096</v>
      </c>
      <c r="F238" s="10" t="s">
        <v>50</v>
      </c>
      <c r="G238" s="10" t="s">
        <v>50</v>
      </c>
      <c r="H238" s="10" t="s">
        <v>50</v>
      </c>
      <c r="I238" s="10" t="s">
        <v>4071</v>
      </c>
      <c r="J238" s="10" t="s">
        <v>4050</v>
      </c>
      <c r="K238" s="10" t="s">
        <v>50</v>
      </c>
      <c r="L238" s="10" t="s">
        <v>1529</v>
      </c>
      <c r="M238" s="36" t="s">
        <v>4076</v>
      </c>
      <c r="N238" s="36" t="s">
        <v>4076</v>
      </c>
      <c r="O238" s="36" t="s">
        <v>4076</v>
      </c>
      <c r="P238" s="99"/>
    </row>
    <row r="239" spans="1:17" ht="30" hidden="1" x14ac:dyDescent="0.25">
      <c r="A239" s="10" t="s">
        <v>4467</v>
      </c>
      <c r="B239" s="10" t="s">
        <v>4069</v>
      </c>
      <c r="C239" s="10" t="s">
        <v>4070</v>
      </c>
      <c r="D239" s="10" t="s">
        <v>51</v>
      </c>
      <c r="E239" s="10" t="s">
        <v>4025</v>
      </c>
      <c r="F239" s="10" t="s">
        <v>51</v>
      </c>
      <c r="G239" s="10" t="s">
        <v>51</v>
      </c>
      <c r="H239" s="10" t="s">
        <v>51</v>
      </c>
      <c r="I239" s="10" t="s">
        <v>4026</v>
      </c>
      <c r="J239" s="10" t="s">
        <v>4027</v>
      </c>
      <c r="K239" s="10" t="s">
        <v>51</v>
      </c>
      <c r="L239" s="10" t="s">
        <v>4065</v>
      </c>
    </row>
    <row r="240" spans="1:17" ht="60" x14ac:dyDescent="0.25">
      <c r="A240" s="276" t="s">
        <v>206</v>
      </c>
      <c r="B240" s="10" t="s">
        <v>4100</v>
      </c>
      <c r="C240" s="10" t="s">
        <v>407</v>
      </c>
      <c r="D240" s="10" t="s">
        <v>50</v>
      </c>
      <c r="E240" s="10" t="s">
        <v>4031</v>
      </c>
      <c r="F240" s="10" t="s">
        <v>51</v>
      </c>
      <c r="G240" s="276" t="s">
        <v>50</v>
      </c>
      <c r="H240" s="276" t="s">
        <v>51</v>
      </c>
      <c r="I240" s="276" t="s">
        <v>4071</v>
      </c>
      <c r="J240" s="276" t="s">
        <v>4027</v>
      </c>
      <c r="K240" s="276" t="s">
        <v>50</v>
      </c>
      <c r="L240" s="276" t="s">
        <v>4065</v>
      </c>
      <c r="M240" s="280" t="s">
        <v>4674</v>
      </c>
      <c r="N240" s="280" t="s">
        <v>4468</v>
      </c>
      <c r="O240" s="271" t="s">
        <v>4122</v>
      </c>
      <c r="P240" s="99"/>
      <c r="Q240" s="278" t="s">
        <v>50</v>
      </c>
    </row>
    <row r="241" spans="1:17" ht="45" x14ac:dyDescent="0.25">
      <c r="A241" s="276" t="s">
        <v>199</v>
      </c>
      <c r="B241" s="10" t="s">
        <v>4100</v>
      </c>
      <c r="C241" s="10" t="s">
        <v>407</v>
      </c>
      <c r="D241" s="10" t="s">
        <v>50</v>
      </c>
      <c r="E241" s="10" t="s">
        <v>4031</v>
      </c>
      <c r="F241" s="10" t="s">
        <v>51</v>
      </c>
      <c r="G241" s="276" t="s">
        <v>50</v>
      </c>
      <c r="H241" s="276" t="s">
        <v>51</v>
      </c>
      <c r="I241" s="276" t="s">
        <v>4026</v>
      </c>
      <c r="J241" s="276" t="s">
        <v>4027</v>
      </c>
      <c r="K241" s="276" t="s">
        <v>51</v>
      </c>
      <c r="L241" s="276" t="s">
        <v>4065</v>
      </c>
      <c r="M241" s="280" t="s">
        <v>4675</v>
      </c>
      <c r="N241" s="271" t="s">
        <v>4034</v>
      </c>
      <c r="O241" s="271" t="s">
        <v>4122</v>
      </c>
      <c r="P241" s="99"/>
      <c r="Q241" s="278" t="s">
        <v>50</v>
      </c>
    </row>
    <row r="242" spans="1:17" ht="38.25" hidden="1" x14ac:dyDescent="0.25">
      <c r="A242" s="10" t="s">
        <v>4469</v>
      </c>
      <c r="B242" s="10" t="s">
        <v>4100</v>
      </c>
      <c r="C242" s="10" t="s">
        <v>4379</v>
      </c>
      <c r="D242" s="10" t="s">
        <v>50</v>
      </c>
      <c r="E242" s="10" t="s">
        <v>4115</v>
      </c>
      <c r="F242" s="10" t="s">
        <v>50</v>
      </c>
      <c r="G242" s="10" t="s">
        <v>50</v>
      </c>
      <c r="H242" s="10" t="s">
        <v>51</v>
      </c>
      <c r="I242" s="10" t="s">
        <v>4026</v>
      </c>
      <c r="J242" s="10" t="s">
        <v>4050</v>
      </c>
      <c r="K242" s="10" t="s">
        <v>50</v>
      </c>
      <c r="L242" s="10" t="s">
        <v>1529</v>
      </c>
      <c r="M242" s="18" t="s">
        <v>4470</v>
      </c>
      <c r="N242" s="18" t="s">
        <v>4471</v>
      </c>
      <c r="O242" s="18" t="s">
        <v>4472</v>
      </c>
      <c r="P242" s="99"/>
    </row>
    <row r="243" spans="1:17" ht="51" hidden="1" x14ac:dyDescent="0.25">
      <c r="A243" s="10" t="s">
        <v>4473</v>
      </c>
      <c r="B243" s="10" t="s">
        <v>4100</v>
      </c>
      <c r="C243" s="10" t="s">
        <v>4379</v>
      </c>
      <c r="D243" s="10" t="s">
        <v>50</v>
      </c>
      <c r="E243" s="10" t="s">
        <v>4115</v>
      </c>
      <c r="F243" s="10" t="s">
        <v>50</v>
      </c>
      <c r="G243" s="10" t="s">
        <v>50</v>
      </c>
      <c r="H243" s="10" t="s">
        <v>51</v>
      </c>
      <c r="I243" s="10" t="s">
        <v>4097</v>
      </c>
      <c r="J243" s="10" t="s">
        <v>4032</v>
      </c>
      <c r="K243" s="10" t="s">
        <v>51</v>
      </c>
      <c r="L243" s="10" t="s">
        <v>1529</v>
      </c>
      <c r="M243" s="21" t="s">
        <v>4474</v>
      </c>
      <c r="N243" s="15" t="s">
        <v>4475</v>
      </c>
      <c r="O243" s="18" t="s">
        <v>4122</v>
      </c>
      <c r="P243" s="99"/>
    </row>
    <row r="244" spans="1:17" ht="30" hidden="1" x14ac:dyDescent="0.25">
      <c r="A244" s="10" t="s">
        <v>4476</v>
      </c>
      <c r="B244" s="10" t="s">
        <v>4023</v>
      </c>
      <c r="C244" s="10" t="s">
        <v>4029</v>
      </c>
      <c r="D244" s="10" t="s">
        <v>51</v>
      </c>
      <c r="E244" s="10" t="s">
        <v>4025</v>
      </c>
      <c r="F244" s="10" t="s">
        <v>51</v>
      </c>
      <c r="G244" s="10" t="s">
        <v>51</v>
      </c>
      <c r="H244" s="10" t="s">
        <v>51</v>
      </c>
      <c r="I244" s="10" t="s">
        <v>4026</v>
      </c>
      <c r="J244" s="10" t="s">
        <v>4027</v>
      </c>
      <c r="K244" s="10" t="s">
        <v>51</v>
      </c>
      <c r="L244" s="10" t="s">
        <v>1529</v>
      </c>
    </row>
    <row r="245" spans="1:17" s="13" customFormat="1" ht="45" hidden="1" x14ac:dyDescent="0.25">
      <c r="A245" s="10" t="s">
        <v>4477</v>
      </c>
      <c r="B245" s="10" t="s">
        <v>4177</v>
      </c>
      <c r="C245" s="10" t="s">
        <v>4178</v>
      </c>
      <c r="D245" s="10" t="s">
        <v>50</v>
      </c>
      <c r="E245" s="10" t="s">
        <v>4096</v>
      </c>
      <c r="F245" s="10" t="s">
        <v>50</v>
      </c>
      <c r="G245" s="10" t="s">
        <v>50</v>
      </c>
      <c r="H245" s="10" t="s">
        <v>51</v>
      </c>
      <c r="I245" s="10" t="s">
        <v>4026</v>
      </c>
      <c r="J245" s="10" t="s">
        <v>4050</v>
      </c>
      <c r="K245" s="10" t="s">
        <v>51</v>
      </c>
      <c r="L245" s="10" t="s">
        <v>1529</v>
      </c>
      <c r="M245" s="22" t="s">
        <v>4478</v>
      </c>
      <c r="N245" s="18" t="s">
        <v>4479</v>
      </c>
      <c r="O245" s="18" t="s">
        <v>4122</v>
      </c>
      <c r="P245" s="99"/>
    </row>
    <row r="246" spans="1:17" ht="30" hidden="1" x14ac:dyDescent="0.25">
      <c r="A246" s="10" t="s">
        <v>4480</v>
      </c>
      <c r="B246" s="10" t="s">
        <v>4177</v>
      </c>
      <c r="C246" s="10" t="s">
        <v>4178</v>
      </c>
      <c r="D246" s="10" t="s">
        <v>50</v>
      </c>
      <c r="E246" s="10" t="s">
        <v>4096</v>
      </c>
      <c r="F246" s="10" t="s">
        <v>50</v>
      </c>
      <c r="G246" s="10" t="s">
        <v>50</v>
      </c>
      <c r="H246" s="10" t="s">
        <v>51</v>
      </c>
      <c r="I246" s="10" t="s">
        <v>4026</v>
      </c>
      <c r="J246" s="10" t="s">
        <v>4050</v>
      </c>
      <c r="K246" s="10" t="s">
        <v>51</v>
      </c>
      <c r="L246" s="10" t="s">
        <v>1529</v>
      </c>
      <c r="M246" s="18" t="s">
        <v>4481</v>
      </c>
      <c r="N246" s="18" t="s">
        <v>4479</v>
      </c>
      <c r="O246" s="18" t="s">
        <v>4122</v>
      </c>
      <c r="P246" s="99"/>
    </row>
    <row r="247" spans="1:17" hidden="1" x14ac:dyDescent="0.25">
      <c r="A247" s="10" t="s">
        <v>4482</v>
      </c>
      <c r="B247" s="10" t="s">
        <v>4037</v>
      </c>
      <c r="C247" s="10" t="s">
        <v>4483</v>
      </c>
      <c r="D247" s="10" t="s">
        <v>51</v>
      </c>
      <c r="E247" s="10" t="s">
        <v>4025</v>
      </c>
      <c r="F247" s="10" t="s">
        <v>51</v>
      </c>
      <c r="G247" s="10" t="s">
        <v>51</v>
      </c>
      <c r="H247" s="10" t="s">
        <v>51</v>
      </c>
      <c r="I247" s="10" t="s">
        <v>4026</v>
      </c>
      <c r="J247" s="10" t="s">
        <v>4027</v>
      </c>
      <c r="K247" s="10" t="s">
        <v>51</v>
      </c>
      <c r="L247" s="10" t="s">
        <v>4044</v>
      </c>
    </row>
    <row r="248" spans="1:17" ht="51.75" hidden="1" x14ac:dyDescent="0.25">
      <c r="A248" s="10" t="s">
        <v>4484</v>
      </c>
      <c r="B248" s="10" t="s">
        <v>4100</v>
      </c>
      <c r="C248" s="10" t="s">
        <v>4465</v>
      </c>
      <c r="D248" s="10" t="s">
        <v>50</v>
      </c>
      <c r="E248" s="10" t="s">
        <v>4031</v>
      </c>
      <c r="F248" s="10" t="s">
        <v>50</v>
      </c>
      <c r="G248" s="10" t="s">
        <v>50</v>
      </c>
      <c r="H248" s="10" t="s">
        <v>51</v>
      </c>
      <c r="I248" s="10" t="s">
        <v>4071</v>
      </c>
      <c r="J248" s="10" t="s">
        <v>4050</v>
      </c>
      <c r="K248" s="10" t="s">
        <v>50</v>
      </c>
      <c r="L248" s="10" t="s">
        <v>1529</v>
      </c>
      <c r="M248" s="23" t="s">
        <v>4485</v>
      </c>
      <c r="N248" s="18" t="s">
        <v>4486</v>
      </c>
      <c r="O248" s="18" t="s">
        <v>4487</v>
      </c>
      <c r="P248" s="99"/>
    </row>
    <row r="249" spans="1:17" ht="45" hidden="1" x14ac:dyDescent="0.25">
      <c r="A249" s="10" t="s">
        <v>4488</v>
      </c>
      <c r="B249" s="10" t="s">
        <v>4100</v>
      </c>
      <c r="C249" s="10" t="s">
        <v>4465</v>
      </c>
      <c r="D249" s="10" t="s">
        <v>50</v>
      </c>
      <c r="E249" s="10" t="s">
        <v>4031</v>
      </c>
      <c r="F249" s="10" t="s">
        <v>50</v>
      </c>
      <c r="G249" s="10" t="s">
        <v>50</v>
      </c>
      <c r="H249" s="10" t="s">
        <v>51</v>
      </c>
      <c r="I249" s="10" t="s">
        <v>4071</v>
      </c>
      <c r="J249" s="10" t="s">
        <v>4050</v>
      </c>
      <c r="K249" s="10" t="s">
        <v>50</v>
      </c>
      <c r="L249" s="10" t="s">
        <v>1529</v>
      </c>
      <c r="M249" s="36" t="s">
        <v>4076</v>
      </c>
      <c r="N249" s="36" t="s">
        <v>4076</v>
      </c>
      <c r="O249" s="36" t="s">
        <v>4076</v>
      </c>
      <c r="P249" s="99"/>
    </row>
    <row r="250" spans="1:17" ht="30" hidden="1" x14ac:dyDescent="0.25">
      <c r="A250" s="10" t="s">
        <v>4489</v>
      </c>
      <c r="B250" s="10" t="s">
        <v>4023</v>
      </c>
      <c r="C250" s="10" t="s">
        <v>4062</v>
      </c>
      <c r="D250" s="10" t="s">
        <v>51</v>
      </c>
      <c r="E250" s="10" t="s">
        <v>4025</v>
      </c>
      <c r="F250" s="10" t="s">
        <v>51</v>
      </c>
      <c r="G250" s="10" t="s">
        <v>51</v>
      </c>
      <c r="H250" s="10" t="s">
        <v>51</v>
      </c>
      <c r="I250" s="10" t="s">
        <v>4026</v>
      </c>
      <c r="J250" s="10" t="s">
        <v>4027</v>
      </c>
      <c r="K250" s="10" t="s">
        <v>51</v>
      </c>
      <c r="L250" s="10" t="s">
        <v>1529</v>
      </c>
    </row>
    <row r="251" spans="1:17" hidden="1" x14ac:dyDescent="0.25">
      <c r="A251" s="10" t="s">
        <v>4490</v>
      </c>
      <c r="B251" s="10" t="s">
        <v>4023</v>
      </c>
      <c r="C251" s="10" t="s">
        <v>4062</v>
      </c>
      <c r="D251" s="10" t="s">
        <v>51</v>
      </c>
      <c r="E251" s="10" t="s">
        <v>4025</v>
      </c>
      <c r="F251" s="10" t="s">
        <v>51</v>
      </c>
      <c r="G251" s="10" t="s">
        <v>51</v>
      </c>
      <c r="H251" s="10" t="s">
        <v>51</v>
      </c>
      <c r="I251" s="10" t="s">
        <v>4026</v>
      </c>
      <c r="J251" s="10" t="s">
        <v>4027</v>
      </c>
      <c r="K251" s="10" t="s">
        <v>51</v>
      </c>
      <c r="L251" s="10" t="s">
        <v>1529</v>
      </c>
    </row>
    <row r="252" spans="1:17" ht="30" hidden="1" x14ac:dyDescent="0.25">
      <c r="A252" s="10" t="s">
        <v>4491</v>
      </c>
      <c r="B252" s="10" t="s">
        <v>4023</v>
      </c>
      <c r="C252" s="10" t="s">
        <v>4024</v>
      </c>
      <c r="D252" s="10" t="s">
        <v>51</v>
      </c>
      <c r="E252" s="10" t="s">
        <v>4025</v>
      </c>
      <c r="F252" s="10" t="s">
        <v>51</v>
      </c>
      <c r="G252" s="10" t="s">
        <v>51</v>
      </c>
      <c r="H252" s="10" t="s">
        <v>51</v>
      </c>
      <c r="I252" s="10" t="s">
        <v>4026</v>
      </c>
      <c r="J252" s="10" t="s">
        <v>4027</v>
      </c>
      <c r="K252" s="10" t="s">
        <v>51</v>
      </c>
      <c r="L252" s="10" t="s">
        <v>1529</v>
      </c>
    </row>
    <row r="253" spans="1:17" ht="45" hidden="1" x14ac:dyDescent="0.25">
      <c r="A253" s="10" t="s">
        <v>4492</v>
      </c>
      <c r="B253" s="10" t="s">
        <v>4100</v>
      </c>
      <c r="C253" s="10" t="s">
        <v>4493</v>
      </c>
      <c r="D253" s="10" t="s">
        <v>50</v>
      </c>
      <c r="E253" s="10" t="s">
        <v>4096</v>
      </c>
      <c r="F253" s="10" t="s">
        <v>50</v>
      </c>
      <c r="G253" s="10" t="s">
        <v>50</v>
      </c>
      <c r="H253" s="10" t="s">
        <v>51</v>
      </c>
      <c r="I253" s="10" t="s">
        <v>4026</v>
      </c>
      <c r="J253" s="10" t="s">
        <v>4050</v>
      </c>
      <c r="K253" s="10" t="s">
        <v>50</v>
      </c>
      <c r="L253" s="10" t="s">
        <v>1529</v>
      </c>
      <c r="M253" s="15" t="s">
        <v>4494</v>
      </c>
      <c r="N253" s="18" t="s">
        <v>4495</v>
      </c>
      <c r="O253" s="18" t="s">
        <v>4496</v>
      </c>
      <c r="P253" s="99"/>
    </row>
    <row r="254" spans="1:17" ht="45" hidden="1" x14ac:dyDescent="0.25">
      <c r="A254" s="10" t="s">
        <v>4497</v>
      </c>
      <c r="B254" s="10" t="s">
        <v>4100</v>
      </c>
      <c r="C254" s="10" t="s">
        <v>4493</v>
      </c>
      <c r="D254" s="10" t="s">
        <v>50</v>
      </c>
      <c r="E254" s="10" t="s">
        <v>4096</v>
      </c>
      <c r="F254" s="10" t="s">
        <v>50</v>
      </c>
      <c r="G254" s="10" t="s">
        <v>50</v>
      </c>
      <c r="H254" s="10" t="s">
        <v>51</v>
      </c>
      <c r="I254" s="10" t="s">
        <v>4071</v>
      </c>
      <c r="J254" s="10" t="s">
        <v>4050</v>
      </c>
      <c r="K254" s="10" t="s">
        <v>50</v>
      </c>
      <c r="L254" s="10" t="s">
        <v>1529</v>
      </c>
      <c r="M254" s="36" t="s">
        <v>4076</v>
      </c>
      <c r="N254" s="36" t="s">
        <v>4076</v>
      </c>
      <c r="O254" s="36" t="s">
        <v>4076</v>
      </c>
      <c r="P254" s="99"/>
    </row>
    <row r="255" spans="1:17" hidden="1" x14ac:dyDescent="0.25">
      <c r="A255" s="10" t="s">
        <v>4498</v>
      </c>
      <c r="B255" s="10" t="s">
        <v>4023</v>
      </c>
      <c r="C255" s="10" t="s">
        <v>4062</v>
      </c>
      <c r="D255" s="10" t="s">
        <v>51</v>
      </c>
      <c r="E255" s="10" t="s">
        <v>4025</v>
      </c>
      <c r="F255" s="10" t="s">
        <v>51</v>
      </c>
      <c r="G255" s="10" t="s">
        <v>50</v>
      </c>
      <c r="H255" s="10" t="s">
        <v>51</v>
      </c>
      <c r="I255" s="10" t="s">
        <v>4071</v>
      </c>
      <c r="J255" s="10" t="s">
        <v>4050</v>
      </c>
      <c r="K255" s="10" t="s">
        <v>51</v>
      </c>
      <c r="L255" s="10" t="s">
        <v>1529</v>
      </c>
    </row>
    <row r="256" spans="1:17" ht="89.25" x14ac:dyDescent="0.25">
      <c r="A256" s="276" t="s">
        <v>222</v>
      </c>
      <c r="B256" s="10" t="s">
        <v>4048</v>
      </c>
      <c r="C256" s="10" t="s">
        <v>4499</v>
      </c>
      <c r="D256" s="10" t="s">
        <v>51</v>
      </c>
      <c r="E256" s="10" t="s">
        <v>4025</v>
      </c>
      <c r="F256" s="10" t="s">
        <v>50</v>
      </c>
      <c r="G256" s="276" t="s">
        <v>50</v>
      </c>
      <c r="H256" s="276" t="s">
        <v>51</v>
      </c>
      <c r="I256" s="276" t="s">
        <v>4026</v>
      </c>
      <c r="J256" s="276" t="s">
        <v>4050</v>
      </c>
      <c r="K256" s="276" t="s">
        <v>50</v>
      </c>
      <c r="L256" s="276" t="s">
        <v>1529</v>
      </c>
      <c r="M256" s="271" t="s">
        <v>4500</v>
      </c>
      <c r="N256" s="271" t="s">
        <v>4501</v>
      </c>
      <c r="O256" s="271" t="s">
        <v>4502</v>
      </c>
      <c r="P256" s="99"/>
      <c r="Q256" s="278" t="s">
        <v>50</v>
      </c>
    </row>
    <row r="257" spans="1:17" ht="76.5" x14ac:dyDescent="0.25">
      <c r="A257" s="276" t="s">
        <v>226</v>
      </c>
      <c r="B257" s="10" t="s">
        <v>4069</v>
      </c>
      <c r="C257" s="10" t="s">
        <v>4086</v>
      </c>
      <c r="D257" s="10" t="s">
        <v>50</v>
      </c>
      <c r="E257" s="10" t="s">
        <v>4031</v>
      </c>
      <c r="F257" s="10" t="s">
        <v>50</v>
      </c>
      <c r="G257" s="276" t="s">
        <v>50</v>
      </c>
      <c r="H257" s="276" t="s">
        <v>51</v>
      </c>
      <c r="I257" s="276" t="s">
        <v>4026</v>
      </c>
      <c r="J257" s="276" t="s">
        <v>4050</v>
      </c>
      <c r="K257" s="276" t="s">
        <v>50</v>
      </c>
      <c r="L257" s="276" t="s">
        <v>1529</v>
      </c>
      <c r="M257" s="281" t="s">
        <v>4503</v>
      </c>
      <c r="N257" s="274" t="s">
        <v>4504</v>
      </c>
      <c r="O257" s="271" t="s">
        <v>4328</v>
      </c>
      <c r="P257" s="99"/>
      <c r="Q257" s="278" t="s">
        <v>50</v>
      </c>
    </row>
    <row r="258" spans="1:17" ht="63.75" hidden="1" x14ac:dyDescent="0.25">
      <c r="A258" s="10" t="s">
        <v>4505</v>
      </c>
      <c r="B258" s="10" t="s">
        <v>4100</v>
      </c>
      <c r="C258" s="10" t="s">
        <v>4493</v>
      </c>
      <c r="D258" s="10" t="s">
        <v>50</v>
      </c>
      <c r="E258" s="10" t="s">
        <v>4096</v>
      </c>
      <c r="F258" s="10" t="s">
        <v>50</v>
      </c>
      <c r="G258" s="10" t="s">
        <v>50</v>
      </c>
      <c r="H258" s="10" t="s">
        <v>51</v>
      </c>
      <c r="I258" s="10" t="s">
        <v>4071</v>
      </c>
      <c r="J258" s="10" t="s">
        <v>4050</v>
      </c>
      <c r="K258" s="10" t="s">
        <v>50</v>
      </c>
      <c r="L258" s="10" t="s">
        <v>1529</v>
      </c>
      <c r="M258" s="18" t="s">
        <v>4506</v>
      </c>
      <c r="N258" s="18" t="s">
        <v>4507</v>
      </c>
      <c r="O258" s="18" t="s">
        <v>4053</v>
      </c>
      <c r="P258" s="99"/>
    </row>
    <row r="259" spans="1:17" ht="30" hidden="1" x14ac:dyDescent="0.25">
      <c r="A259" s="10" t="s">
        <v>4508</v>
      </c>
      <c r="B259" s="10" t="s">
        <v>4023</v>
      </c>
      <c r="C259" s="10" t="s">
        <v>4024</v>
      </c>
      <c r="D259" s="10" t="s">
        <v>51</v>
      </c>
      <c r="E259" s="10" t="s">
        <v>4025</v>
      </c>
      <c r="F259" s="10" t="s">
        <v>51</v>
      </c>
      <c r="G259" s="10" t="s">
        <v>50</v>
      </c>
      <c r="H259" s="10" t="s">
        <v>50</v>
      </c>
      <c r="I259" s="10" t="s">
        <v>4071</v>
      </c>
      <c r="J259" s="10" t="s">
        <v>4027</v>
      </c>
      <c r="K259" s="10" t="s">
        <v>51</v>
      </c>
      <c r="L259" s="10" t="s">
        <v>1529</v>
      </c>
    </row>
    <row r="260" spans="1:17" ht="51" hidden="1" x14ac:dyDescent="0.25">
      <c r="A260" s="10" t="s">
        <v>4509</v>
      </c>
      <c r="B260" s="10" t="s">
        <v>4100</v>
      </c>
      <c r="C260" s="10" t="s">
        <v>4379</v>
      </c>
      <c r="D260" s="10" t="s">
        <v>50</v>
      </c>
      <c r="E260" s="10" t="s">
        <v>4031</v>
      </c>
      <c r="F260" s="10" t="s">
        <v>50</v>
      </c>
      <c r="G260" s="10" t="s">
        <v>50</v>
      </c>
      <c r="H260" s="10" t="s">
        <v>51</v>
      </c>
      <c r="I260" s="10" t="s">
        <v>4071</v>
      </c>
      <c r="J260" s="10" t="s">
        <v>4050</v>
      </c>
      <c r="K260" s="10" t="s">
        <v>50</v>
      </c>
      <c r="L260" s="10" t="s">
        <v>1529</v>
      </c>
      <c r="M260" s="18" t="s">
        <v>4510</v>
      </c>
      <c r="N260" s="18" t="s">
        <v>4511</v>
      </c>
      <c r="O260" s="18" t="s">
        <v>4373</v>
      </c>
      <c r="P260" s="99"/>
    </row>
    <row r="261" spans="1:17" ht="63.75" hidden="1" x14ac:dyDescent="0.25">
      <c r="A261" s="10" t="s">
        <v>4512</v>
      </c>
      <c r="B261" s="10" t="s">
        <v>4100</v>
      </c>
      <c r="C261" s="10" t="s">
        <v>4465</v>
      </c>
      <c r="D261" s="10" t="s">
        <v>50</v>
      </c>
      <c r="E261" s="10" t="s">
        <v>4031</v>
      </c>
      <c r="F261" s="10" t="s">
        <v>50</v>
      </c>
      <c r="G261" s="10" t="s">
        <v>50</v>
      </c>
      <c r="H261" s="10" t="s">
        <v>50</v>
      </c>
      <c r="I261" s="10" t="s">
        <v>4071</v>
      </c>
      <c r="J261" s="10" t="s">
        <v>4050</v>
      </c>
      <c r="K261" s="10" t="s">
        <v>50</v>
      </c>
      <c r="L261" s="10" t="s">
        <v>1529</v>
      </c>
      <c r="M261" s="18" t="s">
        <v>4513</v>
      </c>
      <c r="N261" s="18" t="s">
        <v>4514</v>
      </c>
      <c r="O261" s="18" t="s">
        <v>4515</v>
      </c>
      <c r="P261" s="99"/>
    </row>
    <row r="262" spans="1:17" ht="51" x14ac:dyDescent="0.25">
      <c r="A262" s="276" t="s">
        <v>233</v>
      </c>
      <c r="B262" s="10" t="s">
        <v>4100</v>
      </c>
      <c r="C262" s="10" t="s">
        <v>4465</v>
      </c>
      <c r="D262" s="10" t="s">
        <v>50</v>
      </c>
      <c r="E262" s="10" t="s">
        <v>4031</v>
      </c>
      <c r="F262" s="10" t="s">
        <v>50</v>
      </c>
      <c r="G262" s="276" t="s">
        <v>50</v>
      </c>
      <c r="H262" s="276" t="s">
        <v>51</v>
      </c>
      <c r="I262" s="276" t="s">
        <v>4071</v>
      </c>
      <c r="J262" s="276" t="s">
        <v>4050</v>
      </c>
      <c r="K262" s="276" t="s">
        <v>50</v>
      </c>
      <c r="L262" s="276" t="s">
        <v>1529</v>
      </c>
      <c r="M262" s="271" t="s">
        <v>4715</v>
      </c>
      <c r="N262" s="271" t="s">
        <v>4714</v>
      </c>
      <c r="O262" s="271" t="s">
        <v>4516</v>
      </c>
      <c r="P262" s="99"/>
      <c r="Q262" s="278" t="s">
        <v>50</v>
      </c>
    </row>
    <row r="263" spans="1:17" ht="51" x14ac:dyDescent="0.25">
      <c r="A263" s="276" t="s">
        <v>236</v>
      </c>
      <c r="B263" s="10" t="s">
        <v>4100</v>
      </c>
      <c r="C263" s="10" t="s">
        <v>4465</v>
      </c>
      <c r="D263" s="10" t="s">
        <v>50</v>
      </c>
      <c r="E263" s="10" t="s">
        <v>4096</v>
      </c>
      <c r="F263" s="10" t="s">
        <v>50</v>
      </c>
      <c r="G263" s="276" t="s">
        <v>50</v>
      </c>
      <c r="H263" s="276" t="s">
        <v>50</v>
      </c>
      <c r="I263" s="276" t="s">
        <v>4071</v>
      </c>
      <c r="J263" s="276" t="s">
        <v>4032</v>
      </c>
      <c r="K263" s="276" t="s">
        <v>50</v>
      </c>
      <c r="L263" s="276" t="s">
        <v>1529</v>
      </c>
      <c r="M263" s="275" t="s">
        <v>4517</v>
      </c>
      <c r="N263" s="271" t="s">
        <v>4713</v>
      </c>
      <c r="O263" s="271" t="s">
        <v>4516</v>
      </c>
      <c r="P263" s="99"/>
      <c r="Q263" s="278" t="s">
        <v>50</v>
      </c>
    </row>
    <row r="264" spans="1:17" hidden="1" x14ac:dyDescent="0.25">
      <c r="A264" s="10" t="s">
        <v>4518</v>
      </c>
      <c r="B264" s="10" t="s">
        <v>4037</v>
      </c>
      <c r="C264" s="10" t="s">
        <v>4038</v>
      </c>
      <c r="D264" s="10" t="s">
        <v>51</v>
      </c>
      <c r="E264" s="10" t="s">
        <v>4025</v>
      </c>
      <c r="F264" s="10" t="s">
        <v>51</v>
      </c>
      <c r="G264" s="10" t="s">
        <v>51</v>
      </c>
      <c r="H264" s="10" t="s">
        <v>51</v>
      </c>
      <c r="I264" s="10" t="s">
        <v>4026</v>
      </c>
      <c r="J264" s="10" t="s">
        <v>4027</v>
      </c>
      <c r="K264" s="10" t="s">
        <v>51</v>
      </c>
      <c r="L264" s="10" t="s">
        <v>4037</v>
      </c>
    </row>
    <row r="265" spans="1:17" ht="38.25" hidden="1" x14ac:dyDescent="0.25">
      <c r="A265" s="10" t="s">
        <v>270</v>
      </c>
      <c r="B265" s="10" t="s">
        <v>4030</v>
      </c>
      <c r="C265" s="10" t="s">
        <v>2685</v>
      </c>
      <c r="D265" s="10" t="s">
        <v>50</v>
      </c>
      <c r="E265" s="10" t="s">
        <v>4031</v>
      </c>
      <c r="F265" s="10" t="s">
        <v>50</v>
      </c>
      <c r="G265" s="10" t="s">
        <v>50</v>
      </c>
      <c r="H265" s="10" t="s">
        <v>51</v>
      </c>
      <c r="I265" s="10" t="s">
        <v>4071</v>
      </c>
      <c r="J265" s="10" t="s">
        <v>4032</v>
      </c>
      <c r="K265" s="10" t="s">
        <v>51</v>
      </c>
      <c r="L265" s="10" t="s">
        <v>1529</v>
      </c>
      <c r="M265" s="15" t="s">
        <v>4519</v>
      </c>
      <c r="N265" s="18" t="s">
        <v>4520</v>
      </c>
      <c r="O265" s="18" t="s">
        <v>4035</v>
      </c>
      <c r="P265" s="99"/>
    </row>
    <row r="266" spans="1:17" hidden="1" x14ac:dyDescent="0.25">
      <c r="A266" s="10" t="s">
        <v>4521</v>
      </c>
      <c r="B266" s="10" t="s">
        <v>4100</v>
      </c>
      <c r="C266" s="10" t="s">
        <v>4493</v>
      </c>
      <c r="D266" s="10" t="s">
        <v>51</v>
      </c>
      <c r="E266" s="10" t="s">
        <v>4025</v>
      </c>
      <c r="F266" s="10" t="s">
        <v>50</v>
      </c>
      <c r="G266" s="10" t="s">
        <v>50</v>
      </c>
      <c r="H266" s="10" t="s">
        <v>51</v>
      </c>
      <c r="I266" s="10" t="s">
        <v>4026</v>
      </c>
      <c r="J266" s="10" t="s">
        <v>4050</v>
      </c>
      <c r="K266" s="10" t="s">
        <v>50</v>
      </c>
      <c r="L266" s="10" t="s">
        <v>1529</v>
      </c>
      <c r="M266" s="18" t="s">
        <v>4522</v>
      </c>
      <c r="N266" s="18" t="s">
        <v>4523</v>
      </c>
      <c r="O266" s="18" t="s">
        <v>4053</v>
      </c>
      <c r="P266" s="99"/>
    </row>
    <row r="267" spans="1:17" hidden="1" x14ac:dyDescent="0.25">
      <c r="A267" s="10" t="s">
        <v>4524</v>
      </c>
      <c r="B267" s="10" t="s">
        <v>4023</v>
      </c>
      <c r="C267" s="10" t="s">
        <v>4029</v>
      </c>
      <c r="D267" s="10" t="s">
        <v>51</v>
      </c>
      <c r="E267" s="10" t="s">
        <v>4025</v>
      </c>
      <c r="F267" s="10" t="s">
        <v>51</v>
      </c>
      <c r="G267" s="10" t="s">
        <v>51</v>
      </c>
      <c r="H267" s="10" t="s">
        <v>51</v>
      </c>
      <c r="I267" s="10" t="s">
        <v>4026</v>
      </c>
      <c r="J267" s="10" t="s">
        <v>4027</v>
      </c>
      <c r="K267" s="10" t="s">
        <v>51</v>
      </c>
      <c r="L267" s="10" t="s">
        <v>1529</v>
      </c>
    </row>
    <row r="268" spans="1:17" hidden="1" x14ac:dyDescent="0.25">
      <c r="A268" s="10" t="s">
        <v>4483</v>
      </c>
      <c r="B268" s="10" t="s">
        <v>4037</v>
      </c>
      <c r="C268" s="10" t="s">
        <v>4483</v>
      </c>
      <c r="D268" s="10" t="s">
        <v>51</v>
      </c>
      <c r="E268" s="10" t="s">
        <v>4025</v>
      </c>
      <c r="F268" s="10" t="s">
        <v>51</v>
      </c>
      <c r="G268" s="10" t="s">
        <v>51</v>
      </c>
      <c r="H268" s="10" t="s">
        <v>51</v>
      </c>
      <c r="I268" s="10" t="s">
        <v>4026</v>
      </c>
      <c r="J268" s="10" t="s">
        <v>4027</v>
      </c>
      <c r="K268" s="10" t="s">
        <v>51</v>
      </c>
      <c r="L268" s="10" t="s">
        <v>4044</v>
      </c>
    </row>
    <row r="269" spans="1:17" ht="30" hidden="1" x14ac:dyDescent="0.25">
      <c r="A269" s="10" t="s">
        <v>4525</v>
      </c>
      <c r="B269" s="10" t="s">
        <v>4023</v>
      </c>
      <c r="C269" s="10" t="s">
        <v>4062</v>
      </c>
      <c r="D269" s="10" t="s">
        <v>51</v>
      </c>
      <c r="E269" s="10" t="s">
        <v>4025</v>
      </c>
      <c r="F269" s="10" t="s">
        <v>51</v>
      </c>
      <c r="G269" s="10" t="s">
        <v>51</v>
      </c>
      <c r="H269" s="10" t="s">
        <v>51</v>
      </c>
      <c r="I269" s="10" t="s">
        <v>4026</v>
      </c>
      <c r="J269" s="10" t="s">
        <v>4027</v>
      </c>
      <c r="K269" s="10" t="s">
        <v>51</v>
      </c>
      <c r="L269" s="10" t="s">
        <v>1529</v>
      </c>
    </row>
    <row r="270" spans="1:17" hidden="1" x14ac:dyDescent="0.25">
      <c r="A270" s="10" t="s">
        <v>4526</v>
      </c>
      <c r="B270" s="10" t="s">
        <v>4023</v>
      </c>
      <c r="C270" s="10" t="s">
        <v>4062</v>
      </c>
      <c r="D270" s="10" t="s">
        <v>51</v>
      </c>
      <c r="E270" s="10" t="s">
        <v>4025</v>
      </c>
      <c r="F270" s="10" t="s">
        <v>51</v>
      </c>
      <c r="G270" s="10" t="s">
        <v>51</v>
      </c>
      <c r="H270" s="10" t="s">
        <v>51</v>
      </c>
      <c r="I270" s="10" t="s">
        <v>4026</v>
      </c>
      <c r="J270" s="10" t="s">
        <v>4027</v>
      </c>
      <c r="K270" s="10" t="s">
        <v>51</v>
      </c>
      <c r="L270" s="10" t="s">
        <v>1529</v>
      </c>
    </row>
    <row r="271" spans="1:17" ht="30" hidden="1" x14ac:dyDescent="0.25">
      <c r="A271" s="10" t="s">
        <v>4527</v>
      </c>
      <c r="B271" s="10" t="s">
        <v>4037</v>
      </c>
      <c r="C271" s="10" t="s">
        <v>4239</v>
      </c>
      <c r="D271" s="10" t="s">
        <v>51</v>
      </c>
      <c r="E271" s="10" t="s">
        <v>4025</v>
      </c>
      <c r="F271" s="10" t="s">
        <v>51</v>
      </c>
      <c r="G271" s="10" t="s">
        <v>51</v>
      </c>
      <c r="H271" s="10" t="s">
        <v>51</v>
      </c>
      <c r="I271" s="10" t="s">
        <v>4026</v>
      </c>
      <c r="J271" s="10" t="s">
        <v>4027</v>
      </c>
      <c r="K271" s="10" t="s">
        <v>51</v>
      </c>
      <c r="L271" s="10" t="s">
        <v>4037</v>
      </c>
    </row>
    <row r="272" spans="1:17" ht="45" hidden="1" x14ac:dyDescent="0.25">
      <c r="A272" s="10" t="s">
        <v>4528</v>
      </c>
      <c r="B272" s="10" t="s">
        <v>4094</v>
      </c>
      <c r="C272" s="10" t="s">
        <v>4095</v>
      </c>
      <c r="D272" s="10" t="s">
        <v>51</v>
      </c>
      <c r="E272" s="10" t="s">
        <v>4025</v>
      </c>
      <c r="F272" s="10" t="s">
        <v>51</v>
      </c>
      <c r="G272" s="10" t="s">
        <v>51</v>
      </c>
      <c r="H272" s="10" t="s">
        <v>51</v>
      </c>
      <c r="I272" s="10" t="s">
        <v>4026</v>
      </c>
      <c r="J272" s="10" t="s">
        <v>4050</v>
      </c>
      <c r="K272" s="10" t="s">
        <v>51</v>
      </c>
      <c r="L272" s="10" t="s">
        <v>1529</v>
      </c>
      <c r="M272" s="13"/>
      <c r="N272" s="13"/>
      <c r="O272" s="13"/>
    </row>
    <row r="273" spans="1:17" ht="38.25" hidden="1" x14ac:dyDescent="0.25">
      <c r="A273" s="10" t="s">
        <v>4529</v>
      </c>
      <c r="B273" s="10" t="s">
        <v>4094</v>
      </c>
      <c r="C273" s="10" t="s">
        <v>4095</v>
      </c>
      <c r="D273" s="10" t="s">
        <v>50</v>
      </c>
      <c r="E273" s="10" t="s">
        <v>4096</v>
      </c>
      <c r="F273" s="10" t="s">
        <v>50</v>
      </c>
      <c r="G273" s="10" t="s">
        <v>50</v>
      </c>
      <c r="H273" s="10" t="s">
        <v>50</v>
      </c>
      <c r="I273" s="10" t="s">
        <v>4097</v>
      </c>
      <c r="J273" s="10" t="s">
        <v>4032</v>
      </c>
      <c r="K273" s="10" t="s">
        <v>50</v>
      </c>
      <c r="L273" s="10" t="s">
        <v>1529</v>
      </c>
      <c r="M273" s="18" t="s">
        <v>4530</v>
      </c>
      <c r="N273" s="18" t="s">
        <v>4531</v>
      </c>
      <c r="O273" s="18" t="s">
        <v>4532</v>
      </c>
      <c r="P273" s="99"/>
    </row>
    <row r="274" spans="1:17" ht="38.25" hidden="1" x14ac:dyDescent="0.25">
      <c r="A274" s="10" t="s">
        <v>4533</v>
      </c>
      <c r="B274" s="10" t="s">
        <v>4094</v>
      </c>
      <c r="C274" s="10" t="s">
        <v>4095</v>
      </c>
      <c r="D274" s="10" t="s">
        <v>50</v>
      </c>
      <c r="E274" s="10" t="s">
        <v>4096</v>
      </c>
      <c r="F274" s="10" t="s">
        <v>50</v>
      </c>
      <c r="G274" s="10" t="s">
        <v>50</v>
      </c>
      <c r="H274" s="10" t="s">
        <v>50</v>
      </c>
      <c r="I274" s="10" t="s">
        <v>4097</v>
      </c>
      <c r="J274" s="10" t="s">
        <v>4032</v>
      </c>
      <c r="K274" s="10" t="s">
        <v>50</v>
      </c>
      <c r="L274" s="10" t="s">
        <v>1529</v>
      </c>
      <c r="M274" s="18" t="s">
        <v>4534</v>
      </c>
      <c r="N274" s="18" t="s">
        <v>4034</v>
      </c>
      <c r="O274" s="18" t="s">
        <v>4053</v>
      </c>
      <c r="P274" s="99"/>
    </row>
    <row r="275" spans="1:17" ht="45" x14ac:dyDescent="0.25">
      <c r="A275" s="276" t="s">
        <v>211</v>
      </c>
      <c r="B275" s="10" t="s">
        <v>4100</v>
      </c>
      <c r="C275" s="10" t="s">
        <v>4493</v>
      </c>
      <c r="D275" s="10" t="s">
        <v>50</v>
      </c>
      <c r="E275" s="10" t="s">
        <v>4031</v>
      </c>
      <c r="F275" s="10" t="s">
        <v>50</v>
      </c>
      <c r="G275" s="276" t="s">
        <v>50</v>
      </c>
      <c r="H275" s="276" t="s">
        <v>51</v>
      </c>
      <c r="I275" s="276" t="s">
        <v>4026</v>
      </c>
      <c r="J275" s="276" t="s">
        <v>4050</v>
      </c>
      <c r="K275" s="276" t="s">
        <v>50</v>
      </c>
      <c r="L275" s="276" t="s">
        <v>1529</v>
      </c>
      <c r="M275" s="271" t="s">
        <v>4535</v>
      </c>
      <c r="N275" s="271" t="s">
        <v>4495</v>
      </c>
      <c r="O275" s="271" t="s">
        <v>4536</v>
      </c>
      <c r="P275" s="99"/>
      <c r="Q275" s="278" t="s">
        <v>50</v>
      </c>
    </row>
    <row r="276" spans="1:17" ht="45" x14ac:dyDescent="0.25">
      <c r="A276" s="276" t="s">
        <v>215</v>
      </c>
      <c r="B276" s="10" t="s">
        <v>4100</v>
      </c>
      <c r="C276" s="10" t="s">
        <v>4493</v>
      </c>
      <c r="D276" s="10" t="s">
        <v>50</v>
      </c>
      <c r="E276" s="10" t="s">
        <v>4031</v>
      </c>
      <c r="F276" s="10" t="s">
        <v>50</v>
      </c>
      <c r="G276" s="276" t="s">
        <v>50</v>
      </c>
      <c r="H276" s="276" t="s">
        <v>51</v>
      </c>
      <c r="I276" s="276" t="s">
        <v>4026</v>
      </c>
      <c r="J276" s="276" t="s">
        <v>4050</v>
      </c>
      <c r="K276" s="276" t="s">
        <v>50</v>
      </c>
      <c r="L276" s="276" t="s">
        <v>1529</v>
      </c>
      <c r="M276" s="271" t="s">
        <v>4535</v>
      </c>
      <c r="N276" s="271" t="s">
        <v>4495</v>
      </c>
      <c r="O276" s="271" t="s">
        <v>4536</v>
      </c>
      <c r="P276" s="99"/>
      <c r="Q276" s="278" t="s">
        <v>50</v>
      </c>
    </row>
    <row r="277" spans="1:17" ht="45" hidden="1" x14ac:dyDescent="0.25">
      <c r="A277" s="10" t="s">
        <v>4537</v>
      </c>
      <c r="B277" s="10" t="s">
        <v>4100</v>
      </c>
      <c r="C277" s="10" t="s">
        <v>4493</v>
      </c>
      <c r="D277" s="10" t="s">
        <v>50</v>
      </c>
      <c r="E277" s="10" t="s">
        <v>4031</v>
      </c>
      <c r="F277" s="10" t="s">
        <v>50</v>
      </c>
      <c r="G277" s="10" t="s">
        <v>50</v>
      </c>
      <c r="H277" s="10" t="s">
        <v>51</v>
      </c>
      <c r="I277" s="10" t="s">
        <v>4071</v>
      </c>
      <c r="J277" s="10" t="s">
        <v>4050</v>
      </c>
      <c r="K277" s="10" t="s">
        <v>50</v>
      </c>
      <c r="L277" s="10" t="s">
        <v>1529</v>
      </c>
      <c r="M277" s="18" t="s">
        <v>4538</v>
      </c>
      <c r="N277" s="18" t="s">
        <v>4539</v>
      </c>
      <c r="O277" s="18" t="s">
        <v>4328</v>
      </c>
      <c r="P277" s="99"/>
    </row>
    <row r="278" spans="1:17" ht="51" hidden="1" x14ac:dyDescent="0.25">
      <c r="A278" s="10" t="s">
        <v>4540</v>
      </c>
      <c r="B278" s="10" t="s">
        <v>4100</v>
      </c>
      <c r="C278" s="10" t="s">
        <v>4493</v>
      </c>
      <c r="D278" s="10" t="s">
        <v>50</v>
      </c>
      <c r="E278" s="10" t="s">
        <v>4031</v>
      </c>
      <c r="F278" s="10" t="s">
        <v>50</v>
      </c>
      <c r="G278" s="10" t="s">
        <v>50</v>
      </c>
      <c r="H278" s="10" t="s">
        <v>50</v>
      </c>
      <c r="I278" s="10" t="s">
        <v>4071</v>
      </c>
      <c r="J278" s="10" t="s">
        <v>4050</v>
      </c>
      <c r="K278" s="10" t="s">
        <v>50</v>
      </c>
      <c r="L278" s="10" t="s">
        <v>1529</v>
      </c>
      <c r="M278" s="18" t="s">
        <v>4541</v>
      </c>
      <c r="N278" s="18" t="s">
        <v>4542</v>
      </c>
      <c r="O278" s="18" t="s">
        <v>4543</v>
      </c>
      <c r="P278" s="99"/>
    </row>
    <row r="279" spans="1:17" ht="38.25" hidden="1" x14ac:dyDescent="0.25">
      <c r="A279" s="10" t="s">
        <v>4544</v>
      </c>
      <c r="B279" s="10" t="s">
        <v>4069</v>
      </c>
      <c r="C279" s="10" t="s">
        <v>4090</v>
      </c>
      <c r="D279" s="10" t="s">
        <v>50</v>
      </c>
      <c r="E279" s="10" t="s">
        <v>4031</v>
      </c>
      <c r="F279" s="10" t="s">
        <v>50</v>
      </c>
      <c r="G279" s="10" t="s">
        <v>50</v>
      </c>
      <c r="H279" s="10" t="s">
        <v>51</v>
      </c>
      <c r="I279" s="10" t="s">
        <v>4026</v>
      </c>
      <c r="J279" s="10" t="s">
        <v>4050</v>
      </c>
      <c r="K279" s="10" t="s">
        <v>50</v>
      </c>
      <c r="L279" s="10" t="s">
        <v>1529</v>
      </c>
      <c r="M279" s="18" t="s">
        <v>4545</v>
      </c>
      <c r="N279" s="18" t="s">
        <v>4546</v>
      </c>
      <c r="O279" s="18" t="s">
        <v>4328</v>
      </c>
      <c r="P279" s="99"/>
    </row>
    <row r="280" spans="1:17" ht="25.5" hidden="1" x14ac:dyDescent="0.25">
      <c r="A280" s="10" t="s">
        <v>4547</v>
      </c>
      <c r="B280" s="10" t="s">
        <v>4069</v>
      </c>
      <c r="C280" s="10" t="s">
        <v>4090</v>
      </c>
      <c r="D280" s="10" t="s">
        <v>50</v>
      </c>
      <c r="E280" s="10" t="s">
        <v>4096</v>
      </c>
      <c r="F280" s="10" t="s">
        <v>50</v>
      </c>
      <c r="G280" s="10" t="s">
        <v>50</v>
      </c>
      <c r="H280" s="10" t="s">
        <v>51</v>
      </c>
      <c r="I280" s="10" t="s">
        <v>4071</v>
      </c>
      <c r="J280" s="10" t="s">
        <v>4050</v>
      </c>
      <c r="K280" s="10" t="s">
        <v>50</v>
      </c>
      <c r="L280" s="10" t="s">
        <v>1529</v>
      </c>
      <c r="M280" s="18" t="s">
        <v>4548</v>
      </c>
      <c r="N280" s="18" t="s">
        <v>4549</v>
      </c>
      <c r="O280" s="18" t="s">
        <v>4328</v>
      </c>
      <c r="P280" s="99"/>
    </row>
    <row r="281" spans="1:17" s="13" customFormat="1" hidden="1" x14ac:dyDescent="0.25">
      <c r="A281" s="14" t="s">
        <v>4550</v>
      </c>
      <c r="B281" s="14" t="s">
        <v>4037</v>
      </c>
      <c r="C281" s="14" t="s">
        <v>4038</v>
      </c>
      <c r="D281" s="10" t="s">
        <v>50</v>
      </c>
      <c r="E281" s="10" t="s">
        <v>4025</v>
      </c>
      <c r="F281" s="10" t="s">
        <v>50</v>
      </c>
      <c r="G281" s="10" t="s">
        <v>51</v>
      </c>
      <c r="H281" s="10" t="s">
        <v>51</v>
      </c>
      <c r="I281" s="10" t="s">
        <v>4026</v>
      </c>
      <c r="J281" s="10" t="s">
        <v>4027</v>
      </c>
      <c r="K281" s="10" t="s">
        <v>51</v>
      </c>
      <c r="L281" s="10" t="s">
        <v>4037</v>
      </c>
      <c r="P281" s="98"/>
    </row>
    <row r="282" spans="1:17" s="13" customFormat="1" hidden="1" x14ac:dyDescent="0.25">
      <c r="A282" s="14" t="s">
        <v>4551</v>
      </c>
      <c r="B282" s="14" t="s">
        <v>4037</v>
      </c>
      <c r="C282" s="14" t="s">
        <v>4038</v>
      </c>
      <c r="D282" s="10" t="s">
        <v>50</v>
      </c>
      <c r="E282" s="10" t="s">
        <v>4025</v>
      </c>
      <c r="F282" s="10" t="s">
        <v>51</v>
      </c>
      <c r="G282" s="10" t="s">
        <v>51</v>
      </c>
      <c r="H282" s="10" t="s">
        <v>51</v>
      </c>
      <c r="I282" s="10" t="s">
        <v>4026</v>
      </c>
      <c r="J282" s="10" t="s">
        <v>4027</v>
      </c>
      <c r="K282" s="10" t="s">
        <v>51</v>
      </c>
      <c r="L282" s="10" t="s">
        <v>4037</v>
      </c>
      <c r="P282" s="98"/>
    </row>
    <row r="283" spans="1:17" s="13" customFormat="1" ht="30" hidden="1" x14ac:dyDescent="0.25">
      <c r="A283" s="14" t="s">
        <v>261</v>
      </c>
      <c r="B283" s="14" t="s">
        <v>4048</v>
      </c>
      <c r="C283" s="14" t="s">
        <v>4066</v>
      </c>
      <c r="D283" s="10" t="s">
        <v>51</v>
      </c>
      <c r="E283" s="10" t="s">
        <v>4025</v>
      </c>
      <c r="F283" s="10" t="s">
        <v>51</v>
      </c>
      <c r="G283" s="10" t="s">
        <v>50</v>
      </c>
      <c r="H283" s="10" t="s">
        <v>51</v>
      </c>
      <c r="I283" s="10" t="s">
        <v>4026</v>
      </c>
      <c r="J283" s="10" t="s">
        <v>4027</v>
      </c>
      <c r="K283" s="10" t="s">
        <v>50</v>
      </c>
      <c r="L283" s="10" t="s">
        <v>4065</v>
      </c>
      <c r="M283" s="110" t="s">
        <v>4552</v>
      </c>
      <c r="N283" s="18" t="s">
        <v>4523</v>
      </c>
      <c r="O283" s="18" t="s">
        <v>4053</v>
      </c>
      <c r="P283" s="98"/>
    </row>
    <row r="284" spans="1:17" s="13" customFormat="1" ht="30" hidden="1" x14ac:dyDescent="0.25">
      <c r="A284" s="10" t="s">
        <v>4553</v>
      </c>
      <c r="B284" s="10" t="s">
        <v>4023</v>
      </c>
      <c r="C284" s="10" t="s">
        <v>4062</v>
      </c>
      <c r="D284" s="10" t="s">
        <v>51</v>
      </c>
      <c r="E284" s="10" t="s">
        <v>4025</v>
      </c>
      <c r="F284" s="10" t="s">
        <v>51</v>
      </c>
      <c r="G284" s="10" t="s">
        <v>51</v>
      </c>
      <c r="H284" s="10" t="s">
        <v>51</v>
      </c>
      <c r="I284" s="10" t="s">
        <v>4026</v>
      </c>
      <c r="J284" s="10" t="s">
        <v>4027</v>
      </c>
      <c r="K284" s="10" t="s">
        <v>51</v>
      </c>
      <c r="L284" s="10" t="s">
        <v>1529</v>
      </c>
      <c r="M284" s="110"/>
      <c r="P284" s="98"/>
    </row>
    <row r="285" spans="1:17" s="13" customFormat="1" ht="30" hidden="1" x14ac:dyDescent="0.25">
      <c r="A285" s="10" t="s">
        <v>4554</v>
      </c>
      <c r="B285" s="10" t="s">
        <v>4030</v>
      </c>
      <c r="C285" s="10" t="s">
        <v>4064</v>
      </c>
      <c r="D285" s="10" t="s">
        <v>51</v>
      </c>
      <c r="E285" s="10" t="s">
        <v>4025</v>
      </c>
      <c r="F285" s="10" t="s">
        <v>51</v>
      </c>
      <c r="G285" s="10" t="s">
        <v>51</v>
      </c>
      <c r="H285" s="10" t="s">
        <v>51</v>
      </c>
      <c r="I285" s="10" t="s">
        <v>4026</v>
      </c>
      <c r="J285" s="10" t="s">
        <v>4027</v>
      </c>
      <c r="K285" s="10" t="s">
        <v>51</v>
      </c>
      <c r="L285" s="10" t="s">
        <v>4065</v>
      </c>
      <c r="P285" s="98"/>
    </row>
    <row r="286" spans="1:17" s="13" customFormat="1" hidden="1" x14ac:dyDescent="0.25">
      <c r="A286" s="10" t="s">
        <v>4554</v>
      </c>
      <c r="B286" s="10" t="s">
        <v>4037</v>
      </c>
      <c r="C286" s="10" t="s">
        <v>4220</v>
      </c>
      <c r="D286" s="10" t="s">
        <v>51</v>
      </c>
      <c r="E286" s="10" t="s">
        <v>4025</v>
      </c>
      <c r="F286" s="10" t="s">
        <v>51</v>
      </c>
      <c r="G286" s="10" t="s">
        <v>51</v>
      </c>
      <c r="H286" s="10" t="s">
        <v>51</v>
      </c>
      <c r="I286" s="10" t="s">
        <v>4026</v>
      </c>
      <c r="J286" s="10" t="s">
        <v>4027</v>
      </c>
      <c r="K286" s="10" t="s">
        <v>51</v>
      </c>
      <c r="L286" s="10" t="s">
        <v>4037</v>
      </c>
      <c r="P286" s="98"/>
    </row>
    <row r="287" spans="1:17" s="13" customFormat="1" ht="30" hidden="1" x14ac:dyDescent="0.25">
      <c r="A287" s="10" t="s">
        <v>4555</v>
      </c>
      <c r="B287" s="10" t="s">
        <v>4069</v>
      </c>
      <c r="C287" s="10" t="s">
        <v>4086</v>
      </c>
      <c r="D287" s="10" t="s">
        <v>50</v>
      </c>
      <c r="E287" s="10" t="s">
        <v>4096</v>
      </c>
      <c r="F287" s="10" t="s">
        <v>50</v>
      </c>
      <c r="G287" s="10" t="s">
        <v>50</v>
      </c>
      <c r="H287" s="10" t="s">
        <v>51</v>
      </c>
      <c r="I287" s="10" t="s">
        <v>4071</v>
      </c>
      <c r="J287" s="10" t="s">
        <v>4050</v>
      </c>
      <c r="K287" s="10" t="s">
        <v>50</v>
      </c>
      <c r="L287" s="10" t="s">
        <v>1529</v>
      </c>
      <c r="M287" s="31" t="s">
        <v>4556</v>
      </c>
      <c r="N287" s="18" t="s">
        <v>4557</v>
      </c>
      <c r="O287" s="18" t="s">
        <v>4053</v>
      </c>
      <c r="P287" s="99"/>
    </row>
    <row r="288" spans="1:17" s="13" customFormat="1" ht="30" hidden="1" x14ac:dyDescent="0.25">
      <c r="A288" s="10" t="s">
        <v>4558</v>
      </c>
      <c r="B288" s="10" t="s">
        <v>4023</v>
      </c>
      <c r="C288" s="10" t="s">
        <v>4062</v>
      </c>
      <c r="D288" s="10" t="s">
        <v>51</v>
      </c>
      <c r="E288" s="10" t="s">
        <v>4025</v>
      </c>
      <c r="F288" s="10" t="s">
        <v>51</v>
      </c>
      <c r="G288" s="10" t="s">
        <v>51</v>
      </c>
      <c r="H288" s="10" t="s">
        <v>51</v>
      </c>
      <c r="I288" s="10" t="s">
        <v>4026</v>
      </c>
      <c r="J288" s="10" t="s">
        <v>4027</v>
      </c>
      <c r="K288" s="10" t="s">
        <v>51</v>
      </c>
      <c r="L288" s="10" t="s">
        <v>1529</v>
      </c>
      <c r="P288" s="98"/>
    </row>
  </sheetData>
  <autoFilter ref="A1:Q288" xr:uid="{6E8226A3-4563-4714-8C3A-5BCFB77D7EC3}">
    <filterColumn colId="16">
      <customFilters>
        <customFilter operator="notEqual" val=" "/>
      </customFilters>
    </filterColumn>
  </autoFilter>
  <conditionalFormatting sqref="I1:I39 I257:I274 I42:I88 I284:I1048576 I276:I282 I90:I137 I139:I255">
    <cfRule type="cellIs" dxfId="23" priority="25" operator="equal">
      <formula>"Critical"</formula>
    </cfRule>
    <cfRule type="cellIs" dxfId="22" priority="26" operator="equal">
      <formula>"High"</formula>
    </cfRule>
    <cfRule type="cellIs" dxfId="21" priority="27" operator="equal">
      <formula>"Low"</formula>
    </cfRule>
  </conditionalFormatting>
  <conditionalFormatting sqref="I256">
    <cfRule type="cellIs" dxfId="20" priority="22" operator="equal">
      <formula>"Critical"</formula>
    </cfRule>
    <cfRule type="cellIs" dxfId="19" priority="23" operator="equal">
      <formula>"High"</formula>
    </cfRule>
    <cfRule type="cellIs" dxfId="18" priority="24" operator="equal">
      <formula>"Low"</formula>
    </cfRule>
  </conditionalFormatting>
  <conditionalFormatting sqref="I40">
    <cfRule type="cellIs" dxfId="17" priority="19" operator="equal">
      <formula>"Critical"</formula>
    </cfRule>
    <cfRule type="cellIs" dxfId="16" priority="20" operator="equal">
      <formula>"High"</formula>
    </cfRule>
    <cfRule type="cellIs" dxfId="15" priority="21" operator="equal">
      <formula>"Low"</formula>
    </cfRule>
  </conditionalFormatting>
  <conditionalFormatting sqref="I283">
    <cfRule type="cellIs" dxfId="14" priority="16" operator="equal">
      <formula>"Critical"</formula>
    </cfRule>
    <cfRule type="cellIs" dxfId="13" priority="17" operator="equal">
      <formula>"High"</formula>
    </cfRule>
    <cfRule type="cellIs" dxfId="12" priority="18" operator="equal">
      <formula>"Low"</formula>
    </cfRule>
  </conditionalFormatting>
  <conditionalFormatting sqref="I41">
    <cfRule type="cellIs" dxfId="11" priority="13" operator="equal">
      <formula>"Critical"</formula>
    </cfRule>
    <cfRule type="cellIs" dxfId="10" priority="14" operator="equal">
      <formula>"High"</formula>
    </cfRule>
    <cfRule type="cellIs" dxfId="9" priority="15" operator="equal">
      <formula>"Low"</formula>
    </cfRule>
  </conditionalFormatting>
  <conditionalFormatting sqref="I275">
    <cfRule type="cellIs" dxfId="8" priority="10" operator="equal">
      <formula>"Critical"</formula>
    </cfRule>
    <cfRule type="cellIs" dxfId="7" priority="11" operator="equal">
      <formula>"High"</formula>
    </cfRule>
    <cfRule type="cellIs" dxfId="6" priority="12" operator="equal">
      <formula>"Low"</formula>
    </cfRule>
  </conditionalFormatting>
  <conditionalFormatting sqref="I89">
    <cfRule type="cellIs" dxfId="5" priority="7" operator="equal">
      <formula>"Critical"</formula>
    </cfRule>
    <cfRule type="cellIs" dxfId="4" priority="8" operator="equal">
      <formula>"High"</formula>
    </cfRule>
    <cfRule type="cellIs" dxfId="3" priority="9" operator="equal">
      <formula>"Low"</formula>
    </cfRule>
  </conditionalFormatting>
  <conditionalFormatting sqref="I138">
    <cfRule type="cellIs" dxfId="2" priority="1" operator="equal">
      <formula>"Critical"</formula>
    </cfRule>
    <cfRule type="cellIs" dxfId="1" priority="2" operator="equal">
      <formula>"High"</formula>
    </cfRule>
    <cfRule type="cellIs" dxfId="0" priority="3" operator="equal">
      <formula>"Low"</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Operations" ma:contentTypeID="0x01010036AA736B65DF417C8FFEA703B0AD0E3410006B71425E12C5724885559AB7C7CE81F6" ma:contentTypeVersion="9" ma:contentTypeDescription="My Content Type" ma:contentTypeScope="" ma:versionID="3a3f24cee883f44cf1d79d63438d4b4a">
  <xsd:schema xmlns:xsd="http://www.w3.org/2001/XMLSchema" xmlns:xs="http://www.w3.org/2001/XMLSchema" xmlns:p="http://schemas.microsoft.com/office/2006/metadata/properties" xmlns:ns2="8be0db93-162c-40ac-8dca-e3940ce8205c" xmlns:ns4="df70b8ad-cda7-4bb5-adc5-721729510915" xmlns:ns5="15450b21-6a5b-4447-8963-52092b7b0c29" xmlns:ns6="497d7bf5-8753-4edf-9fcd-c46207765a4b" targetNamespace="http://schemas.microsoft.com/office/2006/metadata/properties" ma:root="true" ma:fieldsID="90333d79066b2db6a95873d9b5e358d1" ns2:_="" ns4:_="" ns5:_="" ns6:_="">
    <xsd:import namespace="8be0db93-162c-40ac-8dca-e3940ce8205c"/>
    <xsd:import namespace="df70b8ad-cda7-4bb5-adc5-721729510915"/>
    <xsd:import namespace="15450b21-6a5b-4447-8963-52092b7b0c29"/>
    <xsd:import namespace="497d7bf5-8753-4edf-9fcd-c46207765a4b"/>
    <xsd:element name="properties">
      <xsd:complexType>
        <xsd:sequence>
          <xsd:element name="documentManagement">
            <xsd:complexType>
              <xsd:all>
                <xsd:element ref="ns2:Additional_x0020_Information" minOccurs="0"/>
                <xsd:element ref="ns4:Document_x0020_Category" minOccurs="0"/>
                <xsd:element ref="ns2:OperationsDocumentType" minOccurs="0"/>
                <xsd:element ref="ns2:DateExecuted" minOccurs="0"/>
                <xsd:element ref="ns5:MediaServiceMetadata" minOccurs="0"/>
                <xsd:element ref="ns5:MediaServiceFastMetadata" minOccurs="0"/>
                <xsd:element ref="ns6:SharedWithUsers" minOccurs="0"/>
                <xsd:element ref="ns6:SharedWithDetails" minOccurs="0"/>
                <xsd:element ref="ns5:MediaServiceAutoTags" minOccurs="0"/>
                <xsd:element ref="ns5:MediaServiceGenerationTime" minOccurs="0"/>
                <xsd:element ref="ns5: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e0db93-162c-40ac-8dca-e3940ce8205c" elementFormDefault="qualified">
    <xsd:import namespace="http://schemas.microsoft.com/office/2006/documentManagement/types"/>
    <xsd:import namespace="http://schemas.microsoft.com/office/infopath/2007/PartnerControls"/>
    <xsd:element name="Additional_x0020_Information" ma:index="8" nillable="true" ma:displayName="Additional Information" ma:description="additional information required to a list item which is searchable column." ma:internalName="Additional_x0020_Information">
      <xsd:simpleType>
        <xsd:restriction base="dms:Text">
          <xsd:maxLength value="255"/>
        </xsd:restriction>
      </xsd:simpleType>
    </xsd:element>
    <xsd:element name="OperationsDocumentType" ma:index="11" nillable="true" ma:displayName="Operations Document Type" ma:default="Miscellaneous" ma:format="Dropdown" ma:internalName="OperationsDocumentType">
      <xsd:simpleType>
        <xsd:restriction base="dms:Choice">
          <xsd:enumeration value="Administration"/>
          <xsd:enumeration value="As Built-Operation &amp; Maintenance"/>
          <xsd:enumeration value="Assessment Reports"/>
          <xsd:enumeration value="CFMN"/>
          <xsd:enumeration value="Conduit"/>
          <xsd:enumeration value="Construction"/>
          <xsd:enumeration value="Consulting"/>
          <xsd:enumeration value="Electrical"/>
          <xsd:enumeration value="Elevator"/>
          <xsd:enumeration value="Engineering"/>
          <xsd:enumeration value="Environmental"/>
          <xsd:enumeration value="Equipment lists"/>
          <xsd:enumeration value="Fiber"/>
          <xsd:enumeration value="Fire Life Safety"/>
          <xsd:enumeration value="Forms &amp; Templates"/>
          <xsd:enumeration value="HVAC"/>
          <xsd:enumeration value="Landscaping"/>
          <xsd:enumeration value="Maintenance Planner"/>
          <xsd:enumeration value="Management Agreement"/>
          <xsd:enumeration value="Mechanical"/>
          <xsd:enumeration value="MEL10 Critical Environment Management SOPs"/>
          <xsd:enumeration value="MEL10 TechOps Monthly Report"/>
          <xsd:enumeration value="MEL11 Critical Environment Management SOPs"/>
          <xsd:enumeration value="MEL11 TechOps Monthly Report"/>
          <xsd:enumeration value="Miscellaneous"/>
          <xsd:enumeration value="Monthly Meeting minutes"/>
          <xsd:enumeration value="MOPs, SOPs, EOPs"/>
          <xsd:enumeration value="Parking"/>
          <xsd:enumeration value="Remeasurement"/>
          <xsd:enumeration value="Roof"/>
          <xsd:enumeration value="Security"/>
          <xsd:enumeration value="Service &amp; Maintenance Reports"/>
          <xsd:enumeration value="Storage Tank"/>
          <xsd:enumeration value="SYD10 Critical Environment Management SOPs"/>
          <xsd:enumeration value="SYD10 TechOps Monthly Report"/>
          <xsd:enumeration value="Uniforms"/>
          <xsd:enumeration value="Utilities"/>
          <xsd:enumeration value="Vendor Agreements"/>
          <xsd:enumeration value="Vendors"/>
          <xsd:enumeration value="Water Treatment"/>
        </xsd:restriction>
      </xsd:simpleType>
    </xsd:element>
    <xsd:element name="DateExecuted" ma:index="12" nillable="true" ma:displayName="Date Executed" ma:format="DateOnly" ma:internalName="DateExecut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df70b8ad-cda7-4bb5-adc5-721729510915" elementFormDefault="qualified">
    <xsd:import namespace="http://schemas.microsoft.com/office/2006/documentManagement/types"/>
    <xsd:import namespace="http://schemas.microsoft.com/office/infopath/2007/PartnerControls"/>
    <xsd:element name="Document_x0020_Category" ma:index="10" nillable="true" ma:displayName="Document Category" ma:internalName="Document_x0020_Category"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50b21-6a5b-4447-8963-52092b7b0c29"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97d7bf5-8753-4edf-9fcd-c46207765a4b"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ma:index="9" ma:displayName="Category"/>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Document_x0020_Category xmlns="df70b8ad-cda7-4bb5-adc5-721729510915" xsi:nil="true"/>
    <Additional_x0020_Information xmlns="8be0db93-162c-40ac-8dca-e3940ce8205c" xsi:nil="true"/>
    <OperationsDocumentType xmlns="8be0db93-162c-40ac-8dca-e3940ce8205c">Miscellaneous</OperationsDocumentType>
    <DateExecuted xmlns="8be0db93-162c-40ac-8dca-e3940ce8205c" xsi:nil="true"/>
  </documentManagement>
</p:properties>
</file>

<file path=customXml/itemProps1.xml><?xml version="1.0" encoding="utf-8"?>
<ds:datastoreItem xmlns:ds="http://schemas.openxmlformats.org/officeDocument/2006/customXml" ds:itemID="{98184996-4B75-4C60-990E-63C10966DF6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e0db93-162c-40ac-8dca-e3940ce8205c"/>
    <ds:schemaRef ds:uri="df70b8ad-cda7-4bb5-adc5-721729510915"/>
    <ds:schemaRef ds:uri="15450b21-6a5b-4447-8963-52092b7b0c29"/>
    <ds:schemaRef ds:uri="497d7bf5-8753-4edf-9fcd-c46207765a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A3FE7F-6D01-4B33-97B7-17ECD73A8BC1}">
  <ds:schemaRefs>
    <ds:schemaRef ds:uri="http://schemas.microsoft.com/sharepoint/v3/contenttype/forms"/>
  </ds:schemaRefs>
</ds:datastoreItem>
</file>

<file path=customXml/itemProps3.xml><?xml version="1.0" encoding="utf-8"?>
<ds:datastoreItem xmlns:ds="http://schemas.openxmlformats.org/officeDocument/2006/customXml" ds:itemID="{510CD066-0ADA-4122-A9E9-E91950752159}">
  <ds:schemaRefs>
    <ds:schemaRef ds:uri="bc162886-6568-467f-9f50-f1463321c6d5"/>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www.w3.org/XML/1998/namespace"/>
    <ds:schemaRef ds:uri="http://purl.org/dc/terms/"/>
    <ds:schemaRef ds:uri="http://schemas.microsoft.com/office/infopath/2007/PartnerControls"/>
    <ds:schemaRef ds:uri="http://purl.org/dc/elements/1.1/"/>
    <ds:schemaRef ds:uri="df70b8ad-cda7-4bb5-adc5-721729510915"/>
    <ds:schemaRef ds:uri="8be0db93-162c-40ac-8dca-e3940ce820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78</vt:i4>
      </vt:variant>
      <vt:variant>
        <vt:lpstr>Named Ranges</vt:lpstr>
      </vt:variant>
      <vt:variant>
        <vt:i4>114</vt:i4>
      </vt:variant>
    </vt:vector>
  </HeadingPairs>
  <TitlesOfParts>
    <vt:vector size="192" baseType="lpstr">
      <vt:lpstr>Cover Page</vt:lpstr>
      <vt:lpstr>References</vt:lpstr>
      <vt:lpstr>Pre-Work</vt:lpstr>
      <vt:lpstr>Config-RTU</vt:lpstr>
      <vt:lpstr>Config-All</vt:lpstr>
      <vt:lpstr>Config-Cover Page</vt:lpstr>
      <vt:lpstr>Config-Variables</vt:lpstr>
      <vt:lpstr>Config-References</vt:lpstr>
      <vt:lpstr>Config-Pre Work</vt:lpstr>
      <vt:lpstr>Config-Gen</vt:lpstr>
      <vt:lpstr>Config-UPS</vt:lpstr>
      <vt:lpstr>Config-Fire</vt:lpstr>
      <vt:lpstr>Config-Batt</vt:lpstr>
      <vt:lpstr>Config-Chiller</vt:lpstr>
      <vt:lpstr>Config-CRAC SAPM</vt:lpstr>
      <vt:lpstr>Config-CRAC TSR</vt:lpstr>
      <vt:lpstr>Config-Humidifier</vt:lpstr>
      <vt:lpstr>Config-Split Sys</vt:lpstr>
      <vt:lpstr>Config-DEEM</vt:lpstr>
      <vt:lpstr>Config-E24 Accounts</vt:lpstr>
      <vt:lpstr>eXL-A</vt:lpstr>
      <vt:lpstr>eXL-B</vt:lpstr>
      <vt:lpstr>eXL-C</vt:lpstr>
      <vt:lpstr>eXL-D</vt:lpstr>
      <vt:lpstr>eXL-F</vt:lpstr>
      <vt:lpstr>APC-A</vt:lpstr>
      <vt:lpstr>APC-B</vt:lpstr>
      <vt:lpstr>APC-C</vt:lpstr>
      <vt:lpstr>APC-D</vt:lpstr>
      <vt:lpstr>NX-A</vt:lpstr>
      <vt:lpstr>NX-B</vt:lpstr>
      <vt:lpstr>NX-C</vt:lpstr>
      <vt:lpstr>NX-D</vt:lpstr>
      <vt:lpstr>MGE-A</vt:lpstr>
      <vt:lpstr>MGE-B</vt:lpstr>
      <vt:lpstr>MGE-C</vt:lpstr>
      <vt:lpstr>MGE-D</vt:lpstr>
      <vt:lpstr>Battery APM</vt:lpstr>
      <vt:lpstr>Battery QPM</vt:lpstr>
      <vt:lpstr>PBB Gen Run (A&amp;D)</vt:lpstr>
      <vt:lpstr>PBB Gen Run (DL2)</vt:lpstr>
      <vt:lpstr>POD 1 Gen Run</vt:lpstr>
      <vt:lpstr>POD 2 Gen Run</vt:lpstr>
      <vt:lpstr>POD 3 Gen Run</vt:lpstr>
      <vt:lpstr>DR Gen Run</vt:lpstr>
      <vt:lpstr>Gen Jacket Hose</vt:lpstr>
      <vt:lpstr>Generator APM&amp;SAPM</vt:lpstr>
      <vt:lpstr>Humidifier SAPM</vt:lpstr>
      <vt:lpstr>CRAC SAPM</vt:lpstr>
      <vt:lpstr>Split System SAPM</vt:lpstr>
      <vt:lpstr>Chiller SAPM V2</vt:lpstr>
      <vt:lpstr>Chiller SAPM</vt:lpstr>
      <vt:lpstr>CRAC TSR</vt:lpstr>
      <vt:lpstr>Fire Alarm APM - PBB</vt:lpstr>
      <vt:lpstr>Fire Alarm APM - Suite</vt:lpstr>
      <vt:lpstr>Pre-Action QPM</vt:lpstr>
      <vt:lpstr>Sprinkler QPM</vt:lpstr>
      <vt:lpstr>DEEM</vt:lpstr>
      <vt:lpstr>DEEM-K</vt:lpstr>
      <vt:lpstr>DEEM-SWR</vt:lpstr>
      <vt:lpstr>Ref Table APC</vt:lpstr>
      <vt:lpstr>Ref Table NX</vt:lpstr>
      <vt:lpstr>Ref Table MGE</vt:lpstr>
      <vt:lpstr>CRAC RT#1</vt:lpstr>
      <vt:lpstr>Humidifier RT#1</vt:lpstr>
      <vt:lpstr>Split System RT#1</vt:lpstr>
      <vt:lpstr>SOW-Battery APM</vt:lpstr>
      <vt:lpstr>Gen Conditions</vt:lpstr>
      <vt:lpstr>Gen Run Logs</vt:lpstr>
      <vt:lpstr>Floor Cleaning</vt:lpstr>
      <vt:lpstr>RTU QPM</vt:lpstr>
      <vt:lpstr>RTU Recording Table</vt:lpstr>
      <vt:lpstr>Fire Watch Log</vt:lpstr>
      <vt:lpstr>Post-Work</vt:lpstr>
      <vt:lpstr>CHW Pump SAPM</vt:lpstr>
      <vt:lpstr>Lessons Learned</vt:lpstr>
      <vt:lpstr>Site List</vt:lpstr>
      <vt:lpstr>Risk Guidelines</vt:lpstr>
      <vt:lpstr>MOPFacilitator</vt:lpstr>
      <vt:lpstr>NumberofCRACs</vt:lpstr>
      <vt:lpstr>PreActCab1Areas</vt:lpstr>
      <vt:lpstr>PreActCab1Zones</vt:lpstr>
      <vt:lpstr>PreActCab2Areas</vt:lpstr>
      <vt:lpstr>PreActCab2Zones</vt:lpstr>
      <vt:lpstr>PreActCab3Areas</vt:lpstr>
      <vt:lpstr>PreActCab3Zones</vt:lpstr>
      <vt:lpstr>PreActCabQuantity</vt:lpstr>
      <vt:lpstr>'APC-A'!Print_Area</vt:lpstr>
      <vt:lpstr>'APC-B'!Print_Area</vt:lpstr>
      <vt:lpstr>'APC-C'!Print_Area</vt:lpstr>
      <vt:lpstr>'APC-D'!Print_Area</vt:lpstr>
      <vt:lpstr>'Chiller SAPM'!Print_Area</vt:lpstr>
      <vt:lpstr>'Chiller SAPM V2'!Print_Area</vt:lpstr>
      <vt:lpstr>'Cover Page'!Print_Area</vt:lpstr>
      <vt:lpstr>'CRAC SAPM'!Print_Area</vt:lpstr>
      <vt:lpstr>DEEM!Print_Area</vt:lpstr>
      <vt:lpstr>'eXL-B'!Print_Area</vt:lpstr>
      <vt:lpstr>'eXL-C'!Print_Area</vt:lpstr>
      <vt:lpstr>'eXL-D'!Print_Area</vt:lpstr>
      <vt:lpstr>'eXL-F'!Print_Area</vt:lpstr>
      <vt:lpstr>'Fire Alarm APM - PBB'!Print_Area</vt:lpstr>
      <vt:lpstr>'Fire Alarm APM - Suite'!Print_Area</vt:lpstr>
      <vt:lpstr>'Generator APM&amp;SAPM'!Print_Area</vt:lpstr>
      <vt:lpstr>'Humidifier SAPM'!Print_Area</vt:lpstr>
      <vt:lpstr>'MGE-A'!Print_Area</vt:lpstr>
      <vt:lpstr>'MGE-B'!Print_Area</vt:lpstr>
      <vt:lpstr>'MGE-C'!Print_Area</vt:lpstr>
      <vt:lpstr>'MGE-D'!Print_Area</vt:lpstr>
      <vt:lpstr>'NX-A'!Print_Area</vt:lpstr>
      <vt:lpstr>'NX-B'!Print_Area</vt:lpstr>
      <vt:lpstr>'NX-C'!Print_Area</vt:lpstr>
      <vt:lpstr>'NX-D'!Print_Area</vt:lpstr>
      <vt:lpstr>'PBB Gen Run (DL2)'!Print_Area</vt:lpstr>
      <vt:lpstr>'Post-Work'!Print_Area</vt:lpstr>
      <vt:lpstr>'Pre-Action QPM'!Print_Area</vt:lpstr>
      <vt:lpstr>'Pre-Work'!Print_Area</vt:lpstr>
      <vt:lpstr>'Ref Table APC'!Print_Area</vt:lpstr>
      <vt:lpstr>'Ref Table MGE'!Print_Area</vt:lpstr>
      <vt:lpstr>'Ref Table NX'!Print_Area</vt:lpstr>
      <vt:lpstr>'Split System SAPM'!Print_Area</vt:lpstr>
      <vt:lpstr>'Sprinkler QPM'!Print_Area</vt:lpstr>
      <vt:lpstr>'APC-A'!Print_Titles</vt:lpstr>
      <vt:lpstr>'APC-B'!Print_Titles</vt:lpstr>
      <vt:lpstr>'APC-C'!Print_Titles</vt:lpstr>
      <vt:lpstr>'APC-D'!Print_Titles</vt:lpstr>
      <vt:lpstr>'Battery APM'!Print_Titles</vt:lpstr>
      <vt:lpstr>'Battery QPM'!Print_Titles</vt:lpstr>
      <vt:lpstr>'CRAC SAPM'!Print_Titles</vt:lpstr>
      <vt:lpstr>'CRAC TSR'!Print_Titles</vt:lpstr>
      <vt:lpstr>DEEM!Print_Titles</vt:lpstr>
      <vt:lpstr>'DEEM-K'!Print_Titles</vt:lpstr>
      <vt:lpstr>'DEEM-SWR'!Print_Titles</vt:lpstr>
      <vt:lpstr>'DR Gen Run'!Print_Titles</vt:lpstr>
      <vt:lpstr>'eXL-A'!Print_Titles</vt:lpstr>
      <vt:lpstr>'eXL-B'!Print_Titles</vt:lpstr>
      <vt:lpstr>'eXL-C'!Print_Titles</vt:lpstr>
      <vt:lpstr>'eXL-D'!Print_Titles</vt:lpstr>
      <vt:lpstr>'eXL-F'!Print_Titles</vt:lpstr>
      <vt:lpstr>'Fire Alarm APM - PBB'!Print_Titles</vt:lpstr>
      <vt:lpstr>'Fire Alarm APM - Suite'!Print_Titles</vt:lpstr>
      <vt:lpstr>'Gen Jacket Hose'!Print_Titles</vt:lpstr>
      <vt:lpstr>'Generator APM&amp;SAPM'!Print_Titles</vt:lpstr>
      <vt:lpstr>'Humidifier SAPM'!Print_Titles</vt:lpstr>
      <vt:lpstr>'MGE-A'!Print_Titles</vt:lpstr>
      <vt:lpstr>'MGE-B'!Print_Titles</vt:lpstr>
      <vt:lpstr>'MGE-C'!Print_Titles</vt:lpstr>
      <vt:lpstr>'MGE-D'!Print_Titles</vt:lpstr>
      <vt:lpstr>'NX-A'!Print_Titles</vt:lpstr>
      <vt:lpstr>'NX-B'!Print_Titles</vt:lpstr>
      <vt:lpstr>'NX-C'!Print_Titles</vt:lpstr>
      <vt:lpstr>'NX-D'!Print_Titles</vt:lpstr>
      <vt:lpstr>'PBB Gen Run (A&amp;D)'!Print_Titles</vt:lpstr>
      <vt:lpstr>'PBB Gen Run (DL2)'!Print_Titles</vt:lpstr>
      <vt:lpstr>'POD 1 Gen Run'!Print_Titles</vt:lpstr>
      <vt:lpstr>'POD 2 Gen Run'!Print_Titles</vt:lpstr>
      <vt:lpstr>'POD 3 Gen Run'!Print_Titles</vt:lpstr>
      <vt:lpstr>'Pre-Action QPM'!Print_Titles</vt:lpstr>
      <vt:lpstr>'Split System SAPM'!Print_Titles</vt:lpstr>
      <vt:lpstr>'Sprinkler QPM'!Print_Titles</vt:lpstr>
      <vt:lpstr>'Config-CRAC TSR'!QQCRACSAPM</vt:lpstr>
      <vt:lpstr>UPSkW</vt:lpstr>
      <vt:lpstr>UPSModel</vt:lpstr>
      <vt:lpstr>WOorCHG</vt:lpstr>
      <vt:lpstr>zIdentifierList</vt:lpstr>
      <vt:lpstr>zSelectedEquipment</vt:lpstr>
      <vt:lpstr>zTaskName</vt:lpstr>
      <vt:lpstr>zTaskNameIdentifier</vt:lpstr>
      <vt:lpstr>zzAboveFloorCleanAPM</vt:lpstr>
      <vt:lpstr>zzBattAPM</vt:lpstr>
      <vt:lpstr>zzBattQPM</vt:lpstr>
      <vt:lpstr>zzChillerSAPM</vt:lpstr>
      <vt:lpstr>zzCHWPumpSAPM</vt:lpstr>
      <vt:lpstr>zzCRACSAPM</vt:lpstr>
      <vt:lpstr>zzCRACTSRCritical</vt:lpstr>
      <vt:lpstr>zzCRACTSRLow</vt:lpstr>
      <vt:lpstr>zzDEEMPentennial</vt:lpstr>
      <vt:lpstr>zzFireAlarmAPM</vt:lpstr>
      <vt:lpstr>zzFireExtinguisherAPM</vt:lpstr>
      <vt:lpstr>zzGenJacketHoseReplacement</vt:lpstr>
      <vt:lpstr>zzGenMajor</vt:lpstr>
      <vt:lpstr>zzGenMinor</vt:lpstr>
      <vt:lpstr>zzGenRunLoaded</vt:lpstr>
      <vt:lpstr>zzGenRunNL</vt:lpstr>
      <vt:lpstr>zzHumidifierSAPM</vt:lpstr>
      <vt:lpstr>zzPreActionQPM</vt:lpstr>
      <vt:lpstr>zzRTUCritQPM</vt:lpstr>
      <vt:lpstr>zzRTUNonCritQPM</vt:lpstr>
      <vt:lpstr>zzSplitSystemSAPM</vt:lpstr>
      <vt:lpstr>zzUnderFloorCleanBEPM</vt:lpstr>
      <vt:lpstr>zzUPSAPM</vt:lpstr>
      <vt:lpstr>zzUPSTSR</vt:lpstr>
      <vt:lpstr>zzWetSprinklerQPM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 Vanderplas</dc:creator>
  <cp:keywords/>
  <dc:description/>
  <cp:lastModifiedBy>Dan Vanderplas</cp:lastModifiedBy>
  <cp:revision/>
  <cp:lastPrinted>2021-12-21T15:42:16Z</cp:lastPrinted>
  <dcterms:created xsi:type="dcterms:W3CDTF">2009-02-04T17:52:13Z</dcterms:created>
  <dcterms:modified xsi:type="dcterms:W3CDTF">2021-12-21T15:53:29Z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0x01010036AA736B65DF417C8FFEA703B0AD0E3410006B71425E12C5724885559AB7C7CE81F6</vt:lpwstr>
  </property>
  <property fmtid="{D5CDD505-2E9C-101B-9397-08002B2CF9AE}" pid="3" name="_dlc_DocIdItemGuid">
    <vt:lpwstr>39bd5240-b151-4c7e-a811-cf3f45863341</vt:lpwstr>
  </property>
</Properties>
</file>