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ilalb\OneDrive\Рабочий стол\Эконом Культура\"/>
    </mc:Choice>
  </mc:AlternateContent>
  <xr:revisionPtr revIDLastSave="0" documentId="13_ncr:1_{636A1DC8-7E62-498B-8F4D-82C3A127288D}" xr6:coauthVersionLast="47" xr6:coauthVersionMax="47" xr10:uidLastSave="{00000000-0000-0000-0000-000000000000}"/>
  <bookViews>
    <workbookView xWindow="-108" yWindow="-108" windowWidth="23256" windowHeight="12456" activeTab="4" xr2:uid="{1877630F-C2C6-3146-B5CF-152FFDA42C47}"/>
  </bookViews>
  <sheets>
    <sheet name="Задача_1" sheetId="1" r:id="rId1"/>
    <sheet name="Задача_2" sheetId="2" r:id="rId2"/>
    <sheet name="Задача_3" sheetId="3" r:id="rId3"/>
    <sheet name="Задача_4" sheetId="4" r:id="rId4"/>
    <sheet name="Задание_5" sheetId="5" r:id="rId5"/>
    <sheet name="Задание_6" sheetId="6" r:id="rId6"/>
    <sheet name="Самостоятельно"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19" i="7" l="1"/>
  <c r="AE19" i="7" s="1"/>
  <c r="I15" i="7"/>
  <c r="B11" i="6"/>
  <c r="C11" i="6" s="1"/>
  <c r="B10" i="5"/>
  <c r="B11" i="5"/>
  <c r="B12" i="5" s="1"/>
  <c r="B14" i="5" s="1"/>
  <c r="B6" i="4"/>
  <c r="D8" i="2" a="1"/>
  <c r="D8" i="2" s="1"/>
  <c r="C8" i="2" a="1"/>
  <c r="C8" i="2" s="1"/>
  <c r="B8" i="2"/>
  <c r="B13" i="2" s="1"/>
  <c r="B9" i="2"/>
  <c r="B10" i="2"/>
  <c r="B11" i="2"/>
  <c r="B12" i="2"/>
  <c r="B8" i="1"/>
  <c r="S14" i="7"/>
  <c r="Y15" i="7"/>
  <c r="N15" i="7"/>
  <c r="B14" i="7"/>
  <c r="C19" i="7"/>
  <c r="C20" i="7" s="1"/>
  <c r="C21" i="7" s="1"/>
  <c r="B14" i="3"/>
  <c r="C14" i="3"/>
  <c r="C13" i="3"/>
  <c r="B13" i="3"/>
  <c r="C12" i="3"/>
  <c r="B12" i="3"/>
  <c r="B7" i="3"/>
  <c r="D12" i="2" l="1"/>
  <c r="D11" i="2"/>
  <c r="D10" i="2"/>
  <c r="D9" i="2"/>
  <c r="D13" i="2"/>
  <c r="C12" i="2"/>
  <c r="C11" i="2"/>
  <c r="C10" i="2"/>
  <c r="C9" i="2"/>
  <c r="C13" i="2" s="1"/>
  <c r="Y16" i="7"/>
  <c r="Y17" i="7" s="1"/>
  <c r="B19" i="7"/>
  <c r="B20" i="7" s="1"/>
  <c r="B21" i="7" s="1"/>
  <c r="Y19" i="7" l="1"/>
</calcChain>
</file>

<file path=xl/sharedStrings.xml><?xml version="1.0" encoding="utf-8"?>
<sst xmlns="http://schemas.openxmlformats.org/spreadsheetml/2006/main" count="126" uniqueCount="69">
  <si>
    <t>РАСЧЕТ БУДУЩЕЙ СТОИМОСТИ ВКЛАДА</t>
  </si>
  <si>
    <t>Начальная сумма</t>
  </si>
  <si>
    <t>Процентная ставка</t>
  </si>
  <si>
    <t>Количество начислений в году</t>
  </si>
  <si>
    <t>срок вклада (лет)</t>
  </si>
  <si>
    <t>Будущая стоямость</t>
  </si>
  <si>
    <t>РАСЧЕТ ПЛАТЕЖЕЙ ПО ЗАЙМУ</t>
  </si>
  <si>
    <t>Размер ссуды</t>
  </si>
  <si>
    <t>Срок ссуды</t>
  </si>
  <si>
    <t>Ставка</t>
  </si>
  <si>
    <t>Величина процентных выплат</t>
  </si>
  <si>
    <t>Величина срочных уплат</t>
  </si>
  <si>
    <t>Год</t>
  </si>
  <si>
    <t>Величина основных выплат</t>
  </si>
  <si>
    <t>ИТОГО</t>
  </si>
  <si>
    <t>РАСЧЕТ ИПОТЕЧНОЙ ССУДЫ</t>
  </si>
  <si>
    <t>Исзодные данные</t>
  </si>
  <si>
    <t>Цена</t>
  </si>
  <si>
    <t>Первый взнос</t>
  </si>
  <si>
    <t>Годовая ставка</t>
  </si>
  <si>
    <t>Срок погашения ссуды</t>
  </si>
  <si>
    <t>Расчетные данные</t>
  </si>
  <si>
    <t>Периодические выплаты</t>
  </si>
  <si>
    <t>Общая сумма выплат</t>
  </si>
  <si>
    <t>Общая сумма комиссионных</t>
  </si>
  <si>
    <t>лет</t>
  </si>
  <si>
    <t>ежемесячно</t>
  </si>
  <si>
    <t>ежегодно</t>
  </si>
  <si>
    <t>СРОК ОКУПАЕМОСТИ ПРОЕКТА</t>
  </si>
  <si>
    <t>года</t>
  </si>
  <si>
    <t>Инвестиции к началу поступления доходов</t>
  </si>
  <si>
    <t>Ежегодные доходы</t>
  </si>
  <si>
    <t>Срок окупаемости</t>
  </si>
  <si>
    <t>РАСЧЕТ НАРАЩЕННОЙ СТОИМОСТИ</t>
  </si>
  <si>
    <t>Номинал облигации</t>
  </si>
  <si>
    <t>Срок</t>
  </si>
  <si>
    <t>Порядок начисления процентов</t>
  </si>
  <si>
    <t>1 год</t>
  </si>
  <si>
    <t>2 год</t>
  </si>
  <si>
    <t>3 год</t>
  </si>
  <si>
    <t>4 год</t>
  </si>
  <si>
    <t>5 год</t>
  </si>
  <si>
    <t>6 год</t>
  </si>
  <si>
    <t>7 год</t>
  </si>
  <si>
    <t>Наращенная стоимость</t>
  </si>
  <si>
    <t>РАСЧЕТ СКОРОСТИ ОБОРОТА ИНВЕСТИЦИИ</t>
  </si>
  <si>
    <t>Ожидаемые доходы в течение</t>
  </si>
  <si>
    <t>Затраты по проекту</t>
  </si>
  <si>
    <t>Рыночная норма дохода</t>
  </si>
  <si>
    <t>Внутренняя скорость оборота инвестиции</t>
  </si>
  <si>
    <t>РАСЧЕТ НАЧАЛЬНОЙ СТОИМОСТИ ВКЛАДА</t>
  </si>
  <si>
    <t>Итоговая сумма</t>
  </si>
  <si>
    <t>Начальная стоямость</t>
  </si>
  <si>
    <t>Кол-во начислений в году</t>
  </si>
  <si>
    <t>Размер вклада</t>
  </si>
  <si>
    <t>Итоговый размер вклада</t>
  </si>
  <si>
    <t>Задача_1. Рассчитайте, какая сумма окажется на счете, если 55 000 руб. вложить в банк на 8 лет под 10,7 % годовых при ежемесячном начислении процентов.</t>
  </si>
  <si>
    <t>Задача_2. Составьте план погашения ссуды, если ссуда размером 1 000 000 руб. выдана сроком на 5 лет под 12,8 % годовых.</t>
  </si>
  <si>
    <t>Задача_3. Рассчитайте размеры ежемесячных / ежегодных выплат для 15-летней ипотечной ссуды размером 3 500 000 руб. по ставке 10,8 % годовых при первоначальном взносе 25 %.</t>
  </si>
  <si>
    <t>Задача_4. Рассчитайте срок окупаемости некоторого инвестиционного проекта, если инвестиции к началу поступления доходов составят 150 000 000 руб., норма дисконтирования составляет 8,5 %, а ожидаемые ежегодные доходы от реализации проекта составляют 65 000 000 руб.</t>
  </si>
  <si>
    <t>Задача_5. Облигация номиналом 300 000 руб. выпущена на 7 лет. Порядок начисления процентов следующий: в первый год – 10,3 %, в следующие три года – 12,4 %, в оставшиеся три года – увеличивается на 0,3 %. Рассчитайте будущую стоимость облигации по процентной ставке сложных годовых процентов.</t>
  </si>
  <si>
    <t>Задача_6. Затраты по инвестиционному проекту составят 500 000 000 руб. Ожидаемые доходы в течение следующих 5 лет составят 50 000 000 руб., 100 000 000 руб., 250 000 000 руб., 200 000 000 руб., 150 000 000 руб. соответственно. Оцените экономическую целесообразность проекта по скорости оборота инвестиции, если рыночная норма дохода 13,6 %.</t>
  </si>
  <si>
    <t>Вычислите 7-летнюю ипотечную ссуду для покупки дома стоимостью 10 000 000руб. с годовой ставкой 8,5 % сложных годовых и первоначальным взносом 15 %.</t>
  </si>
  <si>
    <t>Определите, какая сумма окажется на счете, если вклад размером 500 000 руб. размещен на 7 лет под 9,7 % сложных годовых, а проценты начисляются ежемесячно</t>
  </si>
  <si>
    <t>Через 4 года фирме «Сатурн-М» понадобится сумма размером 10 000 000 руб. В настоящее время фирма готова положить некоторую сумму единым вкладом на депозит под 12,8 % сложных годовых. Проценты будут начисляться ежеквартально. Определите сумму начального вклада.</t>
  </si>
  <si>
    <t>Сколько потребуется лет, чтобы вклад размером 400 000 руб. достиг значения
1 000 000 руб., если ставка сложных годовых процентов 13,5 % и проценты
начисляются каждые два месяца?</t>
  </si>
  <si>
    <t>Рассчитайте будущую стоимость облигации номиналом 100 000 руб., выпущенной на 5 лет, если первые два года проценты начисляются по ставке 16 % сложных годовых, а в течение следующих трех лет процентная ставка ежегодно увеличивается на 0,4 %.</t>
  </si>
  <si>
    <t>Затраты по проекту составят 1 000 000 000 руб. Ожидаемые доходы в течение последующих 5 лет составят соответственно 350 000 000 руб., 250 000 000 руб., 250 000 000 руб., 400 000 000 руб., 300 000 000 руб. Оцените экономическую целесообразность проекта по скорости оборота инвестиции, если рыночная норма дохода 12 %.</t>
  </si>
  <si>
    <t>ежеквартальных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</si>
</sst>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0.00\ &quot;₽&quot;;[Red]\-#,##0.00\ &quot;₽&quot;"/>
    <numFmt numFmtId="164" formatCode="#,##0.00\ &quot;₽&quot;"/>
    <numFmt numFmtId="165" formatCode="0.0%"/>
    <numFmt numFmtId="166" formatCode="0.0"/>
  </numFmts>
  <fonts count="6">
    <font>
      <sz val="12"/>
      <color theme="1"/>
      <name val="TimesNewRomanPSMT"/>
      <family val="2"/>
      <charset val="204"/>
    </font>
    <font>
      <b/>
      <sz val="12"/>
      <color theme="1"/>
      <name val="TimesNewRomanPSMT"/>
      <charset val="204"/>
    </font>
    <font>
      <sz val="12"/>
      <color theme="1"/>
      <name val="TimesNewRomanPSMT"/>
      <family val="2"/>
      <charset val="204"/>
    </font>
    <font>
      <sz val="12"/>
      <color theme="1"/>
      <name val="TimesNewRomanPSMT"/>
      <charset val="204"/>
    </font>
    <font>
      <b/>
      <i/>
      <sz val="12"/>
      <color theme="1"/>
      <name val="TimesNewRomanPSMT"/>
      <charset val="204"/>
    </font>
    <font>
      <sz val="8"/>
      <name val="TimesNewRomanPSMT"/>
      <family val="2"/>
      <charset val="204"/>
    </font>
  </fonts>
  <fills count="2">
    <fill>
      <patternFill patternType="none"/>
    </fill>
    <fill>
      <patternFill patternType="gray125"/>
    </fill>
  </fills>
  <borders count="5">
    <border>
      <left/>
      <right/>
      <top/>
      <bottom/>
      <diagonal/>
    </border>
    <border>
      <left style="thin">
        <color theme="1"/>
      </left>
      <right style="thin">
        <color theme="1"/>
      </right>
      <top style="thin">
        <color theme="1"/>
      </top>
      <bottom style="thin">
        <color theme="1"/>
      </bottom>
      <diagonal/>
    </border>
    <border>
      <left style="thin">
        <color theme="1"/>
      </left>
      <right/>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s>
  <cellStyleXfs count="2">
    <xf numFmtId="0" fontId="0" fillId="0" borderId="0"/>
    <xf numFmtId="9" fontId="2" fillId="0" borderId="0" applyFont="0" applyFill="0" applyBorder="0" applyAlignment="0" applyProtection="0"/>
  </cellStyleXfs>
  <cellXfs count="45">
    <xf numFmtId="0" fontId="0" fillId="0" borderId="0" xfId="0"/>
    <xf numFmtId="0" fontId="0" fillId="0" borderId="1" xfId="0" applyBorder="1"/>
    <xf numFmtId="164" fontId="0" fillId="0" borderId="1" xfId="0" applyNumberFormat="1" applyBorder="1"/>
    <xf numFmtId="165" fontId="0" fillId="0" borderId="1" xfId="0" applyNumberFormat="1" applyBorder="1"/>
    <xf numFmtId="9" fontId="0" fillId="0" borderId="1" xfId="0" applyNumberFormat="1" applyBorder="1"/>
    <xf numFmtId="165" fontId="0" fillId="0" borderId="1" xfId="1" applyNumberFormat="1" applyFont="1" applyBorder="1"/>
    <xf numFmtId="8" fontId="0" fillId="0" borderId="1" xfId="0" applyNumberFormat="1" applyBorder="1"/>
    <xf numFmtId="164" fontId="0" fillId="0" borderId="0" xfId="0" applyNumberFormat="1"/>
    <xf numFmtId="0" fontId="0" fillId="0" borderId="0" xfId="0" applyAlignment="1">
      <alignment wrapText="1"/>
    </xf>
    <xf numFmtId="0" fontId="4"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horizontal="right"/>
    </xf>
    <xf numFmtId="0" fontId="0" fillId="0" borderId="1" xfId="0" applyBorder="1" applyAlignment="1">
      <alignment horizontal="center"/>
    </xf>
    <xf numFmtId="8" fontId="0" fillId="0" borderId="1" xfId="0" applyNumberFormat="1" applyBorder="1" applyAlignment="1">
      <alignment horizontal="center"/>
    </xf>
    <xf numFmtId="0" fontId="4" fillId="0" borderId="0" xfId="0" applyFont="1"/>
    <xf numFmtId="0" fontId="4" fillId="0" borderId="1" xfId="0" applyFont="1" applyBorder="1" applyAlignment="1">
      <alignment wrapText="1"/>
    </xf>
    <xf numFmtId="0" fontId="1" fillId="0" borderId="1" xfId="0" applyFont="1" applyBorder="1" applyAlignment="1">
      <alignment horizontal="left" wrapText="1"/>
    </xf>
    <xf numFmtId="165" fontId="3" fillId="0" borderId="1" xfId="0" applyNumberFormat="1" applyFont="1" applyBorder="1"/>
    <xf numFmtId="9" fontId="0" fillId="0" borderId="1" xfId="0" applyNumberFormat="1" applyBorder="1" applyAlignment="1">
      <alignment vertical="center"/>
    </xf>
    <xf numFmtId="0" fontId="0" fillId="0" borderId="1" xfId="0" applyBorder="1" applyAlignment="1">
      <alignment vertical="center"/>
    </xf>
    <xf numFmtId="0" fontId="0" fillId="0" borderId="0" xfId="0" applyAlignment="1">
      <alignment vertical="center"/>
    </xf>
    <xf numFmtId="1" fontId="0" fillId="0" borderId="1" xfId="0" applyNumberFormat="1" applyBorder="1"/>
    <xf numFmtId="164" fontId="0" fillId="0" borderId="1" xfId="0" applyNumberFormat="1" applyBorder="1" applyAlignment="1">
      <alignment horizontal="right" vertical="center"/>
    </xf>
    <xf numFmtId="164" fontId="0" fillId="0" borderId="1" xfId="0" applyNumberFormat="1" applyBorder="1" applyAlignment="1">
      <alignment vertical="center"/>
    </xf>
    <xf numFmtId="0" fontId="4" fillId="0" borderId="0" xfId="0" applyFont="1" applyAlignment="1">
      <alignment horizontal="right"/>
    </xf>
    <xf numFmtId="165" fontId="3" fillId="0" borderId="0" xfId="0" applyNumberFormat="1" applyFont="1"/>
    <xf numFmtId="166" fontId="0" fillId="0" borderId="0" xfId="0" applyNumberFormat="1"/>
    <xf numFmtId="0" fontId="1" fillId="0" borderId="0" xfId="0" applyFont="1"/>
    <xf numFmtId="164" fontId="0" fillId="0" borderId="1" xfId="0" applyNumberFormat="1" applyBorder="1" applyAlignment="1">
      <alignment horizontal="center" vertical="center"/>
    </xf>
    <xf numFmtId="165" fontId="0" fillId="0" borderId="1" xfId="1" applyNumberFormat="1" applyFont="1" applyBorder="1" applyAlignment="1">
      <alignment horizontal="center" vertical="center"/>
    </xf>
    <xf numFmtId="0" fontId="0" fillId="0" borderId="1" xfId="0" applyBorder="1" applyAlignment="1">
      <alignment horizontal="center" vertical="center"/>
    </xf>
    <xf numFmtId="0" fontId="0" fillId="0" borderId="4" xfId="0" applyBorder="1"/>
    <xf numFmtId="8" fontId="0" fillId="0" borderId="3" xfId="0" applyNumberFormat="1" applyBorder="1"/>
    <xf numFmtId="0" fontId="0" fillId="0" borderId="0" xfId="0" applyAlignment="1">
      <alignment vertical="center" wrapText="1"/>
    </xf>
    <xf numFmtId="0" fontId="1" fillId="0" borderId="0" xfId="0" applyFont="1" applyAlignment="1">
      <alignment vertical="center" wrapText="1"/>
    </xf>
    <xf numFmtId="1" fontId="0" fillId="0" borderId="0" xfId="0" applyNumberFormat="1"/>
    <xf numFmtId="0" fontId="4"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xf numFmtId="0" fontId="4" fillId="0" borderId="1" xfId="0" applyFont="1" applyBorder="1" applyAlignment="1">
      <alignment horizontal="center"/>
    </xf>
    <xf numFmtId="0" fontId="3" fillId="0" borderId="2"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wrapText="1"/>
    </xf>
    <xf numFmtId="0" fontId="4" fillId="0" borderId="1" xfId="0" applyFont="1" applyBorder="1" applyAlignment="1">
      <alignment horizontal="left" wrapText="1"/>
    </xf>
    <xf numFmtId="0" fontId="0" fillId="0" borderId="1" xfId="0" applyBorder="1" applyAlignment="1">
      <alignment horizontal="right"/>
    </xf>
  </cellXfs>
  <cellStyles count="2">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4EABA-32AA-3144-B8CE-1933B2965B7A}">
  <dimension ref="A1:H8"/>
  <sheetViews>
    <sheetView workbookViewId="0">
      <selection activeCell="K19" sqref="K19"/>
    </sheetView>
  </sheetViews>
  <sheetFormatPr defaultColWidth="10.90625" defaultRowHeight="15"/>
  <cols>
    <col min="1" max="1" width="27.36328125" customWidth="1"/>
    <col min="2" max="2" width="19.1796875" customWidth="1"/>
    <col min="3" max="3" width="11.453125" bestFit="1" customWidth="1"/>
    <col min="5" max="5" width="16.1796875" customWidth="1"/>
    <col min="8" max="8" width="20.90625" customWidth="1"/>
  </cols>
  <sheetData>
    <row r="1" spans="1:8" ht="16.2">
      <c r="A1" s="36" t="s">
        <v>0</v>
      </c>
      <c r="B1" s="36"/>
    </row>
    <row r="3" spans="1:8" ht="15.6" customHeight="1">
      <c r="A3" s="1" t="s">
        <v>1</v>
      </c>
      <c r="B3" s="28">
        <v>55000</v>
      </c>
      <c r="D3" s="37" t="s">
        <v>56</v>
      </c>
      <c r="E3" s="37"/>
      <c r="F3" s="37"/>
      <c r="G3" s="37"/>
      <c r="H3" s="37"/>
    </row>
    <row r="4" spans="1:8" ht="15" customHeight="1">
      <c r="A4" s="1" t="s">
        <v>2</v>
      </c>
      <c r="B4" s="29">
        <v>0.107</v>
      </c>
      <c r="D4" s="37"/>
      <c r="E4" s="37"/>
      <c r="F4" s="37"/>
      <c r="G4" s="37"/>
      <c r="H4" s="37"/>
    </row>
    <row r="5" spans="1:8">
      <c r="A5" s="1" t="s">
        <v>3</v>
      </c>
      <c r="B5" s="30">
        <v>12</v>
      </c>
    </row>
    <row r="6" spans="1:8">
      <c r="A6" s="1" t="s">
        <v>4</v>
      </c>
      <c r="B6" s="30">
        <v>8</v>
      </c>
    </row>
    <row r="8" spans="1:8">
      <c r="A8" s="31" t="s">
        <v>5</v>
      </c>
      <c r="B8" s="32">
        <f>FV(B4/B5,B6*B5,,-B3)</f>
        <v>128964.7855988934</v>
      </c>
    </row>
  </sheetData>
  <mergeCells count="2">
    <mergeCell ref="A1:B1"/>
    <mergeCell ref="D3:H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914C4-A444-1C47-9348-62498B36EEBF}">
  <dimension ref="A1:L13"/>
  <sheetViews>
    <sheetView workbookViewId="0">
      <selection activeCell="M21" sqref="M21"/>
    </sheetView>
  </sheetViews>
  <sheetFormatPr defaultColWidth="10.90625" defaultRowHeight="15"/>
  <cols>
    <col min="1" max="1" width="15.1796875" customWidth="1"/>
    <col min="2" max="2" width="17.36328125" customWidth="1"/>
    <col min="3" max="3" width="24" customWidth="1"/>
    <col min="4" max="4" width="15.1796875" customWidth="1"/>
  </cols>
  <sheetData>
    <row r="1" spans="1:12" ht="16.2">
      <c r="A1" s="36" t="s">
        <v>6</v>
      </c>
      <c r="B1" s="36"/>
      <c r="C1" s="36"/>
      <c r="D1" s="36"/>
    </row>
    <row r="3" spans="1:12" ht="16.2">
      <c r="A3" s="10" t="s">
        <v>7</v>
      </c>
      <c r="B3" s="2">
        <v>1000000</v>
      </c>
      <c r="F3" s="37" t="s">
        <v>57</v>
      </c>
      <c r="G3" s="37"/>
      <c r="H3" s="37"/>
      <c r="I3" s="37"/>
      <c r="J3" s="37"/>
      <c r="K3" s="37"/>
      <c r="L3" s="37"/>
    </row>
    <row r="4" spans="1:12" ht="16.2">
      <c r="A4" s="10" t="s">
        <v>8</v>
      </c>
      <c r="B4" s="1">
        <v>5</v>
      </c>
      <c r="F4" s="37"/>
      <c r="G4" s="37"/>
      <c r="H4" s="37"/>
      <c r="I4" s="37"/>
      <c r="J4" s="37"/>
      <c r="K4" s="37"/>
      <c r="L4" s="37"/>
    </row>
    <row r="5" spans="1:12" ht="16.2">
      <c r="A5" s="10" t="s">
        <v>9</v>
      </c>
      <c r="B5" s="3">
        <v>0.128</v>
      </c>
    </row>
    <row r="7" spans="1:12" ht="31.95" customHeight="1">
      <c r="A7" s="9" t="s">
        <v>12</v>
      </c>
      <c r="B7" s="9" t="s">
        <v>13</v>
      </c>
      <c r="C7" s="9" t="s">
        <v>10</v>
      </c>
      <c r="D7" s="9" t="s">
        <v>11</v>
      </c>
      <c r="E7" s="8"/>
    </row>
    <row r="8" spans="1:12">
      <c r="A8" s="12">
        <v>1</v>
      </c>
      <c r="B8" s="13">
        <f t="shared" ref="B8:B12" si="0">PPMT($B$5,A8,$B$4,$B$3)</f>
        <v>-154928.40753706792</v>
      </c>
      <c r="C8" s="12">
        <f t="array" ref="C8:C12">ISPMT($B$5,A8,$B$4,$B$3)</f>
        <v>-102400</v>
      </c>
      <c r="D8" s="13">
        <f t="array" ref="D8:D12">PMT($B$5,$B$4,$B$3)</f>
        <v>-282928.40753706795</v>
      </c>
    </row>
    <row r="9" spans="1:12">
      <c r="A9" s="12">
        <v>2</v>
      </c>
      <c r="B9" s="13">
        <f t="shared" si="0"/>
        <v>-174759.24370181264</v>
      </c>
      <c r="C9" s="12">
        <v>-102400</v>
      </c>
      <c r="D9" s="13">
        <v>-282928.40753706795</v>
      </c>
    </row>
    <row r="10" spans="1:12">
      <c r="A10" s="12">
        <v>3</v>
      </c>
      <c r="B10" s="13">
        <f t="shared" si="0"/>
        <v>-197128.42689564463</v>
      </c>
      <c r="C10" s="12">
        <v>-102400</v>
      </c>
      <c r="D10" s="13">
        <v>-282928.40753706795</v>
      </c>
    </row>
    <row r="11" spans="1:12">
      <c r="A11" s="12">
        <v>4</v>
      </c>
      <c r="B11" s="13">
        <f t="shared" si="0"/>
        <v>-222360.86553828718</v>
      </c>
      <c r="C11" s="12">
        <v>-102400</v>
      </c>
      <c r="D11" s="13">
        <v>-282928.40753706795</v>
      </c>
    </row>
    <row r="12" spans="1:12">
      <c r="A12" s="12">
        <v>5</v>
      </c>
      <c r="B12" s="13">
        <f t="shared" si="0"/>
        <v>-250823.05632718792</v>
      </c>
      <c r="C12" s="12">
        <v>-102400</v>
      </c>
      <c r="D12" s="13">
        <v>-282928.40753706795</v>
      </c>
    </row>
    <row r="13" spans="1:12" ht="16.2">
      <c r="A13" s="11" t="s">
        <v>14</v>
      </c>
      <c r="B13" s="13">
        <f>SUM(B8:B12)</f>
        <v>-1000000.0000000003</v>
      </c>
      <c r="C13" s="12">
        <f>SUM(C8:C12)</f>
        <v>-512000</v>
      </c>
      <c r="D13" s="13">
        <f>SUM(D8:D12)</f>
        <v>-1414642.0376853398</v>
      </c>
    </row>
  </sheetData>
  <mergeCells count="2">
    <mergeCell ref="A1:D1"/>
    <mergeCell ref="F3:L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AB98C-E8B1-A049-95DD-282E3462D109}">
  <dimension ref="A1:L14"/>
  <sheetViews>
    <sheetView workbookViewId="0">
      <selection activeCell="C14" sqref="C14"/>
    </sheetView>
  </sheetViews>
  <sheetFormatPr defaultColWidth="10.90625" defaultRowHeight="15"/>
  <cols>
    <col min="1" max="1" width="23.81640625" customWidth="1"/>
    <col min="2" max="2" width="14.6328125" customWidth="1"/>
    <col min="3" max="3" width="15.81640625" customWidth="1"/>
  </cols>
  <sheetData>
    <row r="1" spans="1:12" ht="16.2">
      <c r="A1" s="36" t="s">
        <v>15</v>
      </c>
      <c r="B1" s="36"/>
      <c r="C1" s="36"/>
    </row>
    <row r="3" spans="1:12" ht="16.2">
      <c r="A3" s="10" t="s">
        <v>16</v>
      </c>
      <c r="B3" s="1"/>
      <c r="E3" s="38" t="s">
        <v>58</v>
      </c>
      <c r="F3" s="38"/>
      <c r="G3" s="38"/>
      <c r="H3" s="38"/>
      <c r="I3" s="38"/>
      <c r="J3" s="38"/>
      <c r="K3" s="38"/>
      <c r="L3" s="38"/>
    </row>
    <row r="4" spans="1:12" ht="16.2">
      <c r="A4" s="10" t="s">
        <v>17</v>
      </c>
      <c r="B4" s="2">
        <v>3500000</v>
      </c>
      <c r="E4" s="38"/>
      <c r="F4" s="38"/>
      <c r="G4" s="38"/>
      <c r="H4" s="38"/>
      <c r="I4" s="38"/>
      <c r="J4" s="38"/>
      <c r="K4" s="38"/>
      <c r="L4" s="38"/>
    </row>
    <row r="5" spans="1:12" ht="16.2">
      <c r="A5" s="10" t="s">
        <v>18</v>
      </c>
      <c r="B5" s="4">
        <v>0.25</v>
      </c>
      <c r="E5" s="38"/>
      <c r="F5" s="38"/>
      <c r="G5" s="38"/>
      <c r="H5" s="38"/>
      <c r="I5" s="38"/>
      <c r="J5" s="38"/>
      <c r="K5" s="38"/>
      <c r="L5" s="38"/>
    </row>
    <row r="6" spans="1:12" ht="16.2">
      <c r="A6" s="10" t="s">
        <v>19</v>
      </c>
      <c r="B6" s="3">
        <v>0.108</v>
      </c>
    </row>
    <row r="7" spans="1:12" ht="16.2">
      <c r="A7" s="10" t="s">
        <v>7</v>
      </c>
      <c r="B7" s="2">
        <f>B4-B4*B5</f>
        <v>2625000</v>
      </c>
    </row>
    <row r="8" spans="1:12" ht="16.2">
      <c r="A8" s="10"/>
      <c r="B8" s="1"/>
    </row>
    <row r="9" spans="1:12" ht="16.2">
      <c r="A9" s="10" t="s">
        <v>20</v>
      </c>
      <c r="B9" s="1">
        <v>15</v>
      </c>
      <c r="C9" s="1" t="s">
        <v>25</v>
      </c>
    </row>
    <row r="10" spans="1:12" ht="16.2">
      <c r="A10" s="10"/>
      <c r="B10" s="1"/>
    </row>
    <row r="11" spans="1:12" ht="16.2">
      <c r="A11" s="10" t="s">
        <v>21</v>
      </c>
      <c r="B11" s="10" t="s">
        <v>26</v>
      </c>
      <c r="C11" s="14" t="s">
        <v>27</v>
      </c>
    </row>
    <row r="12" spans="1:12" ht="16.2">
      <c r="A12" s="10" t="s">
        <v>22</v>
      </c>
      <c r="B12" s="6">
        <f>PMT(B6/12,B9*12,B7)</f>
        <v>-29506.832770451492</v>
      </c>
      <c r="C12" s="6">
        <f>PMT(B6,B9,B7)</f>
        <v>-361024.79447020969</v>
      </c>
    </row>
    <row r="13" spans="1:12" ht="16.2">
      <c r="A13" s="10" t="s">
        <v>23</v>
      </c>
      <c r="B13" s="6">
        <f>B12*12*B9</f>
        <v>-5311229.8986812681</v>
      </c>
      <c r="C13" s="6">
        <f>C12*B9</f>
        <v>-5415371.9170531454</v>
      </c>
    </row>
    <row r="14" spans="1:12" ht="32.4">
      <c r="A14" s="15" t="s">
        <v>24</v>
      </c>
      <c r="B14" s="2">
        <f>ABS(B13)-B4</f>
        <v>1811229.8986812681</v>
      </c>
      <c r="C14" s="2">
        <f>ABS(C13)-B4</f>
        <v>1915371.9170531454</v>
      </c>
    </row>
  </sheetData>
  <mergeCells count="2">
    <mergeCell ref="A1:C1"/>
    <mergeCell ref="E3:L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6F061-3049-7A47-A22B-DE4ED3F920EA}">
  <dimension ref="A1:J7"/>
  <sheetViews>
    <sheetView workbookViewId="0">
      <selection activeCell="L14" sqref="L14"/>
    </sheetView>
  </sheetViews>
  <sheetFormatPr defaultColWidth="10.90625" defaultRowHeight="15"/>
  <cols>
    <col min="1" max="1" width="21.453125" customWidth="1"/>
    <col min="2" max="2" width="16.6328125" customWidth="1"/>
    <col min="10" max="10" width="13.6328125" customWidth="1"/>
  </cols>
  <sheetData>
    <row r="1" spans="1:10" ht="16.2">
      <c r="A1" s="36" t="s">
        <v>28</v>
      </c>
      <c r="B1" s="36"/>
    </row>
    <row r="3" spans="1:10" ht="32.4">
      <c r="A3" s="15" t="s">
        <v>30</v>
      </c>
      <c r="B3" s="2">
        <v>150000000</v>
      </c>
      <c r="E3" s="37" t="s">
        <v>59</v>
      </c>
      <c r="F3" s="37"/>
      <c r="G3" s="37"/>
      <c r="H3" s="37"/>
      <c r="I3" s="37"/>
      <c r="J3" s="37"/>
    </row>
    <row r="4" spans="1:10" ht="16.2">
      <c r="A4" s="10" t="s">
        <v>31</v>
      </c>
      <c r="B4" s="2">
        <v>65000000</v>
      </c>
      <c r="E4" s="37"/>
      <c r="F4" s="37"/>
      <c r="G4" s="37"/>
      <c r="H4" s="37"/>
      <c r="I4" s="37"/>
      <c r="J4" s="37"/>
    </row>
    <row r="5" spans="1:10" ht="16.2">
      <c r="A5" s="10" t="s">
        <v>9</v>
      </c>
      <c r="B5" s="3">
        <v>8.5000000000000006E-2</v>
      </c>
      <c r="E5" s="37"/>
      <c r="F5" s="37"/>
      <c r="G5" s="37"/>
      <c r="H5" s="37"/>
      <c r="I5" s="37"/>
      <c r="J5" s="37"/>
    </row>
    <row r="6" spans="1:10" ht="16.2">
      <c r="A6" s="10" t="s">
        <v>32</v>
      </c>
      <c r="B6" s="1">
        <f>ROUNDUP(NPER(B5,B4,-B3),0)</f>
        <v>3</v>
      </c>
      <c r="C6" t="s">
        <v>29</v>
      </c>
    </row>
    <row r="7" spans="1:10">
      <c r="B7" s="35"/>
    </row>
  </sheetData>
  <mergeCells count="2">
    <mergeCell ref="A1:B1"/>
    <mergeCell ref="E3: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09E9C-0E20-C14D-9E3F-6369E3C6C25C}">
  <dimension ref="A1:K14"/>
  <sheetViews>
    <sheetView tabSelected="1" workbookViewId="0">
      <selection activeCell="B14" sqref="B14"/>
    </sheetView>
  </sheetViews>
  <sheetFormatPr defaultColWidth="10.90625" defaultRowHeight="15"/>
  <cols>
    <col min="1" max="1" width="21.36328125" customWidth="1"/>
    <col min="2" max="2" width="17.1796875" customWidth="1"/>
    <col min="10" max="10" width="17.08984375" customWidth="1"/>
    <col min="11" max="11" width="23.08984375" customWidth="1"/>
  </cols>
  <sheetData>
    <row r="1" spans="1:11" ht="16.2">
      <c r="A1" s="36" t="s">
        <v>33</v>
      </c>
      <c r="B1" s="36"/>
    </row>
    <row r="3" spans="1:11" ht="16.2">
      <c r="A3" s="10" t="s">
        <v>34</v>
      </c>
      <c r="B3" s="2">
        <v>300000</v>
      </c>
    </row>
    <row r="4" spans="1:11" ht="16.2" customHeight="1">
      <c r="A4" s="10" t="s">
        <v>35</v>
      </c>
      <c r="B4" s="1">
        <v>7</v>
      </c>
      <c r="C4" t="s">
        <v>25</v>
      </c>
      <c r="D4" s="37" t="s">
        <v>60</v>
      </c>
      <c r="E4" s="37"/>
      <c r="F4" s="37"/>
      <c r="G4" s="37"/>
      <c r="H4" s="37"/>
      <c r="I4" s="37"/>
      <c r="J4" s="37"/>
      <c r="K4" s="8"/>
    </row>
    <row r="5" spans="1:11" ht="16.2">
      <c r="A5" s="39" t="s">
        <v>36</v>
      </c>
      <c r="B5" s="39"/>
      <c r="D5" s="37"/>
      <c r="E5" s="37"/>
      <c r="F5" s="37"/>
      <c r="G5" s="37"/>
      <c r="H5" s="37"/>
      <c r="I5" s="37"/>
      <c r="J5" s="37"/>
      <c r="K5" s="8"/>
    </row>
    <row r="6" spans="1:11" ht="16.2">
      <c r="A6" s="11" t="s">
        <v>37</v>
      </c>
      <c r="B6" s="17">
        <v>0.10299999999999999</v>
      </c>
      <c r="D6" s="37"/>
      <c r="E6" s="37"/>
      <c r="F6" s="37"/>
      <c r="G6" s="37"/>
      <c r="H6" s="37"/>
      <c r="I6" s="37"/>
      <c r="J6" s="37"/>
      <c r="K6" s="8"/>
    </row>
    <row r="7" spans="1:11" ht="16.2">
      <c r="A7" s="11" t="s">
        <v>38</v>
      </c>
      <c r="B7" s="17">
        <v>0.124</v>
      </c>
      <c r="D7" s="37"/>
      <c r="E7" s="37"/>
      <c r="F7" s="37"/>
      <c r="G7" s="37"/>
      <c r="H7" s="37"/>
      <c r="I7" s="37"/>
      <c r="J7" s="37"/>
    </row>
    <row r="8" spans="1:11" ht="16.2">
      <c r="A8" s="11" t="s">
        <v>39</v>
      </c>
      <c r="B8" s="17">
        <v>0.124</v>
      </c>
    </row>
    <row r="9" spans="1:11" ht="16.2">
      <c r="A9" s="11" t="s">
        <v>40</v>
      </c>
      <c r="B9" s="17">
        <v>0.124</v>
      </c>
    </row>
    <row r="10" spans="1:11" ht="16.2">
      <c r="A10" s="11" t="s">
        <v>41</v>
      </c>
      <c r="B10" s="17">
        <f>B9+0.3%</f>
        <v>0.127</v>
      </c>
    </row>
    <row r="11" spans="1:11" ht="16.2">
      <c r="A11" s="11" t="s">
        <v>42</v>
      </c>
      <c r="B11" s="17">
        <f t="shared" ref="B11:B12" si="0">B10+0.3%</f>
        <v>0.13</v>
      </c>
    </row>
    <row r="12" spans="1:11" ht="16.2">
      <c r="A12" s="11" t="s">
        <v>43</v>
      </c>
      <c r="B12" s="17">
        <f t="shared" si="0"/>
        <v>0.13300000000000001</v>
      </c>
    </row>
    <row r="14" spans="1:11" ht="15.6">
      <c r="A14" s="16" t="s">
        <v>44</v>
      </c>
      <c r="B14" s="2">
        <f>FVSCHEDULE(B3,B6:B12)</f>
        <v>677997.30917889101</v>
      </c>
    </row>
  </sheetData>
  <mergeCells count="3">
    <mergeCell ref="A1:B1"/>
    <mergeCell ref="A5:B5"/>
    <mergeCell ref="D4:J7"/>
  </mergeCells>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E62F5-56F4-6643-8F20-FFFBCD4F600A}">
  <dimension ref="A1:K11"/>
  <sheetViews>
    <sheetView workbookViewId="0">
      <selection activeCell="M17" sqref="M17"/>
    </sheetView>
  </sheetViews>
  <sheetFormatPr defaultColWidth="10.90625" defaultRowHeight="15"/>
  <cols>
    <col min="1" max="1" width="19.81640625" customWidth="1"/>
    <col min="2" max="2" width="21.81640625" customWidth="1"/>
    <col min="11" max="11" width="23.453125" customWidth="1"/>
  </cols>
  <sheetData>
    <row r="1" spans="1:11" ht="16.2">
      <c r="A1" s="36" t="s">
        <v>45</v>
      </c>
      <c r="B1" s="36"/>
      <c r="C1" s="36"/>
    </row>
    <row r="3" spans="1:11" ht="32.4">
      <c r="A3" s="15" t="s">
        <v>46</v>
      </c>
      <c r="B3" s="19">
        <v>5</v>
      </c>
      <c r="C3" s="20" t="s">
        <v>25</v>
      </c>
    </row>
    <row r="4" spans="1:11" ht="16.2">
      <c r="A4" s="10" t="s">
        <v>47</v>
      </c>
      <c r="B4" s="19">
        <v>-500000000</v>
      </c>
    </row>
    <row r="5" spans="1:11" ht="16.2">
      <c r="A5" s="11" t="s">
        <v>37</v>
      </c>
      <c r="B5" s="19">
        <v>50000000</v>
      </c>
    </row>
    <row r="6" spans="1:11" ht="16.2">
      <c r="A6" s="11" t="s">
        <v>38</v>
      </c>
      <c r="B6" s="19">
        <v>100000000</v>
      </c>
    </row>
    <row r="7" spans="1:11" ht="16.2">
      <c r="A7" s="11" t="s">
        <v>39</v>
      </c>
      <c r="B7" s="19">
        <v>250000000</v>
      </c>
    </row>
    <row r="8" spans="1:11" ht="16.2">
      <c r="A8" s="11" t="s">
        <v>40</v>
      </c>
      <c r="B8" s="19">
        <v>200000000</v>
      </c>
      <c r="F8" s="38" t="s">
        <v>61</v>
      </c>
      <c r="G8" s="42"/>
      <c r="H8" s="42"/>
      <c r="I8" s="42"/>
      <c r="J8" s="42"/>
      <c r="K8" s="42"/>
    </row>
    <row r="9" spans="1:11" ht="16.2">
      <c r="A9" s="11" t="s">
        <v>41</v>
      </c>
      <c r="B9" s="19">
        <v>150000000</v>
      </c>
      <c r="F9" s="42"/>
      <c r="G9" s="42"/>
      <c r="H9" s="42"/>
      <c r="I9" s="42"/>
      <c r="J9" s="42"/>
      <c r="K9" s="42"/>
    </row>
    <row r="10" spans="1:11" ht="32.4">
      <c r="A10" s="15" t="s">
        <v>48</v>
      </c>
      <c r="B10" s="18">
        <v>0.14000000000000001</v>
      </c>
      <c r="F10" s="42"/>
      <c r="G10" s="42"/>
      <c r="H10" s="42"/>
      <c r="I10" s="42"/>
      <c r="J10" s="42"/>
      <c r="K10" s="42"/>
    </row>
    <row r="11" spans="1:11" ht="32.4">
      <c r="A11" s="15" t="s">
        <v>49</v>
      </c>
      <c r="B11" s="18">
        <f>IRR(B4:B9)</f>
        <v>0.1299320948735263</v>
      </c>
      <c r="C11" s="40" t="str">
        <f>IF(B11&gt;B10, "Проект экономически целесообразен", "Проект необходимо отвергнуть")</f>
        <v>Проект необходимо отвергнуть</v>
      </c>
      <c r="D11" s="41"/>
      <c r="E11" s="41"/>
    </row>
  </sheetData>
  <mergeCells count="3">
    <mergeCell ref="A1:C1"/>
    <mergeCell ref="C11:E11"/>
    <mergeCell ref="F8:K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49A1D-1AD4-5646-A877-8BA8859C6C51}">
  <dimension ref="A2:AG21"/>
  <sheetViews>
    <sheetView topLeftCell="A3" workbookViewId="0">
      <selection activeCell="B14" sqref="B14"/>
    </sheetView>
  </sheetViews>
  <sheetFormatPr defaultColWidth="10.90625" defaultRowHeight="15"/>
  <cols>
    <col min="1" max="1" width="24.1796875" customWidth="1"/>
    <col min="2" max="2" width="19.81640625" customWidth="1"/>
    <col min="3" max="3" width="18" customWidth="1"/>
    <col min="8" max="8" width="28" customWidth="1"/>
    <col min="9" max="9" width="18.1796875" customWidth="1"/>
    <col min="10" max="10" width="9.6328125" customWidth="1"/>
    <col min="13" max="13" width="29.1796875" customWidth="1"/>
    <col min="14" max="14" width="15.36328125" customWidth="1"/>
    <col min="17" max="17" width="4.6328125" customWidth="1"/>
    <col min="18" max="18" width="23.6328125" customWidth="1"/>
    <col min="19" max="19" width="18.1796875" customWidth="1"/>
    <col min="20" max="20" width="5.453125" customWidth="1"/>
    <col min="21" max="21" width="14.453125" customWidth="1"/>
    <col min="24" max="24" width="21.453125" customWidth="1"/>
    <col min="25" max="25" width="18.1796875" customWidth="1"/>
    <col min="29" max="29" width="25.453125" customWidth="1"/>
    <col min="30" max="30" width="18.81640625" customWidth="1"/>
  </cols>
  <sheetData>
    <row r="2" spans="1:31" s="27" customFormat="1" ht="90" customHeight="1">
      <c r="A2" s="38" t="s">
        <v>62</v>
      </c>
      <c r="B2" s="38"/>
      <c r="C2" s="34"/>
      <c r="D2" s="34"/>
      <c r="H2" s="38" t="s">
        <v>63</v>
      </c>
      <c r="I2" s="38"/>
      <c r="J2" s="34"/>
      <c r="M2" s="38" t="s">
        <v>64</v>
      </c>
      <c r="N2" s="38"/>
      <c r="R2" s="38" t="s">
        <v>65</v>
      </c>
      <c r="S2" s="38"/>
      <c r="X2" s="38" t="s">
        <v>66</v>
      </c>
      <c r="Y2" s="38"/>
      <c r="AC2" s="38" t="s">
        <v>67</v>
      </c>
      <c r="AD2" s="38"/>
    </row>
    <row r="3" spans="1:31" ht="22.8" customHeight="1">
      <c r="A3" s="33"/>
      <c r="B3" s="33"/>
      <c r="C3" s="33"/>
      <c r="D3" s="33"/>
      <c r="H3" s="33"/>
      <c r="I3" s="33"/>
      <c r="J3" s="33"/>
      <c r="M3" s="38"/>
      <c r="N3" s="38"/>
      <c r="X3" s="38"/>
      <c r="Y3" s="38"/>
      <c r="AC3" s="38"/>
      <c r="AD3" s="38"/>
    </row>
    <row r="8" spans="1:31" ht="16.2">
      <c r="A8" s="36" t="s">
        <v>15</v>
      </c>
      <c r="B8" s="36"/>
      <c r="C8" s="36"/>
      <c r="H8" s="36" t="s">
        <v>0</v>
      </c>
      <c r="I8" s="36"/>
      <c r="M8" s="36" t="s">
        <v>50</v>
      </c>
      <c r="N8" s="36"/>
      <c r="R8" s="36" t="s">
        <v>28</v>
      </c>
      <c r="S8" s="36"/>
      <c r="X8" s="36" t="s">
        <v>33</v>
      </c>
      <c r="Y8" s="36"/>
      <c r="AC8" s="36" t="s">
        <v>45</v>
      </c>
      <c r="AD8" s="36"/>
      <c r="AE8" s="36"/>
    </row>
    <row r="9" spans="1:31">
      <c r="U9" s="7"/>
    </row>
    <row r="10" spans="1:31" ht="18" customHeight="1">
      <c r="A10" s="10" t="s">
        <v>16</v>
      </c>
      <c r="B10" s="1"/>
      <c r="H10" s="1" t="s">
        <v>1</v>
      </c>
      <c r="I10" s="2">
        <v>500000</v>
      </c>
      <c r="M10" s="1" t="s">
        <v>51</v>
      </c>
      <c r="N10" s="2">
        <v>10000000</v>
      </c>
      <c r="R10" s="15" t="s">
        <v>54</v>
      </c>
      <c r="S10" s="23">
        <v>400000</v>
      </c>
      <c r="U10" s="7"/>
      <c r="X10" s="10" t="s">
        <v>34</v>
      </c>
      <c r="Y10" s="2">
        <v>100000</v>
      </c>
      <c r="AC10" s="43" t="s">
        <v>46</v>
      </c>
      <c r="AD10" s="44">
        <v>5</v>
      </c>
    </row>
    <row r="11" spans="1:31" ht="16.95" customHeight="1">
      <c r="A11" s="10" t="s">
        <v>17</v>
      </c>
      <c r="B11" s="2">
        <v>10000000</v>
      </c>
      <c r="H11" s="1" t="s">
        <v>2</v>
      </c>
      <c r="I11" s="5">
        <v>9.7000000000000003E-2</v>
      </c>
      <c r="M11" s="1" t="s">
        <v>2</v>
      </c>
      <c r="N11" s="5">
        <v>0.128</v>
      </c>
      <c r="R11" s="10" t="s">
        <v>53</v>
      </c>
      <c r="S11" s="1">
        <v>6</v>
      </c>
      <c r="U11" s="7"/>
      <c r="X11" s="10" t="s">
        <v>35</v>
      </c>
      <c r="Y11" s="1">
        <v>5</v>
      </c>
      <c r="Z11" t="s">
        <v>25</v>
      </c>
      <c r="AC11" s="43"/>
      <c r="AD11" s="44"/>
      <c r="AE11" s="20" t="s">
        <v>25</v>
      </c>
    </row>
    <row r="12" spans="1:31" ht="16.2">
      <c r="A12" s="10" t="s">
        <v>18</v>
      </c>
      <c r="B12" s="4">
        <v>0.15</v>
      </c>
      <c r="H12" s="1" t="s">
        <v>3</v>
      </c>
      <c r="I12" s="1">
        <v>12</v>
      </c>
      <c r="M12" s="1" t="s">
        <v>3</v>
      </c>
      <c r="N12" s="1">
        <v>4</v>
      </c>
      <c r="R12" s="10" t="s">
        <v>9</v>
      </c>
      <c r="S12" s="3">
        <v>0.13500000000000001</v>
      </c>
      <c r="U12" s="7"/>
      <c r="X12" s="39" t="s">
        <v>36</v>
      </c>
      <c r="Y12" s="39"/>
      <c r="AC12" s="10" t="s">
        <v>47</v>
      </c>
      <c r="AD12" s="19">
        <v>-1000000000</v>
      </c>
    </row>
    <row r="13" spans="1:31" ht="16.2">
      <c r="A13" s="10" t="s">
        <v>19</v>
      </c>
      <c r="B13" s="3">
        <v>8.5000000000000006E-2</v>
      </c>
      <c r="H13" s="1" t="s">
        <v>4</v>
      </c>
      <c r="I13" s="1">
        <v>7</v>
      </c>
      <c r="M13" s="1" t="s">
        <v>4</v>
      </c>
      <c r="N13" s="1">
        <v>4</v>
      </c>
      <c r="R13" s="10" t="s">
        <v>55</v>
      </c>
      <c r="S13" s="2">
        <v>1000000</v>
      </c>
      <c r="U13" s="7"/>
      <c r="X13" s="11" t="s">
        <v>37</v>
      </c>
      <c r="Y13" s="17">
        <v>0.16</v>
      </c>
      <c r="AC13" s="11" t="s">
        <v>37</v>
      </c>
      <c r="AD13" s="19">
        <v>350000000</v>
      </c>
    </row>
    <row r="14" spans="1:31" ht="16.2">
      <c r="A14" s="10" t="s">
        <v>7</v>
      </c>
      <c r="B14" s="2">
        <f>B11-B11*B12</f>
        <v>8500000</v>
      </c>
      <c r="R14" s="10" t="s">
        <v>32</v>
      </c>
      <c r="S14" s="21">
        <f>NPER(S12/S11,0,-S10,S13)/S11</f>
        <v>6.8634131509112857</v>
      </c>
      <c r="T14" t="s">
        <v>25</v>
      </c>
      <c r="U14" s="7"/>
      <c r="X14" s="11" t="s">
        <v>38</v>
      </c>
      <c r="Y14" s="17">
        <v>0.16</v>
      </c>
      <c r="AC14" s="11" t="s">
        <v>38</v>
      </c>
      <c r="AD14" s="19">
        <v>250000000</v>
      </c>
    </row>
    <row r="15" spans="1:31" ht="16.2">
      <c r="A15" s="10"/>
      <c r="B15" s="1"/>
      <c r="H15" s="10" t="s">
        <v>5</v>
      </c>
      <c r="I15" s="6">
        <f>FV(I11/I12,I13*I12,,-I10)</f>
        <v>983264.84231599641</v>
      </c>
      <c r="M15" s="10" t="s">
        <v>52</v>
      </c>
      <c r="N15" s="6">
        <f>PV(N11/N12,N13*N12,,-N10)</f>
        <v>6041222.6686430564</v>
      </c>
      <c r="U15" s="7"/>
      <c r="X15" s="11" t="s">
        <v>39</v>
      </c>
      <c r="Y15" s="17">
        <f>Y14+0.4%</f>
        <v>0.16400000000000001</v>
      </c>
      <c r="AC15" s="11" t="s">
        <v>39</v>
      </c>
      <c r="AD15" s="19">
        <v>250000000</v>
      </c>
    </row>
    <row r="16" spans="1:31" ht="16.2">
      <c r="A16" s="10" t="s">
        <v>20</v>
      </c>
      <c r="B16" s="1">
        <v>7</v>
      </c>
      <c r="C16" s="1" t="s">
        <v>25</v>
      </c>
      <c r="U16" s="7"/>
      <c r="X16" s="11" t="s">
        <v>40</v>
      </c>
      <c r="Y16" s="17">
        <f t="shared" ref="Y16:Y17" si="0">Y15+0.4%</f>
        <v>0.16800000000000001</v>
      </c>
      <c r="AC16" s="11" t="s">
        <v>40</v>
      </c>
      <c r="AD16" s="19">
        <v>400000000</v>
      </c>
    </row>
    <row r="17" spans="1:33" ht="25.05" customHeight="1">
      <c r="A17" s="10"/>
      <c r="B17" s="1"/>
      <c r="U17" s="7"/>
      <c r="X17" s="11" t="s">
        <v>41</v>
      </c>
      <c r="Y17" s="17">
        <f t="shared" si="0"/>
        <v>0.17200000000000001</v>
      </c>
      <c r="AC17" s="11" t="s">
        <v>41</v>
      </c>
      <c r="AD17" s="19">
        <v>300000000</v>
      </c>
    </row>
    <row r="18" spans="1:33" ht="33" customHeight="1">
      <c r="A18" s="10" t="s">
        <v>21</v>
      </c>
      <c r="B18" s="10" t="s">
        <v>68</v>
      </c>
      <c r="C18" s="14" t="s">
        <v>27</v>
      </c>
      <c r="R18" s="26"/>
      <c r="U18" s="7"/>
      <c r="X18" s="24"/>
      <c r="Y18" s="25"/>
      <c r="AC18" s="15" t="s">
        <v>48</v>
      </c>
      <c r="AD18" s="18">
        <v>0.12</v>
      </c>
    </row>
    <row r="19" spans="1:33" ht="32.4">
      <c r="A19" s="10" t="s">
        <v>22</v>
      </c>
      <c r="B19" s="6">
        <f>PMT(B13/12,B16*12,B14)</f>
        <v>-134610.12621569593</v>
      </c>
      <c r="C19" s="6">
        <f>PMT(B13,B16,B14)</f>
        <v>-1660638.3799231185</v>
      </c>
      <c r="U19" s="7"/>
      <c r="X19" s="16" t="s">
        <v>44</v>
      </c>
      <c r="Y19" s="22">
        <f>FVSCHEDULE(Y10,Y13:Y17)</f>
        <v>214407.22366463995</v>
      </c>
      <c r="AC19" s="15" t="s">
        <v>49</v>
      </c>
      <c r="AD19" s="18">
        <f>IRR(AD12:AD17)</f>
        <v>0.16486372877051658</v>
      </c>
      <c r="AE19" s="40" t="str">
        <f>IF(AD19&gt;AD18, "Проект экономически целесообразен", "Проект необходимо отвергнуть")</f>
        <v>Проект экономически целесообразен</v>
      </c>
      <c r="AF19" s="41"/>
      <c r="AG19" s="41"/>
    </row>
    <row r="20" spans="1:33" ht="16.2">
      <c r="A20" s="10" t="s">
        <v>23</v>
      </c>
      <c r="B20" s="6">
        <f>B19*12*B16</f>
        <v>-11307250.602118459</v>
      </c>
      <c r="C20" s="6">
        <f>C19*B16</f>
        <v>-11624468.65946183</v>
      </c>
      <c r="U20" s="7"/>
    </row>
    <row r="21" spans="1:33" ht="31.95" customHeight="1">
      <c r="A21" s="15" t="s">
        <v>24</v>
      </c>
      <c r="B21" s="2">
        <f>ABS(B20)-B11</f>
        <v>1307250.6021184586</v>
      </c>
      <c r="C21" s="2">
        <f>ABS(C20)-B11</f>
        <v>1624468.6594618298</v>
      </c>
      <c r="U21" s="7"/>
    </row>
  </sheetData>
  <mergeCells count="16">
    <mergeCell ref="A2:B2"/>
    <mergeCell ref="X12:Y12"/>
    <mergeCell ref="AC8:AE8"/>
    <mergeCell ref="AE19:AG19"/>
    <mergeCell ref="AC10:AC11"/>
    <mergeCell ref="AD10:AD11"/>
    <mergeCell ref="H8:I8"/>
    <mergeCell ref="A8:C8"/>
    <mergeCell ref="M8:N8"/>
    <mergeCell ref="R8:S8"/>
    <mergeCell ref="X8:Y8"/>
    <mergeCell ref="M2:N3"/>
    <mergeCell ref="R2:S2"/>
    <mergeCell ref="X2:Y3"/>
    <mergeCell ref="AC2:AD3"/>
    <mergeCell ref="H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Задача_1</vt:lpstr>
      <vt:lpstr>Задача_2</vt:lpstr>
      <vt:lpstr>Задача_3</vt:lpstr>
      <vt:lpstr>Задача_4</vt:lpstr>
      <vt:lpstr>Задание_5</vt:lpstr>
      <vt:lpstr>Задание_6</vt:lpstr>
      <vt:lpstr>Самостоятельно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Кристина Бондаренко</dc:creator>
  <cp:lastModifiedBy>VeX EveryOne</cp:lastModifiedBy>
  <dcterms:created xsi:type="dcterms:W3CDTF">2024-10-14T08:51:56Z</dcterms:created>
  <dcterms:modified xsi:type="dcterms:W3CDTF">2024-11-12T14:27:48Z</dcterms:modified>
</cp:coreProperties>
</file>