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ch\Desktop\Lab 4 - Part 2\"/>
    </mc:Choice>
  </mc:AlternateContent>
  <xr:revisionPtr revIDLastSave="0" documentId="13_ncr:1_{297997C1-511D-4252-823B-BE27CD265435}" xr6:coauthVersionLast="47" xr6:coauthVersionMax="47" xr10:uidLastSave="{00000000-0000-0000-0000-000000000000}"/>
  <bookViews>
    <workbookView xWindow="-98" yWindow="-98" windowWidth="19396" windowHeight="10276" xr2:uid="{CACD16DF-34C8-4E84-8032-2DA7AF732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" i="1" l="1"/>
  <c r="B164" i="1"/>
  <c r="C157" i="1"/>
  <c r="B157" i="1"/>
  <c r="C150" i="1"/>
  <c r="B150" i="1"/>
  <c r="C143" i="1"/>
  <c r="B143" i="1"/>
  <c r="C136" i="1"/>
  <c r="B136" i="1"/>
  <c r="C167" i="1"/>
  <c r="C160" i="1"/>
  <c r="C153" i="1"/>
  <c r="C146" i="1"/>
  <c r="C139" i="1"/>
  <c r="B167" i="1"/>
  <c r="B166" i="1"/>
  <c r="B165" i="1"/>
  <c r="B160" i="1"/>
  <c r="B159" i="1"/>
  <c r="B158" i="1"/>
  <c r="B153" i="1"/>
  <c r="B152" i="1"/>
  <c r="B151" i="1"/>
  <c r="B139" i="1"/>
  <c r="B146" i="1"/>
  <c r="B145" i="1"/>
  <c r="B144" i="1"/>
  <c r="B138" i="1"/>
  <c r="B137" i="1"/>
  <c r="C166" i="1"/>
  <c r="C165" i="1"/>
  <c r="C159" i="1"/>
  <c r="C158" i="1"/>
  <c r="C152" i="1"/>
  <c r="C151" i="1"/>
  <c r="C145" i="1"/>
  <c r="C137" i="1"/>
  <c r="C144" i="1"/>
  <c r="C138" i="1"/>
  <c r="H44" i="1"/>
  <c r="G44" i="1"/>
  <c r="F44" i="1"/>
  <c r="E44" i="1"/>
  <c r="D44" i="1"/>
  <c r="C44" i="1"/>
  <c r="F16" i="1"/>
  <c r="D50" i="1"/>
  <c r="F45" i="1"/>
  <c r="E35" i="1"/>
  <c r="H54" i="1"/>
  <c r="G54" i="1"/>
  <c r="F54" i="1"/>
  <c r="E54" i="1"/>
  <c r="D54" i="1"/>
  <c r="C54" i="1"/>
  <c r="H49" i="1"/>
  <c r="G49" i="1"/>
  <c r="F49" i="1"/>
  <c r="E49" i="1"/>
  <c r="D49" i="1"/>
  <c r="C49" i="1"/>
  <c r="G39" i="1"/>
  <c r="D39" i="1"/>
  <c r="C39" i="1"/>
  <c r="H34" i="1"/>
  <c r="G34" i="1"/>
  <c r="F34" i="1"/>
  <c r="D34" i="1"/>
  <c r="E34" i="1"/>
  <c r="C34" i="1"/>
  <c r="E6" i="1"/>
  <c r="D21" i="1"/>
</calcChain>
</file>

<file path=xl/sharedStrings.xml><?xml version="1.0" encoding="utf-8"?>
<sst xmlns="http://schemas.openxmlformats.org/spreadsheetml/2006/main" count="163" uniqueCount="29">
  <si>
    <t>602gcc</t>
  </si>
  <si>
    <t>Metric</t>
  </si>
  <si>
    <t>LRU</t>
  </si>
  <si>
    <t>LFU</t>
  </si>
  <si>
    <t>FIFO</t>
  </si>
  <si>
    <t>BIP(e=0)</t>
  </si>
  <si>
    <t>IPC</t>
  </si>
  <si>
    <t>Speedup</t>
  </si>
  <si>
    <t>L2C Miss Rate</t>
  </si>
  <si>
    <t>603bwaves</t>
  </si>
  <si>
    <t>619lbm</t>
  </si>
  <si>
    <t>bc-0.trace</t>
  </si>
  <si>
    <t>sssp-3</t>
  </si>
  <si>
    <t>602.gcc_s-1850B.champsimtrace</t>
  </si>
  <si>
    <t>603.bwaves_s-1740B.champsimtrace</t>
  </si>
  <si>
    <t>619.lbm_s-2677B.champsimtrace</t>
  </si>
  <si>
    <t>sssp-3.trace</t>
  </si>
  <si>
    <t>BIP(e=0.25)</t>
  </si>
  <si>
    <t>BIP(e=0.50)</t>
  </si>
  <si>
    <t>BIP(e=0.75)</t>
  </si>
  <si>
    <t>BIP(e=1.00)</t>
  </si>
  <si>
    <t>base line</t>
  </si>
  <si>
    <t>bc</t>
  </si>
  <si>
    <t>sssp</t>
  </si>
  <si>
    <t>IP Stride</t>
  </si>
  <si>
    <t>Prefetcher Accuracy</t>
  </si>
  <si>
    <t>L2C Load MPKI</t>
  </si>
  <si>
    <t>L1D MPKI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</si>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</sst>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L2C</a:t>
            </a:r>
            <a:r>
              <a:rPr lang="en-IN" baseline="0"/>
              <a:t> Miss rate comparision</a:t>
            </a:r>
          </a:p>
        </c:rich>
      </c:tx>
      <c:layout>
        <c:manualLayout>
          <c:xMode val="edge"/>
          <c:yMode val="edge"/>
          <c:x val="0.33045774338529299"/>
          <c:y val="2.7777836489127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Sheet1!$B$43:$I$43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0.73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4-4111-A6B0-A53F795B84F2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Sheet1!$B$43:$I$43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0.85</c:v>
                </c:pt>
                <c:pt idx="1">
                  <c:v>0.85</c:v>
                </c:pt>
                <c:pt idx="2">
                  <c:v>0.87</c:v>
                </c:pt>
                <c:pt idx="3">
                  <c:v>0.86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64-4111-A6B0-A53F795B84F2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Sheet1!$B$43:$I$43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0.33</c:v>
                </c:pt>
                <c:pt idx="1">
                  <c:v>0.32</c:v>
                </c:pt>
                <c:pt idx="2">
                  <c:v>0.88</c:v>
                </c:pt>
                <c:pt idx="3">
                  <c:v>0.87</c:v>
                </c:pt>
                <c:pt idx="4">
                  <c:v>0.59</c:v>
                </c:pt>
                <c:pt idx="5">
                  <c:v>0.46</c:v>
                </c:pt>
                <c:pt idx="6">
                  <c:v>0.4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864-4111-A6B0-A53F795B84F2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Sheet1!$B$43:$I$43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0.79</c:v>
                </c:pt>
                <c:pt idx="1">
                  <c:v>0.8</c:v>
                </c:pt>
                <c:pt idx="2">
                  <c:v>0.86</c:v>
                </c:pt>
                <c:pt idx="3">
                  <c:v>0.82</c:v>
                </c:pt>
                <c:pt idx="4">
                  <c:v>0.83</c:v>
                </c:pt>
                <c:pt idx="5">
                  <c:v>0.82</c:v>
                </c:pt>
                <c:pt idx="6">
                  <c:v>0.81</c:v>
                </c:pt>
                <c:pt idx="7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864-4111-A6B0-A53F795B84F2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Sheet1!$B$43:$I$43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0.72</c:v>
                </c:pt>
                <c:pt idx="1">
                  <c:v>0.73</c:v>
                </c:pt>
                <c:pt idx="2">
                  <c:v>0.79</c:v>
                </c:pt>
                <c:pt idx="3">
                  <c:v>0.75</c:v>
                </c:pt>
                <c:pt idx="4">
                  <c:v>0.73</c:v>
                </c:pt>
                <c:pt idx="5">
                  <c:v>0.73</c:v>
                </c:pt>
                <c:pt idx="6">
                  <c:v>0.72</c:v>
                </c:pt>
                <c:pt idx="7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64-4111-A6B0-A53F795B8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64151381542965"/>
          <c:y val="0.10457714173937184"/>
          <c:w val="0.88535854230444833"/>
          <c:h val="5.6621988504082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Speedup</a:t>
            </a:r>
          </a:p>
        </c:rich>
      </c:tx>
      <c:layout>
        <c:manualLayout>
          <c:xMode val="edge"/>
          <c:yMode val="edge"/>
          <c:x val="0.42262843175709508"/>
          <c:y val="2.7777836489127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Sheet1!$B$48:$I$48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1.000783085356304</c:v>
                </c:pt>
                <c:pt idx="2">
                  <c:v>1.0019577133907598</c:v>
                </c:pt>
                <c:pt idx="3">
                  <c:v>1.000783085356304</c:v>
                </c:pt>
                <c:pt idx="4">
                  <c:v>1.000391542678152</c:v>
                </c:pt>
                <c:pt idx="5">
                  <c:v>1.000391542678152</c:v>
                </c:pt>
                <c:pt idx="6">
                  <c:v>0.99960845732184811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5E-49C0-8D1A-EDF83ED63E62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Sheet1!$B$48:$I$48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1.000783085356304</c:v>
                </c:pt>
                <c:pt idx="2">
                  <c:v>1.0019577133907598</c:v>
                </c:pt>
                <c:pt idx="3">
                  <c:v>1.000783085356304</c:v>
                </c:pt>
                <c:pt idx="4">
                  <c:v>1.000391542678152</c:v>
                </c:pt>
                <c:pt idx="5">
                  <c:v>1.000391542678152</c:v>
                </c:pt>
                <c:pt idx="6">
                  <c:v>0.99960845732184811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5E-49C0-8D1A-EDF83ED63E62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Sheet1!$B$48:$I$48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</c:v>
                </c:pt>
                <c:pt idx="1">
                  <c:v>1.0013793103448276</c:v>
                </c:pt>
                <c:pt idx="2">
                  <c:v>1.0032183908045977</c:v>
                </c:pt>
                <c:pt idx="3">
                  <c:v>1.0022988505747126</c:v>
                </c:pt>
                <c:pt idx="4">
                  <c:v>1.0009195402298852</c:v>
                </c:pt>
                <c:pt idx="5">
                  <c:v>1.0009195402298852</c:v>
                </c:pt>
                <c:pt idx="6">
                  <c:v>1.0013793103448276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5E-49C0-8D1A-EDF83ED63E62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Sheet1!$B$48:$I$48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Sheet1!$B$49:$I$49</c:f>
              <c:numCache>
                <c:formatCode>General</c:formatCode>
                <c:ptCount val="8"/>
                <c:pt idx="0">
                  <c:v>1</c:v>
                </c:pt>
                <c:pt idx="1">
                  <c:v>1.0013736263736264</c:v>
                </c:pt>
                <c:pt idx="2">
                  <c:v>1.0604395604395604</c:v>
                </c:pt>
                <c:pt idx="3">
                  <c:v>1.0611263736263736</c:v>
                </c:pt>
                <c:pt idx="4">
                  <c:v>1.0027472527472527</c:v>
                </c:pt>
                <c:pt idx="5">
                  <c:v>0.99587912087912078</c:v>
                </c:pt>
                <c:pt idx="6">
                  <c:v>0.99793956043956045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5E-49C0-8D1A-EDF83ED63E62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Sheet1!$B$48:$I$48</c:f>
              <c:strCache>
                <c:ptCount val="8"/>
                <c:pt idx="0">
                  <c:v>LRU</c:v>
                </c:pt>
                <c:pt idx="1">
                  <c:v>FIFO</c:v>
                </c:pt>
                <c:pt idx="2">
                  <c:v>LFU</c:v>
                </c:pt>
                <c:pt idx="3">
                  <c:v>BIP(e=0)</c:v>
                </c:pt>
                <c:pt idx="4">
                  <c:v>BIP(e=0.25)</c:v>
                </c:pt>
                <c:pt idx="5">
                  <c:v>BIP(e=0.50)</c:v>
                </c:pt>
                <c:pt idx="6">
                  <c:v>BIP(e=0.75)</c:v>
                </c:pt>
                <c:pt idx="7">
                  <c:v>BIP(e=1.00)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1</c:v>
                </c:pt>
                <c:pt idx="1">
                  <c:v>1.0004914004914005</c:v>
                </c:pt>
                <c:pt idx="2">
                  <c:v>1.0761670761670763</c:v>
                </c:pt>
                <c:pt idx="3">
                  <c:v>1.0547911547911548</c:v>
                </c:pt>
                <c:pt idx="4">
                  <c:v>1.0031941031941032</c:v>
                </c:pt>
                <c:pt idx="5">
                  <c:v>0.99828009828009834</c:v>
                </c:pt>
                <c:pt idx="6">
                  <c:v>0.9990171990171991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5E-49C0-8D1A-EDF83ED63E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64151381542965"/>
          <c:y val="0.10457714173937184"/>
          <c:w val="0.85215845228823028"/>
          <c:h val="5.6621988504082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SpeedUP COMPARIsion wrt NO PREFETCher</a:t>
            </a:r>
          </a:p>
        </c:rich>
      </c:tx>
      <c:layout>
        <c:manualLayout>
          <c:xMode val="edge"/>
          <c:yMode val="edge"/>
          <c:x val="0.25277938540863237"/>
          <c:y val="1.4091279839894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Sheet1!$B$156:$C$156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Sheet1!$B$136:$C$136</c:f>
              <c:numCache>
                <c:formatCode>General</c:formatCode>
                <c:ptCount val="2"/>
                <c:pt idx="0">
                  <c:v>1.0258302583025829</c:v>
                </c:pt>
                <c:pt idx="1">
                  <c:v>1.1012710127101271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9-4C20-9416-A5348C498E0B}"/>
            </c:ext>
          </c:extLst>
        </c:ser>
        <c:ser>
          <c:idx val="1"/>
          <c:order val="1"/>
          <c:tx>
            <c:strRef>
              <c:f>Sheet1!$A$141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Sheet1!$B$156:$C$156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Sheet1!$B$143:$C$143</c:f>
              <c:numCache>
                <c:formatCode>General</c:formatCode>
                <c:ptCount val="2"/>
                <c:pt idx="0">
                  <c:v>1.2988826815642458</c:v>
                </c:pt>
                <c:pt idx="1">
                  <c:v>1.0363128491620111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9-4C20-9416-A5348C498E0B}"/>
            </c:ext>
          </c:extLst>
        </c:ser>
        <c:ser>
          <c:idx val="2"/>
          <c:order val="2"/>
          <c:tx>
            <c:strRef>
              <c:f>Sheet1!$A$148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Sheet1!$B$156:$C$156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Sheet1!$B$150:$C$150</c:f>
              <c:numCache>
                <c:formatCode>General</c:formatCode>
                <c:ptCount val="2"/>
                <c:pt idx="0">
                  <c:v>1.0059770114942528</c:v>
                </c:pt>
                <c:pt idx="1">
                  <c:v>1.0059770114942528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9-4C20-9416-A5348C498E0B}"/>
            </c:ext>
          </c:extLst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Sheet1!$B$156:$C$156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Sheet1!$B$157:$C$157</c:f>
              <c:numCache>
                <c:formatCode>General</c:formatCode>
                <c:ptCount val="2"/>
                <c:pt idx="0">
                  <c:v>1.0186683260734288</c:v>
                </c:pt>
                <c:pt idx="1">
                  <c:v>1.0018668326073428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9-4C20-9416-A5348C498E0B}"/>
            </c:ext>
          </c:extLst>
        </c:ser>
        <c:ser>
          <c:idx val="4"/>
          <c:order val="4"/>
          <c:tx>
            <c:strRef>
              <c:f>Sheet1!$A$162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Sheet1!$B$156:$C$156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Sheet1!$B$164:$C$164</c:f>
              <c:numCache>
                <c:formatCode>General</c:formatCode>
                <c:ptCount val="2"/>
                <c:pt idx="0">
                  <c:v>1.0536912751677852</c:v>
                </c:pt>
                <c:pt idx="1">
                  <c:v>1.0069511025886864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9-4C20-9416-A5348C498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17426345906377"/>
          <c:y val="5.737950897730703E-2"/>
          <c:w val="0.86750754778021943"/>
          <c:h val="4.780003715803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prefetch ACcuracy </a:t>
            </a:r>
          </a:p>
        </c:rich>
      </c:tx>
      <c:layout>
        <c:manualLayout>
          <c:xMode val="edge"/>
          <c:yMode val="edge"/>
          <c:x val="0.37930895132591297"/>
          <c:y val="1.1258704870891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Sheet1!$B$137:$C$137</c:f>
              <c:numCache>
                <c:formatCode>General</c:formatCode>
                <c:ptCount val="2"/>
                <c:pt idx="0">
                  <c:v>0.16097203799345872</c:v>
                </c:pt>
                <c:pt idx="1">
                  <c:v>0.44364109114131922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06-46C4-9EA8-B4C978A77BDA}"/>
            </c:ext>
          </c:extLst>
        </c:ser>
        <c:ser>
          <c:idx val="1"/>
          <c:order val="1"/>
          <c:tx>
            <c:strRef>
              <c:f>Sheet1!$A$141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Sheet1!$B$144:$C$144</c:f>
              <c:numCache>
                <c:formatCode>General</c:formatCode>
                <c:ptCount val="2"/>
                <c:pt idx="0">
                  <c:v>0.28449741458975569</c:v>
                </c:pt>
                <c:pt idx="1">
                  <c:v>0.90718623190491265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06-46C4-9EA8-B4C978A77BDA}"/>
            </c:ext>
          </c:extLst>
        </c:ser>
        <c:ser>
          <c:idx val="2"/>
          <c:order val="2"/>
          <c:tx>
            <c:strRef>
              <c:f>Sheet1!$A$148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Sheet1!$B$151:$C$151</c:f>
              <c:numCache>
                <c:formatCode>General</c:formatCode>
                <c:ptCount val="2"/>
                <c:pt idx="0">
                  <c:v>0.30680854500666316</c:v>
                </c:pt>
                <c:pt idx="1">
                  <c:v>0.75888071710710059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06-46C4-9EA8-B4C978A77BDA}"/>
            </c:ext>
          </c:extLst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Sheet1!$B$158:$C$158</c:f>
              <c:numCache>
                <c:formatCode>General</c:formatCode>
                <c:ptCount val="2"/>
                <c:pt idx="0">
                  <c:v>0.22061967562254259</c:v>
                </c:pt>
                <c:pt idx="1">
                  <c:v>0.24670632882024426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06-46C4-9EA8-B4C978A77BDA}"/>
            </c:ext>
          </c:extLst>
        </c:ser>
        <c:ser>
          <c:idx val="4"/>
          <c:order val="4"/>
          <c:tx>
            <c:strRef>
              <c:f>Sheet1!$A$162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Sheet1!$B$165:$C$165</c:f>
              <c:numCache>
                <c:formatCode>General</c:formatCode>
                <c:ptCount val="2"/>
                <c:pt idx="0">
                  <c:v>0.29729350116147157</c:v>
                </c:pt>
                <c:pt idx="1">
                  <c:v>0.39766000255864531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06-46C4-9EA8-B4C978A77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prefetch</a:t>
                </a:r>
                <a:r>
                  <a:rPr lang="en-IN" baseline="0"/>
                  <a:t> accuracy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17426345906377"/>
          <c:y val="5.737950897730703E-2"/>
          <c:w val="0.86750754778021943"/>
          <c:h val="4.780003715803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L2c load mpki</a:t>
            </a:r>
          </a:p>
        </c:rich>
      </c:tx>
      <c:layout>
        <c:manualLayout>
          <c:xMode val="edge"/>
          <c:yMode val="edge"/>
          <c:x val="0.41058592267625205"/>
          <c:y val="8.42612990188807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Sheet1!$B$138:$C$138</c:f>
              <c:numCache>
                <c:formatCode>General</c:formatCode>
                <c:ptCount val="2"/>
                <c:pt idx="0">
                  <c:v>8.36172</c:v>
                </c:pt>
                <c:pt idx="1">
                  <c:v>7.2226400000000002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174-94B3-42DB0D1EC754}"/>
            </c:ext>
          </c:extLst>
        </c:ser>
        <c:ser>
          <c:idx val="1"/>
          <c:order val="1"/>
          <c:tx>
            <c:strRef>
              <c:f>Sheet1!$A$141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Sheet1!$B$145:$C$145</c:f>
              <c:numCache>
                <c:formatCode>General</c:formatCode>
                <c:ptCount val="2"/>
                <c:pt idx="0">
                  <c:v>6.8548400000000003</c:v>
                </c:pt>
                <c:pt idx="1">
                  <c:v>11.1264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174-94B3-42DB0D1EC754}"/>
            </c:ext>
          </c:extLst>
        </c:ser>
        <c:ser>
          <c:idx val="2"/>
          <c:order val="2"/>
          <c:tx>
            <c:strRef>
              <c:f>Sheet1!$A$148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Sheet1!$B$152:$C$152</c:f>
              <c:numCache>
                <c:formatCode>General</c:formatCode>
                <c:ptCount val="2"/>
                <c:pt idx="0">
                  <c:v>7.2796000000000003</c:v>
                </c:pt>
                <c:pt idx="1">
                  <c:v>8.5357199999999995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1-4174-94B3-42DB0D1EC754}"/>
            </c:ext>
          </c:extLst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Sheet1!$B$159:$C$159</c:f>
              <c:numCache>
                <c:formatCode>General</c:formatCode>
                <c:ptCount val="2"/>
                <c:pt idx="0">
                  <c:v>69.760239999999996</c:v>
                </c:pt>
                <c:pt idx="1">
                  <c:v>72.075159999999997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1-4174-94B3-42DB0D1EC754}"/>
            </c:ext>
          </c:extLst>
        </c:ser>
        <c:ser>
          <c:idx val="4"/>
          <c:order val="4"/>
          <c:tx>
            <c:strRef>
              <c:f>Sheet1!$A$162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Sheet1!$B$166:$C$166</c:f>
              <c:numCache>
                <c:formatCode>General</c:formatCode>
                <c:ptCount val="2"/>
                <c:pt idx="0">
                  <c:v>31.665880000000001</c:v>
                </c:pt>
                <c:pt idx="1">
                  <c:v>34.245640000000002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11-4174-94B3-42DB0D1EC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L2c load 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17426345906377"/>
          <c:y val="5.737950897730703E-2"/>
          <c:w val="0.86750754778021943"/>
          <c:h val="4.780003715803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L1D MPKI</a:t>
            </a:r>
          </a:p>
        </c:rich>
      </c:tx>
      <c:layout>
        <c:manualLayout>
          <c:xMode val="edge"/>
          <c:yMode val="edge"/>
          <c:x val="0.43617617196289304"/>
          <c:y val="8.42612990188807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602.gcc_s-1850B.champsimtrace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Sheet1!$B$139:$C$139</c:f>
              <c:numCache>
                <c:formatCode>General</c:formatCode>
                <c:ptCount val="2"/>
                <c:pt idx="0">
                  <c:v>118.71684</c:v>
                </c:pt>
                <c:pt idx="1">
                  <c:v>116.17507999999999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A3A-964B-8F65F32062E7}"/>
            </c:ext>
          </c:extLst>
        </c:ser>
        <c:ser>
          <c:idx val="1"/>
          <c:order val="1"/>
          <c:tx>
            <c:strRef>
              <c:f>Sheet1!$A$141</c:f>
              <c:strCache>
                <c:ptCount val="1"/>
                <c:pt idx="0">
                  <c:v>603.bwaves_s-1740B.champsimtrace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Sheet1!$B$146:$C$146</c:f>
              <c:numCache>
                <c:formatCode>General</c:formatCode>
                <c:ptCount val="2"/>
                <c:pt idx="0">
                  <c:v>39.28284</c:v>
                </c:pt>
                <c:pt idx="1">
                  <c:v>49.574959999999997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8-4A3A-964B-8F65F32062E7}"/>
            </c:ext>
          </c:extLst>
        </c:ser>
        <c:ser>
          <c:idx val="2"/>
          <c:order val="2"/>
          <c:tx>
            <c:strRef>
              <c:f>Sheet1!$A$148</c:f>
              <c:strCache>
                <c:ptCount val="1"/>
                <c:pt idx="0">
                  <c:v>619.lbm_s-2677B.champsimtrace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Sheet1!$B$153:$C$153</c:f>
              <c:numCache>
                <c:formatCode>General</c:formatCode>
                <c:ptCount val="2"/>
                <c:pt idx="0">
                  <c:v>100.14167999999999</c:v>
                </c:pt>
                <c:pt idx="1">
                  <c:v>101.85816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8-4A3A-964B-8F65F32062E7}"/>
            </c:ext>
          </c:extLst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bc-0.trace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Sheet1!$B$160:$C$160</c:f>
              <c:numCache>
                <c:formatCode>General</c:formatCode>
                <c:ptCount val="2"/>
                <c:pt idx="0">
                  <c:v>102.91612000000001</c:v>
                </c:pt>
                <c:pt idx="1">
                  <c:v>103.96816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8-4A3A-964B-8F65F32062E7}"/>
            </c:ext>
          </c:extLst>
        </c:ser>
        <c:ser>
          <c:idx val="4"/>
          <c:order val="4"/>
          <c:tx>
            <c:strRef>
              <c:f>Sheet1!$A$162</c:f>
              <c:strCache>
                <c:ptCount val="1"/>
                <c:pt idx="0">
                  <c:v>sssp-3.trace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Sheet1!$B$163:$C$163</c:f>
              <c:strCache>
                <c:ptCount val="2"/>
                <c:pt idx="0">
                  <c:v>IP Stride</c:v>
                </c:pt>
                <c:pt idx="1">
                  <c:v>Stream</c:v>
                </c:pt>
              </c:strCache>
            </c:strRef>
          </c:cat>
          <c:val>
            <c:numRef>
              <c:f>Sheet1!$B$167:$C$167</c:f>
              <c:numCache>
                <c:formatCode>General</c:formatCode>
                <c:ptCount val="2"/>
                <c:pt idx="0">
                  <c:v>66.929680000000005</c:v>
                </c:pt>
                <c:pt idx="1">
                  <c:v>72.949640000000002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8-4A3A-964B-8F65F3206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6482463"/>
        <c:axId val="2046088191"/>
      </c:barChart>
      <c:catAx>
        <c:axId val="20464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191"/>
        <c:crosses val="autoZero"/>
        <c:auto val="1"/>
        <c:lblAlgn val="ctr"/>
        <c:lblOffset val="100"/>
        <c:noMultiLvlLbl val="0"/>
      </c:catAx>
      <c:valAx>
        <c:axId val="2046088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L1D</a:t>
                </a:r>
                <a:r>
                  <a:rPr lang="en-IN" baseline="0"/>
                  <a:t> mpki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6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17426345906377"/>
          <c:y val="5.737950897730703E-2"/>
          <c:w val="0.86750754778021943"/>
          <c:h val="4.780003715803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607217</xdr:colOff>
      <xdr:row>60</xdr:row>
      <xdr:rowOff>0</xdr:rowOff>
    </xdr:from>
    <xdr:to>
      <xdr:col>10</xdr:col>
      <xdr:colOff>307179</xdr:colOff>
      <xdr:row>81</xdr:row>
      <xdr:rowOff>34527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8C0A3-0C79-0FAA-33A1-EBAEA88B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756047</xdr:colOff>
      <xdr:row>94</xdr:row>
      <xdr:rowOff>130968</xdr:rowOff>
    </xdr:from>
    <xdr:to>
      <xdr:col>10</xdr:col>
      <xdr:colOff>456009</xdr:colOff>
      <xdr:row>115</xdr:row>
      <xdr:rowOff>165496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607C3-BF75-454B-96BE-A01B0D302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1020536</xdr:colOff>
      <xdr:row>170</xdr:row>
      <xdr:rowOff>13607</xdr:rowOff>
    </xdr:from>
    <xdr:to>
      <xdr:col>10</xdr:col>
      <xdr:colOff>571500</xdr:colOff>
      <xdr:row>194</xdr:row>
      <xdr:rowOff>88445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CB30A-E60D-49A9-A035-5C208F51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1074964</xdr:colOff>
      <xdr:row>195</xdr:row>
      <xdr:rowOff>102054</xdr:rowOff>
    </xdr:from>
    <xdr:to>
      <xdr:col>10</xdr:col>
      <xdr:colOff>625928</xdr:colOff>
      <xdr:row>219</xdr:row>
      <xdr:rowOff>176892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857C5-AA84-4670-BB19-8C0664C2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1095375</xdr:colOff>
      <xdr:row>221</xdr:row>
      <xdr:rowOff>34018</xdr:rowOff>
    </xdr:from>
    <xdr:to>
      <xdr:col>10</xdr:col>
      <xdr:colOff>646339</xdr:colOff>
      <xdr:row>245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E79893-D063-48E2-AB74-19B06049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1129392</xdr:colOff>
      <xdr:row>246</xdr:row>
      <xdr:rowOff>136071</xdr:rowOff>
    </xdr:from>
    <xdr:to>
      <xdr:col>10</xdr:col>
      <xdr:colOff>680356</xdr:colOff>
      <xdr:row>271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19AED-5D5E-4E5C-8E5C-329A2A4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19A7-9AC1-4A8A-9E7F-B45D7FBECC95}">
  <dimension ref="A1:L167"/>
  <sheetViews>
    <sheetView tabSelected="1" topLeftCell="A203" zoomScale="70" zoomScaleNormal="70" workbookViewId="0">
      <selection activeCell="P255" sqref="P255"/>
    </sheetView>
  </sheetViews>
  <sheetFormatPr defaultRowHeight="14.25" x14ac:dyDescent="0.45"/>
  <cols>
    <col min="1" max="1" width="37.1328125" customWidth="1"/>
    <col min="2" max="2" width="9.06640625" customWidth="1"/>
    <col min="6" max="6" width="11.33203125" customWidth="1"/>
    <col min="7" max="7" width="10.73046875" customWidth="1"/>
    <col min="8" max="8" width="11.9296875" customWidth="1"/>
    <col min="9" max="9" width="14.9296875" customWidth="1"/>
    <col min="11" max="11" width="11.1328125" customWidth="1"/>
  </cols>
  <sheetData>
    <row r="1" spans="1:9" ht="69.75" customHeight="1" x14ac:dyDescent="0.45">
      <c r="A1" s="11"/>
    </row>
    <row r="3" spans="1:9" ht="14.65" thickBot="1" x14ac:dyDescent="0.5">
      <c r="A3" s="1" t="s">
        <v>0</v>
      </c>
    </row>
    <row r="4" spans="1:9" x14ac:dyDescent="0.45">
      <c r="A4" s="3" t="s">
        <v>1</v>
      </c>
      <c r="B4" s="4" t="s">
        <v>2</v>
      </c>
      <c r="C4" s="4" t="s">
        <v>4</v>
      </c>
      <c r="D4" s="4" t="s">
        <v>3</v>
      </c>
      <c r="E4" s="4" t="s">
        <v>5</v>
      </c>
      <c r="F4" s="4" t="s">
        <v>17</v>
      </c>
      <c r="G4" s="4" t="s">
        <v>18</v>
      </c>
      <c r="H4" s="4" t="s">
        <v>19</v>
      </c>
      <c r="I4" s="5" t="s">
        <v>20</v>
      </c>
    </row>
    <row r="5" spans="1:9" x14ac:dyDescent="0.45">
      <c r="A5" s="6" t="s">
        <v>6</v>
      </c>
      <c r="B5" s="2">
        <v>2.5539999999999998</v>
      </c>
      <c r="C5" s="2">
        <v>2.556</v>
      </c>
      <c r="D5" s="2">
        <v>2.5590000000000002</v>
      </c>
      <c r="E5" s="2">
        <v>2.556</v>
      </c>
      <c r="F5" s="2">
        <v>2.5550000000000002</v>
      </c>
      <c r="G5" s="2">
        <v>2.5550000000000002</v>
      </c>
      <c r="H5" s="2">
        <v>2.5529999999999999</v>
      </c>
      <c r="I5" s="7">
        <v>2.5539999999999998</v>
      </c>
    </row>
    <row r="6" spans="1:9" ht="14.65" thickBot="1" x14ac:dyDescent="0.5">
      <c r="A6" s="8" t="s">
        <v>8</v>
      </c>
      <c r="B6" s="9">
        <v>0.73</v>
      </c>
      <c r="C6" s="9">
        <v>0.74</v>
      </c>
      <c r="D6" s="9">
        <v>0.73</v>
      </c>
      <c r="E6" s="9">
        <f>0.73</f>
        <v>0.73</v>
      </c>
      <c r="F6" s="9">
        <v>0.73</v>
      </c>
      <c r="G6" s="9">
        <v>0.73</v>
      </c>
      <c r="H6" s="9">
        <v>0.73</v>
      </c>
      <c r="I6" s="10">
        <v>0.73</v>
      </c>
    </row>
    <row r="8" spans="1:9" ht="14.65" thickBot="1" x14ac:dyDescent="0.5">
      <c r="A8" s="1" t="s">
        <v>9</v>
      </c>
    </row>
    <row r="9" spans="1:9" x14ac:dyDescent="0.45">
      <c r="A9" s="3" t="s">
        <v>1</v>
      </c>
      <c r="B9" s="4" t="s">
        <v>2</v>
      </c>
      <c r="C9" s="4" t="s">
        <v>4</v>
      </c>
      <c r="D9" s="4" t="s">
        <v>3</v>
      </c>
      <c r="E9" s="4" t="s">
        <v>5</v>
      </c>
      <c r="F9" s="4" t="s">
        <v>17</v>
      </c>
      <c r="G9" s="4" t="s">
        <v>18</v>
      </c>
      <c r="H9" s="4" t="s">
        <v>19</v>
      </c>
      <c r="I9" s="5" t="s">
        <v>20</v>
      </c>
    </row>
    <row r="10" spans="1:9" x14ac:dyDescent="0.45">
      <c r="A10" s="6" t="s">
        <v>6</v>
      </c>
      <c r="B10" s="2">
        <v>1.0049999999999999</v>
      </c>
      <c r="C10" s="2">
        <v>0.99919999999999998</v>
      </c>
      <c r="D10" s="2">
        <v>1.0009999999999999</v>
      </c>
      <c r="E10" s="2">
        <v>1.0049999999999999</v>
      </c>
      <c r="F10" s="2">
        <v>1.0049999999999999</v>
      </c>
      <c r="G10" s="2">
        <v>1.004</v>
      </c>
      <c r="H10" s="2">
        <v>1.0049999999999999</v>
      </c>
      <c r="I10" s="7">
        <v>1.0049999999999999</v>
      </c>
    </row>
    <row r="11" spans="1:9" ht="14.65" thickBot="1" x14ac:dyDescent="0.5">
      <c r="A11" s="8" t="s">
        <v>8</v>
      </c>
      <c r="B11" s="9">
        <v>0.85</v>
      </c>
      <c r="C11" s="9">
        <v>0.85</v>
      </c>
      <c r="D11" s="9">
        <v>0.87</v>
      </c>
      <c r="E11" s="9">
        <v>0.86</v>
      </c>
      <c r="F11" s="9">
        <v>0.85</v>
      </c>
      <c r="G11" s="9">
        <v>0.85</v>
      </c>
      <c r="H11" s="9">
        <v>0.85</v>
      </c>
      <c r="I11" s="10">
        <v>0.85</v>
      </c>
    </row>
    <row r="13" spans="1:9" ht="14.65" thickBot="1" x14ac:dyDescent="0.5">
      <c r="A13" s="1" t="s">
        <v>10</v>
      </c>
    </row>
    <row r="14" spans="1:9" x14ac:dyDescent="0.45">
      <c r="A14" s="3" t="s">
        <v>1</v>
      </c>
      <c r="B14" s="4" t="s">
        <v>2</v>
      </c>
      <c r="C14" s="4" t="s">
        <v>4</v>
      </c>
      <c r="D14" s="4" t="s">
        <v>3</v>
      </c>
      <c r="E14" s="4" t="s">
        <v>5</v>
      </c>
      <c r="F14" s="4" t="s">
        <v>17</v>
      </c>
      <c r="G14" s="4" t="s">
        <v>18</v>
      </c>
      <c r="H14" s="4" t="s">
        <v>19</v>
      </c>
      <c r="I14" s="5" t="s">
        <v>20</v>
      </c>
    </row>
    <row r="15" spans="1:9" x14ac:dyDescent="0.45">
      <c r="A15" s="6" t="s">
        <v>6</v>
      </c>
      <c r="B15" s="12">
        <v>0.2175</v>
      </c>
      <c r="C15" s="12">
        <v>0.21779999999999999</v>
      </c>
      <c r="D15" s="12">
        <v>0.21820000000000001</v>
      </c>
      <c r="E15" s="12">
        <v>0.218</v>
      </c>
      <c r="F15" s="12">
        <v>0.2177</v>
      </c>
      <c r="G15" s="12">
        <v>0.2177</v>
      </c>
      <c r="H15" s="12">
        <v>0.21779999999999999</v>
      </c>
      <c r="I15" s="14">
        <v>0.2175</v>
      </c>
    </row>
    <row r="16" spans="1:9" ht="14.65" thickBot="1" x14ac:dyDescent="0.5">
      <c r="A16" s="8" t="s">
        <v>8</v>
      </c>
      <c r="B16" s="13">
        <v>0.33</v>
      </c>
      <c r="C16" s="13">
        <v>0.32</v>
      </c>
      <c r="D16" s="13">
        <v>0.88</v>
      </c>
      <c r="E16" s="13">
        <v>0.87</v>
      </c>
      <c r="F16" s="9">
        <f>0.59</f>
        <v>0.59</v>
      </c>
      <c r="G16" s="9">
        <v>0.46</v>
      </c>
      <c r="H16" s="9">
        <v>0.4</v>
      </c>
      <c r="I16" s="10">
        <v>0.35</v>
      </c>
    </row>
    <row r="18" spans="1:9" ht="14.65" thickBot="1" x14ac:dyDescent="0.5">
      <c r="A18" s="1" t="s">
        <v>11</v>
      </c>
    </row>
    <row r="19" spans="1:9" x14ac:dyDescent="0.45">
      <c r="A19" s="3" t="s">
        <v>1</v>
      </c>
      <c r="B19" s="4" t="s">
        <v>2</v>
      </c>
      <c r="C19" s="4" t="s">
        <v>4</v>
      </c>
      <c r="D19" s="4" t="s">
        <v>3</v>
      </c>
      <c r="E19" s="4" t="s">
        <v>5</v>
      </c>
      <c r="F19" s="4" t="s">
        <v>17</v>
      </c>
      <c r="G19" s="4" t="s">
        <v>18</v>
      </c>
      <c r="H19" s="4" t="s">
        <v>19</v>
      </c>
      <c r="I19" s="5" t="s">
        <v>20</v>
      </c>
    </row>
    <row r="20" spans="1:9" x14ac:dyDescent="0.45">
      <c r="A20" s="6" t="s">
        <v>6</v>
      </c>
      <c r="B20" s="2">
        <v>0.14560000000000001</v>
      </c>
      <c r="C20" s="2">
        <v>0.14580000000000001</v>
      </c>
      <c r="D20" s="2">
        <v>0.15440000000000001</v>
      </c>
      <c r="E20" s="2">
        <v>0.1545</v>
      </c>
      <c r="F20" s="2">
        <v>0.14599999999999999</v>
      </c>
      <c r="G20" s="2">
        <v>0.14499999999999999</v>
      </c>
      <c r="H20" s="2">
        <v>0.14530000000000001</v>
      </c>
      <c r="I20" s="7">
        <v>0.14560000000000001</v>
      </c>
    </row>
    <row r="21" spans="1:9" ht="14.65" thickBot="1" x14ac:dyDescent="0.5">
      <c r="A21" s="8" t="s">
        <v>8</v>
      </c>
      <c r="B21" s="9">
        <v>0.79</v>
      </c>
      <c r="C21" s="9">
        <v>0.8</v>
      </c>
      <c r="D21" s="9">
        <f>0.86</f>
        <v>0.86</v>
      </c>
      <c r="E21" s="9">
        <v>0.82</v>
      </c>
      <c r="F21" s="9">
        <v>0.83</v>
      </c>
      <c r="G21" s="9">
        <v>0.82</v>
      </c>
      <c r="H21" s="9">
        <v>0.81</v>
      </c>
      <c r="I21" s="10">
        <v>0.79</v>
      </c>
    </row>
    <row r="23" spans="1:9" ht="14.65" thickBot="1" x14ac:dyDescent="0.5">
      <c r="A23" s="1" t="s">
        <v>12</v>
      </c>
    </row>
    <row r="24" spans="1:9" x14ac:dyDescent="0.45">
      <c r="A24" s="3" t="s">
        <v>1</v>
      </c>
      <c r="B24" s="4" t="s">
        <v>2</v>
      </c>
      <c r="C24" s="4" t="s">
        <v>4</v>
      </c>
      <c r="D24" s="4" t="s">
        <v>3</v>
      </c>
      <c r="E24" s="4" t="s">
        <v>5</v>
      </c>
      <c r="F24" s="4" t="s">
        <v>17</v>
      </c>
      <c r="G24" s="4" t="s">
        <v>18</v>
      </c>
      <c r="H24" s="4" t="s">
        <v>19</v>
      </c>
      <c r="I24" s="5" t="s">
        <v>20</v>
      </c>
    </row>
    <row r="25" spans="1:9" x14ac:dyDescent="0.45">
      <c r="A25" s="6" t="s">
        <v>6</v>
      </c>
      <c r="B25" s="2">
        <v>0.40699999999999997</v>
      </c>
      <c r="C25" s="2">
        <v>0.40720000000000001</v>
      </c>
      <c r="D25" s="2">
        <v>0.438</v>
      </c>
      <c r="E25" s="2">
        <v>0.42930000000000001</v>
      </c>
      <c r="F25" s="2">
        <v>0.4083</v>
      </c>
      <c r="G25" s="2">
        <v>0.40629999999999999</v>
      </c>
      <c r="H25" s="2">
        <v>0.40660000000000002</v>
      </c>
      <c r="I25" s="7">
        <v>0.40699999999999997</v>
      </c>
    </row>
    <row r="26" spans="1:9" ht="14.65" thickBot="1" x14ac:dyDescent="0.5">
      <c r="A26" s="8" t="s">
        <v>8</v>
      </c>
      <c r="B26" s="9">
        <v>0.72</v>
      </c>
      <c r="C26" s="9">
        <v>0.73</v>
      </c>
      <c r="D26" s="9">
        <v>0.79</v>
      </c>
      <c r="E26" s="9">
        <v>0.75</v>
      </c>
      <c r="F26" s="9">
        <v>0.73</v>
      </c>
      <c r="G26" s="9">
        <v>0.73</v>
      </c>
      <c r="H26" s="9">
        <v>0.72</v>
      </c>
      <c r="I26" s="10">
        <v>0.72</v>
      </c>
    </row>
    <row r="32" spans="1:9" ht="14.65" thickBot="1" x14ac:dyDescent="0.5">
      <c r="A32" t="s">
        <v>13</v>
      </c>
    </row>
    <row r="33" spans="1:9" x14ac:dyDescent="0.45">
      <c r="A33" s="3" t="s">
        <v>1</v>
      </c>
      <c r="B33" s="4" t="s">
        <v>2</v>
      </c>
      <c r="C33" s="4" t="s">
        <v>4</v>
      </c>
      <c r="D33" s="4" t="s">
        <v>3</v>
      </c>
      <c r="E33" s="4" t="s">
        <v>5</v>
      </c>
      <c r="F33" s="4" t="s">
        <v>17</v>
      </c>
      <c r="G33" s="4" t="s">
        <v>18</v>
      </c>
      <c r="H33" s="4" t="s">
        <v>19</v>
      </c>
      <c r="I33" s="5" t="s">
        <v>20</v>
      </c>
    </row>
    <row r="34" spans="1:9" x14ac:dyDescent="0.45">
      <c r="A34" s="6" t="s">
        <v>7</v>
      </c>
      <c r="B34" s="2">
        <v>1</v>
      </c>
      <c r="C34" s="2">
        <f>2.556/2.554</f>
        <v>1.000783085356304</v>
      </c>
      <c r="D34" s="2">
        <f>2.559/2.554</f>
        <v>1.0019577133907598</v>
      </c>
      <c r="E34" s="2">
        <f>2.556/2.554</f>
        <v>1.000783085356304</v>
      </c>
      <c r="F34" s="2">
        <f>2.555/2.554</f>
        <v>1.000391542678152</v>
      </c>
      <c r="G34" s="2">
        <f>2.555/2.554</f>
        <v>1.000391542678152</v>
      </c>
      <c r="H34" s="2">
        <f>2.553/2.554</f>
        <v>0.99960845732184811</v>
      </c>
      <c r="I34" s="7">
        <v>1</v>
      </c>
    </row>
    <row r="35" spans="1:9" ht="14.65" thickBot="1" x14ac:dyDescent="0.5">
      <c r="A35" s="8" t="s">
        <v>8</v>
      </c>
      <c r="B35" s="9">
        <v>0.73</v>
      </c>
      <c r="C35" s="9">
        <v>0.74</v>
      </c>
      <c r="D35" s="9">
        <v>0.73</v>
      </c>
      <c r="E35" s="9">
        <f>0.73</f>
        <v>0.73</v>
      </c>
      <c r="F35" s="9">
        <v>0.73</v>
      </c>
      <c r="G35" s="9">
        <v>0.73</v>
      </c>
      <c r="H35" s="9">
        <v>0.73</v>
      </c>
      <c r="I35" s="10">
        <v>0.73</v>
      </c>
    </row>
    <row r="37" spans="1:9" ht="14.65" thickBot="1" x14ac:dyDescent="0.5">
      <c r="A37" t="s">
        <v>14</v>
      </c>
    </row>
    <row r="38" spans="1:9" x14ac:dyDescent="0.45">
      <c r="A38" s="3" t="s">
        <v>1</v>
      </c>
      <c r="B38" s="4" t="s">
        <v>2</v>
      </c>
      <c r="C38" s="4" t="s">
        <v>4</v>
      </c>
      <c r="D38" s="4" t="s">
        <v>3</v>
      </c>
      <c r="E38" s="4" t="s">
        <v>5</v>
      </c>
      <c r="F38" s="4" t="s">
        <v>17</v>
      </c>
      <c r="G38" s="4" t="s">
        <v>18</v>
      </c>
      <c r="H38" s="4" t="s">
        <v>19</v>
      </c>
      <c r="I38" s="5" t="s">
        <v>20</v>
      </c>
    </row>
    <row r="39" spans="1:9" x14ac:dyDescent="0.45">
      <c r="A39" s="6" t="s">
        <v>6</v>
      </c>
      <c r="B39" s="2">
        <v>1</v>
      </c>
      <c r="C39" s="2">
        <f>0.9992/1.005</f>
        <v>0.99422885572139308</v>
      </c>
      <c r="D39" s="2">
        <f>1.001/1.005</f>
        <v>0.99601990049751243</v>
      </c>
      <c r="E39" s="2">
        <v>1</v>
      </c>
      <c r="F39" s="2">
        <v>1</v>
      </c>
      <c r="G39" s="2">
        <f>1.004/1.005</f>
        <v>0.99900497512437825</v>
      </c>
      <c r="H39" s="2">
        <v>1</v>
      </c>
      <c r="I39" s="7">
        <v>1</v>
      </c>
    </row>
    <row r="40" spans="1:9" ht="14.65" thickBot="1" x14ac:dyDescent="0.5">
      <c r="A40" s="8" t="s">
        <v>8</v>
      </c>
      <c r="B40" s="9">
        <v>0.85</v>
      </c>
      <c r="C40" s="9">
        <v>0.85</v>
      </c>
      <c r="D40" s="9">
        <v>0.87</v>
      </c>
      <c r="E40" s="9">
        <v>0.86</v>
      </c>
      <c r="F40" s="9">
        <v>0.85</v>
      </c>
      <c r="G40" s="9">
        <v>0.85</v>
      </c>
      <c r="H40" s="9">
        <v>0.85</v>
      </c>
      <c r="I40" s="10">
        <v>0.85</v>
      </c>
    </row>
    <row r="42" spans="1:9" ht="14.65" thickBot="1" x14ac:dyDescent="0.5">
      <c r="A42" t="s">
        <v>15</v>
      </c>
    </row>
    <row r="43" spans="1:9" x14ac:dyDescent="0.45">
      <c r="A43" s="3" t="s">
        <v>1</v>
      </c>
      <c r="B43" s="4" t="s">
        <v>2</v>
      </c>
      <c r="C43" s="4" t="s">
        <v>4</v>
      </c>
      <c r="D43" s="4" t="s">
        <v>3</v>
      </c>
      <c r="E43" s="4" t="s">
        <v>5</v>
      </c>
      <c r="F43" s="4" t="s">
        <v>17</v>
      </c>
      <c r="G43" s="4" t="s">
        <v>18</v>
      </c>
      <c r="H43" s="4" t="s">
        <v>19</v>
      </c>
      <c r="I43" s="5" t="s">
        <v>20</v>
      </c>
    </row>
    <row r="44" spans="1:9" x14ac:dyDescent="0.45">
      <c r="A44" s="6" t="s">
        <v>6</v>
      </c>
      <c r="B44" s="2">
        <v>1</v>
      </c>
      <c r="C44" s="2">
        <f>0.2178/0.2175</f>
        <v>1.0013793103448276</v>
      </c>
      <c r="D44" s="2">
        <f>0.2182/0.2175</f>
        <v>1.0032183908045977</v>
      </c>
      <c r="E44" s="2">
        <f>0.218/0.2175</f>
        <v>1.0022988505747126</v>
      </c>
      <c r="F44" s="2">
        <f>0.2177/0.2175</f>
        <v>1.0009195402298852</v>
      </c>
      <c r="G44" s="2">
        <f>0.2177/0.2175</f>
        <v>1.0009195402298852</v>
      </c>
      <c r="H44" s="2">
        <f>0.2178/0.2175</f>
        <v>1.0013793103448276</v>
      </c>
      <c r="I44" s="7">
        <v>1</v>
      </c>
    </row>
    <row r="45" spans="1:9" ht="14.65" thickBot="1" x14ac:dyDescent="0.5">
      <c r="A45" s="8" t="s">
        <v>8</v>
      </c>
      <c r="B45" s="9">
        <v>0.33</v>
      </c>
      <c r="C45" s="9">
        <v>0.32</v>
      </c>
      <c r="D45" s="9">
        <v>0.88</v>
      </c>
      <c r="E45" s="9">
        <v>0.87</v>
      </c>
      <c r="F45" s="9">
        <f>0.59</f>
        <v>0.59</v>
      </c>
      <c r="G45" s="9">
        <v>0.46</v>
      </c>
      <c r="H45" s="9">
        <v>0.4</v>
      </c>
      <c r="I45" s="10">
        <v>0.35</v>
      </c>
    </row>
    <row r="47" spans="1:9" ht="14.65" thickBot="1" x14ac:dyDescent="0.5">
      <c r="A47" t="s">
        <v>11</v>
      </c>
    </row>
    <row r="48" spans="1:9" x14ac:dyDescent="0.45">
      <c r="A48" s="3" t="s">
        <v>1</v>
      </c>
      <c r="B48" s="4" t="s">
        <v>2</v>
      </c>
      <c r="C48" s="4" t="s">
        <v>4</v>
      </c>
      <c r="D48" s="4" t="s">
        <v>3</v>
      </c>
      <c r="E48" s="4" t="s">
        <v>5</v>
      </c>
      <c r="F48" s="4" t="s">
        <v>17</v>
      </c>
      <c r="G48" s="4" t="s">
        <v>18</v>
      </c>
      <c r="H48" s="4" t="s">
        <v>19</v>
      </c>
      <c r="I48" s="5" t="s">
        <v>20</v>
      </c>
    </row>
    <row r="49" spans="1:9" x14ac:dyDescent="0.45">
      <c r="A49" s="6" t="s">
        <v>6</v>
      </c>
      <c r="B49" s="2">
        <v>1</v>
      </c>
      <c r="C49" s="2">
        <f>0.1458/0.1456</f>
        <v>1.0013736263736264</v>
      </c>
      <c r="D49" s="2">
        <f>0.1544/0.1456</f>
        <v>1.0604395604395604</v>
      </c>
      <c r="E49" s="2">
        <f>0.1545/0.1456</f>
        <v>1.0611263736263736</v>
      </c>
      <c r="F49" s="2">
        <f>0.146/0.1456</f>
        <v>1.0027472527472527</v>
      </c>
      <c r="G49" s="2">
        <f>0.145/0.1456</f>
        <v>0.99587912087912078</v>
      </c>
      <c r="H49" s="2">
        <f>0.1453/0.1456</f>
        <v>0.99793956043956045</v>
      </c>
      <c r="I49" s="7">
        <v>1</v>
      </c>
    </row>
    <row r="50" spans="1:9" ht="14.65" thickBot="1" x14ac:dyDescent="0.5">
      <c r="A50" s="8" t="s">
        <v>8</v>
      </c>
      <c r="B50" s="9">
        <v>0.79</v>
      </c>
      <c r="C50" s="9">
        <v>0.8</v>
      </c>
      <c r="D50" s="9">
        <f>0.86</f>
        <v>0.86</v>
      </c>
      <c r="E50" s="9">
        <v>0.82</v>
      </c>
      <c r="F50" s="9">
        <v>0.83</v>
      </c>
      <c r="G50" s="9">
        <v>0.82</v>
      </c>
      <c r="H50" s="9">
        <v>0.81</v>
      </c>
      <c r="I50" s="10">
        <v>0.79</v>
      </c>
    </row>
    <row r="52" spans="1:9" ht="14.65" thickBot="1" x14ac:dyDescent="0.5">
      <c r="A52" t="s">
        <v>16</v>
      </c>
    </row>
    <row r="53" spans="1:9" x14ac:dyDescent="0.45">
      <c r="A53" s="3" t="s">
        <v>1</v>
      </c>
      <c r="B53" s="4" t="s">
        <v>2</v>
      </c>
      <c r="C53" s="4" t="s">
        <v>4</v>
      </c>
      <c r="D53" s="4" t="s">
        <v>3</v>
      </c>
      <c r="E53" s="4" t="s">
        <v>5</v>
      </c>
      <c r="F53" s="4" t="s">
        <v>17</v>
      </c>
      <c r="G53" s="4" t="s">
        <v>18</v>
      </c>
      <c r="H53" s="4" t="s">
        <v>19</v>
      </c>
      <c r="I53" s="5" t="s">
        <v>20</v>
      </c>
    </row>
    <row r="54" spans="1:9" x14ac:dyDescent="0.45">
      <c r="A54" s="6" t="s">
        <v>6</v>
      </c>
      <c r="B54" s="2">
        <v>1</v>
      </c>
      <c r="C54" s="2">
        <f>0.4072/0.407</f>
        <v>1.0004914004914005</v>
      </c>
      <c r="D54" s="2">
        <f>0.438/0.407</f>
        <v>1.0761670761670763</v>
      </c>
      <c r="E54" s="2">
        <f>0.4293/0.407</f>
        <v>1.0547911547911548</v>
      </c>
      <c r="F54" s="2">
        <f>0.4083/0.407</f>
        <v>1.0031941031941032</v>
      </c>
      <c r="G54" s="2">
        <f>0.4063/0.407</f>
        <v>0.99828009828009834</v>
      </c>
      <c r="H54" s="2">
        <f>0.4066/0.407</f>
        <v>0.9990171990171991</v>
      </c>
      <c r="I54" s="7">
        <v>1</v>
      </c>
    </row>
    <row r="55" spans="1:9" ht="14.65" thickBot="1" x14ac:dyDescent="0.5">
      <c r="A55" s="8" t="s">
        <v>8</v>
      </c>
      <c r="B55" s="9">
        <v>0.72</v>
      </c>
      <c r="C55" s="9">
        <v>0.73</v>
      </c>
      <c r="D55" s="9">
        <v>0.79</v>
      </c>
      <c r="E55" s="9">
        <v>0.75</v>
      </c>
      <c r="F55" s="9">
        <v>0.73</v>
      </c>
      <c r="G55" s="9">
        <v>0.73</v>
      </c>
      <c r="H55" s="9">
        <v>0.72</v>
      </c>
      <c r="I55" s="10">
        <v>0.72</v>
      </c>
    </row>
    <row r="127" spans="1:5" x14ac:dyDescent="0.45">
      <c r="A127" t="s">
        <v>21</v>
      </c>
    </row>
    <row r="128" spans="1:5" x14ac:dyDescent="0.45">
      <c r="A128">
        <v>602</v>
      </c>
      <c r="B128">
        <v>603</v>
      </c>
      <c r="C128">
        <v>619</v>
      </c>
      <c r="D128" t="s">
        <v>22</v>
      </c>
      <c r="E128" t="s">
        <v>23</v>
      </c>
    </row>
    <row r="129" spans="1:9" x14ac:dyDescent="0.45">
      <c r="A129">
        <v>2.4390000000000001</v>
      </c>
      <c r="B129">
        <v>1.0740000000000001</v>
      </c>
      <c r="C129">
        <v>0.2175</v>
      </c>
      <c r="D129">
        <v>0.16070000000000001</v>
      </c>
      <c r="E129">
        <v>0.41720000000000002</v>
      </c>
    </row>
    <row r="134" spans="1:9" x14ac:dyDescent="0.45">
      <c r="A134" t="s">
        <v>13</v>
      </c>
    </row>
    <row r="135" spans="1:9" x14ac:dyDescent="0.45">
      <c r="A135" s="2" t="s">
        <v>1</v>
      </c>
      <c r="B135" s="2" t="s">
        <v>24</v>
      </c>
      <c r="C135" s="2" t="s">
        <v>28</v>
      </c>
      <c r="D135" s="15"/>
      <c r="E135" s="15"/>
      <c r="F135" s="15"/>
      <c r="G135" s="15"/>
      <c r="H135" s="15"/>
      <c r="I135" s="15"/>
    </row>
    <row r="136" spans="1:9" x14ac:dyDescent="0.45">
      <c r="A136" s="2" t="s">
        <v>7</v>
      </c>
      <c r="B136" s="2">
        <f>2.502/2.439</f>
        <v>1.0258302583025829</v>
      </c>
      <c r="C136" s="2">
        <f>2.686/2.439</f>
        <v>1.1012710127101271</v>
      </c>
      <c r="D136" s="15"/>
      <c r="E136" s="15"/>
      <c r="F136" s="15"/>
      <c r="G136" s="15"/>
      <c r="H136" s="15"/>
      <c r="I136" s="15"/>
    </row>
    <row r="137" spans="1:9" x14ac:dyDescent="0.45">
      <c r="A137" s="2" t="s">
        <v>25</v>
      </c>
      <c r="B137" s="2">
        <f>102667/637794</f>
        <v>0.16097203799345872</v>
      </c>
      <c r="C137" s="2">
        <f>175059/394596</f>
        <v>0.44364109114131922</v>
      </c>
      <c r="D137" s="15"/>
      <c r="E137" s="15"/>
      <c r="F137" s="15"/>
      <c r="G137" s="15"/>
      <c r="H137" s="15"/>
      <c r="I137" s="15"/>
    </row>
    <row r="138" spans="1:9" x14ac:dyDescent="0.45">
      <c r="A138" s="2" t="s">
        <v>26</v>
      </c>
      <c r="B138" s="2">
        <f>209043/25000</f>
        <v>8.36172</v>
      </c>
      <c r="C138" s="2">
        <f>180566/25000</f>
        <v>7.2226400000000002</v>
      </c>
      <c r="D138" s="15"/>
      <c r="E138" s="15"/>
      <c r="F138" s="15"/>
      <c r="G138" s="15"/>
      <c r="H138" s="15"/>
      <c r="I138" s="15"/>
    </row>
    <row r="139" spans="1:9" x14ac:dyDescent="0.45">
      <c r="A139" s="2" t="s">
        <v>27</v>
      </c>
      <c r="B139" s="2">
        <f>2967921/25000</f>
        <v>118.71684</v>
      </c>
      <c r="C139" s="2">
        <f>2904377/25000</f>
        <v>116.17507999999999</v>
      </c>
      <c r="D139" s="15"/>
      <c r="E139" s="15"/>
      <c r="F139" s="15"/>
      <c r="G139" s="15"/>
      <c r="H139" s="15"/>
      <c r="I139" s="15"/>
    </row>
    <row r="141" spans="1:9" x14ac:dyDescent="0.45">
      <c r="A141" t="s">
        <v>14</v>
      </c>
    </row>
    <row r="142" spans="1:9" x14ac:dyDescent="0.45">
      <c r="A142" s="2" t="s">
        <v>1</v>
      </c>
      <c r="B142" s="2" t="s">
        <v>24</v>
      </c>
      <c r="C142" s="2" t="s">
        <v>28</v>
      </c>
      <c r="D142" s="15"/>
      <c r="E142" s="15"/>
      <c r="F142" s="15"/>
      <c r="G142" s="15"/>
      <c r="H142" s="15"/>
      <c r="I142" s="15"/>
    </row>
    <row r="143" spans="1:9" x14ac:dyDescent="0.45">
      <c r="A143" s="2" t="s">
        <v>7</v>
      </c>
      <c r="B143" s="2">
        <f>1.395/1.074</f>
        <v>1.2988826815642458</v>
      </c>
      <c r="C143" s="2">
        <f>1.113/1.074</f>
        <v>1.0363128491620111</v>
      </c>
      <c r="D143" s="15"/>
      <c r="E143" s="15"/>
      <c r="F143" s="15"/>
      <c r="G143" s="15"/>
      <c r="H143" s="15"/>
      <c r="I143" s="15"/>
    </row>
    <row r="144" spans="1:9" x14ac:dyDescent="0.45">
      <c r="A144" s="2" t="s">
        <v>25</v>
      </c>
      <c r="B144" s="2">
        <f>161318/567028</f>
        <v>0.28449741458975569</v>
      </c>
      <c r="C144" s="2">
        <f>31522/34747</f>
        <v>0.90718623190491265</v>
      </c>
      <c r="D144" s="15"/>
      <c r="E144" s="15"/>
      <c r="F144" s="15"/>
      <c r="G144" s="15"/>
      <c r="H144" s="15"/>
      <c r="I144" s="15"/>
    </row>
    <row r="145" spans="1:12" x14ac:dyDescent="0.45">
      <c r="A145" s="2" t="s">
        <v>26</v>
      </c>
      <c r="B145" s="2">
        <f>171371/25000</f>
        <v>6.8548400000000003</v>
      </c>
      <c r="C145" s="2">
        <f>278160/25000</f>
        <v>11.1264</v>
      </c>
      <c r="D145" s="15"/>
      <c r="E145" s="15"/>
      <c r="F145" s="15"/>
      <c r="G145" s="15"/>
      <c r="H145" s="15"/>
      <c r="I145" s="15"/>
    </row>
    <row r="146" spans="1:12" x14ac:dyDescent="0.45">
      <c r="A146" s="2" t="s">
        <v>27</v>
      </c>
      <c r="B146" s="2">
        <f>982071/25000</f>
        <v>39.28284</v>
      </c>
      <c r="C146" s="2">
        <f>1239374/25000</f>
        <v>49.574959999999997</v>
      </c>
      <c r="D146" s="15"/>
      <c r="E146" s="15"/>
      <c r="F146" s="15"/>
      <c r="G146" s="15"/>
      <c r="H146" s="15"/>
      <c r="I146" s="15"/>
    </row>
    <row r="148" spans="1:12" x14ac:dyDescent="0.45">
      <c r="A148" t="s">
        <v>15</v>
      </c>
    </row>
    <row r="149" spans="1:12" x14ac:dyDescent="0.45">
      <c r="A149" s="2" t="s">
        <v>1</v>
      </c>
      <c r="B149" s="2" t="s">
        <v>24</v>
      </c>
      <c r="C149" s="2" t="s">
        <v>28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x14ac:dyDescent="0.45">
      <c r="A150" s="2" t="s">
        <v>7</v>
      </c>
      <c r="B150" s="2">
        <f>0.2188/0.2175</f>
        <v>1.0059770114942528</v>
      </c>
      <c r="C150" s="2">
        <f>0.2188/0.2175</f>
        <v>1.0059770114942528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x14ac:dyDescent="0.45">
      <c r="A151" s="2" t="s">
        <v>25</v>
      </c>
      <c r="B151" s="2">
        <f>75975/247630</f>
        <v>0.30680854500666316</v>
      </c>
      <c r="C151" s="2">
        <f>57061/75191</f>
        <v>0.75888071710710059</v>
      </c>
    </row>
    <row r="152" spans="1:12" x14ac:dyDescent="0.45">
      <c r="A152" s="2" t="s">
        <v>26</v>
      </c>
      <c r="B152" s="2">
        <f xml:space="preserve"> 181990/25000</f>
        <v>7.2796000000000003</v>
      </c>
      <c r="C152">
        <f>213393/25000</f>
        <v>8.5357199999999995</v>
      </c>
    </row>
    <row r="153" spans="1:12" x14ac:dyDescent="0.45">
      <c r="A153" s="2" t="s">
        <v>27</v>
      </c>
      <c r="B153" s="2">
        <f>2503542/25000</f>
        <v>100.14167999999999</v>
      </c>
      <c r="C153" s="2">
        <f>2546454/25000</f>
        <v>101.85816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x14ac:dyDescent="0.4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x14ac:dyDescent="0.45">
      <c r="A155" t="s">
        <v>11</v>
      </c>
      <c r="B155" s="15"/>
      <c r="C155" s="15"/>
      <c r="D155" s="15"/>
      <c r="E155" s="15"/>
      <c r="F155" s="15"/>
      <c r="G155" s="15"/>
      <c r="H155" s="15"/>
      <c r="I155" s="15"/>
    </row>
    <row r="156" spans="1:12" x14ac:dyDescent="0.45">
      <c r="A156" s="2" t="s">
        <v>1</v>
      </c>
      <c r="B156" s="2" t="s">
        <v>24</v>
      </c>
      <c r="C156" s="2" t="s">
        <v>28</v>
      </c>
    </row>
    <row r="157" spans="1:12" x14ac:dyDescent="0.45">
      <c r="A157" s="2" t="s">
        <v>7</v>
      </c>
      <c r="B157" s="2">
        <f>0.1637/0.1607</f>
        <v>1.0186683260734288</v>
      </c>
      <c r="C157" s="2">
        <f>0.161/0.1607</f>
        <v>1.0018668326073428</v>
      </c>
    </row>
    <row r="158" spans="1:12" x14ac:dyDescent="0.45">
      <c r="A158" s="2" t="s">
        <v>25</v>
      </c>
      <c r="B158" s="2">
        <f>107733/488320</f>
        <v>0.22061967562254259</v>
      </c>
      <c r="C158" s="2">
        <f>14887/60343</f>
        <v>0.24670632882024426</v>
      </c>
      <c r="D158" s="15"/>
      <c r="E158" s="15"/>
      <c r="F158" s="15"/>
      <c r="G158" s="15"/>
      <c r="H158" s="15"/>
      <c r="I158" s="15"/>
    </row>
    <row r="159" spans="1:12" x14ac:dyDescent="0.45">
      <c r="A159" s="2" t="s">
        <v>26</v>
      </c>
      <c r="B159" s="2">
        <f>1744006/25000</f>
        <v>69.760239999999996</v>
      </c>
      <c r="C159" s="2">
        <f>1801879/25000</f>
        <v>72.075159999999997</v>
      </c>
    </row>
    <row r="160" spans="1:12" x14ac:dyDescent="0.45">
      <c r="A160" s="2" t="s">
        <v>27</v>
      </c>
      <c r="B160" s="2">
        <f>2572903/25000</f>
        <v>102.91612000000001</v>
      </c>
      <c r="C160" s="2">
        <f>2599204/25000</f>
        <v>103.96816</v>
      </c>
    </row>
    <row r="162" spans="1:3" x14ac:dyDescent="0.45">
      <c r="A162" t="s">
        <v>16</v>
      </c>
    </row>
    <row r="163" spans="1:3" x14ac:dyDescent="0.45">
      <c r="A163" s="2" t="s">
        <v>1</v>
      </c>
      <c r="B163" s="2" t="s">
        <v>24</v>
      </c>
      <c r="C163" s="2" t="s">
        <v>28</v>
      </c>
    </row>
    <row r="164" spans="1:3" x14ac:dyDescent="0.45">
      <c r="A164" s="2" t="s">
        <v>7</v>
      </c>
      <c r="B164" s="2">
        <f>0.4396/0.4172</f>
        <v>1.0536912751677852</v>
      </c>
      <c r="C164" s="2">
        <f>0.4201/0.4172</f>
        <v>1.0069511025886864</v>
      </c>
    </row>
    <row r="165" spans="1:3" x14ac:dyDescent="0.45">
      <c r="A165" s="2" t="s">
        <v>25</v>
      </c>
      <c r="B165" s="2">
        <f>137580/462775</f>
        <v>0.29729350116147157</v>
      </c>
      <c r="C165" s="2">
        <f>34192/85983</f>
        <v>0.39766000255864531</v>
      </c>
    </row>
    <row r="166" spans="1:3" x14ac:dyDescent="0.45">
      <c r="A166" s="2" t="s">
        <v>26</v>
      </c>
      <c r="B166" s="2">
        <f>791647/25000</f>
        <v>31.665880000000001</v>
      </c>
      <c r="C166" s="2">
        <f>856141/25000</f>
        <v>34.245640000000002</v>
      </c>
    </row>
    <row r="167" spans="1:3" x14ac:dyDescent="0.45">
      <c r="A167" s="2" t="s">
        <v>27</v>
      </c>
      <c r="B167" s="2">
        <f>1673242/25000</f>
        <v>66.929680000000005</v>
      </c>
      <c r="C167" s="2">
        <f>1823741/25000</f>
        <v>72.949640000000002</v>
      </c>
    </row>
  </sheetData>
  <pageMargins left="0.7" right="0.7" top="0.75" bottom="0.75" header="0.3" footer="0.3"/>
  <ignoredErrors>
    <ignoredError sqref="D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Danait</dc:creator>
  <cp:lastModifiedBy>Ved Danait</cp:lastModifiedBy>
  <dcterms:created xsi:type="dcterms:W3CDTF">2023-11-03T06:25:44Z</dcterms:created>
  <dcterms:modified xsi:type="dcterms:W3CDTF">2023-11-07T14:35:37Z</dcterms:modified>
</cp:coreProperties>
</file>